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NUOVO\Aanbesteding 2023\Correspondentie\"/>
    </mc:Choice>
  </mc:AlternateContent>
  <xr:revisionPtr revIDLastSave="0" documentId="8_{5A861ADF-ABFC-48C1-9B51-F0B138E0C47B}" xr6:coauthVersionLast="47" xr6:coauthVersionMax="47" xr10:uidLastSave="{00000000-0000-0000-0000-000000000000}"/>
  <bookViews>
    <workbookView xWindow="-120" yWindow="-120" windowWidth="29040" windowHeight="15720" activeTab="1" xr2:uid="{80A1E8A3-7D15-446A-BADC-0B824E68A8C0}"/>
  </bookViews>
  <sheets>
    <sheet name="Omreken" sheetId="1" r:id="rId1"/>
    <sheet name="Categorienormen" sheetId="2" r:id="rId2"/>
    <sheet name="Regulier werk" sheetId="3" r:id="rId3"/>
    <sheet name="Ruimten werkdag" sheetId="4" r:id="rId4"/>
    <sheet name="Ruimten werkdag vakantie" sheetId="5" r:id="rId5"/>
    <sheet name="Objectinformatie" sheetId="6" r:id="rId6"/>
    <sheet name="Objecten" sheetId="7" r:id="rId7"/>
    <sheet name="Niet-meewerkende objectleiding" sheetId="8" r:id="rId8"/>
    <sheet name="Totaalblad Objecten" sheetId="9" r:id="rId9"/>
    <sheet name="Additioneel werk" sheetId="10" r:id="rId10"/>
    <sheet name="Additioneel werk per locatie" sheetId="11" r:id="rId11"/>
    <sheet name="Afroep" sheetId="12" r:id="rId12"/>
    <sheet name="Afroep incidenteel" sheetId="13" r:id="rId13"/>
    <sheet name="Totaal" sheetId="14" r:id="rId14"/>
  </sheets>
  <definedNames>
    <definedName name="_xlnm.Print_Titles" localSheetId="9">'Additioneel werk'!$1:$3</definedName>
    <definedName name="_xlnm.Print_Titles" localSheetId="10">'Additioneel werk per locatie'!$1:$3</definedName>
    <definedName name="_xlnm.Print_Titles" localSheetId="11">Afroep!$1:$3</definedName>
    <definedName name="_xlnm.Print_Titles" localSheetId="12">'Afroep incidenteel'!$1:$3</definedName>
    <definedName name="_xlnm.Print_Titles" localSheetId="1">Categorienormen!$1:$3</definedName>
    <definedName name="_xlnm.Print_Titles" localSheetId="7">'Niet-meewerkende objectleiding'!$1:$3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2">'Regulier werk'!$1:$3</definedName>
    <definedName name="_xlnm.Print_Titles" localSheetId="3">'Ruimten werkdag'!$1:$3</definedName>
    <definedName name="_xlnm.Print_Titles" localSheetId="4">'Ruimten werkdag vakantie'!$1:$3</definedName>
    <definedName name="_xlnm.Print_Titles" localSheetId="13">Totaal!$1:$3</definedName>
    <definedName name="_xlnm.Print_Titles" localSheetId="8">'Totaalblad Objecten'!$1:$3</definedName>
    <definedName name="catdw_1_AHB_1">Categorienormen!$F$46</definedName>
    <definedName name="catdw_1_AHV_40">Categorienormen!$F$47</definedName>
    <definedName name="catdw_1_AZB_1">Categorienormen!$F$48</definedName>
    <definedName name="catdw_1_AZV_40">Categorienormen!$F$49</definedName>
    <definedName name="catdw_1_BHB_1">Categorienormen!$F$6</definedName>
    <definedName name="catdw_1_BHV_40">Categorienormen!$F$7</definedName>
    <definedName name="catdw_1_BZB_1">Categorienormen!$F$8</definedName>
    <definedName name="catdw_1_BZV_40">Categorienormen!$F$9</definedName>
    <definedName name="catdw_1_CHB_1">Categorienormen!$F$10</definedName>
    <definedName name="catdw_1_CHV_40">Categorienormen!$F$11</definedName>
    <definedName name="catdw_1_CZB_1">Categorienormen!$F$12</definedName>
    <definedName name="catdw_1_CZV_40">Categorienormen!$F$13</definedName>
    <definedName name="catdw_1_DHB_1">Categorienormen!$F$40</definedName>
    <definedName name="catdw_1_DHV_40">Categorienormen!$F$41</definedName>
    <definedName name="catdw_1_EHB_1">Categorienormen!$F$50</definedName>
    <definedName name="catdw_1_EHV_40">Categorienormen!$F$51</definedName>
    <definedName name="catdw_1_EZB_1">Categorienormen!$F$52</definedName>
    <definedName name="catdw_1_EZV_40">Categorienormen!$F$53</definedName>
    <definedName name="catdw_1_GHB_1">Categorienormen!$F$54</definedName>
    <definedName name="catdw_1_GHV_40">Categorienormen!$F$55</definedName>
    <definedName name="catdw_1_GZB_1">Categorienormen!$F$56</definedName>
    <definedName name="catdw_1_GZV_40">Categorienormen!$F$57</definedName>
    <definedName name="catdw_1_IHB_1">Categorienormen!$F$58</definedName>
    <definedName name="catdw_1_IHV_40">Categorienormen!$F$59</definedName>
    <definedName name="catdw_1_IZB_1">Categorienormen!$F$60</definedName>
    <definedName name="catdw_1_IZV_40">Categorienormen!$F$61</definedName>
    <definedName name="catdw_1_KHB_1">Categorienormen!$F$42</definedName>
    <definedName name="catdw_1_KHV_40">Categorienormen!$F$43</definedName>
    <definedName name="catdw_1_LHB_1">Categorienormen!$F$14</definedName>
    <definedName name="catdw_1_LHV_40">Categorienormen!$F$15</definedName>
    <definedName name="catdw_1_LZB_1">Categorienormen!$F$16</definedName>
    <definedName name="catdw_1_LZV_40">Categorienormen!$F$17</definedName>
    <definedName name="catdw_1_MHB_1">Categorienormen!$F$18</definedName>
    <definedName name="catdw_1_MHV_40">Categorienormen!$F$19</definedName>
    <definedName name="catdw_1_MZB_1">Categorienormen!$F$20</definedName>
    <definedName name="catdw_1_MZV_40">Categorienormen!$F$21</definedName>
    <definedName name="catdw_1_OHB_1">Categorienormen!$F$62</definedName>
    <definedName name="catdw_1_OHV_40">Categorienormen!$F$63</definedName>
    <definedName name="catdw_1_OLHB_1">Categorienormen!$F$22</definedName>
    <definedName name="catdw_1_OLHV_40">Categorienormen!$F$23</definedName>
    <definedName name="catdw_1_PHB_1">Categorienormen!$F$64</definedName>
    <definedName name="catdw_1_PHV_40">Categorienormen!$F$65</definedName>
    <definedName name="catdw_1_PMHB_1">Categorienormen!$F$30</definedName>
    <definedName name="catdw_1_PMHV_40">Categorienormen!$F$31</definedName>
    <definedName name="catdw_1_PMZB_1">Categorienormen!$F$32</definedName>
    <definedName name="catdw_1_PMZV_40">Categorienormen!$F$33</definedName>
    <definedName name="catdw_1_PSHB_1">Categorienormen!$F$34</definedName>
    <definedName name="catdw_1_PSHV_40">Categorienormen!$F$35</definedName>
    <definedName name="catdw_1_PTHB_1">Categorienormen!$F$36</definedName>
    <definedName name="catdw_1_PTHV_40">Categorienormen!$F$37</definedName>
    <definedName name="catdw_1_PUHB_1">Categorienormen!$F$38</definedName>
    <definedName name="catdw_1_PUHV_40">Categorienormen!$F$39</definedName>
    <definedName name="catdw_1_PZB_1">Categorienormen!$F$66</definedName>
    <definedName name="catdw_1_PZV_40">Categorienormen!$F$67</definedName>
    <definedName name="catdw_1_SHB_1">Categorienormen!$F$44</definedName>
    <definedName name="catdw_1_SHV_40">Categorienormen!$F$45</definedName>
    <definedName name="catdw_1_STHB_1">Categorienormen!$F$24</definedName>
    <definedName name="catdw_1_STHV_40">Categorienormen!$F$25</definedName>
    <definedName name="catdw_1_STZB_1">Categorienormen!$F$26</definedName>
    <definedName name="catdw_1_STZV_40">Categorienormen!$F$27</definedName>
    <definedName name="catdw_1_THB_1">Categorienormen!$F$68</definedName>
    <definedName name="catdw_1_THV_40">Categorienormen!$F$69</definedName>
    <definedName name="catdw_1_TZB_1">Categorienormen!$F$70</definedName>
    <definedName name="catdw_1_TZV_40">Categorienormen!$F$71</definedName>
    <definedName name="catdw_1_VHB_1">Categorienormen!$F$72</definedName>
    <definedName name="catdw_1_VHV_40">Categorienormen!$F$73</definedName>
    <definedName name="catdw_1_VZB_1">Categorienormen!$F$74</definedName>
    <definedName name="catdw_1_VZV_40">Categorienormen!$F$75</definedName>
    <definedName name="catdw_1_WPHB_1">Categorienormen!$F$28</definedName>
    <definedName name="catdw_1_WPHV_40">Categorienormen!$F$29</definedName>
    <definedName name="catdw_3_VBHB_1">Categorienormen!$F$78</definedName>
    <definedName name="catdw_3_VBZB_1">Categorienormen!$F$79</definedName>
    <definedName name="catdw_3_VEHB_1">Categorienormen!$F$81</definedName>
    <definedName name="catdw_3_VSHB_1">Categorienormen!$F$80</definedName>
    <definedName name="catdw_3_VTHB_1">Categorienormen!$F$82</definedName>
    <definedName name="catdw_3_VVHB_1">Categorienormen!$F$83</definedName>
    <definedName name="catdw_3_VVZB_1">Categorienormen!$F$84</definedName>
    <definedName name="catfd_1_AHB_1">Categorienormen!$C$46</definedName>
    <definedName name="catfd_1_AHV_40">Categorienormen!$C$47</definedName>
    <definedName name="catfd_1_AZB_1">Categorienormen!$C$48</definedName>
    <definedName name="catfd_1_AZV_40">Categorienormen!$C$49</definedName>
    <definedName name="catfd_1_BHB_1">Categorienormen!$C$6</definedName>
    <definedName name="catfd_1_BHV_40">Categorienormen!$C$7</definedName>
    <definedName name="catfd_1_BZB_1">Categorienormen!$C$8</definedName>
    <definedName name="catfd_1_BZV_40">Categorienormen!$C$9</definedName>
    <definedName name="catfd_1_CHB_1">Categorienormen!$C$10</definedName>
    <definedName name="catfd_1_CHV_40">Categorienormen!$C$11</definedName>
    <definedName name="catfd_1_CZB_1">Categorienormen!$C$12</definedName>
    <definedName name="catfd_1_CZV_40">Categorienormen!$C$13</definedName>
    <definedName name="catfd_1_DHB_1">Categorienormen!$C$40</definedName>
    <definedName name="catfd_1_DHV_40">Categorienormen!$C$41</definedName>
    <definedName name="catfd_1_EHB_1">Categorienormen!$C$50</definedName>
    <definedName name="catfd_1_EHV_40">Categorienormen!$C$51</definedName>
    <definedName name="catfd_1_EZB_1">Categorienormen!$C$52</definedName>
    <definedName name="catfd_1_EZV_40">Categorienormen!$C$53</definedName>
    <definedName name="catfd_1_GHB_1">Categorienormen!$C$54</definedName>
    <definedName name="catfd_1_GHV_40">Categorienormen!$C$55</definedName>
    <definedName name="catfd_1_GZB_1">Categorienormen!$C$56</definedName>
    <definedName name="catfd_1_GZV_40">Categorienormen!$C$57</definedName>
    <definedName name="catfd_1_IHB_1">Categorienormen!$C$58</definedName>
    <definedName name="catfd_1_IHV_40">Categorienormen!$C$59</definedName>
    <definedName name="catfd_1_IZB_1">Categorienormen!$C$60</definedName>
    <definedName name="catfd_1_IZV_40">Categorienormen!$C$61</definedName>
    <definedName name="catfd_1_KHB_1">Categorienormen!$C$42</definedName>
    <definedName name="catfd_1_KHV_40">Categorienormen!$C$43</definedName>
    <definedName name="catfd_1_LHB_1">Categorienormen!$C$14</definedName>
    <definedName name="catfd_1_LHV_40">Categorienormen!$C$15</definedName>
    <definedName name="catfd_1_LZB_1">Categorienormen!$C$16</definedName>
    <definedName name="catfd_1_LZV_40">Categorienormen!$C$17</definedName>
    <definedName name="catfd_1_MHB_1">Categorienormen!$C$18</definedName>
    <definedName name="catfd_1_MHV_40">Categorienormen!$C$19</definedName>
    <definedName name="catfd_1_MZB_1">Categorienormen!$C$20</definedName>
    <definedName name="catfd_1_MZV_40">Categorienormen!$C$21</definedName>
    <definedName name="catfd_1_OHB_1">Categorienormen!$C$62</definedName>
    <definedName name="catfd_1_OHV_40">Categorienormen!$C$63</definedName>
    <definedName name="catfd_1_OLHB_1">Categorienormen!$C$22</definedName>
    <definedName name="catfd_1_OLHV_40">Categorienormen!$C$23</definedName>
    <definedName name="catfd_1_PHB_1">Categorienormen!$C$64</definedName>
    <definedName name="catfd_1_PHV_40">Categorienormen!$C$65</definedName>
    <definedName name="catfd_1_PMHB_1">Categorienormen!$C$30</definedName>
    <definedName name="catfd_1_PMHV_40">Categorienormen!$C$31</definedName>
    <definedName name="catfd_1_PMZB_1">Categorienormen!$C$32</definedName>
    <definedName name="catfd_1_PMZV_40">Categorienormen!$C$33</definedName>
    <definedName name="catfd_1_PSHB_1">Categorienormen!$C$34</definedName>
    <definedName name="catfd_1_PSHV_40">Categorienormen!$C$35</definedName>
    <definedName name="catfd_1_PTHB_1">Categorienormen!$C$36</definedName>
    <definedName name="catfd_1_PTHV_40">Categorienormen!$C$37</definedName>
    <definedName name="catfd_1_PUHB_1">Categorienormen!$C$38</definedName>
    <definedName name="catfd_1_PUHV_40">Categorienormen!$C$39</definedName>
    <definedName name="catfd_1_PZB_1">Categorienormen!$C$66</definedName>
    <definedName name="catfd_1_PZV_40">Categorienormen!$C$67</definedName>
    <definedName name="catfd_1_SHB_1">Categorienormen!$C$44</definedName>
    <definedName name="catfd_1_SHV_40">Categorienormen!$C$45</definedName>
    <definedName name="catfd_1_STHB_1">Categorienormen!$C$24</definedName>
    <definedName name="catfd_1_STHV_40">Categorienormen!$C$25</definedName>
    <definedName name="catfd_1_STZB_1">Categorienormen!$C$26</definedName>
    <definedName name="catfd_1_STZV_40">Categorienormen!$C$27</definedName>
    <definedName name="catfd_1_THB_1">Categorienormen!$C$68</definedName>
    <definedName name="catfd_1_THV_40">Categorienormen!$C$69</definedName>
    <definedName name="catfd_1_TZB_1">Categorienormen!$C$70</definedName>
    <definedName name="catfd_1_TZV_40">Categorienormen!$C$71</definedName>
    <definedName name="catfd_1_VHB_1">Categorienormen!$C$72</definedName>
    <definedName name="catfd_1_VHV_40">Categorienormen!$C$73</definedName>
    <definedName name="catfd_1_VZB_1">Categorienormen!$C$74</definedName>
    <definedName name="catfd_1_VZV_40">Categorienormen!$C$75</definedName>
    <definedName name="catfd_1_WPHB_1">Categorienormen!$C$28</definedName>
    <definedName name="catfd_1_WPHV_40">Categorienormen!$C$29</definedName>
    <definedName name="catfd_3_VBHB_1">Categorienormen!$C$78</definedName>
    <definedName name="catfd_3_VBZB_1">Categorienormen!$C$79</definedName>
    <definedName name="catfd_3_VEHB_1">Categorienormen!$C$81</definedName>
    <definedName name="catfd_3_VSHB_1">Categorienormen!$C$80</definedName>
    <definedName name="catfd_3_VTHB_1">Categorienormen!$C$82</definedName>
    <definedName name="catfd_3_VVHB_1">Categorienormen!$C$83</definedName>
    <definedName name="catfd_3_VVZB_1">Categorienormen!$C$84</definedName>
    <definedName name="catpn_1_AHB_1">Categorienormen!$E$46</definedName>
    <definedName name="catpn_1_AHV_40">Categorienormen!$E$47</definedName>
    <definedName name="catpn_1_AZB_1">Categorienormen!$E$48</definedName>
    <definedName name="catpn_1_AZV_40">Categorienormen!$E$49</definedName>
    <definedName name="catpn_1_BHB_1">Categorienormen!$E$6</definedName>
    <definedName name="catpn_1_BHV_40">Categorienormen!$E$7</definedName>
    <definedName name="catpn_1_BZB_1">Categorienormen!$E$8</definedName>
    <definedName name="catpn_1_BZV_40">Categorienormen!$E$9</definedName>
    <definedName name="catpn_1_CHB_1">Categorienormen!$E$10</definedName>
    <definedName name="catpn_1_CHV_40">Categorienormen!$E$11</definedName>
    <definedName name="catpn_1_CZB_1">Categorienormen!$E$12</definedName>
    <definedName name="catpn_1_CZV_40">Categorienormen!$E$13</definedName>
    <definedName name="catpn_1_DHB_1">Categorienormen!$E$40</definedName>
    <definedName name="catpn_1_DHV_40">Categorienormen!$E$41</definedName>
    <definedName name="catpn_1_EHB_1">Categorienormen!$E$50</definedName>
    <definedName name="catpn_1_EHV_40">Categorienormen!$E$51</definedName>
    <definedName name="catpn_1_EZB_1">Categorienormen!$E$52</definedName>
    <definedName name="catpn_1_EZV_40">Categorienormen!$E$53</definedName>
    <definedName name="catpn_1_GHB_1">Categorienormen!$E$54</definedName>
    <definedName name="catpn_1_GHV_40">Categorienormen!$E$55</definedName>
    <definedName name="catpn_1_GZB_1">Categorienormen!$E$56</definedName>
    <definedName name="catpn_1_GZV_40">Categorienormen!$E$57</definedName>
    <definedName name="catpn_1_IHB_1">Categorienormen!$E$58</definedName>
    <definedName name="catpn_1_IHV_40">Categorienormen!$E$59</definedName>
    <definedName name="catpn_1_IZB_1">Categorienormen!$E$60</definedName>
    <definedName name="catpn_1_IZV_40">Categorienormen!$E$61</definedName>
    <definedName name="catpn_1_KHB_1">Categorienormen!$E$42</definedName>
    <definedName name="catpn_1_KHV_40">Categorienormen!$E$43</definedName>
    <definedName name="catpn_1_LHB_1">Categorienormen!$E$14</definedName>
    <definedName name="catpn_1_LHV_40">Categorienormen!$E$15</definedName>
    <definedName name="catpn_1_LZB_1">Categorienormen!$E$16</definedName>
    <definedName name="catpn_1_LZV_40">Categorienormen!$E$17</definedName>
    <definedName name="catpn_1_MHB_1">Categorienormen!$E$18</definedName>
    <definedName name="catpn_1_MHV_40">Categorienormen!$E$19</definedName>
    <definedName name="catpn_1_MZB_1">Categorienormen!$E$20</definedName>
    <definedName name="catpn_1_MZV_40">Categorienormen!$E$21</definedName>
    <definedName name="catpn_1_OHB_1">Categorienormen!$E$62</definedName>
    <definedName name="catpn_1_OHV_40">Categorienormen!$E$63</definedName>
    <definedName name="catpn_1_OLHB_1">Categorienormen!$E$22</definedName>
    <definedName name="catpn_1_OLHV_40">Categorienormen!$E$23</definedName>
    <definedName name="catpn_1_PHB_1">Categorienormen!$E$64</definedName>
    <definedName name="catpn_1_PHV_40">Categorienormen!$E$65</definedName>
    <definedName name="catpn_1_PMHB_1">Categorienormen!$E$30</definedName>
    <definedName name="catpn_1_PMHV_40">Categorienormen!$E$31</definedName>
    <definedName name="catpn_1_PMZB_1">Categorienormen!$E$32</definedName>
    <definedName name="catpn_1_PMZV_40">Categorienormen!$E$33</definedName>
    <definedName name="catpn_1_PSHB_1">Categorienormen!$E$34</definedName>
    <definedName name="catpn_1_PSHV_40">Categorienormen!$E$35</definedName>
    <definedName name="catpn_1_PTHB_1">Categorienormen!$E$36</definedName>
    <definedName name="catpn_1_PTHV_40">Categorienormen!$E$37</definedName>
    <definedName name="catpn_1_PUHB_1">Categorienormen!$E$38</definedName>
    <definedName name="catpn_1_PUHV_40">Categorienormen!$E$39</definedName>
    <definedName name="catpn_1_PZB_1">Categorienormen!$E$66</definedName>
    <definedName name="catpn_1_PZV_40">Categorienormen!$E$67</definedName>
    <definedName name="catpn_1_SHB_1">Categorienormen!$E$44</definedName>
    <definedName name="catpn_1_SHV_40">Categorienormen!$E$45</definedName>
    <definedName name="catpn_1_STHB_1">Categorienormen!$E$24</definedName>
    <definedName name="catpn_1_STHV_40">Categorienormen!$E$25</definedName>
    <definedName name="catpn_1_STZB_1">Categorienormen!$E$26</definedName>
    <definedName name="catpn_1_STZV_40">Categorienormen!$E$27</definedName>
    <definedName name="catpn_1_THB_1">Categorienormen!$E$68</definedName>
    <definedName name="catpn_1_THV_40">Categorienormen!$E$69</definedName>
    <definedName name="catpn_1_TZB_1">Categorienormen!$E$70</definedName>
    <definedName name="catpn_1_TZV_40">Categorienormen!$E$71</definedName>
    <definedName name="catpn_1_VHB_1">Categorienormen!$E$72</definedName>
    <definedName name="catpn_1_VHV_40">Categorienormen!$E$73</definedName>
    <definedName name="catpn_1_VZB_1">Categorienormen!$E$74</definedName>
    <definedName name="catpn_1_VZV_40">Categorienormen!$E$75</definedName>
    <definedName name="catpn_1_WPHB_1">Categorienormen!$E$28</definedName>
    <definedName name="catpn_1_WPHV_40">Categorienormen!$E$29</definedName>
    <definedName name="catpn_3_VBHB_1">Categorienormen!$E$78</definedName>
    <definedName name="catpn_3_VBZB_1">Categorienormen!$E$79</definedName>
    <definedName name="catpn_3_VEHB_1">Categorienormen!$E$81</definedName>
    <definedName name="catpn_3_VSHB_1">Categorienormen!$E$80</definedName>
    <definedName name="catpn_3_VTHB_1">Categorienormen!$E$82</definedName>
    <definedName name="catpn_3_VVHB_1">Categorienormen!$E$83</definedName>
    <definedName name="catpn_3_VVZB_1">Categorienormen!$E$84</definedName>
    <definedName name="cattf_1_AHB_1">Categorienormen!$H$46</definedName>
    <definedName name="cattf_1_AHV_40">Categorienormen!$H$47</definedName>
    <definedName name="cattf_1_AZB_1">Categorienormen!$H$48</definedName>
    <definedName name="cattf_1_AZV_40">Categorienormen!$H$49</definedName>
    <definedName name="cattf_1_BHB_1">Categorienormen!$H$6</definedName>
    <definedName name="cattf_1_BHV_40">Categorienormen!$H$7</definedName>
    <definedName name="cattf_1_BZB_1">Categorienormen!$H$8</definedName>
    <definedName name="cattf_1_BZV_40">Categorienormen!$H$9</definedName>
    <definedName name="cattf_1_CHB_1">Categorienormen!$H$10</definedName>
    <definedName name="cattf_1_CHV_40">Categorienormen!$H$11</definedName>
    <definedName name="cattf_1_CZB_1">Categorienormen!$H$12</definedName>
    <definedName name="cattf_1_CZV_40">Categorienormen!$H$13</definedName>
    <definedName name="cattf_1_DHB_1">Categorienormen!$H$40</definedName>
    <definedName name="cattf_1_DHV_40">Categorienormen!$H$41</definedName>
    <definedName name="cattf_1_EHB_1">Categorienormen!$H$50</definedName>
    <definedName name="cattf_1_EHV_40">Categorienormen!$H$51</definedName>
    <definedName name="cattf_1_EZB_1">Categorienormen!$H$52</definedName>
    <definedName name="cattf_1_EZV_40">Categorienormen!$H$53</definedName>
    <definedName name="cattf_1_GHB_1">Categorienormen!$H$54</definedName>
    <definedName name="cattf_1_GHV_40">Categorienormen!$H$55</definedName>
    <definedName name="cattf_1_GZB_1">Categorienormen!$H$56</definedName>
    <definedName name="cattf_1_GZV_40">Categorienormen!$H$57</definedName>
    <definedName name="cattf_1_IHB_1">Categorienormen!$H$58</definedName>
    <definedName name="cattf_1_IHV_40">Categorienormen!$H$59</definedName>
    <definedName name="cattf_1_IZB_1">Categorienormen!$H$60</definedName>
    <definedName name="cattf_1_IZV_40">Categorienormen!$H$61</definedName>
    <definedName name="cattf_1_KHB_1">Categorienormen!$H$42</definedName>
    <definedName name="cattf_1_KHV_40">Categorienormen!$H$43</definedName>
    <definedName name="cattf_1_LHB_1">Categorienormen!$H$14</definedName>
    <definedName name="cattf_1_LHV_40">Categorienormen!$H$15</definedName>
    <definedName name="cattf_1_LZB_1">Categorienormen!$H$16</definedName>
    <definedName name="cattf_1_LZV_40">Categorienormen!$H$17</definedName>
    <definedName name="cattf_1_MHB_1">Categorienormen!$H$18</definedName>
    <definedName name="cattf_1_MHV_40">Categorienormen!$H$19</definedName>
    <definedName name="cattf_1_MZB_1">Categorienormen!$H$20</definedName>
    <definedName name="cattf_1_MZV_40">Categorienormen!$H$21</definedName>
    <definedName name="cattf_1_OHB_1">Categorienormen!$H$62</definedName>
    <definedName name="cattf_1_OHV_40">Categorienormen!$H$63</definedName>
    <definedName name="cattf_1_OLHB_1">Categorienormen!$H$22</definedName>
    <definedName name="cattf_1_OLHV_40">Categorienormen!$H$23</definedName>
    <definedName name="cattf_1_PHB_1">Categorienormen!$H$64</definedName>
    <definedName name="cattf_1_PHV_40">Categorienormen!$H$65</definedName>
    <definedName name="cattf_1_PMHB_1">Categorienormen!$H$30</definedName>
    <definedName name="cattf_1_PMHV_40">Categorienormen!$H$31</definedName>
    <definedName name="cattf_1_PMZB_1">Categorienormen!$H$32</definedName>
    <definedName name="cattf_1_PMZV_40">Categorienormen!$H$33</definedName>
    <definedName name="cattf_1_PSHB_1">Categorienormen!$H$34</definedName>
    <definedName name="cattf_1_PSHV_40">Categorienormen!$H$35</definedName>
    <definedName name="cattf_1_PTHB_1">Categorienormen!$H$36</definedName>
    <definedName name="cattf_1_PTHV_40">Categorienormen!$H$37</definedName>
    <definedName name="cattf_1_PUHB_1">Categorienormen!$H$38</definedName>
    <definedName name="cattf_1_PUHV_40">Categorienormen!$H$39</definedName>
    <definedName name="cattf_1_PZB_1">Categorienormen!$H$66</definedName>
    <definedName name="cattf_1_PZV_40">Categorienormen!$H$67</definedName>
    <definedName name="cattf_1_SHB_1">Categorienormen!$H$44</definedName>
    <definedName name="cattf_1_SHV_40">Categorienormen!$H$45</definedName>
    <definedName name="cattf_1_STHB_1">Categorienormen!$H$24</definedName>
    <definedName name="cattf_1_STHV_40">Categorienormen!$H$25</definedName>
    <definedName name="cattf_1_STZB_1">Categorienormen!$H$26</definedName>
    <definedName name="cattf_1_STZV_40">Categorienormen!$H$27</definedName>
    <definedName name="cattf_1_THB_1">Categorienormen!$H$68</definedName>
    <definedName name="cattf_1_THV_40">Categorienormen!$H$69</definedName>
    <definedName name="cattf_1_TZB_1">Categorienormen!$H$70</definedName>
    <definedName name="cattf_1_TZV_40">Categorienormen!$H$71</definedName>
    <definedName name="cattf_1_VHB_1">Categorienormen!$H$72</definedName>
    <definedName name="cattf_1_VHV_40">Categorienormen!$H$73</definedName>
    <definedName name="cattf_1_VZB_1">Categorienormen!$H$74</definedName>
    <definedName name="cattf_1_VZV_40">Categorienormen!$H$75</definedName>
    <definedName name="cattf_1_WPHB_1">Categorienormen!$H$28</definedName>
    <definedName name="cattf_1_WPHV_40">Categorienormen!$H$29</definedName>
    <definedName name="cattf_3_VBHB_1">Categorienormen!$H$78</definedName>
    <definedName name="cattf_3_VBZB_1">Categorienormen!$H$79</definedName>
    <definedName name="cattf_3_VEHB_1">Categorienormen!$H$81</definedName>
    <definedName name="cattf_3_VSHB_1">Categorienormen!$H$80</definedName>
    <definedName name="cattf_3_VTHB_1">Categorienormen!$H$82</definedName>
    <definedName name="cattf_3_VVHB_1">Categorienormen!$H$83</definedName>
    <definedName name="cattf_3_VVZB_1">Categorienormen!$H$84</definedName>
    <definedName name="dagenperjaar1">Omreken!$B$9</definedName>
    <definedName name="dagenperweek1">Omreken!$B$10</definedName>
    <definedName name="dagsoorttabel1">Omreken!$A$13:$B$29</definedName>
    <definedName name="dagwerk12">'Regulier werk'!$H$51</definedName>
    <definedName name="dagwerk13">'Regulier werk'!$H$52</definedName>
    <definedName name="dagwerk14">'Regulier werk'!$H$53</definedName>
    <definedName name="dagwerk15">'Regulier werk'!$H$54</definedName>
    <definedName name="dagwerk16">'Regulier werk'!$H$55</definedName>
    <definedName name="dagwerk17">'Regulier werk'!$H$56</definedName>
    <definedName name="dagwerk18">'Regulier werk'!$H$57</definedName>
    <definedName name="dagwerk19">'Regulier werk'!$H$58</definedName>
    <definedName name="dagwerk20">'Regulier werk'!$H$59</definedName>
    <definedName name="dagwerk21">'Regulier werk'!$H$60</definedName>
    <definedName name="dagwerk22">'Regulier werk'!$H$61</definedName>
    <definedName name="dagwerk23">'Regulier werk'!$H$62</definedName>
    <definedName name="dagwerk24">'Regulier werk'!$H$6</definedName>
    <definedName name="dagwerk25">'Regulier werk'!$H$7</definedName>
    <definedName name="dagwerk26">'Regulier werk'!$H$8</definedName>
    <definedName name="dagwerk27">'Regulier werk'!$H$9</definedName>
    <definedName name="dagwerk28">'Regulier werk'!$H$10</definedName>
    <definedName name="dagwerk29">'Regulier werk'!$H$11</definedName>
    <definedName name="dagwerk30">'Regulier werk'!$H$12</definedName>
    <definedName name="dagwerk31">'Regulier werk'!$H$13</definedName>
    <definedName name="dagwerk32">'Regulier werk'!$H$14</definedName>
    <definedName name="dagwerk33">'Regulier werk'!$H$15</definedName>
    <definedName name="dagwerk34">'Regulier werk'!$H$16</definedName>
    <definedName name="dagwerk35">'Regulier werk'!$H$17</definedName>
    <definedName name="dagwerk36">'Regulier werk'!$H$18</definedName>
    <definedName name="dagwerk37">'Regulier werk'!$H$19</definedName>
    <definedName name="dagwerk38">'Regulier werk'!$H$20</definedName>
    <definedName name="dagwerk39">'Regulier werk'!$H$21</definedName>
    <definedName name="dagwerk40">'Regulier werk'!$H$22</definedName>
    <definedName name="dagwerk41">'Regulier werk'!$H$23</definedName>
    <definedName name="dagwerk42">'Regulier werk'!$H$24</definedName>
    <definedName name="dagwerk43">'Regulier werk'!$H$25</definedName>
    <definedName name="dagwerk44">'Regulier werk'!$H$26</definedName>
    <definedName name="dagwerk45">'Regulier werk'!$H$27</definedName>
    <definedName name="dagwerk46">'Regulier werk'!$H$28</definedName>
    <definedName name="dagwerk47">'Regulier werk'!$H$29</definedName>
    <definedName name="dagwerk48">'Regulier werk'!$H$30</definedName>
    <definedName name="dagwerk49">'Regulier werk'!$H$31</definedName>
    <definedName name="dagwerk50">'Regulier werk'!$H$32</definedName>
    <definedName name="dagwerk51">'Regulier werk'!$H$33</definedName>
    <definedName name="dagwerk52">'Regulier werk'!$H$34</definedName>
    <definedName name="dagwerk53">'Regulier werk'!$H$35</definedName>
    <definedName name="dagwerk54">'Regulier werk'!$H$36</definedName>
    <definedName name="dagwerk55">'Regulier werk'!$H$37</definedName>
    <definedName name="dagwerk56">'Regulier werk'!$H$38</definedName>
    <definedName name="dagwerk57">'Regulier werk'!$H$39</definedName>
    <definedName name="dagwerk58">'Regulier werk'!$H$40</definedName>
    <definedName name="dagwerk59">'Regulier werk'!$H$41</definedName>
    <definedName name="dagwerk60">'Regulier werk'!$H$42</definedName>
    <definedName name="dagwerk61">'Regulier werk'!$H$43</definedName>
    <definedName name="dagwerk62">'Regulier werk'!$H$44</definedName>
    <definedName name="dagwerk63">'Regulier werk'!$H$45</definedName>
    <definedName name="dagwerk64">'Regulier werk'!$H$46</definedName>
    <definedName name="dagwerk65">'Regulier werk'!$H$47</definedName>
    <definedName name="dagwerk66">'Regulier werk'!$H$48</definedName>
    <definedName name="dagwerk67">'Regulier werk'!$H$49</definedName>
    <definedName name="dagwerk68">'Regulier werk'!$H$50</definedName>
    <definedName name="dagwerk70">'Regulier werk'!$H$69</definedName>
    <definedName name="dagwerk71">'Regulier werk'!$H$70</definedName>
    <definedName name="dagwerk72">'Regulier werk'!$H$71</definedName>
    <definedName name="dagwerk73">'Regulier werk'!$H$72</definedName>
    <definedName name="dagwerk74">'Regulier werk'!$H$73</definedName>
    <definedName name="dagwerk75">'Regulier werk'!$H$74</definedName>
    <definedName name="dagwerk76">'Regulier werk'!$H$75</definedName>
    <definedName name="dagwerktabel1">Objectinformatie!$H$5:$H$61</definedName>
    <definedName name="dagwerktabel3">Objectinformatie!$H$64:$H$70</definedName>
    <definedName name="gemuurtarief1">'Regulier werk'!$J$65</definedName>
    <definedName name="gemuurtarief3">'Regulier werk'!$J$78</definedName>
    <definedName name="kengetaltabel1">Objectinformatie!$G$5:$G$61</definedName>
    <definedName name="kengetaltabel3">Objectinformatie!$G$64:$G$70</definedName>
    <definedName name="object1_gemuurtarief1">'Ruimten werkdag'!$P$116</definedName>
    <definedName name="object1_opptabel1">Objectinformatie!$J$5:$J$61</definedName>
    <definedName name="object1_opptabel3">Objectinformatie!$J$64:$J$70</definedName>
    <definedName name="object1_prijsdag1">'Ruimten werkdag'!$S$116</definedName>
    <definedName name="object1_prijsjaar1">'Ruimten werkdag'!$U$116</definedName>
    <definedName name="object1_urendag1">'Ruimten werkdag'!$Q$116</definedName>
    <definedName name="object1_urendaghf1">'Ruimten werkdag'!$R$116</definedName>
    <definedName name="object1_urenjaar1">'Ruimten werkdag'!$T$116</definedName>
    <definedName name="object10_gemuurtarief1">'Ruimten werkdag'!$P$1309</definedName>
    <definedName name="object10_opptabel1">Objectinformatie!$S$5:$S$61</definedName>
    <definedName name="object10_opptabel3">Objectinformatie!$S$64:$S$70</definedName>
    <definedName name="object10_prijsdag1">'Ruimten werkdag'!$S$1309</definedName>
    <definedName name="object10_prijsjaar1">'Ruimten werkdag'!$U$1309</definedName>
    <definedName name="object10_urendag1">'Ruimten werkdag'!$Q$1309</definedName>
    <definedName name="object10_urendaghf1">'Ruimten werkdag'!$R$1309</definedName>
    <definedName name="object10_urenjaar1">'Ruimten werkdag'!$T$1309</definedName>
    <definedName name="object11_gemuurtarief1">'Ruimten werkdag'!$P$1341</definedName>
    <definedName name="object11_opptabel1">Objectinformatie!$T$5:$T$61</definedName>
    <definedName name="object11_opptabel3">Objectinformatie!$T$64:$T$70</definedName>
    <definedName name="object11_prijsdag1">'Ruimten werkdag'!$S$1341</definedName>
    <definedName name="object11_prijsjaar1">'Ruimten werkdag'!$U$1341</definedName>
    <definedName name="object11_urendag1">'Ruimten werkdag'!$Q$1341</definedName>
    <definedName name="object11_urendaghf1">'Ruimten werkdag'!$R$1341</definedName>
    <definedName name="object11_urenjaar1">'Ruimten werkdag'!$T$1341</definedName>
    <definedName name="object12_gemuurtarief1">'Ruimten werkdag'!$P$1512</definedName>
    <definedName name="object12_opptabel1">Objectinformatie!$U$5:$U$61</definedName>
    <definedName name="object12_opptabel3">Objectinformatie!$U$64:$U$70</definedName>
    <definedName name="object12_prijsdag1">'Ruimten werkdag'!$S$1512</definedName>
    <definedName name="object12_prijsjaar1">'Ruimten werkdag'!$U$1512</definedName>
    <definedName name="object12_urendag1">'Ruimten werkdag'!$Q$1512</definedName>
    <definedName name="object12_urendaghf1">'Ruimten werkdag'!$R$1512</definedName>
    <definedName name="object12_urenjaar1">'Ruimten werkdag'!$T$1512</definedName>
    <definedName name="object13_gemuurtarief1">'Ruimten werkdag'!$P$1571</definedName>
    <definedName name="object13_opptabel1">Objectinformatie!$V$5:$V$61</definedName>
    <definedName name="object13_opptabel3">Objectinformatie!$V$64:$V$70</definedName>
    <definedName name="object13_prijsdag1">'Ruimten werkdag'!$S$1571</definedName>
    <definedName name="object13_prijsjaar1">'Ruimten werkdag'!$U$1571</definedName>
    <definedName name="object13_urendag1">'Ruimten werkdag'!$Q$1571</definedName>
    <definedName name="object13_urendaghf1">'Ruimten werkdag'!$R$1571</definedName>
    <definedName name="object13_urenjaar1">'Ruimten werkdag'!$T$1571</definedName>
    <definedName name="object14_gemuurtarief1">'Ruimten werkdag'!$P$1620</definedName>
    <definedName name="object14_opptabel1">Objectinformatie!$W$5:$W$61</definedName>
    <definedName name="object14_opptabel3">Objectinformatie!$W$64:$W$70</definedName>
    <definedName name="object14_prijsdag1">'Ruimten werkdag'!$S$1620</definedName>
    <definedName name="object14_prijsjaar1">'Ruimten werkdag'!$U$1620</definedName>
    <definedName name="object14_urendag1">'Ruimten werkdag'!$Q$1620</definedName>
    <definedName name="object14_urendaghf1">'Ruimten werkdag'!$R$1620</definedName>
    <definedName name="object14_urenjaar1">'Ruimten werkdag'!$T$1620</definedName>
    <definedName name="object15_gemuurtarief1">'Ruimten werkdag'!$P$1720</definedName>
    <definedName name="object15_opptabel1">Objectinformatie!$X$5:$X$61</definedName>
    <definedName name="object15_opptabel3">Objectinformatie!$X$64:$X$70</definedName>
    <definedName name="object15_prijsdag1">'Ruimten werkdag'!$S$1720</definedName>
    <definedName name="object15_prijsjaar1">'Ruimten werkdag'!$U$1720</definedName>
    <definedName name="object15_urendag1">'Ruimten werkdag'!$Q$1720</definedName>
    <definedName name="object15_urendaghf1">'Ruimten werkdag'!$R$1720</definedName>
    <definedName name="object15_urenjaar1">'Ruimten werkdag'!$T$1720</definedName>
    <definedName name="object16_gemuurtarief1">'Ruimten werkdag'!$P$2027</definedName>
    <definedName name="object16_gemuurtarief3">'Ruimten werkdag vakantie'!$P$110</definedName>
    <definedName name="object16_opptabel1">Objectinformatie!$Y$5:$Y$61</definedName>
    <definedName name="object16_opptabel3">Objectinformatie!$Y$64:$Y$70</definedName>
    <definedName name="object16_prijsdag1">'Ruimten werkdag'!$S$2027</definedName>
    <definedName name="object16_prijsdag3">'Ruimten werkdag vakantie'!$S$110</definedName>
    <definedName name="object16_prijsjaar1">'Ruimten werkdag'!$U$2027</definedName>
    <definedName name="object16_prijsjaar3">'Ruimten werkdag vakantie'!$U$110</definedName>
    <definedName name="object16_urendag1">'Ruimten werkdag'!$Q$2027</definedName>
    <definedName name="object16_urendag3">'Ruimten werkdag vakantie'!$Q$110</definedName>
    <definedName name="object16_urendaghf1">'Ruimten werkdag'!$R$2027</definedName>
    <definedName name="object16_urendaghf3">'Ruimten werkdag vakantie'!$R$110</definedName>
    <definedName name="object16_urenjaar1">'Ruimten werkdag'!$T$2027</definedName>
    <definedName name="object16_urenjaar3">'Ruimten werkdag vakantie'!$T$110</definedName>
    <definedName name="object17_gemuurtarief1">'Ruimten werkdag'!$P$2298</definedName>
    <definedName name="object17_opptabel1">Objectinformatie!$Z$5:$Z$61</definedName>
    <definedName name="object17_opptabel3">Objectinformatie!$Z$64:$Z$70</definedName>
    <definedName name="object17_prijsdag1">'Ruimten werkdag'!$S$2298</definedName>
    <definedName name="object17_prijsjaar1">'Ruimten werkdag'!$U$2298</definedName>
    <definedName name="object17_urendag1">'Ruimten werkdag'!$Q$2298</definedName>
    <definedName name="object17_urendaghf1">'Ruimten werkdag'!$R$2298</definedName>
    <definedName name="object17_urenjaar1">'Ruimten werkdag'!$T$2298</definedName>
    <definedName name="object2_gemuurtarief1">'Ruimten werkdag'!$P$288</definedName>
    <definedName name="object2_gemuurtarief3">'Ruimten werkdag vakantie'!$P$22</definedName>
    <definedName name="object2_opptabel1">Objectinformatie!$K$5:$K$61</definedName>
    <definedName name="object2_opptabel3">Objectinformatie!$K$64:$K$70</definedName>
    <definedName name="object2_prijsdag1">'Ruimten werkdag'!$S$288</definedName>
    <definedName name="object2_prijsdag3">'Ruimten werkdag vakantie'!$S$22</definedName>
    <definedName name="object2_prijsjaar1">'Ruimten werkdag'!$U$288</definedName>
    <definedName name="object2_prijsjaar3">'Ruimten werkdag vakantie'!$U$22</definedName>
    <definedName name="object2_urendag1">'Ruimten werkdag'!$Q$288</definedName>
    <definedName name="object2_urendag3">'Ruimten werkdag vakantie'!$Q$22</definedName>
    <definedName name="object2_urendaghf1">'Ruimten werkdag'!$R$288</definedName>
    <definedName name="object2_urendaghf3">'Ruimten werkdag vakantie'!$R$22</definedName>
    <definedName name="object2_urenjaar1">'Ruimten werkdag'!$T$288</definedName>
    <definedName name="object2_urenjaar3">'Ruimten werkdag vakantie'!$T$22</definedName>
    <definedName name="object3_gemuurtarief1">'Ruimten werkdag'!$P$438</definedName>
    <definedName name="object3_opptabel1">Objectinformatie!$L$5:$L$61</definedName>
    <definedName name="object3_opptabel3">Objectinformatie!$L$64:$L$70</definedName>
    <definedName name="object3_prijsdag1">'Ruimten werkdag'!$S$438</definedName>
    <definedName name="object3_prijsjaar1">'Ruimten werkdag'!$U$438</definedName>
    <definedName name="object3_urendag1">'Ruimten werkdag'!$Q$438</definedName>
    <definedName name="object3_urendaghf1">'Ruimten werkdag'!$R$438</definedName>
    <definedName name="object3_urenjaar1">'Ruimten werkdag'!$T$438</definedName>
    <definedName name="object4_gemuurtarief1">'Ruimten werkdag'!$P$668</definedName>
    <definedName name="object4_opptabel1">Objectinformatie!$M$5:$M$61</definedName>
    <definedName name="object4_opptabel3">Objectinformatie!$M$64:$M$70</definedName>
    <definedName name="object4_prijsdag1">'Ruimten werkdag'!$S$668</definedName>
    <definedName name="object4_prijsjaar1">'Ruimten werkdag'!$U$668</definedName>
    <definedName name="object4_urendag1">'Ruimten werkdag'!$Q$668</definedName>
    <definedName name="object4_urendaghf1">'Ruimten werkdag'!$R$668</definedName>
    <definedName name="object4_urenjaar1">'Ruimten werkdag'!$T$668</definedName>
    <definedName name="object5_gemuurtarief1">'Ruimten werkdag'!$P$835</definedName>
    <definedName name="object5_opptabel1">Objectinformatie!$N$5:$N$61</definedName>
    <definedName name="object5_opptabel3">Objectinformatie!$N$64:$N$70</definedName>
    <definedName name="object5_prijsdag1">'Ruimten werkdag'!$S$835</definedName>
    <definedName name="object5_prijsjaar1">'Ruimten werkdag'!$U$835</definedName>
    <definedName name="object5_urendag1">'Ruimten werkdag'!$Q$835</definedName>
    <definedName name="object5_urendaghf1">'Ruimten werkdag'!$R$835</definedName>
    <definedName name="object5_urenjaar1">'Ruimten werkdag'!$T$835</definedName>
    <definedName name="object6_gemuurtarief1">'Ruimten werkdag'!$P$965</definedName>
    <definedName name="object6_opptabel1">Objectinformatie!$O$5:$O$61</definedName>
    <definedName name="object6_opptabel3">Objectinformatie!$O$64:$O$70</definedName>
    <definedName name="object6_prijsdag1">'Ruimten werkdag'!$S$965</definedName>
    <definedName name="object6_prijsjaar1">'Ruimten werkdag'!$U$965</definedName>
    <definedName name="object6_urendag1">'Ruimten werkdag'!$Q$965</definedName>
    <definedName name="object6_urendaghf1">'Ruimten werkdag'!$R$965</definedName>
    <definedName name="object6_urenjaar1">'Ruimten werkdag'!$T$965</definedName>
    <definedName name="object7_gemuurtarief1">'Ruimten werkdag'!$P$1016</definedName>
    <definedName name="object7_opptabel1">Objectinformatie!$P$5:$P$61</definedName>
    <definedName name="object7_opptabel3">Objectinformatie!$P$64:$P$70</definedName>
    <definedName name="object7_prijsdag1">'Ruimten werkdag'!$S$1016</definedName>
    <definedName name="object7_prijsjaar1">'Ruimten werkdag'!$U$1016</definedName>
    <definedName name="object7_urendag1">'Ruimten werkdag'!$Q$1016</definedName>
    <definedName name="object7_urendaghf1">'Ruimten werkdag'!$R$1016</definedName>
    <definedName name="object7_urenjaar1">'Ruimten werkdag'!$T$1016</definedName>
    <definedName name="object8_gemuurtarief1">'Ruimten werkdag'!$P$1126</definedName>
    <definedName name="object8_opptabel1">Objectinformatie!$Q$5:$Q$61</definedName>
    <definedName name="object8_opptabel3">Objectinformatie!$Q$64:$Q$70</definedName>
    <definedName name="object8_prijsdag1">'Ruimten werkdag'!$S$1126</definedName>
    <definedName name="object8_prijsjaar1">'Ruimten werkdag'!$U$1126</definedName>
    <definedName name="object8_urendag1">'Ruimten werkdag'!$Q$1126</definedName>
    <definedName name="object8_urendaghf1">'Ruimten werkdag'!$R$1126</definedName>
    <definedName name="object8_urenjaar1">'Ruimten werkdag'!$T$1126</definedName>
    <definedName name="object9_gemuurtarief1">'Ruimten werkdag'!$P$1179</definedName>
    <definedName name="object9_opptabel1">Objectinformatie!$R$5:$R$61</definedName>
    <definedName name="object9_opptabel3">Objectinformatie!$R$64:$R$70</definedName>
    <definedName name="object9_prijsdag1">'Ruimten werkdag'!$S$1179</definedName>
    <definedName name="object9_prijsjaar1">'Ruimten werkdag'!$U$1179</definedName>
    <definedName name="object9_urendag1">'Ruimten werkdag'!$Q$1179</definedName>
    <definedName name="object9_urendaghf1">'Ruimten werkdag'!$R$1179</definedName>
    <definedName name="object9_urenjaar1">'Ruimten werkdag'!$T$1179</definedName>
    <definedName name="objectprijs1_1">Objecten!$Q$6</definedName>
    <definedName name="objectprijs10_1">Objecten!$Q$15</definedName>
    <definedName name="objectprijs11_1">Objecten!$Q$16</definedName>
    <definedName name="objectprijs12_1">Objecten!$Q$17</definedName>
    <definedName name="objectprijs13_1">Objecten!$Q$18</definedName>
    <definedName name="objectprijs14_1">Objecten!$Q$19</definedName>
    <definedName name="objectprijs15_1">Objecten!$Q$20</definedName>
    <definedName name="objectprijs16_1">Objecten!$Q$21</definedName>
    <definedName name="objectprijs16_3">Objecten!$Q$29</definedName>
    <definedName name="objectprijs17_1">Objecten!$Q$22</definedName>
    <definedName name="objectprijs2_1">Objecten!$Q$7</definedName>
    <definedName name="objectprijs2_3">Objecten!$Q$27</definedName>
    <definedName name="objectprijs3_1">Objecten!$Q$8</definedName>
    <definedName name="objectprijs4_1">Objecten!$Q$9</definedName>
    <definedName name="objectprijs4_3">Objecten!$Q$28</definedName>
    <definedName name="objectprijs5_1">Objecten!$Q$10</definedName>
    <definedName name="objectprijs6_1">Objecten!$Q$11</definedName>
    <definedName name="objectprijs7_1">Objecten!$Q$12</definedName>
    <definedName name="objectprijs8_1">Objecten!$Q$13</definedName>
    <definedName name="objectprijs9_1">Objecten!$Q$14</definedName>
    <definedName name="objecturen1_1">Objecten!$P$6</definedName>
    <definedName name="objecturen10_1">Objecten!$P$15</definedName>
    <definedName name="objecturen11_1">Objecten!$P$16</definedName>
    <definedName name="objecturen12_1">Objecten!$P$17</definedName>
    <definedName name="objecturen13_1">Objecten!$P$18</definedName>
    <definedName name="objecturen14_1">Objecten!$P$19</definedName>
    <definedName name="objecturen15_1">Objecten!$P$20</definedName>
    <definedName name="objecturen16_1">Objecten!$P$21</definedName>
    <definedName name="objecturen16_3">Objecten!$P$29</definedName>
    <definedName name="objecturen17_1">Objecten!$P$22</definedName>
    <definedName name="objecturen2_1">Objecten!$P$7</definedName>
    <definedName name="objecturen2_3">Objecten!$P$27</definedName>
    <definedName name="objecturen3_1">Objecten!$P$8</definedName>
    <definedName name="objecturen4_1">Objecten!$P$9</definedName>
    <definedName name="objecturen4_3">Objecten!$P$28</definedName>
    <definedName name="objecturen5_1">Objecten!$P$10</definedName>
    <definedName name="objecturen6_1">Objecten!$P$11</definedName>
    <definedName name="objecturen7_1">Objecten!$P$12</definedName>
    <definedName name="objecturen8_1">Objecten!$P$13</definedName>
    <definedName name="objecturen9_1">Objecten!$P$14</definedName>
    <definedName name="objecturenhf1_1">Objecten!$O$6</definedName>
    <definedName name="objecturenhf10_1">Objecten!$O$15</definedName>
    <definedName name="objecturenhf11_1">Objecten!$O$16</definedName>
    <definedName name="objecturenhf12_1">Objecten!$O$17</definedName>
    <definedName name="objecturenhf13_1">Objecten!$O$18</definedName>
    <definedName name="objecturenhf14_1">Objecten!$O$19</definedName>
    <definedName name="objecturenhf15_1">Objecten!$O$20</definedName>
    <definedName name="objecturenhf16_1">Objecten!$O$21</definedName>
    <definedName name="objecturenhf16_3">Objecten!$O$29</definedName>
    <definedName name="objecturenhf17_1">Objecten!$O$22</definedName>
    <definedName name="objecturenhf2_1">Objecten!$O$7</definedName>
    <definedName name="objecturenhf2_3">Objecten!$O$27</definedName>
    <definedName name="objecturenhf3_1">Objecten!$O$8</definedName>
    <definedName name="objecturenhf4_1">Objecten!$O$9</definedName>
    <definedName name="objecturenhf4_3">Objecten!$O$28</definedName>
    <definedName name="objecturenhf5_1">Objecten!$O$10</definedName>
    <definedName name="objecturenhf6_1">Objecten!$O$11</definedName>
    <definedName name="objecturenhf7_1">Objecten!$O$12</definedName>
    <definedName name="objecturenhf8_1">Objecten!$O$13</definedName>
    <definedName name="objecturenhf9_1">Objecten!$O$14</definedName>
    <definedName name="prijsdag1">'Regulier werk'!$L$63</definedName>
    <definedName name="prijsdag3">'Regulier werk'!$L$76</definedName>
    <definedName name="prijsjaar">'Regulier werk'!$N$81</definedName>
    <definedName name="prijsjaar1">'Regulier werk'!$N$63</definedName>
    <definedName name="prijsjaar3">'Regulier werk'!$N$76</definedName>
    <definedName name="prijsjaaradditioneel">'Additioneel werk'!$K$10</definedName>
    <definedName name="prijsjaaradditioneel1">'Additioneel werk'!$K$8</definedName>
    <definedName name="prijsjaarafroep">Afroep!$K$47</definedName>
    <definedName name="prijsjaarafroep1">Afroep!$K$27</definedName>
    <definedName name="prijsjaarafroep3">Afroep!$K$36</definedName>
    <definedName name="prijsjaarafroep4">Afroep!$K$45</definedName>
    <definedName name="prijsjaarnietmeewerkend">'Niet-meewerkende objectleiding'!$J$193</definedName>
    <definedName name="prijsjaartotaal">Objecten!$Q$33</definedName>
    <definedName name="prijsjaartotaal1">Objecten!$Q$23</definedName>
    <definedName name="prijsjaartotaal3">Objecten!$Q$30</definedName>
    <definedName name="prijsjaartotaaloverzicht">'Totaalblad Objecten'!$G$22</definedName>
    <definedName name="prijsmaandtotaal1">Objecten!$R$23</definedName>
    <definedName name="prijsmaandtotaal3">Objecten!$R$30</definedName>
    <definedName name="prodnorm12">'Regulier werk'!$G$51</definedName>
    <definedName name="prodnorm13">'Regulier werk'!$G$52</definedName>
    <definedName name="prodnorm14">'Regulier werk'!$G$53</definedName>
    <definedName name="prodnorm15">'Regulier werk'!$G$54</definedName>
    <definedName name="prodnorm16">'Regulier werk'!$G$55</definedName>
    <definedName name="prodnorm17">'Regulier werk'!$G$56</definedName>
    <definedName name="prodnorm18">'Regulier werk'!$G$57</definedName>
    <definedName name="prodnorm19">'Regulier werk'!$G$58</definedName>
    <definedName name="prodnorm20">'Regulier werk'!$G$59</definedName>
    <definedName name="prodnorm21">'Regulier werk'!$G$60</definedName>
    <definedName name="prodnorm22">'Regulier werk'!$G$61</definedName>
    <definedName name="prodnorm23">'Regulier werk'!$G$62</definedName>
    <definedName name="prodnorm24">'Regulier werk'!$G$6</definedName>
    <definedName name="prodnorm25">'Regulier werk'!$G$7</definedName>
    <definedName name="prodnorm26">'Regulier werk'!$G$8</definedName>
    <definedName name="prodnorm27">'Regulier werk'!$G$9</definedName>
    <definedName name="prodnorm28">'Regulier werk'!$G$10</definedName>
    <definedName name="prodnorm29">'Regulier werk'!$G$11</definedName>
    <definedName name="prodnorm30">'Regulier werk'!$G$12</definedName>
    <definedName name="prodnorm31">'Regulier werk'!$G$13</definedName>
    <definedName name="prodnorm32">'Regulier werk'!$G$14</definedName>
    <definedName name="prodnorm33">'Regulier werk'!$G$15</definedName>
    <definedName name="prodnorm34">'Regulier werk'!$G$16</definedName>
    <definedName name="prodnorm35">'Regulier werk'!$G$17</definedName>
    <definedName name="prodnorm36">'Regulier werk'!$G$18</definedName>
    <definedName name="prodnorm37">'Regulier werk'!$G$19</definedName>
    <definedName name="prodnorm38">'Regulier werk'!$G$20</definedName>
    <definedName name="prodnorm39">'Regulier werk'!$G$21</definedName>
    <definedName name="prodnorm40">'Regulier werk'!$G$22</definedName>
    <definedName name="prodnorm41">'Regulier werk'!$G$23</definedName>
    <definedName name="prodnorm42">'Regulier werk'!$G$24</definedName>
    <definedName name="prodnorm43">'Regulier werk'!$G$25</definedName>
    <definedName name="prodnorm44">'Regulier werk'!$G$26</definedName>
    <definedName name="prodnorm45">'Regulier werk'!$G$27</definedName>
    <definedName name="prodnorm46">'Regulier werk'!$G$28</definedName>
    <definedName name="prodnorm47">'Regulier werk'!$G$29</definedName>
    <definedName name="prodnorm48">'Regulier werk'!$G$30</definedName>
    <definedName name="prodnorm49">'Regulier werk'!$G$31</definedName>
    <definedName name="prodnorm50">'Regulier werk'!$G$32</definedName>
    <definedName name="prodnorm51">'Regulier werk'!$G$33</definedName>
    <definedName name="prodnorm52">'Regulier werk'!$G$34</definedName>
    <definedName name="prodnorm53">'Regulier werk'!$G$35</definedName>
    <definedName name="prodnorm54">'Regulier werk'!$G$36</definedName>
    <definedName name="prodnorm55">'Regulier werk'!$G$37</definedName>
    <definedName name="prodnorm56">'Regulier werk'!$G$38</definedName>
    <definedName name="prodnorm57">'Regulier werk'!$G$39</definedName>
    <definedName name="prodnorm58">'Regulier werk'!$G$40</definedName>
    <definedName name="prodnorm59">'Regulier werk'!$G$41</definedName>
    <definedName name="prodnorm60">'Regulier werk'!$G$42</definedName>
    <definedName name="prodnorm61">'Regulier werk'!$G$43</definedName>
    <definedName name="prodnorm62">'Regulier werk'!$G$44</definedName>
    <definedName name="prodnorm63">'Regulier werk'!$G$45</definedName>
    <definedName name="prodnorm64">'Regulier werk'!$G$46</definedName>
    <definedName name="prodnorm65">'Regulier werk'!$G$47</definedName>
    <definedName name="prodnorm66">'Regulier werk'!$G$48</definedName>
    <definedName name="prodnorm67">'Regulier werk'!$G$49</definedName>
    <definedName name="prodnorm68">'Regulier werk'!$G$50</definedName>
    <definedName name="prodnorm70">'Regulier werk'!$G$69</definedName>
    <definedName name="prodnorm71">'Regulier werk'!$G$70</definedName>
    <definedName name="prodnorm72">'Regulier werk'!$G$71</definedName>
    <definedName name="prodnorm73">'Regulier werk'!$G$72</definedName>
    <definedName name="prodnorm74">'Regulier werk'!$G$73</definedName>
    <definedName name="prodnorm75">'Regulier werk'!$G$74</definedName>
    <definedName name="prodnorm76">'Regulier werk'!$G$75</definedName>
    <definedName name="taakfreqtabel1">Objectinformatie!$E$5:$E$61</definedName>
    <definedName name="taakfreqtabel3">Objectinformatie!$E$64:$E$70</definedName>
    <definedName name="tabeltype">Omreken!$B$5:$B$5</definedName>
    <definedName name="tarieftabel1">Objectinformatie!$I$5:$I$61</definedName>
    <definedName name="tarieftabel3">Objectinformatie!$I$64:$I$70</definedName>
    <definedName name="tzpjt1">'Niet-meewerkende objectleiding'!$J$159</definedName>
    <definedName name="tzpjt1_1">'Niet-meewerkende objectleiding'!$J$13</definedName>
    <definedName name="tzpjt10_1">'Niet-meewerkende objectleiding'!$J$94</definedName>
    <definedName name="tzpjt11_1">'Niet-meewerkende objectleiding'!$J$103</definedName>
    <definedName name="tzpjt12_1">'Niet-meewerkende objectleiding'!$J$112</definedName>
    <definedName name="tzpjt13_1">'Niet-meewerkende objectleiding'!$J$121</definedName>
    <definedName name="tzpjt14_1">'Niet-meewerkende objectleiding'!$J$130</definedName>
    <definedName name="tzpjt15_1">'Niet-meewerkende objectleiding'!$J$139</definedName>
    <definedName name="tzpjt16_1">'Niet-meewerkende objectleiding'!$J$148</definedName>
    <definedName name="tzpjt16_3">'Niet-meewerkende objectleiding'!$J$188</definedName>
    <definedName name="tzpjt17_1">'Niet-meewerkende objectleiding'!$J$157</definedName>
    <definedName name="tzpjt2_1">'Niet-meewerkende objectleiding'!$J$22</definedName>
    <definedName name="tzpjt2_3">'Niet-meewerkende objectleiding'!$J$170</definedName>
    <definedName name="tzpjt3">'Niet-meewerkende objectleiding'!$J$190</definedName>
    <definedName name="tzpjt3_1">'Niet-meewerkende objectleiding'!$J$31</definedName>
    <definedName name="tzpjt4_1">'Niet-meewerkende objectleiding'!$J$40</definedName>
    <definedName name="tzpjt4_3">'Niet-meewerkende objectleiding'!$J$179</definedName>
    <definedName name="tzpjt5_1">'Niet-meewerkende objectleiding'!$J$49</definedName>
    <definedName name="tzpjt6_1">'Niet-meewerkende objectleiding'!$J$58</definedName>
    <definedName name="tzpjt7_1">'Niet-meewerkende objectleiding'!$J$67</definedName>
    <definedName name="tzpjt8_1">'Niet-meewerkende objectleiding'!$J$76</definedName>
    <definedName name="tzpjt9_1">'Niet-meewerkende objectleiding'!$J$85</definedName>
    <definedName name="tzpmt1">'Niet-meewerkende objectleiding'!$K$159</definedName>
    <definedName name="tzpmt1_1">'Niet-meewerkende objectleiding'!$K$13</definedName>
    <definedName name="tzpmt10_1">'Niet-meewerkende objectleiding'!$K$94</definedName>
    <definedName name="tzpmt11_1">'Niet-meewerkende objectleiding'!$K$103</definedName>
    <definedName name="tzpmt12_1">'Niet-meewerkende objectleiding'!$K$112</definedName>
    <definedName name="tzpmt13_1">'Niet-meewerkende objectleiding'!$K$121</definedName>
    <definedName name="tzpmt14_1">'Niet-meewerkende objectleiding'!$K$130</definedName>
    <definedName name="tzpmt15_1">'Niet-meewerkende objectleiding'!$K$139</definedName>
    <definedName name="tzpmt16_1">'Niet-meewerkende objectleiding'!$K$148</definedName>
    <definedName name="tzpmt16_3">'Niet-meewerkende objectleiding'!$K$188</definedName>
    <definedName name="tzpmt17_1">'Niet-meewerkende objectleiding'!$K$157</definedName>
    <definedName name="tzpmt2_1">'Niet-meewerkende objectleiding'!$K$22</definedName>
    <definedName name="tzpmt2_3">'Niet-meewerkende objectleiding'!$K$170</definedName>
    <definedName name="tzpmt3">'Niet-meewerkende objectleiding'!$K$190</definedName>
    <definedName name="tzpmt3_1">'Niet-meewerkende objectleiding'!$K$31</definedName>
    <definedName name="tzpmt4_1">'Niet-meewerkende objectleiding'!$K$40</definedName>
    <definedName name="tzpmt4_3">'Niet-meewerkende objectleiding'!$K$179</definedName>
    <definedName name="tzpmt5_1">'Niet-meewerkende objectleiding'!$K$49</definedName>
    <definedName name="tzpmt6_1">'Niet-meewerkende objectleiding'!$K$58</definedName>
    <definedName name="tzpmt7_1">'Niet-meewerkende objectleiding'!$K$67</definedName>
    <definedName name="tzpmt8_1">'Niet-meewerkende objectleiding'!$K$76</definedName>
    <definedName name="tzpmt9_1">'Niet-meewerkende objectleiding'!$K$85</definedName>
    <definedName name="tzujt1">'Niet-meewerkende objectleiding'!$H$159</definedName>
    <definedName name="tzujt1_1">'Niet-meewerkende objectleiding'!$H$13</definedName>
    <definedName name="tzujt10_1">'Niet-meewerkende objectleiding'!$H$94</definedName>
    <definedName name="tzujt11_1">'Niet-meewerkende objectleiding'!$H$103</definedName>
    <definedName name="tzujt12_1">'Niet-meewerkende objectleiding'!$H$112</definedName>
    <definedName name="tzujt13_1">'Niet-meewerkende objectleiding'!$H$121</definedName>
    <definedName name="tzujt14_1">'Niet-meewerkende objectleiding'!$H$130</definedName>
    <definedName name="tzujt15_1">'Niet-meewerkende objectleiding'!$H$139</definedName>
    <definedName name="tzujt16_1">'Niet-meewerkende objectleiding'!$H$148</definedName>
    <definedName name="tzujt16_3">'Niet-meewerkende objectleiding'!$H$188</definedName>
    <definedName name="tzujt17_1">'Niet-meewerkende objectleiding'!$H$157</definedName>
    <definedName name="tzujt2_1">'Niet-meewerkende objectleiding'!$H$22</definedName>
    <definedName name="tzujt2_3">'Niet-meewerkende objectleiding'!$H$170</definedName>
    <definedName name="tzujt3">'Niet-meewerkende objectleiding'!$H$190</definedName>
    <definedName name="tzujt3_1">'Niet-meewerkende objectleiding'!$H$31</definedName>
    <definedName name="tzujt4_1">'Niet-meewerkende objectleiding'!$H$40</definedName>
    <definedName name="tzujt4_3">'Niet-meewerkende objectleiding'!$H$179</definedName>
    <definedName name="tzujt5_1">'Niet-meewerkende objectleiding'!$H$49</definedName>
    <definedName name="tzujt6_1">'Niet-meewerkende objectleiding'!$H$58</definedName>
    <definedName name="tzujt7_1">'Niet-meewerkende objectleiding'!$H$67</definedName>
    <definedName name="tzujt8_1">'Niet-meewerkende objectleiding'!$H$76</definedName>
    <definedName name="tzujt9_1">'Niet-meewerkende objectleiding'!$H$85</definedName>
    <definedName name="urendag1">'Regulier werk'!$K$63</definedName>
    <definedName name="urendag3">'Regulier werk'!$K$76</definedName>
    <definedName name="urenjaar">'Regulier werk'!$M$81</definedName>
    <definedName name="urenjaar1">'Regulier werk'!$M$63</definedName>
    <definedName name="urenjaar3">'Regulier werk'!$M$76</definedName>
    <definedName name="urenjaarnietmeewerkend">'Niet-meewerkende objectleiding'!$H$193</definedName>
    <definedName name="urenjaartotaal">Objecten!$P$33</definedName>
    <definedName name="urenjaartotaal1">Objecten!$P$23</definedName>
    <definedName name="urenjaartotaal3">Objecten!$P$30</definedName>
    <definedName name="urenjaartotaalhf">Objecten!$O$33</definedName>
    <definedName name="urenjaartotaalhf1">Objecten!$O$23</definedName>
    <definedName name="urenjaartotaalhf3">Objecten!$O$30</definedName>
    <definedName name="urenjaartotaaloverzicht">'Totaalblad Objecten'!$F$22</definedName>
    <definedName name="urenjaartotaaloverzichthf">'Totaalblad Objecten'!$E$22</definedName>
    <definedName name="uurfactortabel1">Objectinformatie!$F$5:$F$61</definedName>
    <definedName name="uurfactortabel3">Objectinformatie!$F$64:$F$70</definedName>
    <definedName name="uurtarief12">'Regulier werk'!$J$51</definedName>
    <definedName name="uurtarief13">'Regulier werk'!$J$52</definedName>
    <definedName name="uurtarief14">'Regulier werk'!$J$53</definedName>
    <definedName name="uurtarief15">'Regulier werk'!$J$54</definedName>
    <definedName name="uurtarief16">'Regulier werk'!$J$55</definedName>
    <definedName name="uurtarief17">'Regulier werk'!$J$56</definedName>
    <definedName name="uurtarief18">'Regulier werk'!$J$57</definedName>
    <definedName name="uurtarief19">'Regulier werk'!$J$58</definedName>
    <definedName name="uurtarief20">'Regulier werk'!$J$59</definedName>
    <definedName name="uurtarief21">'Regulier werk'!$J$60</definedName>
    <definedName name="uurtarief22">'Regulier werk'!$J$61</definedName>
    <definedName name="uurtarief23">'Regulier werk'!$J$62</definedName>
    <definedName name="uurtarief24">'Regulier werk'!$J$6</definedName>
    <definedName name="uurtarief25">'Regulier werk'!$J$7</definedName>
    <definedName name="uurtarief26">'Regulier werk'!$J$8</definedName>
    <definedName name="uurtarief27">'Regulier werk'!$J$9</definedName>
    <definedName name="uurtarief28">'Regulier werk'!$J$10</definedName>
    <definedName name="uurtarief29">'Regulier werk'!$J$11</definedName>
    <definedName name="uurtarief30">'Regulier werk'!$J$12</definedName>
    <definedName name="uurtarief31">'Regulier werk'!$J$13</definedName>
    <definedName name="uurtarief32">'Regulier werk'!$J$14</definedName>
    <definedName name="uurtarief33">'Regulier werk'!$J$15</definedName>
    <definedName name="uurtarief34">'Regulier werk'!$J$16</definedName>
    <definedName name="uurtarief35">'Regulier werk'!$J$17</definedName>
    <definedName name="uurtarief36">'Regulier werk'!$J$18</definedName>
    <definedName name="uurtarief37">'Regulier werk'!$J$19</definedName>
    <definedName name="uurtarief38">'Regulier werk'!$J$20</definedName>
    <definedName name="uurtarief39">'Regulier werk'!$J$21</definedName>
    <definedName name="uurtarief40">'Regulier werk'!$J$22</definedName>
    <definedName name="uurtarief41">'Regulier werk'!$J$23</definedName>
    <definedName name="uurtarief42">'Regulier werk'!$J$24</definedName>
    <definedName name="uurtarief43">'Regulier werk'!$J$25</definedName>
    <definedName name="uurtarief44">'Regulier werk'!$J$26</definedName>
    <definedName name="uurtarief45">'Regulier werk'!$J$27</definedName>
    <definedName name="uurtarief46">'Regulier werk'!$J$28</definedName>
    <definedName name="uurtarief47">'Regulier werk'!$J$29</definedName>
    <definedName name="uurtarief48">'Regulier werk'!$J$30</definedName>
    <definedName name="uurtarief49">'Regulier werk'!$J$31</definedName>
    <definedName name="uurtarief50">'Regulier werk'!$J$32</definedName>
    <definedName name="uurtarief51">'Regulier werk'!$J$33</definedName>
    <definedName name="uurtarief52">'Regulier werk'!$J$34</definedName>
    <definedName name="uurtarief53">'Regulier werk'!$J$35</definedName>
    <definedName name="uurtarief54">'Regulier werk'!$J$36</definedName>
    <definedName name="uurtarief55">'Regulier werk'!$J$37</definedName>
    <definedName name="uurtarief56">'Regulier werk'!$J$38</definedName>
    <definedName name="uurtarief57">'Regulier werk'!$J$39</definedName>
    <definedName name="uurtarief58">'Regulier werk'!$J$40</definedName>
    <definedName name="uurtarief59">'Regulier werk'!$J$41</definedName>
    <definedName name="uurtarief60">'Regulier werk'!$J$42</definedName>
    <definedName name="uurtarief61">'Regulier werk'!$J$43</definedName>
    <definedName name="uurtarief62">'Regulier werk'!$J$44</definedName>
    <definedName name="uurtarief63">'Regulier werk'!$J$45</definedName>
    <definedName name="uurtarief64">'Regulier werk'!$J$46</definedName>
    <definedName name="uurtarief65">'Regulier werk'!$J$47</definedName>
    <definedName name="uurtarief66">'Regulier werk'!$J$48</definedName>
    <definedName name="uurtarief67">'Regulier werk'!$J$49</definedName>
    <definedName name="uurtarief68">'Regulier werk'!$J$50</definedName>
    <definedName name="uurtarief70">'Regulier werk'!$J$69</definedName>
    <definedName name="uurtarief71">'Regulier werk'!$J$70</definedName>
    <definedName name="uurtarief72">'Regulier werk'!$J$71</definedName>
    <definedName name="uurtarief73">'Regulier werk'!$J$72</definedName>
    <definedName name="uurtarief74">'Regulier werk'!$J$73</definedName>
    <definedName name="uurtarief75">'Regulier werk'!$J$74</definedName>
    <definedName name="uurtarief76">'Regulier werk'!$J$75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4" l="1"/>
  <c r="A1" i="13"/>
  <c r="J44" i="12"/>
  <c r="J43" i="12"/>
  <c r="J42" i="12"/>
  <c r="J41" i="12"/>
  <c r="J40" i="12"/>
  <c r="J39" i="12"/>
  <c r="J35" i="12"/>
  <c r="J34" i="12"/>
  <c r="J33" i="12"/>
  <c r="J32" i="12"/>
  <c r="J31" i="12"/>
  <c r="J30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A1" i="12"/>
  <c r="I72" i="11"/>
  <c r="H72" i="11"/>
  <c r="I68" i="11"/>
  <c r="H68" i="11"/>
  <c r="I64" i="11"/>
  <c r="H64" i="11"/>
  <c r="I60" i="11"/>
  <c r="H60" i="11"/>
  <c r="I56" i="11"/>
  <c r="H56" i="11"/>
  <c r="I52" i="11"/>
  <c r="H52" i="11"/>
  <c r="I48" i="11"/>
  <c r="H48" i="11"/>
  <c r="I44" i="11"/>
  <c r="H44" i="11"/>
  <c r="I40" i="11"/>
  <c r="H40" i="11"/>
  <c r="I36" i="11"/>
  <c r="H36" i="11"/>
  <c r="I32" i="11"/>
  <c r="H32" i="11"/>
  <c r="I28" i="11"/>
  <c r="H28" i="11"/>
  <c r="I27" i="11"/>
  <c r="H27" i="11"/>
  <c r="I23" i="11"/>
  <c r="H23" i="11"/>
  <c r="I22" i="11"/>
  <c r="H22" i="11"/>
  <c r="I18" i="11"/>
  <c r="H18" i="11"/>
  <c r="I14" i="11"/>
  <c r="H14" i="11"/>
  <c r="I10" i="11"/>
  <c r="H10" i="11"/>
  <c r="I6" i="11"/>
  <c r="H6" i="11"/>
  <c r="A1" i="11"/>
  <c r="J7" i="10"/>
  <c r="J6" i="10"/>
  <c r="A1" i="10"/>
  <c r="A1" i="9"/>
  <c r="J187" i="8"/>
  <c r="K187" i="8" s="1"/>
  <c r="H187" i="8"/>
  <c r="C187" i="8"/>
  <c r="I187" i="8" s="1"/>
  <c r="J186" i="8"/>
  <c r="K186" i="8" s="1"/>
  <c r="H186" i="8"/>
  <c r="C186" i="8"/>
  <c r="I186" i="8" s="1"/>
  <c r="J185" i="8"/>
  <c r="K185" i="8" s="1"/>
  <c r="H185" i="8"/>
  <c r="C185" i="8"/>
  <c r="I185" i="8" s="1"/>
  <c r="J184" i="8"/>
  <c r="K184" i="8" s="1"/>
  <c r="H184" i="8"/>
  <c r="C184" i="8"/>
  <c r="I184" i="8" s="1"/>
  <c r="J183" i="8"/>
  <c r="H183" i="8"/>
  <c r="H188" i="8" s="1"/>
  <c r="J178" i="8"/>
  <c r="K178" i="8" s="1"/>
  <c r="H178" i="8"/>
  <c r="C178" i="8"/>
  <c r="I178" i="8" s="1"/>
  <c r="J177" i="8"/>
  <c r="K177" i="8" s="1"/>
  <c r="H177" i="8"/>
  <c r="C177" i="8"/>
  <c r="I177" i="8" s="1"/>
  <c r="J176" i="8"/>
  <c r="K176" i="8" s="1"/>
  <c r="H176" i="8"/>
  <c r="C176" i="8"/>
  <c r="I176" i="8" s="1"/>
  <c r="J175" i="8"/>
  <c r="K175" i="8" s="1"/>
  <c r="H175" i="8"/>
  <c r="C175" i="8"/>
  <c r="I175" i="8" s="1"/>
  <c r="J174" i="8"/>
  <c r="H174" i="8"/>
  <c r="H179" i="8" s="1"/>
  <c r="J169" i="8"/>
  <c r="K169" i="8" s="1"/>
  <c r="H169" i="8"/>
  <c r="C169" i="8"/>
  <c r="I169" i="8" s="1"/>
  <c r="J168" i="8"/>
  <c r="K168" i="8" s="1"/>
  <c r="H168" i="8"/>
  <c r="C168" i="8"/>
  <c r="I168" i="8" s="1"/>
  <c r="J167" i="8"/>
  <c r="K167" i="8" s="1"/>
  <c r="H167" i="8"/>
  <c r="C167" i="8"/>
  <c r="I167" i="8" s="1"/>
  <c r="J166" i="8"/>
  <c r="K166" i="8" s="1"/>
  <c r="H166" i="8"/>
  <c r="C166" i="8"/>
  <c r="I166" i="8" s="1"/>
  <c r="J165" i="8"/>
  <c r="H165" i="8"/>
  <c r="H170" i="8" s="1"/>
  <c r="H190" i="8" s="1"/>
  <c r="J156" i="8"/>
  <c r="K156" i="8" s="1"/>
  <c r="H156" i="8"/>
  <c r="C156" i="8"/>
  <c r="I156" i="8" s="1"/>
  <c r="J155" i="8"/>
  <c r="K155" i="8" s="1"/>
  <c r="H155" i="8"/>
  <c r="C155" i="8"/>
  <c r="I155" i="8" s="1"/>
  <c r="J154" i="8"/>
  <c r="K154" i="8" s="1"/>
  <c r="H154" i="8"/>
  <c r="C154" i="8"/>
  <c r="I154" i="8" s="1"/>
  <c r="J153" i="8"/>
  <c r="K153" i="8" s="1"/>
  <c r="H153" i="8"/>
  <c r="C153" i="8"/>
  <c r="I153" i="8" s="1"/>
  <c r="J152" i="8"/>
  <c r="H152" i="8"/>
  <c r="H157" i="8" s="1"/>
  <c r="H20" i="9" s="1"/>
  <c r="J147" i="8"/>
  <c r="K147" i="8" s="1"/>
  <c r="H147" i="8"/>
  <c r="C147" i="8"/>
  <c r="I147" i="8" s="1"/>
  <c r="J146" i="8"/>
  <c r="K146" i="8" s="1"/>
  <c r="H146" i="8"/>
  <c r="C146" i="8"/>
  <c r="I146" i="8" s="1"/>
  <c r="J145" i="8"/>
  <c r="K145" i="8" s="1"/>
  <c r="H145" i="8"/>
  <c r="C145" i="8"/>
  <c r="I145" i="8" s="1"/>
  <c r="J144" i="8"/>
  <c r="K144" i="8" s="1"/>
  <c r="H144" i="8"/>
  <c r="C144" i="8"/>
  <c r="I144" i="8" s="1"/>
  <c r="J143" i="8"/>
  <c r="H143" i="8"/>
  <c r="H148" i="8" s="1"/>
  <c r="H19" i="9" s="1"/>
  <c r="J138" i="8"/>
  <c r="K138" i="8" s="1"/>
  <c r="H138" i="8"/>
  <c r="C138" i="8"/>
  <c r="I138" i="8" s="1"/>
  <c r="J137" i="8"/>
  <c r="K137" i="8" s="1"/>
  <c r="H137" i="8"/>
  <c r="C137" i="8"/>
  <c r="I137" i="8" s="1"/>
  <c r="J136" i="8"/>
  <c r="K136" i="8" s="1"/>
  <c r="H136" i="8"/>
  <c r="C136" i="8"/>
  <c r="I136" i="8" s="1"/>
  <c r="J135" i="8"/>
  <c r="K135" i="8" s="1"/>
  <c r="H135" i="8"/>
  <c r="C135" i="8"/>
  <c r="I135" i="8" s="1"/>
  <c r="J134" i="8"/>
  <c r="H134" i="8"/>
  <c r="H139" i="8" s="1"/>
  <c r="H18" i="9" s="1"/>
  <c r="J129" i="8"/>
  <c r="K129" i="8" s="1"/>
  <c r="H129" i="8"/>
  <c r="C129" i="8"/>
  <c r="I129" i="8" s="1"/>
  <c r="J128" i="8"/>
  <c r="K128" i="8" s="1"/>
  <c r="H128" i="8"/>
  <c r="C128" i="8"/>
  <c r="I128" i="8" s="1"/>
  <c r="J127" i="8"/>
  <c r="K127" i="8" s="1"/>
  <c r="H127" i="8"/>
  <c r="C127" i="8"/>
  <c r="I127" i="8" s="1"/>
  <c r="J126" i="8"/>
  <c r="K126" i="8" s="1"/>
  <c r="H126" i="8"/>
  <c r="C126" i="8"/>
  <c r="I126" i="8" s="1"/>
  <c r="J125" i="8"/>
  <c r="H125" i="8"/>
  <c r="H130" i="8" s="1"/>
  <c r="H17" i="9" s="1"/>
  <c r="J120" i="8"/>
  <c r="K120" i="8" s="1"/>
  <c r="H120" i="8"/>
  <c r="C120" i="8"/>
  <c r="I120" i="8" s="1"/>
  <c r="J119" i="8"/>
  <c r="K119" i="8" s="1"/>
  <c r="H119" i="8"/>
  <c r="C119" i="8"/>
  <c r="I119" i="8" s="1"/>
  <c r="J118" i="8"/>
  <c r="K118" i="8" s="1"/>
  <c r="H118" i="8"/>
  <c r="C118" i="8"/>
  <c r="I118" i="8" s="1"/>
  <c r="J117" i="8"/>
  <c r="K117" i="8" s="1"/>
  <c r="H117" i="8"/>
  <c r="C117" i="8"/>
  <c r="I117" i="8" s="1"/>
  <c r="J116" i="8"/>
  <c r="H116" i="8"/>
  <c r="H121" i="8" s="1"/>
  <c r="H16" i="9" s="1"/>
  <c r="J111" i="8"/>
  <c r="K111" i="8" s="1"/>
  <c r="H111" i="8"/>
  <c r="C111" i="8"/>
  <c r="I111" i="8" s="1"/>
  <c r="J110" i="8"/>
  <c r="K110" i="8" s="1"/>
  <c r="H110" i="8"/>
  <c r="C110" i="8"/>
  <c r="I110" i="8" s="1"/>
  <c r="J109" i="8"/>
  <c r="K109" i="8" s="1"/>
  <c r="H109" i="8"/>
  <c r="C109" i="8"/>
  <c r="I109" i="8" s="1"/>
  <c r="J108" i="8"/>
  <c r="K108" i="8" s="1"/>
  <c r="H108" i="8"/>
  <c r="C108" i="8"/>
  <c r="I108" i="8" s="1"/>
  <c r="J107" i="8"/>
  <c r="H107" i="8"/>
  <c r="H112" i="8" s="1"/>
  <c r="H15" i="9" s="1"/>
  <c r="J102" i="8"/>
  <c r="K102" i="8" s="1"/>
  <c r="H102" i="8"/>
  <c r="C102" i="8"/>
  <c r="I102" i="8" s="1"/>
  <c r="J101" i="8"/>
  <c r="K101" i="8" s="1"/>
  <c r="H101" i="8"/>
  <c r="C101" i="8"/>
  <c r="I101" i="8" s="1"/>
  <c r="J100" i="8"/>
  <c r="K100" i="8" s="1"/>
  <c r="H100" i="8"/>
  <c r="C100" i="8"/>
  <c r="I100" i="8" s="1"/>
  <c r="J99" i="8"/>
  <c r="K99" i="8" s="1"/>
  <c r="H99" i="8"/>
  <c r="C99" i="8"/>
  <c r="I99" i="8" s="1"/>
  <c r="J98" i="8"/>
  <c r="H98" i="8"/>
  <c r="H103" i="8" s="1"/>
  <c r="H14" i="9" s="1"/>
  <c r="J93" i="8"/>
  <c r="K93" i="8" s="1"/>
  <c r="H93" i="8"/>
  <c r="C93" i="8"/>
  <c r="I93" i="8" s="1"/>
  <c r="J92" i="8"/>
  <c r="K92" i="8" s="1"/>
  <c r="H92" i="8"/>
  <c r="C92" i="8"/>
  <c r="I92" i="8" s="1"/>
  <c r="J91" i="8"/>
  <c r="K91" i="8" s="1"/>
  <c r="H91" i="8"/>
  <c r="C91" i="8"/>
  <c r="I91" i="8" s="1"/>
  <c r="J90" i="8"/>
  <c r="K90" i="8" s="1"/>
  <c r="H90" i="8"/>
  <c r="C90" i="8"/>
  <c r="I90" i="8" s="1"/>
  <c r="J89" i="8"/>
  <c r="H89" i="8"/>
  <c r="H94" i="8" s="1"/>
  <c r="H13" i="9" s="1"/>
  <c r="J84" i="8"/>
  <c r="K84" i="8" s="1"/>
  <c r="H84" i="8"/>
  <c r="C84" i="8"/>
  <c r="I84" i="8" s="1"/>
  <c r="J83" i="8"/>
  <c r="K83" i="8" s="1"/>
  <c r="H83" i="8"/>
  <c r="C83" i="8"/>
  <c r="I83" i="8" s="1"/>
  <c r="J82" i="8"/>
  <c r="K82" i="8" s="1"/>
  <c r="H82" i="8"/>
  <c r="C82" i="8"/>
  <c r="I82" i="8" s="1"/>
  <c r="J81" i="8"/>
  <c r="K81" i="8" s="1"/>
  <c r="H81" i="8"/>
  <c r="C81" i="8"/>
  <c r="I81" i="8" s="1"/>
  <c r="J80" i="8"/>
  <c r="H80" i="8"/>
  <c r="H85" i="8" s="1"/>
  <c r="H12" i="9" s="1"/>
  <c r="J75" i="8"/>
  <c r="K75" i="8" s="1"/>
  <c r="H75" i="8"/>
  <c r="C75" i="8"/>
  <c r="I75" i="8" s="1"/>
  <c r="J74" i="8"/>
  <c r="K74" i="8" s="1"/>
  <c r="H74" i="8"/>
  <c r="C74" i="8"/>
  <c r="I74" i="8" s="1"/>
  <c r="J73" i="8"/>
  <c r="K73" i="8" s="1"/>
  <c r="H73" i="8"/>
  <c r="C73" i="8"/>
  <c r="I73" i="8" s="1"/>
  <c r="J72" i="8"/>
  <c r="K72" i="8" s="1"/>
  <c r="H72" i="8"/>
  <c r="C72" i="8"/>
  <c r="I72" i="8" s="1"/>
  <c r="J71" i="8"/>
  <c r="H71" i="8"/>
  <c r="H76" i="8" s="1"/>
  <c r="H11" i="9" s="1"/>
  <c r="J66" i="8"/>
  <c r="K66" i="8" s="1"/>
  <c r="H66" i="8"/>
  <c r="C66" i="8"/>
  <c r="I66" i="8" s="1"/>
  <c r="J65" i="8"/>
  <c r="K65" i="8" s="1"/>
  <c r="H65" i="8"/>
  <c r="C65" i="8"/>
  <c r="I65" i="8" s="1"/>
  <c r="J64" i="8"/>
  <c r="K64" i="8" s="1"/>
  <c r="H64" i="8"/>
  <c r="C64" i="8"/>
  <c r="I64" i="8" s="1"/>
  <c r="J63" i="8"/>
  <c r="K63" i="8" s="1"/>
  <c r="H63" i="8"/>
  <c r="C63" i="8"/>
  <c r="I63" i="8" s="1"/>
  <c r="J62" i="8"/>
  <c r="H62" i="8"/>
  <c r="H67" i="8" s="1"/>
  <c r="H10" i="9" s="1"/>
  <c r="J57" i="8"/>
  <c r="K57" i="8" s="1"/>
  <c r="H57" i="8"/>
  <c r="C57" i="8"/>
  <c r="I57" i="8" s="1"/>
  <c r="J56" i="8"/>
  <c r="K56" i="8" s="1"/>
  <c r="H56" i="8"/>
  <c r="C56" i="8"/>
  <c r="I56" i="8" s="1"/>
  <c r="J55" i="8"/>
  <c r="K55" i="8" s="1"/>
  <c r="H55" i="8"/>
  <c r="C55" i="8"/>
  <c r="I55" i="8" s="1"/>
  <c r="J54" i="8"/>
  <c r="K54" i="8" s="1"/>
  <c r="H54" i="8"/>
  <c r="C54" i="8"/>
  <c r="I54" i="8" s="1"/>
  <c r="J53" i="8"/>
  <c r="H53" i="8"/>
  <c r="H58" i="8" s="1"/>
  <c r="H9" i="9" s="1"/>
  <c r="J48" i="8"/>
  <c r="K48" i="8" s="1"/>
  <c r="H48" i="8"/>
  <c r="C48" i="8"/>
  <c r="I48" i="8" s="1"/>
  <c r="J47" i="8"/>
  <c r="K47" i="8" s="1"/>
  <c r="H47" i="8"/>
  <c r="C47" i="8"/>
  <c r="I47" i="8" s="1"/>
  <c r="J46" i="8"/>
  <c r="K46" i="8" s="1"/>
  <c r="H46" i="8"/>
  <c r="C46" i="8"/>
  <c r="I46" i="8" s="1"/>
  <c r="J45" i="8"/>
  <c r="K45" i="8" s="1"/>
  <c r="H45" i="8"/>
  <c r="C45" i="8"/>
  <c r="I45" i="8" s="1"/>
  <c r="J44" i="8"/>
  <c r="H44" i="8"/>
  <c r="H49" i="8" s="1"/>
  <c r="H8" i="9" s="1"/>
  <c r="J39" i="8"/>
  <c r="K39" i="8" s="1"/>
  <c r="H39" i="8"/>
  <c r="C39" i="8"/>
  <c r="I39" i="8" s="1"/>
  <c r="J38" i="8"/>
  <c r="K38" i="8" s="1"/>
  <c r="H38" i="8"/>
  <c r="C38" i="8"/>
  <c r="I38" i="8" s="1"/>
  <c r="J37" i="8"/>
  <c r="K37" i="8" s="1"/>
  <c r="H37" i="8"/>
  <c r="C37" i="8"/>
  <c r="I37" i="8" s="1"/>
  <c r="J36" i="8"/>
  <c r="K36" i="8" s="1"/>
  <c r="H36" i="8"/>
  <c r="C36" i="8"/>
  <c r="I36" i="8" s="1"/>
  <c r="J35" i="8"/>
  <c r="H35" i="8"/>
  <c r="H40" i="8" s="1"/>
  <c r="H7" i="9" s="1"/>
  <c r="J30" i="8"/>
  <c r="K30" i="8" s="1"/>
  <c r="H30" i="8"/>
  <c r="C30" i="8"/>
  <c r="I30" i="8" s="1"/>
  <c r="J29" i="8"/>
  <c r="K29" i="8" s="1"/>
  <c r="H29" i="8"/>
  <c r="C29" i="8"/>
  <c r="I29" i="8" s="1"/>
  <c r="J28" i="8"/>
  <c r="K28" i="8" s="1"/>
  <c r="H28" i="8"/>
  <c r="C28" i="8"/>
  <c r="I28" i="8" s="1"/>
  <c r="J27" i="8"/>
  <c r="K27" i="8" s="1"/>
  <c r="H27" i="8"/>
  <c r="C27" i="8"/>
  <c r="I27" i="8" s="1"/>
  <c r="J26" i="8"/>
  <c r="H26" i="8"/>
  <c r="H31" i="8" s="1"/>
  <c r="H6" i="9" s="1"/>
  <c r="J21" i="8"/>
  <c r="K21" i="8" s="1"/>
  <c r="H21" i="8"/>
  <c r="C21" i="8"/>
  <c r="I21" i="8" s="1"/>
  <c r="J20" i="8"/>
  <c r="K20" i="8" s="1"/>
  <c r="H20" i="8"/>
  <c r="C20" i="8"/>
  <c r="I20" i="8" s="1"/>
  <c r="J19" i="8"/>
  <c r="K19" i="8" s="1"/>
  <c r="H19" i="8"/>
  <c r="C19" i="8"/>
  <c r="I19" i="8" s="1"/>
  <c r="J18" i="8"/>
  <c r="K18" i="8" s="1"/>
  <c r="H18" i="8"/>
  <c r="C18" i="8"/>
  <c r="I18" i="8" s="1"/>
  <c r="J17" i="8"/>
  <c r="H17" i="8"/>
  <c r="H22" i="8" s="1"/>
  <c r="H5" i="9" s="1"/>
  <c r="J12" i="8"/>
  <c r="K12" i="8" s="1"/>
  <c r="H12" i="8"/>
  <c r="C12" i="8"/>
  <c r="I12" i="8" s="1"/>
  <c r="J11" i="8"/>
  <c r="K11" i="8" s="1"/>
  <c r="H11" i="8"/>
  <c r="C11" i="8"/>
  <c r="I11" i="8" s="1"/>
  <c r="J10" i="8"/>
  <c r="K10" i="8" s="1"/>
  <c r="H10" i="8"/>
  <c r="C10" i="8"/>
  <c r="I10" i="8" s="1"/>
  <c r="J9" i="8"/>
  <c r="K9" i="8" s="1"/>
  <c r="H9" i="8"/>
  <c r="C9" i="8"/>
  <c r="I9" i="8" s="1"/>
  <c r="J8" i="8"/>
  <c r="H8" i="8"/>
  <c r="H13" i="8" s="1"/>
  <c r="A1" i="8"/>
  <c r="A1" i="7"/>
  <c r="I61" i="6"/>
  <c r="H61" i="6"/>
  <c r="G61" i="6"/>
  <c r="I60" i="6"/>
  <c r="H60" i="6"/>
  <c r="G60" i="6"/>
  <c r="I59" i="6"/>
  <c r="H59" i="6"/>
  <c r="G59" i="6"/>
  <c r="I58" i="6"/>
  <c r="H58" i="6"/>
  <c r="G58" i="6"/>
  <c r="I57" i="6"/>
  <c r="H57" i="6"/>
  <c r="G57" i="6"/>
  <c r="I56" i="6"/>
  <c r="H56" i="6"/>
  <c r="G56" i="6"/>
  <c r="I55" i="6"/>
  <c r="H55" i="6"/>
  <c r="G55" i="6"/>
  <c r="I54" i="6"/>
  <c r="H54" i="6"/>
  <c r="I53" i="6"/>
  <c r="H53" i="6"/>
  <c r="G53" i="6"/>
  <c r="I52" i="6"/>
  <c r="H52" i="6"/>
  <c r="G52" i="6"/>
  <c r="I51" i="6"/>
  <c r="H51" i="6"/>
  <c r="G51" i="6"/>
  <c r="I50" i="6"/>
  <c r="H50" i="6"/>
  <c r="G50" i="6"/>
  <c r="A1" i="5"/>
  <c r="P2026" i="4"/>
  <c r="N2026" i="4"/>
  <c r="M2026" i="4"/>
  <c r="P2025" i="4"/>
  <c r="N2025" i="4"/>
  <c r="M2025" i="4"/>
  <c r="P2008" i="4"/>
  <c r="N2008" i="4"/>
  <c r="M2008" i="4"/>
  <c r="P1996" i="4"/>
  <c r="N1996" i="4"/>
  <c r="M1996" i="4"/>
  <c r="P1993" i="4"/>
  <c r="N1993" i="4"/>
  <c r="M1993" i="4"/>
  <c r="P1985" i="4"/>
  <c r="N1985" i="4"/>
  <c r="M1985" i="4"/>
  <c r="P1980" i="4"/>
  <c r="N1980" i="4"/>
  <c r="M1980" i="4"/>
  <c r="P1978" i="4"/>
  <c r="N1978" i="4"/>
  <c r="M1978" i="4"/>
  <c r="P1976" i="4"/>
  <c r="N1976" i="4"/>
  <c r="M1976" i="4"/>
  <c r="P1973" i="4"/>
  <c r="N1973" i="4"/>
  <c r="M1973" i="4"/>
  <c r="P1970" i="4"/>
  <c r="N1970" i="4"/>
  <c r="M1970" i="4"/>
  <c r="P1963" i="4"/>
  <c r="N1963" i="4"/>
  <c r="M1963" i="4"/>
  <c r="P1957" i="4"/>
  <c r="N1957" i="4"/>
  <c r="M1957" i="4"/>
  <c r="P1955" i="4"/>
  <c r="N1955" i="4"/>
  <c r="M1955" i="4"/>
  <c r="P1951" i="4"/>
  <c r="N1951" i="4"/>
  <c r="M1951" i="4"/>
  <c r="P1949" i="4"/>
  <c r="N1949" i="4"/>
  <c r="M1949" i="4"/>
  <c r="P1947" i="4"/>
  <c r="N1947" i="4"/>
  <c r="M1947" i="4"/>
  <c r="P1939" i="4"/>
  <c r="N1939" i="4"/>
  <c r="M1939" i="4"/>
  <c r="P1933" i="4"/>
  <c r="N1933" i="4"/>
  <c r="M1933" i="4"/>
  <c r="P1931" i="4"/>
  <c r="N1931" i="4"/>
  <c r="M1931" i="4"/>
  <c r="P1924" i="4"/>
  <c r="N1924" i="4"/>
  <c r="M1924" i="4"/>
  <c r="P1922" i="4"/>
  <c r="N1922" i="4"/>
  <c r="M1922" i="4"/>
  <c r="P1920" i="4"/>
  <c r="N1920" i="4"/>
  <c r="M1920" i="4"/>
  <c r="P1918" i="4"/>
  <c r="N1918" i="4"/>
  <c r="M1918" i="4"/>
  <c r="P1916" i="4"/>
  <c r="N1916" i="4"/>
  <c r="M1916" i="4"/>
  <c r="P1904" i="4"/>
  <c r="N1904" i="4"/>
  <c r="M1904" i="4"/>
  <c r="P1902" i="4"/>
  <c r="N1902" i="4"/>
  <c r="M1902" i="4"/>
  <c r="P1900" i="4"/>
  <c r="N1900" i="4"/>
  <c r="M1900" i="4"/>
  <c r="P1898" i="4"/>
  <c r="N1898" i="4"/>
  <c r="M1898" i="4"/>
  <c r="P1892" i="4"/>
  <c r="N1892" i="4"/>
  <c r="M1892" i="4"/>
  <c r="P1890" i="4"/>
  <c r="N1890" i="4"/>
  <c r="M1890" i="4"/>
  <c r="P1880" i="4"/>
  <c r="N1880" i="4"/>
  <c r="M1880" i="4"/>
  <c r="P1871" i="4"/>
  <c r="N1871" i="4"/>
  <c r="M1871" i="4"/>
  <c r="P1866" i="4"/>
  <c r="N1866" i="4"/>
  <c r="M1866" i="4"/>
  <c r="P1863" i="4"/>
  <c r="N1863" i="4"/>
  <c r="M1863" i="4"/>
  <c r="P1861" i="4"/>
  <c r="N1861" i="4"/>
  <c r="M1861" i="4"/>
  <c r="P1858" i="4"/>
  <c r="N1858" i="4"/>
  <c r="M1858" i="4"/>
  <c r="P1855" i="4"/>
  <c r="N1855" i="4"/>
  <c r="M1855" i="4"/>
  <c r="P1850" i="4"/>
  <c r="N1850" i="4"/>
  <c r="M1850" i="4"/>
  <c r="P1848" i="4"/>
  <c r="N1848" i="4"/>
  <c r="M1848" i="4"/>
  <c r="P1833" i="4"/>
  <c r="N1833" i="4"/>
  <c r="M1833" i="4"/>
  <c r="P1812" i="4"/>
  <c r="N1812" i="4"/>
  <c r="M1812" i="4"/>
  <c r="P1810" i="4"/>
  <c r="N1810" i="4"/>
  <c r="M1810" i="4"/>
  <c r="P1808" i="4"/>
  <c r="N1808" i="4"/>
  <c r="M1808" i="4"/>
  <c r="P1802" i="4"/>
  <c r="N1802" i="4"/>
  <c r="M1802" i="4"/>
  <c r="P1789" i="4"/>
  <c r="N1789" i="4"/>
  <c r="M1789" i="4"/>
  <c r="P1786" i="4"/>
  <c r="N1786" i="4"/>
  <c r="M1786" i="4"/>
  <c r="P1784" i="4"/>
  <c r="N1784" i="4"/>
  <c r="M1784" i="4"/>
  <c r="P1783" i="4"/>
  <c r="N1783" i="4"/>
  <c r="M1783" i="4"/>
  <c r="P1773" i="4"/>
  <c r="N1773" i="4"/>
  <c r="M1773" i="4"/>
  <c r="P1771" i="4"/>
  <c r="N1771" i="4"/>
  <c r="M1771" i="4"/>
  <c r="P1768" i="4"/>
  <c r="N1768" i="4"/>
  <c r="M1768" i="4"/>
  <c r="P1766" i="4"/>
  <c r="N1766" i="4"/>
  <c r="M1766" i="4"/>
  <c r="P1764" i="4"/>
  <c r="N1764" i="4"/>
  <c r="M1764" i="4"/>
  <c r="P1762" i="4"/>
  <c r="N1762" i="4"/>
  <c r="M1762" i="4"/>
  <c r="P1760" i="4"/>
  <c r="N1760" i="4"/>
  <c r="M1760" i="4"/>
  <c r="P1758" i="4"/>
  <c r="N1758" i="4"/>
  <c r="M1758" i="4"/>
  <c r="P1756" i="4"/>
  <c r="N1756" i="4"/>
  <c r="M1756" i="4"/>
  <c r="P1754" i="4"/>
  <c r="N1754" i="4"/>
  <c r="M1754" i="4"/>
  <c r="P1752" i="4"/>
  <c r="N1752" i="4"/>
  <c r="M1752" i="4"/>
  <c r="P1750" i="4"/>
  <c r="N1750" i="4"/>
  <c r="M1750" i="4"/>
  <c r="P1741" i="4"/>
  <c r="N1741" i="4"/>
  <c r="M1741" i="4"/>
  <c r="P1737" i="4"/>
  <c r="N1737" i="4"/>
  <c r="M1737" i="4"/>
  <c r="P1735" i="4"/>
  <c r="N1735" i="4"/>
  <c r="M1735" i="4"/>
  <c r="P1733" i="4"/>
  <c r="N1733" i="4"/>
  <c r="M1733" i="4"/>
  <c r="P1731" i="4"/>
  <c r="N1731" i="4"/>
  <c r="M1731" i="4"/>
  <c r="P1729" i="4"/>
  <c r="N1729" i="4"/>
  <c r="M1729" i="4"/>
  <c r="P1727" i="4"/>
  <c r="N1727" i="4"/>
  <c r="M1727" i="4"/>
  <c r="P1725" i="4"/>
  <c r="N1725" i="4"/>
  <c r="M1725" i="4"/>
  <c r="P1722" i="4"/>
  <c r="N1722" i="4"/>
  <c r="M1722" i="4"/>
  <c r="R1175" i="4"/>
  <c r="Q1175" i="4"/>
  <c r="R1157" i="4"/>
  <c r="Q1157" i="4"/>
  <c r="P667" i="4"/>
  <c r="N667" i="4"/>
  <c r="M667" i="4"/>
  <c r="P291" i="4"/>
  <c r="N291" i="4"/>
  <c r="M291" i="4"/>
  <c r="P290" i="4"/>
  <c r="N290" i="4"/>
  <c r="M290" i="4"/>
  <c r="P168" i="4"/>
  <c r="N168" i="4"/>
  <c r="M168" i="4"/>
  <c r="P167" i="4"/>
  <c r="N167" i="4"/>
  <c r="M167" i="4"/>
  <c r="P166" i="4"/>
  <c r="N166" i="4"/>
  <c r="M166" i="4"/>
  <c r="P165" i="4"/>
  <c r="N165" i="4"/>
  <c r="M165" i="4"/>
  <c r="P164" i="4"/>
  <c r="N164" i="4"/>
  <c r="M164" i="4"/>
  <c r="P163" i="4"/>
  <c r="N163" i="4"/>
  <c r="M163" i="4"/>
  <c r="P162" i="4"/>
  <c r="N162" i="4"/>
  <c r="M162" i="4"/>
  <c r="P161" i="4"/>
  <c r="P115" i="4"/>
  <c r="N115" i="4"/>
  <c r="M115" i="4"/>
  <c r="P11" i="4"/>
  <c r="N11" i="4"/>
  <c r="M11" i="4"/>
  <c r="P6" i="4"/>
  <c r="N6" i="4"/>
  <c r="M6" i="4"/>
  <c r="A1" i="4"/>
  <c r="J75" i="3"/>
  <c r="H75" i="3"/>
  <c r="G75" i="3"/>
  <c r="J74" i="3"/>
  <c r="H74" i="3"/>
  <c r="G74" i="3"/>
  <c r="J73" i="3"/>
  <c r="H73" i="3"/>
  <c r="G73" i="3"/>
  <c r="J72" i="3"/>
  <c r="H72" i="3"/>
  <c r="G72" i="3"/>
  <c r="J71" i="3"/>
  <c r="H71" i="3"/>
  <c r="G71" i="3"/>
  <c r="J70" i="3"/>
  <c r="H70" i="3"/>
  <c r="G70" i="3"/>
  <c r="J69" i="3"/>
  <c r="H69" i="3"/>
  <c r="G69" i="3"/>
  <c r="K60" i="3"/>
  <c r="K56" i="3"/>
  <c r="K54" i="3"/>
  <c r="K51" i="3"/>
  <c r="J50" i="3"/>
  <c r="H50" i="3"/>
  <c r="G50" i="3"/>
  <c r="J49" i="3"/>
  <c r="H49" i="3"/>
  <c r="G49" i="3"/>
  <c r="J48" i="3"/>
  <c r="H48" i="3"/>
  <c r="G48" i="3"/>
  <c r="J47" i="3"/>
  <c r="H47" i="3"/>
  <c r="G47" i="3"/>
  <c r="J46" i="3"/>
  <c r="H46" i="3"/>
  <c r="G46" i="3"/>
  <c r="J45" i="3"/>
  <c r="H45" i="3"/>
  <c r="G45" i="3"/>
  <c r="J44" i="3"/>
  <c r="H44" i="3"/>
  <c r="G44" i="3"/>
  <c r="J43" i="3"/>
  <c r="H43" i="3"/>
  <c r="G43" i="3"/>
  <c r="J42" i="3"/>
  <c r="H42" i="3"/>
  <c r="G42" i="3"/>
  <c r="J41" i="3"/>
  <c r="H41" i="3"/>
  <c r="G41" i="3"/>
  <c r="J40" i="3"/>
  <c r="H40" i="3"/>
  <c r="G40" i="3"/>
  <c r="J39" i="3"/>
  <c r="H39" i="3"/>
  <c r="G39" i="3"/>
  <c r="J38" i="3"/>
  <c r="H38" i="3"/>
  <c r="G38" i="3"/>
  <c r="J37" i="3"/>
  <c r="H37" i="3"/>
  <c r="G37" i="3"/>
  <c r="J36" i="3"/>
  <c r="H36" i="3"/>
  <c r="G36" i="3"/>
  <c r="J35" i="3"/>
  <c r="H35" i="3"/>
  <c r="G35" i="3"/>
  <c r="J34" i="3"/>
  <c r="H34" i="3"/>
  <c r="G34" i="3"/>
  <c r="J33" i="3"/>
  <c r="H33" i="3"/>
  <c r="G33" i="3"/>
  <c r="J32" i="3"/>
  <c r="H32" i="3"/>
  <c r="G32" i="3"/>
  <c r="J31" i="3"/>
  <c r="H31" i="3"/>
  <c r="G31" i="3"/>
  <c r="J30" i="3"/>
  <c r="H30" i="3"/>
  <c r="G30" i="3"/>
  <c r="J29" i="3"/>
  <c r="H29" i="3"/>
  <c r="G29" i="3"/>
  <c r="J28" i="3"/>
  <c r="H28" i="3"/>
  <c r="G28" i="3"/>
  <c r="J27" i="3"/>
  <c r="H27" i="3"/>
  <c r="G27" i="3"/>
  <c r="J26" i="3"/>
  <c r="H26" i="3"/>
  <c r="G26" i="3"/>
  <c r="J25" i="3"/>
  <c r="H25" i="3"/>
  <c r="G25" i="3"/>
  <c r="J24" i="3"/>
  <c r="H24" i="3"/>
  <c r="G24" i="3"/>
  <c r="J23" i="3"/>
  <c r="H23" i="3"/>
  <c r="G23" i="3"/>
  <c r="J22" i="3"/>
  <c r="H22" i="3"/>
  <c r="G22" i="3"/>
  <c r="J21" i="3"/>
  <c r="H21" i="3"/>
  <c r="G21" i="3"/>
  <c r="J20" i="3"/>
  <c r="H20" i="3"/>
  <c r="G20" i="3"/>
  <c r="J19" i="3"/>
  <c r="H19" i="3"/>
  <c r="G19" i="3"/>
  <c r="J18" i="3"/>
  <c r="H18" i="3"/>
  <c r="G18" i="3"/>
  <c r="J17" i="3"/>
  <c r="H17" i="3"/>
  <c r="G17" i="3"/>
  <c r="J16" i="3"/>
  <c r="H16" i="3"/>
  <c r="G16" i="3"/>
  <c r="J15" i="3"/>
  <c r="H15" i="3"/>
  <c r="G15" i="3"/>
  <c r="J14" i="3"/>
  <c r="H14" i="3"/>
  <c r="G14" i="3"/>
  <c r="J13" i="3"/>
  <c r="H13" i="3"/>
  <c r="G13" i="3"/>
  <c r="J12" i="3"/>
  <c r="H12" i="3"/>
  <c r="G12" i="3"/>
  <c r="J11" i="3"/>
  <c r="H11" i="3"/>
  <c r="G11" i="3"/>
  <c r="J10" i="3"/>
  <c r="H10" i="3"/>
  <c r="G10" i="3"/>
  <c r="J9" i="3"/>
  <c r="H9" i="3"/>
  <c r="G9" i="3"/>
  <c r="J8" i="3"/>
  <c r="H8" i="3"/>
  <c r="G8" i="3"/>
  <c r="J7" i="3"/>
  <c r="H7" i="3"/>
  <c r="G7" i="3"/>
  <c r="J6" i="3"/>
  <c r="H6" i="3"/>
  <c r="G6" i="3"/>
  <c r="A1" i="3"/>
  <c r="A1" i="2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C152" i="8" l="1"/>
  <c r="I152" i="8" s="1"/>
  <c r="C143" i="8"/>
  <c r="I143" i="8" s="1"/>
  <c r="C134" i="8"/>
  <c r="I134" i="8" s="1"/>
  <c r="C125" i="8"/>
  <c r="I125" i="8" s="1"/>
  <c r="C116" i="8"/>
  <c r="I116" i="8" s="1"/>
  <c r="C107" i="8"/>
  <c r="I107" i="8" s="1"/>
  <c r="C98" i="8"/>
  <c r="I98" i="8" s="1"/>
  <c r="C89" i="8"/>
  <c r="I89" i="8" s="1"/>
  <c r="C80" i="8"/>
  <c r="I80" i="8" s="1"/>
  <c r="C71" i="8"/>
  <c r="I71" i="8" s="1"/>
  <c r="C62" i="8"/>
  <c r="I62" i="8" s="1"/>
  <c r="C53" i="8"/>
  <c r="I53" i="8" s="1"/>
  <c r="C44" i="8"/>
  <c r="I44" i="8" s="1"/>
  <c r="C35" i="8"/>
  <c r="I35" i="8" s="1"/>
  <c r="C26" i="8"/>
  <c r="I26" i="8" s="1"/>
  <c r="C17" i="8"/>
  <c r="I17" i="8" s="1"/>
  <c r="C8" i="8"/>
  <c r="I8" i="8" s="1"/>
  <c r="E56" i="6"/>
  <c r="E54" i="6"/>
  <c r="E53" i="6"/>
  <c r="E51" i="6"/>
  <c r="E49" i="6"/>
  <c r="E48" i="6"/>
  <c r="E46" i="6"/>
  <c r="E45" i="6"/>
  <c r="E44" i="6"/>
  <c r="E43" i="6"/>
  <c r="E42" i="6"/>
  <c r="E41" i="6"/>
  <c r="E40" i="6"/>
  <c r="E39" i="6"/>
  <c r="E38" i="6"/>
  <c r="E37" i="6"/>
  <c r="E36" i="6"/>
  <c r="E35" i="6"/>
  <c r="E33" i="6"/>
  <c r="E32" i="6"/>
  <c r="E31" i="6"/>
  <c r="E29" i="6"/>
  <c r="E27" i="6"/>
  <c r="E26" i="6"/>
  <c r="E25" i="6"/>
  <c r="E24" i="6"/>
  <c r="E23" i="6"/>
  <c r="E22" i="6"/>
  <c r="E20" i="6"/>
  <c r="E19" i="6"/>
  <c r="E17" i="6"/>
  <c r="E16" i="6"/>
  <c r="E15" i="6"/>
  <c r="E14" i="6"/>
  <c r="E13" i="6"/>
  <c r="E11" i="6"/>
  <c r="E9" i="6"/>
  <c r="E7" i="6"/>
  <c r="E6" i="6"/>
  <c r="E5" i="6"/>
  <c r="L2297" i="4"/>
  <c r="L2296" i="4"/>
  <c r="L2295" i="4"/>
  <c r="L2294" i="4"/>
  <c r="L2293" i="4"/>
  <c r="L2292" i="4"/>
  <c r="L2291" i="4"/>
  <c r="L2290" i="4"/>
  <c r="L2289" i="4"/>
  <c r="L2288" i="4"/>
  <c r="L2287" i="4"/>
  <c r="L2286" i="4"/>
  <c r="L2285" i="4"/>
  <c r="L2284" i="4"/>
  <c r="L2283" i="4"/>
  <c r="L2282" i="4"/>
  <c r="L2281" i="4"/>
  <c r="L2280" i="4"/>
  <c r="L2279" i="4"/>
  <c r="L2278" i="4"/>
  <c r="L2277" i="4"/>
  <c r="L2276" i="4"/>
  <c r="L2275" i="4"/>
  <c r="L2274" i="4"/>
  <c r="L2273" i="4"/>
  <c r="L2272" i="4"/>
  <c r="L2271" i="4"/>
  <c r="L2270" i="4"/>
  <c r="L2269" i="4"/>
  <c r="L2268" i="4"/>
  <c r="L2267" i="4"/>
  <c r="L2266" i="4"/>
  <c r="L2265" i="4"/>
  <c r="L2264" i="4"/>
  <c r="L2263" i="4"/>
  <c r="L2262" i="4"/>
  <c r="L2261" i="4"/>
  <c r="L2260" i="4"/>
  <c r="L2259" i="4"/>
  <c r="L2258" i="4"/>
  <c r="L2257" i="4"/>
  <c r="L2256" i="4"/>
  <c r="L2255" i="4"/>
  <c r="L2254" i="4"/>
  <c r="L2253" i="4"/>
  <c r="L2252" i="4"/>
  <c r="L2251" i="4"/>
  <c r="L2250" i="4"/>
  <c r="L2249" i="4"/>
  <c r="L2248" i="4"/>
  <c r="L2247" i="4"/>
  <c r="L2246" i="4"/>
  <c r="L2245" i="4"/>
  <c r="L2244" i="4"/>
  <c r="L2243" i="4"/>
  <c r="L2242" i="4"/>
  <c r="L2241" i="4"/>
  <c r="L2240" i="4"/>
  <c r="L2239" i="4"/>
  <c r="L2238" i="4"/>
  <c r="L2237" i="4"/>
  <c r="L2236" i="4"/>
  <c r="L2235" i="4"/>
  <c r="L2234" i="4"/>
  <c r="L2233" i="4"/>
  <c r="L2232" i="4"/>
  <c r="L2231" i="4"/>
  <c r="L2230" i="4"/>
  <c r="L2229" i="4"/>
  <c r="L2228" i="4"/>
  <c r="L2227" i="4"/>
  <c r="L2226" i="4"/>
  <c r="L2225" i="4"/>
  <c r="L2224" i="4"/>
  <c r="L2223" i="4"/>
  <c r="L2222" i="4"/>
  <c r="L2221" i="4"/>
  <c r="L2220" i="4"/>
  <c r="L2219" i="4"/>
  <c r="L2218" i="4"/>
  <c r="L2217" i="4"/>
  <c r="L2216" i="4"/>
  <c r="L2215" i="4"/>
  <c r="L2214" i="4"/>
  <c r="L2213" i="4"/>
  <c r="L2212" i="4"/>
  <c r="L2211" i="4"/>
  <c r="L2210" i="4"/>
  <c r="L2209" i="4"/>
  <c r="L2208" i="4"/>
  <c r="L2207" i="4"/>
  <c r="L2206" i="4"/>
  <c r="L2205" i="4"/>
  <c r="L2204" i="4"/>
  <c r="L2203" i="4"/>
  <c r="L2202" i="4"/>
  <c r="L2201" i="4"/>
  <c r="L2200" i="4"/>
  <c r="L2199" i="4"/>
  <c r="L2198" i="4"/>
  <c r="L2197" i="4"/>
  <c r="L2196" i="4"/>
  <c r="L2195" i="4"/>
  <c r="L2194" i="4"/>
  <c r="L2193" i="4"/>
  <c r="L2192" i="4"/>
  <c r="L2191" i="4"/>
  <c r="L2190" i="4"/>
  <c r="L2189" i="4"/>
  <c r="L2188" i="4"/>
  <c r="L2187" i="4"/>
  <c r="L2186" i="4"/>
  <c r="L2185" i="4"/>
  <c r="L2184" i="4"/>
  <c r="L2183" i="4"/>
  <c r="L2182" i="4"/>
  <c r="L2181" i="4"/>
  <c r="L2180" i="4"/>
  <c r="L2179" i="4"/>
  <c r="L2178" i="4"/>
  <c r="L2177" i="4"/>
  <c r="L2176" i="4"/>
  <c r="L2175" i="4"/>
  <c r="L2174" i="4"/>
  <c r="L2173" i="4"/>
  <c r="L2172" i="4"/>
  <c r="L2171" i="4"/>
  <c r="L2170" i="4"/>
  <c r="L2169" i="4"/>
  <c r="L2168" i="4"/>
  <c r="L2167" i="4"/>
  <c r="L2166" i="4"/>
  <c r="L2165" i="4"/>
  <c r="L2164" i="4"/>
  <c r="L2163" i="4"/>
  <c r="L2162" i="4"/>
  <c r="L2161" i="4"/>
  <c r="L2160" i="4"/>
  <c r="L2159" i="4"/>
  <c r="L2158" i="4"/>
  <c r="L2157" i="4"/>
  <c r="L2156" i="4"/>
  <c r="L2155" i="4"/>
  <c r="L2154" i="4"/>
  <c r="L2153" i="4"/>
  <c r="L2152" i="4"/>
  <c r="L2151" i="4"/>
  <c r="L2150" i="4"/>
  <c r="L2149" i="4"/>
  <c r="L2148" i="4"/>
  <c r="L2147" i="4"/>
  <c r="L2146" i="4"/>
  <c r="L2145" i="4"/>
  <c r="L2144" i="4"/>
  <c r="L2143" i="4"/>
  <c r="L2142" i="4"/>
  <c r="L2141" i="4"/>
  <c r="L2140" i="4"/>
  <c r="L2139" i="4"/>
  <c r="L2138" i="4"/>
  <c r="L2137" i="4"/>
  <c r="L2136" i="4"/>
  <c r="L2135" i="4"/>
  <c r="L2134" i="4"/>
  <c r="L2133" i="4"/>
  <c r="L2132" i="4"/>
  <c r="L2131" i="4"/>
  <c r="L2130" i="4"/>
  <c r="L2129" i="4"/>
  <c r="L2128" i="4"/>
  <c r="L2127" i="4"/>
  <c r="L2126" i="4"/>
  <c r="L2125" i="4"/>
  <c r="L2124" i="4"/>
  <c r="L2123" i="4"/>
  <c r="L2122" i="4"/>
  <c r="L2121" i="4"/>
  <c r="L2120" i="4"/>
  <c r="L2119" i="4"/>
  <c r="L2118" i="4"/>
  <c r="L2117" i="4"/>
  <c r="L2116" i="4"/>
  <c r="L2115" i="4"/>
  <c r="L2114" i="4"/>
  <c r="L2113" i="4"/>
  <c r="L2112" i="4"/>
  <c r="L2111" i="4"/>
  <c r="L2110" i="4"/>
  <c r="L2109" i="4"/>
  <c r="L2108" i="4"/>
  <c r="L2107" i="4"/>
  <c r="L2106" i="4"/>
  <c r="L2105" i="4"/>
  <c r="L2104" i="4"/>
  <c r="L2103" i="4"/>
  <c r="L2102" i="4"/>
  <c r="L2101" i="4"/>
  <c r="L2100" i="4"/>
  <c r="L2099" i="4"/>
  <c r="L2098" i="4"/>
  <c r="L2097" i="4"/>
  <c r="L2096" i="4"/>
  <c r="L2095" i="4"/>
  <c r="L2094" i="4"/>
  <c r="L2093" i="4"/>
  <c r="L2092" i="4"/>
  <c r="L2091" i="4"/>
  <c r="L2090" i="4"/>
  <c r="L2089" i="4"/>
  <c r="L2088" i="4"/>
  <c r="L2087" i="4"/>
  <c r="L2086" i="4"/>
  <c r="L2085" i="4"/>
  <c r="L2084" i="4"/>
  <c r="L2083" i="4"/>
  <c r="L2082" i="4"/>
  <c r="L2081" i="4"/>
  <c r="L2080" i="4"/>
  <c r="L2079" i="4"/>
  <c r="L2078" i="4"/>
  <c r="L2077" i="4"/>
  <c r="L2076" i="4"/>
  <c r="L2075" i="4"/>
  <c r="L2074" i="4"/>
  <c r="L2070" i="4"/>
  <c r="L2069" i="4"/>
  <c r="L2068" i="4"/>
  <c r="L2067" i="4"/>
  <c r="L2066" i="4"/>
  <c r="L2065" i="4"/>
  <c r="L2064" i="4"/>
  <c r="L2063" i="4"/>
  <c r="L2062" i="4"/>
  <c r="L2061" i="4"/>
  <c r="L2060" i="4"/>
  <c r="L2059" i="4"/>
  <c r="L2058" i="4"/>
  <c r="L2057" i="4"/>
  <c r="L2056" i="4"/>
  <c r="L2055" i="4"/>
  <c r="L2054" i="4"/>
  <c r="L2053" i="4"/>
  <c r="L2052" i="4"/>
  <c r="L2051" i="4"/>
  <c r="L2050" i="4"/>
  <c r="L2049" i="4"/>
  <c r="L2048" i="4"/>
  <c r="L2047" i="4"/>
  <c r="L2046" i="4"/>
  <c r="L2045" i="4"/>
  <c r="L2044" i="4"/>
  <c r="L2043" i="4"/>
  <c r="L2042" i="4"/>
  <c r="L2041" i="4"/>
  <c r="L2040" i="4"/>
  <c r="L2039" i="4"/>
  <c r="L2038" i="4"/>
  <c r="L2037" i="4"/>
  <c r="L2036" i="4"/>
  <c r="L2035" i="4"/>
  <c r="L2034" i="4"/>
  <c r="L2033" i="4"/>
  <c r="L2032" i="4"/>
  <c r="L2031" i="4"/>
  <c r="L2030" i="4"/>
  <c r="L2029" i="4"/>
  <c r="L2025" i="4"/>
  <c r="Q2025" i="4" s="1"/>
  <c r="T2025" i="4" s="1"/>
  <c r="U2025" i="4" s="1"/>
  <c r="L2023" i="4"/>
  <c r="L2022" i="4"/>
  <c r="L2021" i="4"/>
  <c r="L2020" i="4"/>
  <c r="L2018" i="4"/>
  <c r="L2017" i="4"/>
  <c r="L2016" i="4"/>
  <c r="L2015" i="4"/>
  <c r="L2014" i="4"/>
  <c r="L2013" i="4"/>
  <c r="L2012" i="4"/>
  <c r="L2010" i="4"/>
  <c r="L2009" i="4"/>
  <c r="L2007" i="4"/>
  <c r="L2005" i="4"/>
  <c r="L2004" i="4"/>
  <c r="L2001" i="4"/>
  <c r="L2000" i="4"/>
  <c r="L1999" i="4"/>
  <c r="L1998" i="4"/>
  <c r="L1997" i="4"/>
  <c r="L1994" i="4"/>
  <c r="L1992" i="4"/>
  <c r="L1991" i="4"/>
  <c r="L1990" i="4"/>
  <c r="L1988" i="4"/>
  <c r="L1987" i="4"/>
  <c r="L1986" i="4"/>
  <c r="L1984" i="4"/>
  <c r="L1983" i="4"/>
  <c r="L1982" i="4"/>
  <c r="L1981" i="4"/>
  <c r="L1979" i="4"/>
  <c r="L1977" i="4"/>
  <c r="L1974" i="4"/>
  <c r="L1972" i="4"/>
  <c r="L1971" i="4"/>
  <c r="L1969" i="4"/>
  <c r="L1968" i="4"/>
  <c r="L1967" i="4"/>
  <c r="L1966" i="4"/>
  <c r="L1964" i="4"/>
  <c r="L1961" i="4"/>
  <c r="L1960" i="4"/>
  <c r="L1958" i="4"/>
  <c r="L1956" i="4"/>
  <c r="L1954" i="4"/>
  <c r="L1953" i="4"/>
  <c r="L1952" i="4"/>
  <c r="L1950" i="4"/>
  <c r="L1948" i="4"/>
  <c r="L1946" i="4"/>
  <c r="L1944" i="4"/>
  <c r="L1943" i="4"/>
  <c r="L1942" i="4"/>
  <c r="L1941" i="4"/>
  <c r="L1940" i="4"/>
  <c r="L1938" i="4"/>
  <c r="L1937" i="4"/>
  <c r="L1935" i="4"/>
  <c r="L1934" i="4"/>
  <c r="L1932" i="4"/>
  <c r="L1930" i="4"/>
  <c r="L1929" i="4"/>
  <c r="L1928" i="4"/>
  <c r="L1927" i="4"/>
  <c r="L1926" i="4"/>
  <c r="L1925" i="4"/>
  <c r="L1923" i="4"/>
  <c r="L1921" i="4"/>
  <c r="L1919" i="4"/>
  <c r="L1917" i="4"/>
  <c r="L1914" i="4"/>
  <c r="L1913" i="4"/>
  <c r="L1912" i="4"/>
  <c r="L1911" i="4"/>
  <c r="L1910" i="4"/>
  <c r="L1909" i="4"/>
  <c r="L1908" i="4"/>
  <c r="L1906" i="4"/>
  <c r="L1905" i="4"/>
  <c r="L1903" i="4"/>
  <c r="L1901" i="4"/>
  <c r="L1899" i="4"/>
  <c r="L1897" i="4"/>
  <c r="L1896" i="4"/>
  <c r="L1895" i="4"/>
  <c r="L1894" i="4"/>
  <c r="L1893" i="4"/>
  <c r="L1891" i="4"/>
  <c r="L1887" i="4"/>
  <c r="L1886" i="4"/>
  <c r="L1885" i="4"/>
  <c r="L1884" i="4"/>
  <c r="L1883" i="4"/>
  <c r="L1882" i="4"/>
  <c r="L1881" i="4"/>
  <c r="L1879" i="4"/>
  <c r="L1878" i="4"/>
  <c r="L1877" i="4"/>
  <c r="L1876" i="4"/>
  <c r="L1875" i="4"/>
  <c r="L1874" i="4"/>
  <c r="L1873" i="4"/>
  <c r="L1872" i="4"/>
  <c r="L1869" i="4"/>
  <c r="L1868" i="4"/>
  <c r="L1867" i="4"/>
  <c r="L1864" i="4"/>
  <c r="L1862" i="4"/>
  <c r="L1859" i="4"/>
  <c r="L1856" i="4"/>
  <c r="L1854" i="4"/>
  <c r="L1853" i="4"/>
  <c r="L1852" i="4"/>
  <c r="L1851" i="4"/>
  <c r="L1849" i="4"/>
  <c r="L1847" i="4"/>
  <c r="L1846" i="4"/>
  <c r="L1845" i="4"/>
  <c r="L1844" i="4"/>
  <c r="L1843" i="4"/>
  <c r="L1842" i="4"/>
  <c r="L1841" i="4"/>
  <c r="L1840" i="4"/>
  <c r="L1839" i="4"/>
  <c r="L1838" i="4"/>
  <c r="L1835" i="4"/>
  <c r="L1834" i="4"/>
  <c r="L1832" i="4"/>
  <c r="L1829" i="4"/>
  <c r="L1828" i="4"/>
  <c r="L1827" i="4"/>
  <c r="L1826" i="4"/>
  <c r="L1825" i="4"/>
  <c r="L1824" i="4"/>
  <c r="L1823" i="4"/>
  <c r="L1822" i="4"/>
  <c r="L1821" i="4"/>
  <c r="L1818" i="4"/>
  <c r="L1817" i="4"/>
  <c r="L1816" i="4"/>
  <c r="L1815" i="4"/>
  <c r="L1814" i="4"/>
  <c r="L1813" i="4"/>
  <c r="L1811" i="4"/>
  <c r="L1809" i="4"/>
  <c r="L1807" i="4"/>
  <c r="L1806" i="4"/>
  <c r="L1805" i="4"/>
  <c r="L1804" i="4"/>
  <c r="L1803" i="4"/>
  <c r="L1800" i="4"/>
  <c r="L1799" i="4"/>
  <c r="L1798" i="4"/>
  <c r="L1797" i="4"/>
  <c r="L1796" i="4"/>
  <c r="L1793" i="4"/>
  <c r="L1792" i="4"/>
  <c r="L1791" i="4"/>
  <c r="L1790" i="4"/>
  <c r="L1789" i="4"/>
  <c r="L1788" i="4"/>
  <c r="L1787" i="4"/>
  <c r="L1785" i="4"/>
  <c r="L1783" i="4"/>
  <c r="L1782" i="4"/>
  <c r="L1781" i="4"/>
  <c r="L1780" i="4"/>
  <c r="L1779" i="4"/>
  <c r="L1778" i="4"/>
  <c r="L1777" i="4"/>
  <c r="L1776" i="4"/>
  <c r="L1775" i="4"/>
  <c r="L1773" i="4"/>
  <c r="L1772" i="4"/>
  <c r="L1771" i="4"/>
  <c r="L1770" i="4"/>
  <c r="L1769" i="4"/>
  <c r="L1767" i="4"/>
  <c r="L1765" i="4"/>
  <c r="L1763" i="4"/>
  <c r="L1761" i="4"/>
  <c r="L1759" i="4"/>
  <c r="L1757" i="4"/>
  <c r="L1755" i="4"/>
  <c r="L1753" i="4"/>
  <c r="L1751" i="4"/>
  <c r="L1748" i="4"/>
  <c r="L1747" i="4"/>
  <c r="L1746" i="4"/>
  <c r="L1745" i="4"/>
  <c r="L1744" i="4"/>
  <c r="L1743" i="4"/>
  <c r="L1742" i="4"/>
  <c r="L1740" i="4"/>
  <c r="L1739" i="4"/>
  <c r="L1738" i="4"/>
  <c r="L1736" i="4"/>
  <c r="L1734" i="4"/>
  <c r="L1732" i="4"/>
  <c r="L1730" i="4"/>
  <c r="L1728" i="4"/>
  <c r="L1726" i="4"/>
  <c r="L1724" i="4"/>
  <c r="L1723" i="4"/>
  <c r="L1719" i="4"/>
  <c r="L1718" i="4"/>
  <c r="L1717" i="4"/>
  <c r="L1716" i="4"/>
  <c r="L1715" i="4"/>
  <c r="L1714" i="4"/>
  <c r="L1713" i="4"/>
  <c r="L1712" i="4"/>
  <c r="L1711" i="4"/>
  <c r="L1710" i="4"/>
  <c r="L1709" i="4"/>
  <c r="L1708" i="4"/>
  <c r="L1707" i="4"/>
  <c r="L1706" i="4"/>
  <c r="L1705" i="4"/>
  <c r="L1704" i="4"/>
  <c r="L1703" i="4"/>
  <c r="L1702" i="4"/>
  <c r="L1701" i="4"/>
  <c r="L1700" i="4"/>
  <c r="L1699" i="4"/>
  <c r="L1698" i="4"/>
  <c r="L1697" i="4"/>
  <c r="L1696" i="4"/>
  <c r="L1695" i="4"/>
  <c r="L1694" i="4"/>
  <c r="L1693" i="4"/>
  <c r="L1692" i="4"/>
  <c r="L1691" i="4"/>
  <c r="L1690" i="4"/>
  <c r="L1689" i="4"/>
  <c r="L1688" i="4"/>
  <c r="L1687" i="4"/>
  <c r="L1686" i="4"/>
  <c r="L1685" i="4"/>
  <c r="L1684" i="4"/>
  <c r="L1683" i="4"/>
  <c r="L1682" i="4"/>
  <c r="L1681" i="4"/>
  <c r="L1680" i="4"/>
  <c r="L1679" i="4"/>
  <c r="L1678" i="4"/>
  <c r="L1677" i="4"/>
  <c r="L1676" i="4"/>
  <c r="L1675" i="4"/>
  <c r="L1674" i="4"/>
  <c r="L1673" i="4"/>
  <c r="L1672" i="4"/>
  <c r="L1671" i="4"/>
  <c r="L1670" i="4"/>
  <c r="L1669" i="4"/>
  <c r="L1668" i="4"/>
  <c r="L1667" i="4"/>
  <c r="L1666" i="4"/>
  <c r="L1665" i="4"/>
  <c r="L1664" i="4"/>
  <c r="L1663" i="4"/>
  <c r="L1662" i="4"/>
  <c r="L1661" i="4"/>
  <c r="L1660" i="4"/>
  <c r="L1659" i="4"/>
  <c r="L1658" i="4"/>
  <c r="L1657" i="4"/>
  <c r="L1656" i="4"/>
  <c r="L1655" i="4"/>
  <c r="L1654" i="4"/>
  <c r="L1653" i="4"/>
  <c r="L1652" i="4"/>
  <c r="L1651" i="4"/>
  <c r="L1650" i="4"/>
  <c r="L1649" i="4"/>
  <c r="L1648" i="4"/>
  <c r="L1647" i="4"/>
  <c r="L1646" i="4"/>
  <c r="L1645" i="4"/>
  <c r="L1644" i="4"/>
  <c r="L1643" i="4"/>
  <c r="L1642" i="4"/>
  <c r="L1641" i="4"/>
  <c r="L1640" i="4"/>
  <c r="L1639" i="4"/>
  <c r="L1638" i="4"/>
  <c r="L1637" i="4"/>
  <c r="L1636" i="4"/>
  <c r="L1635" i="4"/>
  <c r="L1634" i="4"/>
  <c r="L1633" i="4"/>
  <c r="L1632" i="4"/>
  <c r="L1631" i="4"/>
  <c r="L1630" i="4"/>
  <c r="L1629" i="4"/>
  <c r="L1628" i="4"/>
  <c r="L1627" i="4"/>
  <c r="L1626" i="4"/>
  <c r="L1625" i="4"/>
  <c r="L1624" i="4"/>
  <c r="L1623" i="4"/>
  <c r="L1622" i="4"/>
  <c r="L1619" i="4"/>
  <c r="L1618" i="4"/>
  <c r="L1617" i="4"/>
  <c r="L1616" i="4"/>
  <c r="L1615" i="4"/>
  <c r="L1614" i="4"/>
  <c r="L1613" i="4"/>
  <c r="L1612" i="4"/>
  <c r="L1611" i="4"/>
  <c r="L1610" i="4"/>
  <c r="L1609" i="4"/>
  <c r="L1608" i="4"/>
  <c r="L1607" i="4"/>
  <c r="L1606" i="4"/>
  <c r="L1605" i="4"/>
  <c r="L1604" i="4"/>
  <c r="L1603" i="4"/>
  <c r="L1602" i="4"/>
  <c r="L1601" i="4"/>
  <c r="L1600" i="4"/>
  <c r="L1599" i="4"/>
  <c r="L1598" i="4"/>
  <c r="L1597" i="4"/>
  <c r="L1596" i="4"/>
  <c r="L1595" i="4"/>
  <c r="L1594" i="4"/>
  <c r="L1593" i="4"/>
  <c r="L1592" i="4"/>
  <c r="L1591" i="4"/>
  <c r="L1590" i="4"/>
  <c r="L1589" i="4"/>
  <c r="L1588" i="4"/>
  <c r="L1587" i="4"/>
  <c r="L1586" i="4"/>
  <c r="L1585" i="4"/>
  <c r="L1584" i="4"/>
  <c r="L1583" i="4"/>
  <c r="L1582" i="4"/>
  <c r="L1581" i="4"/>
  <c r="L1580" i="4"/>
  <c r="L1579" i="4"/>
  <c r="L1578" i="4"/>
  <c r="L1577" i="4"/>
  <c r="L1576" i="4"/>
  <c r="L1575" i="4"/>
  <c r="L1574" i="4"/>
  <c r="L1573" i="4"/>
  <c r="L1570" i="4"/>
  <c r="L1569" i="4"/>
  <c r="L1568" i="4"/>
  <c r="L1567" i="4"/>
  <c r="L1566" i="4"/>
  <c r="L1565" i="4"/>
  <c r="L1564" i="4"/>
  <c r="L1563" i="4"/>
  <c r="L1562" i="4"/>
  <c r="L1561" i="4"/>
  <c r="L1560" i="4"/>
  <c r="L1559" i="4"/>
  <c r="L1558" i="4"/>
  <c r="L1557" i="4"/>
  <c r="L1556" i="4"/>
  <c r="L1555" i="4"/>
  <c r="L1554" i="4"/>
  <c r="L1553" i="4"/>
  <c r="L1552" i="4"/>
  <c r="L1551" i="4"/>
  <c r="L1550" i="4"/>
  <c r="L1549" i="4"/>
  <c r="L1548" i="4"/>
  <c r="L1547" i="4"/>
  <c r="L1546" i="4"/>
  <c r="L1545" i="4"/>
  <c r="L1544" i="4"/>
  <c r="L1543" i="4"/>
  <c r="L1542" i="4"/>
  <c r="L1541" i="4"/>
  <c r="L1540" i="4"/>
  <c r="L1539" i="4"/>
  <c r="L1538" i="4"/>
  <c r="L1537" i="4"/>
  <c r="L1536" i="4"/>
  <c r="L1535" i="4"/>
  <c r="L1534" i="4"/>
  <c r="L1533" i="4"/>
  <c r="L1532" i="4"/>
  <c r="L1531" i="4"/>
  <c r="L1530" i="4"/>
  <c r="L1529" i="4"/>
  <c r="L1528" i="4"/>
  <c r="L1527" i="4"/>
  <c r="L1526" i="4"/>
  <c r="L1525" i="4"/>
  <c r="L1524" i="4"/>
  <c r="L1523" i="4"/>
  <c r="L1522" i="4"/>
  <c r="L1521" i="4"/>
  <c r="L1520" i="4"/>
  <c r="L1519" i="4"/>
  <c r="L1518" i="4"/>
  <c r="L1517" i="4"/>
  <c r="L1516" i="4"/>
  <c r="L1515" i="4"/>
  <c r="L1514" i="4"/>
  <c r="L1511" i="4"/>
  <c r="L1510" i="4"/>
  <c r="L1509" i="4"/>
  <c r="L1508" i="4"/>
  <c r="L1507" i="4"/>
  <c r="L1506" i="4"/>
  <c r="L1505" i="4"/>
  <c r="L1504" i="4"/>
  <c r="L1503" i="4"/>
  <c r="L1502" i="4"/>
  <c r="L1501" i="4"/>
  <c r="L1500" i="4"/>
  <c r="L1499" i="4"/>
  <c r="L1498" i="4"/>
  <c r="L1497" i="4"/>
  <c r="L1496" i="4"/>
  <c r="L1495" i="4"/>
  <c r="L1494" i="4"/>
  <c r="L1493" i="4"/>
  <c r="L1492" i="4"/>
  <c r="L1491" i="4"/>
  <c r="L1490" i="4"/>
  <c r="L1489" i="4"/>
  <c r="L1488" i="4"/>
  <c r="L1487" i="4"/>
  <c r="L1486" i="4"/>
  <c r="L1485" i="4"/>
  <c r="L1484" i="4"/>
  <c r="L1483" i="4"/>
  <c r="L1482" i="4"/>
  <c r="L1481" i="4"/>
  <c r="L1480" i="4"/>
  <c r="L1479" i="4"/>
  <c r="L1478" i="4"/>
  <c r="L1477" i="4"/>
  <c r="L1476" i="4"/>
  <c r="L1475" i="4"/>
  <c r="L1474" i="4"/>
  <c r="L1473" i="4"/>
  <c r="L1472" i="4"/>
  <c r="L1471" i="4"/>
  <c r="L1470" i="4"/>
  <c r="L1469" i="4"/>
  <c r="L1468" i="4"/>
  <c r="L1467" i="4"/>
  <c r="L1466" i="4"/>
  <c r="L1465" i="4"/>
  <c r="L1464" i="4"/>
  <c r="L1463" i="4"/>
  <c r="L1462" i="4"/>
  <c r="L1461" i="4"/>
  <c r="L1460" i="4"/>
  <c r="L1459" i="4"/>
  <c r="L1458" i="4"/>
  <c r="L1457" i="4"/>
  <c r="L1456" i="4"/>
  <c r="L1455" i="4"/>
  <c r="L1454" i="4"/>
  <c r="L1453" i="4"/>
  <c r="L1452" i="4"/>
  <c r="L1451" i="4"/>
  <c r="L1450" i="4"/>
  <c r="L1449" i="4"/>
  <c r="L1448" i="4"/>
  <c r="L1447" i="4"/>
  <c r="L1446" i="4"/>
  <c r="L1445" i="4"/>
  <c r="L1444" i="4"/>
  <c r="L1443" i="4"/>
  <c r="L1442" i="4"/>
  <c r="L1441" i="4"/>
  <c r="L1440" i="4"/>
  <c r="L1439" i="4"/>
  <c r="L1438" i="4"/>
  <c r="L1437" i="4"/>
  <c r="L1436" i="4"/>
  <c r="L1435" i="4"/>
  <c r="L1434" i="4"/>
  <c r="L1433" i="4"/>
  <c r="L1432" i="4"/>
  <c r="L1431" i="4"/>
  <c r="L1430" i="4"/>
  <c r="L1429" i="4"/>
  <c r="L1428" i="4"/>
  <c r="L1427" i="4"/>
  <c r="L1426" i="4"/>
  <c r="L1425" i="4"/>
  <c r="L1424" i="4"/>
  <c r="L1423" i="4"/>
  <c r="L1422" i="4"/>
  <c r="L1421" i="4"/>
  <c r="L1420" i="4"/>
  <c r="L1419" i="4"/>
  <c r="L1418" i="4"/>
  <c r="L1417" i="4"/>
  <c r="L1416" i="4"/>
  <c r="L1415" i="4"/>
  <c r="L1414" i="4"/>
  <c r="L1413" i="4"/>
  <c r="L1412" i="4"/>
  <c r="L1411" i="4"/>
  <c r="L1410" i="4"/>
  <c r="L1409" i="4"/>
  <c r="L1408" i="4"/>
  <c r="L1407" i="4"/>
  <c r="L1406" i="4"/>
  <c r="L1405" i="4"/>
  <c r="L1404" i="4"/>
  <c r="L1403" i="4"/>
  <c r="L1402" i="4"/>
  <c r="L1401" i="4"/>
  <c r="L1400" i="4"/>
  <c r="L1399" i="4"/>
  <c r="L1398" i="4"/>
  <c r="L1397" i="4"/>
  <c r="L1396" i="4"/>
  <c r="L1395" i="4"/>
  <c r="L1394" i="4"/>
  <c r="L1393" i="4"/>
  <c r="L1392" i="4"/>
  <c r="L1391" i="4"/>
  <c r="L1390" i="4"/>
  <c r="L1389" i="4"/>
  <c r="L1388" i="4"/>
  <c r="L1387" i="4"/>
  <c r="L1386" i="4"/>
  <c r="L1385" i="4"/>
  <c r="L1384" i="4"/>
  <c r="L1383" i="4"/>
  <c r="L1382" i="4"/>
  <c r="L1381" i="4"/>
  <c r="L1380" i="4"/>
  <c r="L1379" i="4"/>
  <c r="L1378" i="4"/>
  <c r="L1377" i="4"/>
  <c r="L1376" i="4"/>
  <c r="L1375" i="4"/>
  <c r="L1374" i="4"/>
  <c r="L1373" i="4"/>
  <c r="L1372" i="4"/>
  <c r="L1371" i="4"/>
  <c r="L1370" i="4"/>
  <c r="L1369" i="4"/>
  <c r="L1368" i="4"/>
  <c r="L1367" i="4"/>
  <c r="L1366" i="4"/>
  <c r="L1365" i="4"/>
  <c r="L1364" i="4"/>
  <c r="L1363" i="4"/>
  <c r="L1362" i="4"/>
  <c r="L1361" i="4"/>
  <c r="L1360" i="4"/>
  <c r="L1359" i="4"/>
  <c r="L1358" i="4"/>
  <c r="L1357" i="4"/>
  <c r="L1356" i="4"/>
  <c r="L1355" i="4"/>
  <c r="L1354" i="4"/>
  <c r="L1353" i="4"/>
  <c r="L1352" i="4"/>
  <c r="L1351" i="4"/>
  <c r="L1350" i="4"/>
  <c r="L1349" i="4"/>
  <c r="L1348" i="4"/>
  <c r="L1347" i="4"/>
  <c r="L1346" i="4"/>
  <c r="L1345" i="4"/>
  <c r="L1344" i="4"/>
  <c r="L1343" i="4"/>
  <c r="L1340" i="4"/>
  <c r="L1339" i="4"/>
  <c r="L1338" i="4"/>
  <c r="L1337" i="4"/>
  <c r="L1336" i="4"/>
  <c r="L1335" i="4"/>
  <c r="L1334" i="4"/>
  <c r="L1333" i="4"/>
  <c r="L1332" i="4"/>
  <c r="L1331" i="4"/>
  <c r="L1330" i="4"/>
  <c r="L1329" i="4"/>
  <c r="L1328" i="4"/>
  <c r="L1327" i="4"/>
  <c r="L1326" i="4"/>
  <c r="L1325" i="4"/>
  <c r="L1324" i="4"/>
  <c r="L1323" i="4"/>
  <c r="L1322" i="4"/>
  <c r="L1321" i="4"/>
  <c r="L1320" i="4"/>
  <c r="L1319" i="4"/>
  <c r="L1318" i="4"/>
  <c r="L1317" i="4"/>
  <c r="L1316" i="4"/>
  <c r="L1315" i="4"/>
  <c r="L1314" i="4"/>
  <c r="L1313" i="4"/>
  <c r="L1312" i="4"/>
  <c r="L1311" i="4"/>
  <c r="L1308" i="4"/>
  <c r="L1307" i="4"/>
  <c r="L1306" i="4"/>
  <c r="L1305" i="4"/>
  <c r="L1304" i="4"/>
  <c r="L1303" i="4"/>
  <c r="L1302" i="4"/>
  <c r="L1301" i="4"/>
  <c r="L1300" i="4"/>
  <c r="L1299" i="4"/>
  <c r="L1298" i="4"/>
  <c r="L1297" i="4"/>
  <c r="L1296" i="4"/>
  <c r="L1295" i="4"/>
  <c r="L1294" i="4"/>
  <c r="L1293" i="4"/>
  <c r="L1292" i="4"/>
  <c r="L1291" i="4"/>
  <c r="L1290" i="4"/>
  <c r="L1289" i="4"/>
  <c r="L1288" i="4"/>
  <c r="L1287" i="4"/>
  <c r="L1286" i="4"/>
  <c r="L1285" i="4"/>
  <c r="L1284" i="4"/>
  <c r="L1283" i="4"/>
  <c r="L1282" i="4"/>
  <c r="L1281" i="4"/>
  <c r="L1280" i="4"/>
  <c r="L1279" i="4"/>
  <c r="L1278" i="4"/>
  <c r="L1277" i="4"/>
  <c r="L1276" i="4"/>
  <c r="L1275" i="4"/>
  <c r="L1274" i="4"/>
  <c r="L1273" i="4"/>
  <c r="L1272" i="4"/>
  <c r="L1271" i="4"/>
  <c r="L1270" i="4"/>
  <c r="L1269" i="4"/>
  <c r="L1268" i="4"/>
  <c r="L1267" i="4"/>
  <c r="L1266" i="4"/>
  <c r="L1265" i="4"/>
  <c r="L1264" i="4"/>
  <c r="L1263" i="4"/>
  <c r="L1262" i="4"/>
  <c r="L1261" i="4"/>
  <c r="L1260" i="4"/>
  <c r="L1259" i="4"/>
  <c r="L1258" i="4"/>
  <c r="L1257" i="4"/>
  <c r="L1256" i="4"/>
  <c r="L1255" i="4"/>
  <c r="L1254" i="4"/>
  <c r="L1253" i="4"/>
  <c r="L1252" i="4"/>
  <c r="L1251" i="4"/>
  <c r="L1250" i="4"/>
  <c r="L1249" i="4"/>
  <c r="L1248" i="4"/>
  <c r="L1247" i="4"/>
  <c r="L1246" i="4"/>
  <c r="L1245" i="4"/>
  <c r="L1244" i="4"/>
  <c r="L1243" i="4"/>
  <c r="L1242" i="4"/>
  <c r="L1241" i="4"/>
  <c r="L1240" i="4"/>
  <c r="L1239" i="4"/>
  <c r="L1238" i="4"/>
  <c r="L1237" i="4"/>
  <c r="L1236" i="4"/>
  <c r="L1235" i="4"/>
  <c r="L1234" i="4"/>
  <c r="L1233" i="4"/>
  <c r="L1232" i="4"/>
  <c r="L1231" i="4"/>
  <c r="L1230" i="4"/>
  <c r="L1229" i="4"/>
  <c r="L1228" i="4"/>
  <c r="L1227" i="4"/>
  <c r="L1226" i="4"/>
  <c r="L1225" i="4"/>
  <c r="L1224" i="4"/>
  <c r="L1223" i="4"/>
  <c r="L1222" i="4"/>
  <c r="L1221" i="4"/>
  <c r="L1220" i="4"/>
  <c r="L1219" i="4"/>
  <c r="L1218" i="4"/>
  <c r="L1217" i="4"/>
  <c r="L1216" i="4"/>
  <c r="L1215" i="4"/>
  <c r="L1214" i="4"/>
  <c r="L1213" i="4"/>
  <c r="L1212" i="4"/>
  <c r="L1211" i="4"/>
  <c r="L1210" i="4"/>
  <c r="L1209" i="4"/>
  <c r="L1208" i="4"/>
  <c r="L1207" i="4"/>
  <c r="L1206" i="4"/>
  <c r="L1205" i="4"/>
  <c r="L1204" i="4"/>
  <c r="L1203" i="4"/>
  <c r="L1202" i="4"/>
  <c r="L1201" i="4"/>
  <c r="L1200" i="4"/>
  <c r="L1199" i="4"/>
  <c r="L1198" i="4"/>
  <c r="L1197" i="4"/>
  <c r="L1196" i="4"/>
  <c r="L1195" i="4"/>
  <c r="L1194" i="4"/>
  <c r="L1193" i="4"/>
  <c r="L1192" i="4"/>
  <c r="L1191" i="4"/>
  <c r="L1190" i="4"/>
  <c r="L1189" i="4"/>
  <c r="L1188" i="4"/>
  <c r="L1187" i="4"/>
  <c r="L1186" i="4"/>
  <c r="L1185" i="4"/>
  <c r="L1184" i="4"/>
  <c r="L1183" i="4"/>
  <c r="L1182" i="4"/>
  <c r="L1181" i="4"/>
  <c r="L1178" i="4"/>
  <c r="L1177" i="4"/>
  <c r="L1176" i="4"/>
  <c r="L1175" i="4"/>
  <c r="L1174" i="4"/>
  <c r="L1173" i="4"/>
  <c r="L1172" i="4"/>
  <c r="L1171" i="4"/>
  <c r="L1170" i="4"/>
  <c r="L1169" i="4"/>
  <c r="L1168" i="4"/>
  <c r="L1167" i="4"/>
  <c r="L1166" i="4"/>
  <c r="L1165" i="4"/>
  <c r="L1164" i="4"/>
  <c r="L1163" i="4"/>
  <c r="L1162" i="4"/>
  <c r="L1161" i="4"/>
  <c r="L1160" i="4"/>
  <c r="L1159" i="4"/>
  <c r="L1158" i="4"/>
  <c r="L1157" i="4"/>
  <c r="L1156" i="4"/>
  <c r="L1155" i="4"/>
  <c r="L1154" i="4"/>
  <c r="L1153" i="4"/>
  <c r="L1152" i="4"/>
  <c r="L1151" i="4"/>
  <c r="L1150" i="4"/>
  <c r="L1149" i="4"/>
  <c r="L1148" i="4"/>
  <c r="L1147" i="4"/>
  <c r="L1146" i="4"/>
  <c r="L1145" i="4"/>
  <c r="L1144" i="4"/>
  <c r="L1143" i="4"/>
  <c r="L1142" i="4"/>
  <c r="L1141" i="4"/>
  <c r="L1140" i="4"/>
  <c r="L1139" i="4"/>
  <c r="L1138" i="4"/>
  <c r="L1137" i="4"/>
  <c r="L1136" i="4"/>
  <c r="L1135" i="4"/>
  <c r="L1134" i="4"/>
  <c r="L1133" i="4"/>
  <c r="L1132" i="4"/>
  <c r="L1131" i="4"/>
  <c r="L1130" i="4"/>
  <c r="L1129" i="4"/>
  <c r="L1128" i="4"/>
  <c r="L1125" i="4"/>
  <c r="L1124" i="4"/>
  <c r="L1123" i="4"/>
  <c r="L1122" i="4"/>
  <c r="L1121" i="4"/>
  <c r="L1120" i="4"/>
  <c r="L1119" i="4"/>
  <c r="L1118" i="4"/>
  <c r="L1117" i="4"/>
  <c r="L1116" i="4"/>
  <c r="L1115" i="4"/>
  <c r="L1114" i="4"/>
  <c r="L1113" i="4"/>
  <c r="L1112" i="4"/>
  <c r="L1111" i="4"/>
  <c r="L1110" i="4"/>
  <c r="L1109" i="4"/>
  <c r="L1108" i="4"/>
  <c r="L1107" i="4"/>
  <c r="L1106" i="4"/>
  <c r="L1105" i="4"/>
  <c r="L1104" i="4"/>
  <c r="L1103" i="4"/>
  <c r="L1102" i="4"/>
  <c r="L1101" i="4"/>
  <c r="L1100" i="4"/>
  <c r="L1099" i="4"/>
  <c r="L1098" i="4"/>
  <c r="L1097" i="4"/>
  <c r="L1096" i="4"/>
  <c r="L1095" i="4"/>
  <c r="L1094" i="4"/>
  <c r="L1093" i="4"/>
  <c r="L1092" i="4"/>
  <c r="L1091" i="4"/>
  <c r="L1090" i="4"/>
  <c r="L1089" i="4"/>
  <c r="L1088" i="4"/>
  <c r="L1087" i="4"/>
  <c r="L1086" i="4"/>
  <c r="L1085" i="4"/>
  <c r="L1084" i="4"/>
  <c r="L1083" i="4"/>
  <c r="L1082" i="4"/>
  <c r="L1081" i="4"/>
  <c r="L1080" i="4"/>
  <c r="L1079" i="4"/>
  <c r="L1078" i="4"/>
  <c r="L1077" i="4"/>
  <c r="L1076" i="4"/>
  <c r="L1075" i="4"/>
  <c r="L1074" i="4"/>
  <c r="L1073" i="4"/>
  <c r="L1072" i="4"/>
  <c r="L1071" i="4"/>
  <c r="L1070" i="4"/>
  <c r="L1069" i="4"/>
  <c r="L1068" i="4"/>
  <c r="L1067" i="4"/>
  <c r="L1066" i="4"/>
  <c r="L1065" i="4"/>
  <c r="L1064" i="4"/>
  <c r="L1063" i="4"/>
  <c r="L1062" i="4"/>
  <c r="L1061" i="4"/>
  <c r="L1060" i="4"/>
  <c r="L1059" i="4"/>
  <c r="L1058" i="4"/>
  <c r="L1057" i="4"/>
  <c r="L1056" i="4"/>
  <c r="L1055" i="4"/>
  <c r="L1054" i="4"/>
  <c r="L1053" i="4"/>
  <c r="L1052" i="4"/>
  <c r="L1051" i="4"/>
  <c r="L1050" i="4"/>
  <c r="L1049" i="4"/>
  <c r="L1048" i="4"/>
  <c r="L1047" i="4"/>
  <c r="L1046" i="4"/>
  <c r="L1045" i="4"/>
  <c r="L1044" i="4"/>
  <c r="L1043" i="4"/>
  <c r="L1042" i="4"/>
  <c r="L1041" i="4"/>
  <c r="L1040" i="4"/>
  <c r="L1039" i="4"/>
  <c r="L1038" i="4"/>
  <c r="L1037" i="4"/>
  <c r="L1036" i="4"/>
  <c r="L1035" i="4"/>
  <c r="L1034" i="4"/>
  <c r="L1033" i="4"/>
  <c r="L1032" i="4"/>
  <c r="L1031" i="4"/>
  <c r="L1030" i="4"/>
  <c r="L1029" i="4"/>
  <c r="L1028" i="4"/>
  <c r="L1027" i="4"/>
  <c r="L1026" i="4"/>
  <c r="L1025" i="4"/>
  <c r="L1024" i="4"/>
  <c r="L1023" i="4"/>
  <c r="L1022" i="4"/>
  <c r="L1021" i="4"/>
  <c r="L1020" i="4"/>
  <c r="L1019" i="4"/>
  <c r="L1018" i="4"/>
  <c r="L1015" i="4"/>
  <c r="L1014" i="4"/>
  <c r="L1013" i="4"/>
  <c r="L1012" i="4"/>
  <c r="L1008" i="4"/>
  <c r="L1007" i="4"/>
  <c r="L1006" i="4"/>
  <c r="L1005" i="4"/>
  <c r="L1004" i="4"/>
  <c r="L1003" i="4"/>
  <c r="L1002" i="4"/>
  <c r="L1001" i="4"/>
  <c r="L1000" i="4"/>
  <c r="L999" i="4"/>
  <c r="L998" i="4"/>
  <c r="L997" i="4"/>
  <c r="L996" i="4"/>
  <c r="L995" i="4"/>
  <c r="L994" i="4"/>
  <c r="L993" i="4"/>
  <c r="L992" i="4"/>
  <c r="L989" i="4"/>
  <c r="L988" i="4"/>
  <c r="L987" i="4"/>
  <c r="L986" i="4"/>
  <c r="L985" i="4"/>
  <c r="L984" i="4"/>
  <c r="L983" i="4"/>
  <c r="L982" i="4"/>
  <c r="L981" i="4"/>
  <c r="L980" i="4"/>
  <c r="L979" i="4"/>
  <c r="L978" i="4"/>
  <c r="L977" i="4"/>
  <c r="L976" i="4"/>
  <c r="L975" i="4"/>
  <c r="L974" i="4"/>
  <c r="L973" i="4"/>
  <c r="L972" i="4"/>
  <c r="L971" i="4"/>
  <c r="L969" i="4"/>
  <c r="L968" i="4"/>
  <c r="L967" i="4"/>
  <c r="L964" i="4"/>
  <c r="L960" i="4"/>
  <c r="L959" i="4"/>
  <c r="L958" i="4"/>
  <c r="L957" i="4"/>
  <c r="L956" i="4"/>
  <c r="L955" i="4"/>
  <c r="L954" i="4"/>
  <c r="L953" i="4"/>
  <c r="L952" i="4"/>
  <c r="L951" i="4"/>
  <c r="L950" i="4"/>
  <c r="L949" i="4"/>
  <c r="L948" i="4"/>
  <c r="L947" i="4"/>
  <c r="L946" i="4"/>
  <c r="L945" i="4"/>
  <c r="L943" i="4"/>
  <c r="L942" i="4"/>
  <c r="L941" i="4"/>
  <c r="L940" i="4"/>
  <c r="L939" i="4"/>
  <c r="L938" i="4"/>
  <c r="L937" i="4"/>
  <c r="L936" i="4"/>
  <c r="L935" i="4"/>
  <c r="L934" i="4"/>
  <c r="L933" i="4"/>
  <c r="L932" i="4"/>
  <c r="L931" i="4"/>
  <c r="L930" i="4"/>
  <c r="L929" i="4"/>
  <c r="L928" i="4"/>
  <c r="L927" i="4"/>
  <c r="L926" i="4"/>
  <c r="L925" i="4"/>
  <c r="L924" i="4"/>
  <c r="L923" i="4"/>
  <c r="L922" i="4"/>
  <c r="L921" i="4"/>
  <c r="L920" i="4"/>
  <c r="L919" i="4"/>
  <c r="L918" i="4"/>
  <c r="L917" i="4"/>
  <c r="L916" i="4"/>
  <c r="L915" i="4"/>
  <c r="L914" i="4"/>
  <c r="L913" i="4"/>
  <c r="L912" i="4"/>
  <c r="L911" i="4"/>
  <c r="L910" i="4"/>
  <c r="L909" i="4"/>
  <c r="L908" i="4"/>
  <c r="L907" i="4"/>
  <c r="L906" i="4"/>
  <c r="L905" i="4"/>
  <c r="L904" i="4"/>
  <c r="L903" i="4"/>
  <c r="L902" i="4"/>
  <c r="L901" i="4"/>
  <c r="L900" i="4"/>
  <c r="L899" i="4"/>
  <c r="L898" i="4"/>
  <c r="L897" i="4"/>
  <c r="L896" i="4"/>
  <c r="L895" i="4"/>
  <c r="L894" i="4"/>
  <c r="L893" i="4"/>
  <c r="L892" i="4"/>
  <c r="L890" i="4"/>
  <c r="L888" i="4"/>
  <c r="L887" i="4"/>
  <c r="L886" i="4"/>
  <c r="L885" i="4"/>
  <c r="L884" i="4"/>
  <c r="L881" i="4"/>
  <c r="L880" i="4"/>
  <c r="L875" i="4"/>
  <c r="L874" i="4"/>
  <c r="L873" i="4"/>
  <c r="L872" i="4"/>
  <c r="L871" i="4"/>
  <c r="L870" i="4"/>
  <c r="L869" i="4"/>
  <c r="L868" i="4"/>
  <c r="L867" i="4"/>
  <c r="L866" i="4"/>
  <c r="L865" i="4"/>
  <c r="L864" i="4"/>
  <c r="L863" i="4"/>
  <c r="L862" i="4"/>
  <c r="L861" i="4"/>
  <c r="L860" i="4"/>
  <c r="L859" i="4"/>
  <c r="L858" i="4"/>
  <c r="L857" i="4"/>
  <c r="L856" i="4"/>
  <c r="L855" i="4"/>
  <c r="L854" i="4"/>
  <c r="L853" i="4"/>
  <c r="L852" i="4"/>
  <c r="L851" i="4"/>
  <c r="L850" i="4"/>
  <c r="L849" i="4"/>
  <c r="L848" i="4"/>
  <c r="L847" i="4"/>
  <c r="L845" i="4"/>
  <c r="L843" i="4"/>
  <c r="L842" i="4"/>
  <c r="L841" i="4"/>
  <c r="L840" i="4"/>
  <c r="L839" i="4"/>
  <c r="L838" i="4"/>
  <c r="L837" i="4"/>
  <c r="L834" i="4"/>
  <c r="L833" i="4"/>
  <c r="L832" i="4"/>
  <c r="L831" i="4"/>
  <c r="L830" i="4"/>
  <c r="L829" i="4"/>
  <c r="L828" i="4"/>
  <c r="L827" i="4"/>
  <c r="L826" i="4"/>
  <c r="L825" i="4"/>
  <c r="L824" i="4"/>
  <c r="L823" i="4"/>
  <c r="L822" i="4"/>
  <c r="L821" i="4"/>
  <c r="L820" i="4"/>
  <c r="L819" i="4"/>
  <c r="L818" i="4"/>
  <c r="L817" i="4"/>
  <c r="L816" i="4"/>
  <c r="L815" i="4"/>
  <c r="L814" i="4"/>
  <c r="L813" i="4"/>
  <c r="L812" i="4"/>
  <c r="L811" i="4"/>
  <c r="L810" i="4"/>
  <c r="L809" i="4"/>
  <c r="L808" i="4"/>
  <c r="L807" i="4"/>
  <c r="L806" i="4"/>
  <c r="L805" i="4"/>
  <c r="L804" i="4"/>
  <c r="L803" i="4"/>
  <c r="L802" i="4"/>
  <c r="L801" i="4"/>
  <c r="L800" i="4"/>
  <c r="L799" i="4"/>
  <c r="L798" i="4"/>
  <c r="L797" i="4"/>
  <c r="L796" i="4"/>
  <c r="L795" i="4"/>
  <c r="L794" i="4"/>
  <c r="L793" i="4"/>
  <c r="L792" i="4"/>
  <c r="L791" i="4"/>
  <c r="L790" i="4"/>
  <c r="L789" i="4"/>
  <c r="L788" i="4"/>
  <c r="L787" i="4"/>
  <c r="L786" i="4"/>
  <c r="L785" i="4"/>
  <c r="L784" i="4"/>
  <c r="L783" i="4"/>
  <c r="L782" i="4"/>
  <c r="L781" i="4"/>
  <c r="L780" i="4"/>
  <c r="L779" i="4"/>
  <c r="L778" i="4"/>
  <c r="L777" i="4"/>
  <c r="L776" i="4"/>
  <c r="L775" i="4"/>
  <c r="L774" i="4"/>
  <c r="L773" i="4"/>
  <c r="L772" i="4"/>
  <c r="L771" i="4"/>
  <c r="L770" i="4"/>
  <c r="L769" i="4"/>
  <c r="L768" i="4"/>
  <c r="L767" i="4"/>
  <c r="L766" i="4"/>
  <c r="L765" i="4"/>
  <c r="L764" i="4"/>
  <c r="L763" i="4"/>
  <c r="L762" i="4"/>
  <c r="L761" i="4"/>
  <c r="L760" i="4"/>
  <c r="L759" i="4"/>
  <c r="L758" i="4"/>
  <c r="L757" i="4"/>
  <c r="L756" i="4"/>
  <c r="L755" i="4"/>
  <c r="L754" i="4"/>
  <c r="L753" i="4"/>
  <c r="L752" i="4"/>
  <c r="L751" i="4"/>
  <c r="L750" i="4"/>
  <c r="L749" i="4"/>
  <c r="L748" i="4"/>
  <c r="L747" i="4"/>
  <c r="L746" i="4"/>
  <c r="L745" i="4"/>
  <c r="L744" i="4"/>
  <c r="L743" i="4"/>
  <c r="L742" i="4"/>
  <c r="L741" i="4"/>
  <c r="L740" i="4"/>
  <c r="L739" i="4"/>
  <c r="L738" i="4"/>
  <c r="L737" i="4"/>
  <c r="L736" i="4"/>
  <c r="L735" i="4"/>
  <c r="L734" i="4"/>
  <c r="L733" i="4"/>
  <c r="L732" i="4"/>
  <c r="L731" i="4"/>
  <c r="L730" i="4"/>
  <c r="L729" i="4"/>
  <c r="L728" i="4"/>
  <c r="L727" i="4"/>
  <c r="L726" i="4"/>
  <c r="L725" i="4"/>
  <c r="L724" i="4"/>
  <c r="L723" i="4"/>
  <c r="L722" i="4"/>
  <c r="L721" i="4"/>
  <c r="L720" i="4"/>
  <c r="L719" i="4"/>
  <c r="L718" i="4"/>
  <c r="L717" i="4"/>
  <c r="L716" i="4"/>
  <c r="L715" i="4"/>
  <c r="L712" i="4"/>
  <c r="L711" i="4"/>
  <c r="L710" i="4"/>
  <c r="L709" i="4"/>
  <c r="L708" i="4"/>
  <c r="L707" i="4"/>
  <c r="L706" i="4"/>
  <c r="L705" i="4"/>
  <c r="L704" i="4"/>
  <c r="L703" i="4"/>
  <c r="L702" i="4"/>
  <c r="L701" i="4"/>
  <c r="L700" i="4"/>
  <c r="L699" i="4"/>
  <c r="L698" i="4"/>
  <c r="L697" i="4"/>
  <c r="L696" i="4"/>
  <c r="L695" i="4"/>
  <c r="L694" i="4"/>
  <c r="L693" i="4"/>
  <c r="L692" i="4"/>
  <c r="L691" i="4"/>
  <c r="L690" i="4"/>
  <c r="L689" i="4"/>
  <c r="L688" i="4"/>
  <c r="L687" i="4"/>
  <c r="L686" i="4"/>
  <c r="L685" i="4"/>
  <c r="L684" i="4"/>
  <c r="L683" i="4"/>
  <c r="L682" i="4"/>
  <c r="L681" i="4"/>
  <c r="L680" i="4"/>
  <c r="L679" i="4"/>
  <c r="L678" i="4"/>
  <c r="L677" i="4"/>
  <c r="L676" i="4"/>
  <c r="L675" i="4"/>
  <c r="L674" i="4"/>
  <c r="L673" i="4"/>
  <c r="L672" i="4"/>
  <c r="L671" i="4"/>
  <c r="L670" i="4"/>
  <c r="L666" i="4"/>
  <c r="L665" i="4"/>
  <c r="L664" i="4"/>
  <c r="L663" i="4"/>
  <c r="L662" i="4"/>
  <c r="L661" i="4"/>
  <c r="L660" i="4"/>
  <c r="L659" i="4"/>
  <c r="L658" i="4"/>
  <c r="L657" i="4"/>
  <c r="L656" i="4"/>
  <c r="L655" i="4"/>
  <c r="L654" i="4"/>
  <c r="L653" i="4"/>
  <c r="L652" i="4"/>
  <c r="L651" i="4"/>
  <c r="L650" i="4"/>
  <c r="L649" i="4"/>
  <c r="L648" i="4"/>
  <c r="L647" i="4"/>
  <c r="L646" i="4"/>
  <c r="L645" i="4"/>
  <c r="L644" i="4"/>
  <c r="L643" i="4"/>
  <c r="L642" i="4"/>
  <c r="L641" i="4"/>
  <c r="L640" i="4"/>
  <c r="L639" i="4"/>
  <c r="L638" i="4"/>
  <c r="L637" i="4"/>
  <c r="L636" i="4"/>
  <c r="L635" i="4"/>
  <c r="L634" i="4"/>
  <c r="L633" i="4"/>
  <c r="L632" i="4"/>
  <c r="L631" i="4"/>
  <c r="L630" i="4"/>
  <c r="L629" i="4"/>
  <c r="L628" i="4"/>
  <c r="L627" i="4"/>
  <c r="L626" i="4"/>
  <c r="L625" i="4"/>
  <c r="L624" i="4"/>
  <c r="L623" i="4"/>
  <c r="L622" i="4"/>
  <c r="L621" i="4"/>
  <c r="L620" i="4"/>
  <c r="L619" i="4"/>
  <c r="L618" i="4"/>
  <c r="L617" i="4"/>
  <c r="L616" i="4"/>
  <c r="L615" i="4"/>
  <c r="L614" i="4"/>
  <c r="L612" i="4"/>
  <c r="L611" i="4"/>
  <c r="L610" i="4"/>
  <c r="L609" i="4"/>
  <c r="L608" i="4"/>
  <c r="L607" i="4"/>
  <c r="L606" i="4"/>
  <c r="L605" i="4"/>
  <c r="L604" i="4"/>
  <c r="L603" i="4"/>
  <c r="L602" i="4"/>
  <c r="L601" i="4"/>
  <c r="L600" i="4"/>
  <c r="L599" i="4"/>
  <c r="L598" i="4"/>
  <c r="L597" i="4"/>
  <c r="L596" i="4"/>
  <c r="L595" i="4"/>
  <c r="L594" i="4"/>
  <c r="L593" i="4"/>
  <c r="L592" i="4"/>
  <c r="L591" i="4"/>
  <c r="L590" i="4"/>
  <c r="L589" i="4"/>
  <c r="L588" i="4"/>
  <c r="L587" i="4"/>
  <c r="L586" i="4"/>
  <c r="L585" i="4"/>
  <c r="L584" i="4"/>
  <c r="L583" i="4"/>
  <c r="L582" i="4"/>
  <c r="L581" i="4"/>
  <c r="L580" i="4"/>
  <c r="L579" i="4"/>
  <c r="L578" i="4"/>
  <c r="L577" i="4"/>
  <c r="L576" i="4"/>
  <c r="L575" i="4"/>
  <c r="L574" i="4"/>
  <c r="L573" i="4"/>
  <c r="L572" i="4"/>
  <c r="L571" i="4"/>
  <c r="L570" i="4"/>
  <c r="L569" i="4"/>
  <c r="L568" i="4"/>
  <c r="L567" i="4"/>
  <c r="L566" i="4"/>
  <c r="L565" i="4"/>
  <c r="L564" i="4"/>
  <c r="L563" i="4"/>
  <c r="L562" i="4"/>
  <c r="L561" i="4"/>
  <c r="L560" i="4"/>
  <c r="L559" i="4"/>
  <c r="L558" i="4"/>
  <c r="L557" i="4"/>
  <c r="L556" i="4"/>
  <c r="L555" i="4"/>
  <c r="L554" i="4"/>
  <c r="L553" i="4"/>
  <c r="L552" i="4"/>
  <c r="L551" i="4"/>
  <c r="L550" i="4"/>
  <c r="L549" i="4"/>
  <c r="L548" i="4"/>
  <c r="L547" i="4"/>
  <c r="L546" i="4"/>
  <c r="L545" i="4"/>
  <c r="L544" i="4"/>
  <c r="L543" i="4"/>
  <c r="L542" i="4"/>
  <c r="L541" i="4"/>
  <c r="L540" i="4"/>
  <c r="L539" i="4"/>
  <c r="L538" i="4"/>
  <c r="L537" i="4"/>
  <c r="L536" i="4"/>
  <c r="L535" i="4"/>
  <c r="L534" i="4"/>
  <c r="L533" i="4"/>
  <c r="L532" i="4"/>
  <c r="L531" i="4"/>
  <c r="L530" i="4"/>
  <c r="L529" i="4"/>
  <c r="L528" i="4"/>
  <c r="L527" i="4"/>
  <c r="L526" i="4"/>
  <c r="L525" i="4"/>
  <c r="L524" i="4"/>
  <c r="L523" i="4"/>
  <c r="L522" i="4"/>
  <c r="L521" i="4"/>
  <c r="L520" i="4"/>
  <c r="L519" i="4"/>
  <c r="L518" i="4"/>
  <c r="L517" i="4"/>
  <c r="L516" i="4"/>
  <c r="L515" i="4"/>
  <c r="L514" i="4"/>
  <c r="L513" i="4"/>
  <c r="L512" i="4"/>
  <c r="L511" i="4"/>
  <c r="L510" i="4"/>
  <c r="L509" i="4"/>
  <c r="L508" i="4"/>
  <c r="L507" i="4"/>
  <c r="L506" i="4"/>
  <c r="L505" i="4"/>
  <c r="L504" i="4"/>
  <c r="L503" i="4"/>
  <c r="L502" i="4"/>
  <c r="L501" i="4"/>
  <c r="L500" i="4"/>
  <c r="L499" i="4"/>
  <c r="L498" i="4"/>
  <c r="L497" i="4"/>
  <c r="L496" i="4"/>
  <c r="L495" i="4"/>
  <c r="L494" i="4"/>
  <c r="L493" i="4"/>
  <c r="L492" i="4"/>
  <c r="L491" i="4"/>
  <c r="L490" i="4"/>
  <c r="L489" i="4"/>
  <c r="L488" i="4"/>
  <c r="L487" i="4"/>
  <c r="L486" i="4"/>
  <c r="L485" i="4"/>
  <c r="L484" i="4"/>
  <c r="L483" i="4"/>
  <c r="L482" i="4"/>
  <c r="L481" i="4"/>
  <c r="L480" i="4"/>
  <c r="L479" i="4"/>
  <c r="L478" i="4"/>
  <c r="L477" i="4"/>
  <c r="L476" i="4"/>
  <c r="L475" i="4"/>
  <c r="L474" i="4"/>
  <c r="L472" i="4"/>
  <c r="L471" i="4"/>
  <c r="L470" i="4"/>
  <c r="L469" i="4"/>
  <c r="L468" i="4"/>
  <c r="L467" i="4"/>
  <c r="L466" i="4"/>
  <c r="L465" i="4"/>
  <c r="L464" i="4"/>
  <c r="L463" i="4"/>
  <c r="L462" i="4"/>
  <c r="L461" i="4"/>
  <c r="L460" i="4"/>
  <c r="L459" i="4"/>
  <c r="L458" i="4"/>
  <c r="L457" i="4"/>
  <c r="L456" i="4"/>
  <c r="L455" i="4"/>
  <c r="L454" i="4"/>
  <c r="L453" i="4"/>
  <c r="L452" i="4"/>
  <c r="L450" i="4"/>
  <c r="L449" i="4"/>
  <c r="L448" i="4"/>
  <c r="L447" i="4"/>
  <c r="L446" i="4"/>
  <c r="L445" i="4"/>
  <c r="L444" i="4"/>
  <c r="L443" i="4"/>
  <c r="L442" i="4"/>
  <c r="L437" i="4"/>
  <c r="L436" i="4"/>
  <c r="L435" i="4"/>
  <c r="L434" i="4"/>
  <c r="L433" i="4"/>
  <c r="L432" i="4"/>
  <c r="L431" i="4"/>
  <c r="L430" i="4"/>
  <c r="L429" i="4"/>
  <c r="L428" i="4"/>
  <c r="L427" i="4"/>
  <c r="L426" i="4"/>
  <c r="L425" i="4"/>
  <c r="L424" i="4"/>
  <c r="L423" i="4"/>
  <c r="L422" i="4"/>
  <c r="L421" i="4"/>
  <c r="L420" i="4"/>
  <c r="L419" i="4"/>
  <c r="L418" i="4"/>
  <c r="L417" i="4"/>
  <c r="L416" i="4"/>
  <c r="L415" i="4"/>
  <c r="L414" i="4"/>
  <c r="L412" i="4"/>
  <c r="L411" i="4"/>
  <c r="L410" i="4"/>
  <c r="L409" i="4"/>
  <c r="L408" i="4"/>
  <c r="L407" i="4"/>
  <c r="L406" i="4"/>
  <c r="L405" i="4"/>
  <c r="L404" i="4"/>
  <c r="L403" i="4"/>
  <c r="L402" i="4"/>
  <c r="L401" i="4"/>
  <c r="L400" i="4"/>
  <c r="L399" i="4"/>
  <c r="L398" i="4"/>
  <c r="L397" i="4"/>
  <c r="L396" i="4"/>
  <c r="L395" i="4"/>
  <c r="L394" i="4"/>
  <c r="L393" i="4"/>
  <c r="L390" i="4"/>
  <c r="L389" i="4"/>
  <c r="L388" i="4"/>
  <c r="L387" i="4"/>
  <c r="L386" i="4"/>
  <c r="L385" i="4"/>
  <c r="L384" i="4"/>
  <c r="L382" i="4"/>
  <c r="L381" i="4"/>
  <c r="L380" i="4"/>
  <c r="L379" i="4"/>
  <c r="L378" i="4"/>
  <c r="L377" i="4"/>
  <c r="L376" i="4"/>
  <c r="L375" i="4"/>
  <c r="L374" i="4"/>
  <c r="L373" i="4"/>
  <c r="L372" i="4"/>
  <c r="L371" i="4"/>
  <c r="L370" i="4"/>
  <c r="L369" i="4"/>
  <c r="L368" i="4"/>
  <c r="L367" i="4"/>
  <c r="L366" i="4"/>
  <c r="L365" i="4"/>
  <c r="L364" i="4"/>
  <c r="L362" i="4"/>
  <c r="L361" i="4"/>
  <c r="L360" i="4"/>
  <c r="L359" i="4"/>
  <c r="L358" i="4"/>
  <c r="L357" i="4"/>
  <c r="L356" i="4"/>
  <c r="L355" i="4"/>
  <c r="L354" i="4"/>
  <c r="L353" i="4"/>
  <c r="L352" i="4"/>
  <c r="L351" i="4"/>
  <c r="L350" i="4"/>
  <c r="L349" i="4"/>
  <c r="L348" i="4"/>
  <c r="L347" i="4"/>
  <c r="L346" i="4"/>
  <c r="L345" i="4"/>
  <c r="L344" i="4"/>
  <c r="L343" i="4"/>
  <c r="L342" i="4"/>
  <c r="L341" i="4"/>
  <c r="L340" i="4"/>
  <c r="L339" i="4"/>
  <c r="L338" i="4"/>
  <c r="L337" i="4"/>
  <c r="L336" i="4"/>
  <c r="L335" i="4"/>
  <c r="L334" i="4"/>
  <c r="L333" i="4"/>
  <c r="L332" i="4"/>
  <c r="L331" i="4"/>
  <c r="L330" i="4"/>
  <c r="L329" i="4"/>
  <c r="L328" i="4"/>
  <c r="L327" i="4"/>
  <c r="L326" i="4"/>
  <c r="L325" i="4"/>
  <c r="L324" i="4"/>
  <c r="L323" i="4"/>
  <c r="L322" i="4"/>
  <c r="L321" i="4"/>
  <c r="L320" i="4"/>
  <c r="L319" i="4"/>
  <c r="L318" i="4"/>
  <c r="L317" i="4"/>
  <c r="L316" i="4"/>
  <c r="L315" i="4"/>
  <c r="L313" i="4"/>
  <c r="L312" i="4"/>
  <c r="L311" i="4"/>
  <c r="L310" i="4"/>
  <c r="L309" i="4"/>
  <c r="L308" i="4"/>
  <c r="L307" i="4"/>
  <c r="L306" i="4"/>
  <c r="L305" i="4"/>
  <c r="L304" i="4"/>
  <c r="L303" i="4"/>
  <c r="L302" i="4"/>
  <c r="L301" i="4"/>
  <c r="L300" i="4"/>
  <c r="L299" i="4"/>
  <c r="L298" i="4"/>
  <c r="L297" i="4"/>
  <c r="L296" i="4"/>
  <c r="L295" i="4"/>
  <c r="L294" i="4"/>
  <c r="L293" i="4"/>
  <c r="L292" i="4"/>
  <c r="L291" i="4"/>
  <c r="Q291" i="4" s="1"/>
  <c r="T291" i="4" s="1"/>
  <c r="U291" i="4" s="1"/>
  <c r="L290" i="4"/>
  <c r="L287" i="4"/>
  <c r="L286" i="4"/>
  <c r="L285" i="4"/>
  <c r="L284" i="4"/>
  <c r="L283" i="4"/>
  <c r="L282" i="4"/>
  <c r="L281" i="4"/>
  <c r="L280" i="4"/>
  <c r="L279" i="4"/>
  <c r="L278" i="4"/>
  <c r="L277" i="4"/>
  <c r="L276" i="4"/>
  <c r="L275" i="4"/>
  <c r="L274" i="4"/>
  <c r="L273" i="4"/>
  <c r="L272" i="4"/>
  <c r="L271" i="4"/>
  <c r="L270" i="4"/>
  <c r="L269" i="4"/>
  <c r="L268" i="4"/>
  <c r="L267" i="4"/>
  <c r="L266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2" i="4"/>
  <c r="L251" i="4"/>
  <c r="L249" i="4"/>
  <c r="L247" i="4"/>
  <c r="L246" i="4"/>
  <c r="L245" i="4"/>
  <c r="L244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6" i="4"/>
  <c r="L205" i="4"/>
  <c r="L204" i="4"/>
  <c r="L203" i="4"/>
  <c r="L202" i="4"/>
  <c r="L201" i="4"/>
  <c r="L200" i="4"/>
  <c r="L199" i="4"/>
  <c r="L198" i="4"/>
  <c r="L197" i="4"/>
  <c r="L196" i="4"/>
  <c r="L195" i="4"/>
  <c r="L194" i="4"/>
  <c r="L193" i="4"/>
  <c r="L192" i="4"/>
  <c r="L191" i="4"/>
  <c r="L190" i="4"/>
  <c r="L189" i="4"/>
  <c r="L188" i="4"/>
  <c r="L187" i="4"/>
  <c r="L186" i="4"/>
  <c r="L185" i="4"/>
  <c r="L184" i="4"/>
  <c r="L183" i="4"/>
  <c r="L182" i="4"/>
  <c r="L181" i="4"/>
  <c r="L180" i="4"/>
  <c r="L179" i="4"/>
  <c r="L178" i="4"/>
  <c r="L176" i="4"/>
  <c r="L175" i="4"/>
  <c r="L174" i="4"/>
  <c r="L173" i="4"/>
  <c r="L172" i="4"/>
  <c r="L171" i="4"/>
  <c r="L170" i="4"/>
  <c r="L169" i="4"/>
  <c r="L161" i="4"/>
  <c r="Q161" i="4" s="1"/>
  <c r="T161" i="4" s="1"/>
  <c r="U161" i="4" s="1"/>
  <c r="L160" i="4"/>
  <c r="L159" i="4"/>
  <c r="L158" i="4"/>
  <c r="L157" i="4"/>
  <c r="L156" i="4"/>
  <c r="L155" i="4"/>
  <c r="L154" i="4"/>
  <c r="L153" i="4"/>
  <c r="L152" i="4"/>
  <c r="L151" i="4"/>
  <c r="L149" i="4"/>
  <c r="L148" i="4"/>
  <c r="L147" i="4"/>
  <c r="L146" i="4"/>
  <c r="L145" i="4"/>
  <c r="L144" i="4"/>
  <c r="L143" i="4"/>
  <c r="L142" i="4"/>
  <c r="L141" i="4"/>
  <c r="L140" i="4"/>
  <c r="L139" i="4"/>
  <c r="L138" i="4"/>
  <c r="L137" i="4"/>
  <c r="L136" i="4"/>
  <c r="L133" i="4"/>
  <c r="L132" i="4"/>
  <c r="L131" i="4"/>
  <c r="L130" i="4"/>
  <c r="L129" i="4"/>
  <c r="L128" i="4"/>
  <c r="L127" i="4"/>
  <c r="L126" i="4"/>
  <c r="L125" i="4"/>
  <c r="L124" i="4"/>
  <c r="L123" i="4"/>
  <c r="L122" i="4"/>
  <c r="L121" i="4"/>
  <c r="L120" i="4"/>
  <c r="L119" i="4"/>
  <c r="L118" i="4"/>
  <c r="L114" i="4"/>
  <c r="L113" i="4"/>
  <c r="L112" i="4"/>
  <c r="L111" i="4"/>
  <c r="L110" i="4"/>
  <c r="L109" i="4"/>
  <c r="L108" i="4"/>
  <c r="L107" i="4"/>
  <c r="L106" i="4"/>
  <c r="L105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8" i="4"/>
  <c r="L37" i="4"/>
  <c r="L36" i="4"/>
  <c r="L35" i="4"/>
  <c r="L34" i="4"/>
  <c r="L32" i="4"/>
  <c r="L31" i="4"/>
  <c r="L30" i="4"/>
  <c r="L28" i="4"/>
  <c r="L27" i="4"/>
  <c r="L26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8" i="4"/>
  <c r="L5" i="4"/>
  <c r="F57" i="3"/>
  <c r="K57" i="3" s="1"/>
  <c r="F55" i="3"/>
  <c r="K55" i="3" s="1"/>
  <c r="F54" i="3"/>
  <c r="F52" i="3"/>
  <c r="K52" i="3" s="1"/>
  <c r="F50" i="3"/>
  <c r="F49" i="3"/>
  <c r="F47" i="3"/>
  <c r="F46" i="3"/>
  <c r="F45" i="3"/>
  <c r="F44" i="3"/>
  <c r="F43" i="3"/>
  <c r="F42" i="3"/>
  <c r="F41" i="3"/>
  <c r="F40" i="3"/>
  <c r="F39" i="3"/>
  <c r="F38" i="3"/>
  <c r="F37" i="3"/>
  <c r="F36" i="3"/>
  <c r="F34" i="3"/>
  <c r="F33" i="3"/>
  <c r="F32" i="3"/>
  <c r="F30" i="3"/>
  <c r="F28" i="3"/>
  <c r="F27" i="3"/>
  <c r="F26" i="3"/>
  <c r="F25" i="3"/>
  <c r="F24" i="3"/>
  <c r="F23" i="3"/>
  <c r="F21" i="3"/>
  <c r="F20" i="3"/>
  <c r="F18" i="3"/>
  <c r="F17" i="3"/>
  <c r="F16" i="3"/>
  <c r="F15" i="3"/>
  <c r="F14" i="3"/>
  <c r="F12" i="3"/>
  <c r="F10" i="3"/>
  <c r="F8" i="3"/>
  <c r="F7" i="3"/>
  <c r="F6" i="3"/>
  <c r="E52" i="6"/>
  <c r="L2026" i="4"/>
  <c r="Q2026" i="4" s="1"/>
  <c r="T2026" i="4" s="1"/>
  <c r="U2026" i="4" s="1"/>
  <c r="F53" i="3"/>
  <c r="K53" i="3" s="1"/>
  <c r="E50" i="6"/>
  <c r="E47" i="6"/>
  <c r="E34" i="6"/>
  <c r="E30" i="6"/>
  <c r="E21" i="6"/>
  <c r="E18" i="6"/>
  <c r="E12" i="6"/>
  <c r="E10" i="6"/>
  <c r="E8" i="6"/>
  <c r="L2073" i="4"/>
  <c r="L2072" i="4"/>
  <c r="L2071" i="4"/>
  <c r="L2008" i="4"/>
  <c r="L1996" i="4"/>
  <c r="L1993" i="4"/>
  <c r="L1985" i="4"/>
  <c r="L1980" i="4"/>
  <c r="L1978" i="4"/>
  <c r="L1976" i="4"/>
  <c r="L1973" i="4"/>
  <c r="L1970" i="4"/>
  <c r="L1963" i="4"/>
  <c r="L1957" i="4"/>
  <c r="L1955" i="4"/>
  <c r="L1951" i="4"/>
  <c r="L1949" i="4"/>
  <c r="L1947" i="4"/>
  <c r="L1939" i="4"/>
  <c r="L1933" i="4"/>
  <c r="L1931" i="4"/>
  <c r="L1924" i="4"/>
  <c r="L1922" i="4"/>
  <c r="L1920" i="4"/>
  <c r="L1918" i="4"/>
  <c r="L1916" i="4"/>
  <c r="L1904" i="4"/>
  <c r="L1902" i="4"/>
  <c r="L1900" i="4"/>
  <c r="L1898" i="4"/>
  <c r="L1892" i="4"/>
  <c r="L1890" i="4"/>
  <c r="L1880" i="4"/>
  <c r="L1871" i="4"/>
  <c r="L1866" i="4"/>
  <c r="L1863" i="4"/>
  <c r="L1861" i="4"/>
  <c r="L1858" i="4"/>
  <c r="L1855" i="4"/>
  <c r="L1850" i="4"/>
  <c r="L1848" i="4"/>
  <c r="L1833" i="4"/>
  <c r="L1812" i="4"/>
  <c r="L1810" i="4"/>
  <c r="L1808" i="4"/>
  <c r="L1802" i="4"/>
  <c r="L1801" i="4"/>
  <c r="L1786" i="4"/>
  <c r="L1784" i="4"/>
  <c r="L1768" i="4"/>
  <c r="L1766" i="4"/>
  <c r="L1764" i="4"/>
  <c r="L1762" i="4"/>
  <c r="L1760" i="4"/>
  <c r="L1758" i="4"/>
  <c r="L1756" i="4"/>
  <c r="L1754" i="4"/>
  <c r="L1752" i="4"/>
  <c r="L1750" i="4"/>
  <c r="L1741" i="4"/>
  <c r="L1737" i="4"/>
  <c r="L1735" i="4"/>
  <c r="L1733" i="4"/>
  <c r="L1731" i="4"/>
  <c r="L1729" i="4"/>
  <c r="L1727" i="4"/>
  <c r="L1725" i="4"/>
  <c r="L1722" i="4"/>
  <c r="L1011" i="4"/>
  <c r="L1010" i="4"/>
  <c r="L1009" i="4"/>
  <c r="L991" i="4"/>
  <c r="L990" i="4"/>
  <c r="L970" i="4"/>
  <c r="L963" i="4"/>
  <c r="L962" i="4"/>
  <c r="L961" i="4"/>
  <c r="L944" i="4"/>
  <c r="L891" i="4"/>
  <c r="L889" i="4"/>
  <c r="L883" i="4"/>
  <c r="L882" i="4"/>
  <c r="L879" i="4"/>
  <c r="L878" i="4"/>
  <c r="L877" i="4"/>
  <c r="L876" i="4"/>
  <c r="L846" i="4"/>
  <c r="L844" i="4"/>
  <c r="L714" i="4"/>
  <c r="L713" i="4"/>
  <c r="L613" i="4"/>
  <c r="L473" i="4"/>
  <c r="L451" i="4"/>
  <c r="L441" i="4"/>
  <c r="L440" i="4"/>
  <c r="L392" i="4"/>
  <c r="L391" i="4"/>
  <c r="L383" i="4"/>
  <c r="L363" i="4"/>
  <c r="L314" i="4"/>
  <c r="L250" i="4"/>
  <c r="L248" i="4"/>
  <c r="L9" i="4"/>
  <c r="L7" i="4"/>
  <c r="F51" i="3"/>
  <c r="F48" i="3"/>
  <c r="F35" i="3"/>
  <c r="F31" i="3"/>
  <c r="F22" i="3"/>
  <c r="F19" i="3"/>
  <c r="F13" i="3"/>
  <c r="F11" i="3"/>
  <c r="F9" i="3"/>
  <c r="E61" i="6"/>
  <c r="L115" i="4"/>
  <c r="Q115" i="4" s="1"/>
  <c r="T115" i="4" s="1"/>
  <c r="U115" i="4" s="1"/>
  <c r="F62" i="3"/>
  <c r="K62" i="3" s="1"/>
  <c r="C44" i="12"/>
  <c r="K44" i="12" s="1"/>
  <c r="L44" i="12" s="1"/>
  <c r="C43" i="12"/>
  <c r="K43" i="12" s="1"/>
  <c r="L43" i="12" s="1"/>
  <c r="C42" i="12"/>
  <c r="K42" i="12" s="1"/>
  <c r="L42" i="12" s="1"/>
  <c r="C41" i="12"/>
  <c r="K41" i="12" s="1"/>
  <c r="L41" i="12" s="1"/>
  <c r="C40" i="12"/>
  <c r="K40" i="12" s="1"/>
  <c r="L40" i="12" s="1"/>
  <c r="C39" i="12"/>
  <c r="K39" i="12" s="1"/>
  <c r="C35" i="12"/>
  <c r="K35" i="12" s="1"/>
  <c r="L35" i="12" s="1"/>
  <c r="C34" i="12"/>
  <c r="K34" i="12" s="1"/>
  <c r="L34" i="12" s="1"/>
  <c r="C33" i="12"/>
  <c r="K33" i="12" s="1"/>
  <c r="L33" i="12" s="1"/>
  <c r="C32" i="12"/>
  <c r="K32" i="12" s="1"/>
  <c r="L32" i="12" s="1"/>
  <c r="C31" i="12"/>
  <c r="K31" i="12" s="1"/>
  <c r="L31" i="12" s="1"/>
  <c r="C30" i="12"/>
  <c r="K30" i="12" s="1"/>
  <c r="C23" i="12"/>
  <c r="K23" i="12" s="1"/>
  <c r="L23" i="12" s="1"/>
  <c r="C22" i="12"/>
  <c r="K22" i="12" s="1"/>
  <c r="L22" i="12" s="1"/>
  <c r="C21" i="12"/>
  <c r="K21" i="12" s="1"/>
  <c r="L21" i="12" s="1"/>
  <c r="C20" i="12"/>
  <c r="K20" i="12" s="1"/>
  <c r="L20" i="12" s="1"/>
  <c r="C19" i="12"/>
  <c r="K19" i="12" s="1"/>
  <c r="L19" i="12" s="1"/>
  <c r="C18" i="12"/>
  <c r="K18" i="12" s="1"/>
  <c r="L18" i="12" s="1"/>
  <c r="E59" i="6"/>
  <c r="E55" i="6"/>
  <c r="E28" i="6"/>
  <c r="L2024" i="4"/>
  <c r="L2019" i="4"/>
  <c r="L2011" i="4"/>
  <c r="L2006" i="4"/>
  <c r="L2003" i="4"/>
  <c r="L2002" i="4"/>
  <c r="L1995" i="4"/>
  <c r="L1989" i="4"/>
  <c r="L1975" i="4"/>
  <c r="L1965" i="4"/>
  <c r="L1962" i="4"/>
  <c r="L1959" i="4"/>
  <c r="L1945" i="4"/>
  <c r="L1936" i="4"/>
  <c r="L1915" i="4"/>
  <c r="L1907" i="4"/>
  <c r="L1889" i="4"/>
  <c r="L1888" i="4"/>
  <c r="L1870" i="4"/>
  <c r="L1865" i="4"/>
  <c r="L1860" i="4"/>
  <c r="L1857" i="4"/>
  <c r="L1837" i="4"/>
  <c r="L1836" i="4"/>
  <c r="L1831" i="4"/>
  <c r="L1830" i="4"/>
  <c r="L1820" i="4"/>
  <c r="L1819" i="4"/>
  <c r="L1795" i="4"/>
  <c r="L1794" i="4"/>
  <c r="L1774" i="4"/>
  <c r="L1749" i="4"/>
  <c r="L667" i="4"/>
  <c r="L413" i="4"/>
  <c r="L253" i="4"/>
  <c r="L243" i="4"/>
  <c r="L207" i="4"/>
  <c r="L177" i="4"/>
  <c r="L150" i="4"/>
  <c r="L135" i="4"/>
  <c r="L134" i="4"/>
  <c r="L104" i="4"/>
  <c r="L39" i="4"/>
  <c r="L33" i="4"/>
  <c r="L29" i="4"/>
  <c r="L25" i="4"/>
  <c r="L6" i="4"/>
  <c r="F60" i="3"/>
  <c r="F56" i="3"/>
  <c r="F29" i="3"/>
  <c r="C183" i="8"/>
  <c r="I183" i="8" s="1"/>
  <c r="C174" i="8"/>
  <c r="I174" i="8" s="1"/>
  <c r="C165" i="8"/>
  <c r="I165" i="8" s="1"/>
  <c r="E70" i="6"/>
  <c r="E69" i="6"/>
  <c r="E68" i="6"/>
  <c r="E67" i="6"/>
  <c r="E66" i="6"/>
  <c r="E65" i="6"/>
  <c r="E64" i="6"/>
  <c r="L109" i="5"/>
  <c r="L108" i="5"/>
  <c r="L107" i="5"/>
  <c r="L106" i="5"/>
  <c r="L105" i="5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F75" i="3"/>
  <c r="F74" i="3"/>
  <c r="F73" i="3"/>
  <c r="F72" i="3"/>
  <c r="F71" i="3"/>
  <c r="F70" i="3"/>
  <c r="F69" i="3"/>
  <c r="C24" i="12"/>
  <c r="K24" i="12" s="1"/>
  <c r="L24" i="12" s="1"/>
  <c r="C17" i="12"/>
  <c r="K17" i="12" s="1"/>
  <c r="L17" i="12" s="1"/>
  <c r="C16" i="12"/>
  <c r="K16" i="12" s="1"/>
  <c r="L16" i="12" s="1"/>
  <c r="C15" i="12"/>
  <c r="K15" i="12" s="1"/>
  <c r="L15" i="12" s="1"/>
  <c r="C14" i="12"/>
  <c r="K14" i="12" s="1"/>
  <c r="L14" i="12" s="1"/>
  <c r="C13" i="12"/>
  <c r="K13" i="12" s="1"/>
  <c r="L13" i="12" s="1"/>
  <c r="C12" i="12"/>
  <c r="K12" i="12" s="1"/>
  <c r="L12" i="12" s="1"/>
  <c r="C11" i="12"/>
  <c r="K11" i="12" s="1"/>
  <c r="L11" i="12" s="1"/>
  <c r="C10" i="12"/>
  <c r="K10" i="12" s="1"/>
  <c r="L10" i="12" s="1"/>
  <c r="C9" i="12"/>
  <c r="K9" i="12" s="1"/>
  <c r="L9" i="12" s="1"/>
  <c r="C8" i="12"/>
  <c r="K8" i="12" s="1"/>
  <c r="L8" i="12" s="1"/>
  <c r="C7" i="12"/>
  <c r="K7" i="12" s="1"/>
  <c r="L7" i="12" s="1"/>
  <c r="C6" i="12"/>
  <c r="K6" i="12" s="1"/>
  <c r="E60" i="6"/>
  <c r="E58" i="6"/>
  <c r="L168" i="4"/>
  <c r="Q168" i="4" s="1"/>
  <c r="T168" i="4" s="1"/>
  <c r="U168" i="4" s="1"/>
  <c r="L166" i="4"/>
  <c r="Q166" i="4" s="1"/>
  <c r="T166" i="4" s="1"/>
  <c r="U166" i="4" s="1"/>
  <c r="L164" i="4"/>
  <c r="Q164" i="4" s="1"/>
  <c r="T164" i="4" s="1"/>
  <c r="U164" i="4" s="1"/>
  <c r="L162" i="4"/>
  <c r="Q162" i="4" s="1"/>
  <c r="T162" i="4" s="1"/>
  <c r="U162" i="4" s="1"/>
  <c r="F61" i="3"/>
  <c r="K61" i="3" s="1"/>
  <c r="F59" i="3"/>
  <c r="K59" i="3" s="1"/>
  <c r="C26" i="12"/>
  <c r="K26" i="12" s="1"/>
  <c r="L26" i="12" s="1"/>
  <c r="C25" i="12"/>
  <c r="K25" i="12" s="1"/>
  <c r="L25" i="12" s="1"/>
  <c r="C72" i="11"/>
  <c r="C68" i="11"/>
  <c r="C64" i="11"/>
  <c r="C60" i="11"/>
  <c r="C56" i="11"/>
  <c r="C52" i="11"/>
  <c r="C48" i="11"/>
  <c r="C44" i="11"/>
  <c r="C40" i="11"/>
  <c r="C36" i="11"/>
  <c r="C32" i="11"/>
  <c r="C28" i="11"/>
  <c r="C27" i="11"/>
  <c r="C23" i="11"/>
  <c r="C22" i="11"/>
  <c r="C18" i="11"/>
  <c r="C14" i="11"/>
  <c r="C10" i="11"/>
  <c r="C6" i="11"/>
  <c r="C7" i="10"/>
  <c r="K7" i="10" s="1"/>
  <c r="L7" i="10" s="1"/>
  <c r="C6" i="10"/>
  <c r="K6" i="10" s="1"/>
  <c r="E57" i="6"/>
  <c r="L167" i="4"/>
  <c r="Q167" i="4" s="1"/>
  <c r="T167" i="4" s="1"/>
  <c r="U167" i="4" s="1"/>
  <c r="L165" i="4"/>
  <c r="Q165" i="4" s="1"/>
  <c r="T165" i="4" s="1"/>
  <c r="U165" i="4" s="1"/>
  <c r="L163" i="4"/>
  <c r="Q163" i="4" s="1"/>
  <c r="T163" i="4" s="1"/>
  <c r="U163" i="4" s="1"/>
  <c r="F58" i="3"/>
  <c r="K58" i="3" s="1"/>
  <c r="G5" i="6"/>
  <c r="M2293" i="4"/>
  <c r="M2282" i="4"/>
  <c r="M2271" i="4"/>
  <c r="M2270" i="4"/>
  <c r="M2263" i="4"/>
  <c r="M2236" i="4"/>
  <c r="M2219" i="4"/>
  <c r="M2142" i="4"/>
  <c r="M2033" i="4"/>
  <c r="M1881" i="4"/>
  <c r="M1590" i="4"/>
  <c r="M1517" i="4"/>
  <c r="M1428" i="4"/>
  <c r="M1356" i="4"/>
  <c r="M1351" i="4"/>
  <c r="M1314" i="4"/>
  <c r="M1271" i="4"/>
  <c r="M1198" i="4"/>
  <c r="M1032" i="4"/>
  <c r="M1031" i="4"/>
  <c r="M968" i="4"/>
  <c r="M880" i="4"/>
  <c r="M859" i="4"/>
  <c r="M685" i="4"/>
  <c r="M671" i="4"/>
  <c r="M505" i="4"/>
  <c r="M487" i="4"/>
  <c r="M466" i="4"/>
  <c r="M410" i="4"/>
  <c r="M378" i="4"/>
  <c r="M308" i="4"/>
  <c r="M306" i="4"/>
  <c r="M276" i="4"/>
  <c r="M270" i="4"/>
  <c r="M175" i="4"/>
  <c r="M138" i="4"/>
  <c r="M118" i="4"/>
  <c r="M93" i="4"/>
  <c r="M32" i="4"/>
  <c r="K6" i="3"/>
  <c r="H5" i="6"/>
  <c r="N2293" i="4"/>
  <c r="N2282" i="4"/>
  <c r="N2271" i="4"/>
  <c r="N2270" i="4"/>
  <c r="N2263" i="4"/>
  <c r="N2236" i="4"/>
  <c r="N2219" i="4"/>
  <c r="N2142" i="4"/>
  <c r="N2033" i="4"/>
  <c r="N1881" i="4"/>
  <c r="N1590" i="4"/>
  <c r="N1517" i="4"/>
  <c r="N1428" i="4"/>
  <c r="N1356" i="4"/>
  <c r="N1351" i="4"/>
  <c r="N1314" i="4"/>
  <c r="N1271" i="4"/>
  <c r="N1198" i="4"/>
  <c r="N1032" i="4"/>
  <c r="N1031" i="4"/>
  <c r="N968" i="4"/>
  <c r="N880" i="4"/>
  <c r="N859" i="4"/>
  <c r="N685" i="4"/>
  <c r="N671" i="4"/>
  <c r="N505" i="4"/>
  <c r="N487" i="4"/>
  <c r="N466" i="4"/>
  <c r="N410" i="4"/>
  <c r="N378" i="4"/>
  <c r="N308" i="4"/>
  <c r="N306" i="4"/>
  <c r="N276" i="4"/>
  <c r="N270" i="4"/>
  <c r="N175" i="4"/>
  <c r="N138" i="4"/>
  <c r="N118" i="4"/>
  <c r="N93" i="4"/>
  <c r="N32" i="4"/>
  <c r="I5" i="6"/>
  <c r="P2293" i="4"/>
  <c r="P2282" i="4"/>
  <c r="P2271" i="4"/>
  <c r="P2270" i="4"/>
  <c r="P2263" i="4"/>
  <c r="P2236" i="4"/>
  <c r="P2219" i="4"/>
  <c r="P2142" i="4"/>
  <c r="P2033" i="4"/>
  <c r="P1881" i="4"/>
  <c r="P1590" i="4"/>
  <c r="P1517" i="4"/>
  <c r="P1428" i="4"/>
  <c r="P1356" i="4"/>
  <c r="P1351" i="4"/>
  <c r="P1314" i="4"/>
  <c r="P1271" i="4"/>
  <c r="P1198" i="4"/>
  <c r="P1032" i="4"/>
  <c r="P1031" i="4"/>
  <c r="P968" i="4"/>
  <c r="P880" i="4"/>
  <c r="P859" i="4"/>
  <c r="P685" i="4"/>
  <c r="P671" i="4"/>
  <c r="P505" i="4"/>
  <c r="P487" i="4"/>
  <c r="P466" i="4"/>
  <c r="P410" i="4"/>
  <c r="P378" i="4"/>
  <c r="P308" i="4"/>
  <c r="P306" i="4"/>
  <c r="P276" i="4"/>
  <c r="P270" i="4"/>
  <c r="P175" i="4"/>
  <c r="P138" i="4"/>
  <c r="P118" i="4"/>
  <c r="P93" i="4"/>
  <c r="P32" i="4"/>
  <c r="L6" i="3"/>
  <c r="G6" i="6"/>
  <c r="M1622" i="4"/>
  <c r="M867" i="4"/>
  <c r="K7" i="3"/>
  <c r="M7" i="3" s="1"/>
  <c r="N7" i="3" s="1"/>
  <c r="H6" i="6"/>
  <c r="N1622" i="4"/>
  <c r="N867" i="4"/>
  <c r="I6" i="6"/>
  <c r="P1622" i="4"/>
  <c r="P867" i="4"/>
  <c r="L7" i="3"/>
  <c r="G7" i="6"/>
  <c r="M2289" i="4"/>
  <c r="M2277" i="4"/>
  <c r="M2276" i="4"/>
  <c r="M2265" i="4"/>
  <c r="M2258" i="4"/>
  <c r="M2257" i="4"/>
  <c r="M2238" i="4"/>
  <c r="M2237" i="4"/>
  <c r="M2232" i="4"/>
  <c r="M2216" i="4"/>
  <c r="M2190" i="4"/>
  <c r="M2189" i="4"/>
  <c r="M2188" i="4"/>
  <c r="M2186" i="4"/>
  <c r="M2184" i="4"/>
  <c r="M2183" i="4"/>
  <c r="M2182" i="4"/>
  <c r="M2180" i="4"/>
  <c r="M2179" i="4"/>
  <c r="M2170" i="4"/>
  <c r="M2169" i="4"/>
  <c r="M2158" i="4"/>
  <c r="M2134" i="4"/>
  <c r="M2128" i="4"/>
  <c r="M2105" i="4"/>
  <c r="M2104" i="4"/>
  <c r="M2099" i="4"/>
  <c r="M2098" i="4"/>
  <c r="M2097" i="4"/>
  <c r="M2096" i="4"/>
  <c r="M2078" i="4"/>
  <c r="M2065" i="4"/>
  <c r="M2052" i="4"/>
  <c r="M2051" i="4"/>
  <c r="M2031" i="4"/>
  <c r="M2018" i="4"/>
  <c r="M2017" i="4"/>
  <c r="M2016" i="4"/>
  <c r="M2015" i="4"/>
  <c r="M2014" i="4"/>
  <c r="M2013" i="4"/>
  <c r="M2012" i="4"/>
  <c r="M2001" i="4"/>
  <c r="M2000" i="4"/>
  <c r="M1999" i="4"/>
  <c r="M1998" i="4"/>
  <c r="M1961" i="4"/>
  <c r="M1960" i="4"/>
  <c r="M1944" i="4"/>
  <c r="M1943" i="4"/>
  <c r="M1942" i="4"/>
  <c r="M1938" i="4"/>
  <c r="M1937" i="4"/>
  <c r="M1914" i="4"/>
  <c r="M1906" i="4"/>
  <c r="M1873" i="4"/>
  <c r="M1840" i="4"/>
  <c r="M1839" i="4"/>
  <c r="M1835" i="4"/>
  <c r="M1807" i="4"/>
  <c r="M1805" i="4"/>
  <c r="M1798" i="4"/>
  <c r="M1796" i="4"/>
  <c r="M1781" i="4"/>
  <c r="M1775" i="4"/>
  <c r="M1748" i="4"/>
  <c r="M1747" i="4"/>
  <c r="M1746" i="4"/>
  <c r="M1745" i="4"/>
  <c r="M1744" i="4"/>
  <c r="M1743" i="4"/>
  <c r="M1724" i="4"/>
  <c r="M1623" i="4"/>
  <c r="M1614" i="4"/>
  <c r="M1594" i="4"/>
  <c r="M1592" i="4"/>
  <c r="M1568" i="4"/>
  <c r="M1547" i="4"/>
  <c r="M1540" i="4"/>
  <c r="M1538" i="4"/>
  <c r="M1537" i="4"/>
  <c r="M1531" i="4"/>
  <c r="M1529" i="4"/>
  <c r="M1528" i="4"/>
  <c r="M1527" i="4"/>
  <c r="M1480" i="4"/>
  <c r="M1477" i="4"/>
  <c r="M1460" i="4"/>
  <c r="M1458" i="4"/>
  <c r="M1457" i="4"/>
  <c r="M1456" i="4"/>
  <c r="M1447" i="4"/>
  <c r="M1439" i="4"/>
  <c r="M1437" i="4"/>
  <c r="M1421" i="4"/>
  <c r="M1403" i="4"/>
  <c r="M1377" i="4"/>
  <c r="M1363" i="4"/>
  <c r="M1346" i="4"/>
  <c r="M1343" i="4"/>
  <c r="M1331" i="4"/>
  <c r="M1329" i="4"/>
  <c r="M1318" i="4"/>
  <c r="M1312" i="4"/>
  <c r="M1290" i="4"/>
  <c r="M1226" i="4"/>
  <c r="M1219" i="4"/>
  <c r="M1208" i="4"/>
  <c r="M1196" i="4"/>
  <c r="M1192" i="4"/>
  <c r="M1169" i="4"/>
  <c r="M1168" i="4"/>
  <c r="M1167" i="4"/>
  <c r="M1166" i="4"/>
  <c r="M1154" i="4"/>
  <c r="M1153" i="4"/>
  <c r="M1141" i="4"/>
  <c r="M1140" i="4"/>
  <c r="M1135" i="4"/>
  <c r="M1121" i="4"/>
  <c r="M1063" i="4"/>
  <c r="M1008" i="4"/>
  <c r="M989" i="4"/>
  <c r="M979" i="4"/>
  <c r="M907" i="4"/>
  <c r="M881" i="4"/>
  <c r="M871" i="4"/>
  <c r="M811" i="4"/>
  <c r="M776" i="4"/>
  <c r="M751" i="4"/>
  <c r="M750" i="4"/>
  <c r="M749" i="4"/>
  <c r="M748" i="4"/>
  <c r="M747" i="4"/>
  <c r="M746" i="4"/>
  <c r="M745" i="4"/>
  <c r="M744" i="4"/>
  <c r="M743" i="4"/>
  <c r="M742" i="4"/>
  <c r="M740" i="4"/>
  <c r="M739" i="4"/>
  <c r="M738" i="4"/>
  <c r="M737" i="4"/>
  <c r="M736" i="4"/>
  <c r="M735" i="4"/>
  <c r="M734" i="4"/>
  <c r="M733" i="4"/>
  <c r="M732" i="4"/>
  <c r="M731" i="4"/>
  <c r="M710" i="4"/>
  <c r="M709" i="4"/>
  <c r="M706" i="4"/>
  <c r="M696" i="4"/>
  <c r="M656" i="4"/>
  <c r="M655" i="4"/>
  <c r="M654" i="4"/>
  <c r="M640" i="4"/>
  <c r="M621" i="4"/>
  <c r="M602" i="4"/>
  <c r="M576" i="4"/>
  <c r="M565" i="4"/>
  <c r="M556" i="4"/>
  <c r="M549" i="4"/>
  <c r="M548" i="4"/>
  <c r="M547" i="4"/>
  <c r="M545" i="4"/>
  <c r="M544" i="4"/>
  <c r="M529" i="4"/>
  <c r="M525" i="4"/>
  <c r="M523" i="4"/>
  <c r="M521" i="4"/>
  <c r="M515" i="4"/>
  <c r="M514" i="4"/>
  <c r="M510" i="4"/>
  <c r="M509" i="4"/>
  <c r="M508" i="4"/>
  <c r="M488" i="4"/>
  <c r="M478" i="4"/>
  <c r="M472" i="4"/>
  <c r="M471" i="4"/>
  <c r="M424" i="4"/>
  <c r="M421" i="4"/>
  <c r="M418" i="4"/>
  <c r="M406" i="4"/>
  <c r="M405" i="4"/>
  <c r="M386" i="4"/>
  <c r="M385" i="4"/>
  <c r="M384" i="4"/>
  <c r="M355" i="4"/>
  <c r="M354" i="4"/>
  <c r="M340" i="4"/>
  <c r="M339" i="4"/>
  <c r="M338" i="4"/>
  <c r="M337" i="4"/>
  <c r="M336" i="4"/>
  <c r="M334" i="4"/>
  <c r="M326" i="4"/>
  <c r="M325" i="4"/>
  <c r="M322" i="4"/>
  <c r="M293" i="4"/>
  <c r="M285" i="4"/>
  <c r="M277" i="4"/>
  <c r="M238" i="4"/>
  <c r="M233" i="4"/>
  <c r="M218" i="4"/>
  <c r="M217" i="4"/>
  <c r="M214" i="4"/>
  <c r="M208" i="4"/>
  <c r="M206" i="4"/>
  <c r="M205" i="4"/>
  <c r="M204" i="4"/>
  <c r="M193" i="4"/>
  <c r="M189" i="4"/>
  <c r="M157" i="4"/>
  <c r="M152" i="4"/>
  <c r="M151" i="4"/>
  <c r="M149" i="4"/>
  <c r="M142" i="4"/>
  <c r="M128" i="4"/>
  <c r="M113" i="4"/>
  <c r="M112" i="4"/>
  <c r="M107" i="4"/>
  <c r="M102" i="4"/>
  <c r="M101" i="4"/>
  <c r="M100" i="4"/>
  <c r="M99" i="4"/>
  <c r="M98" i="4"/>
  <c r="M85" i="4"/>
  <c r="M83" i="4"/>
  <c r="M80" i="4"/>
  <c r="M74" i="4"/>
  <c r="M70" i="4"/>
  <c r="M60" i="4"/>
  <c r="M59" i="4"/>
  <c r="M48" i="4"/>
  <c r="M23" i="4"/>
  <c r="K8" i="3"/>
  <c r="M8" i="3" s="1"/>
  <c r="N8" i="3" s="1"/>
  <c r="H7" i="6"/>
  <c r="N2289" i="4"/>
  <c r="N2277" i="4"/>
  <c r="N2276" i="4"/>
  <c r="N2265" i="4"/>
  <c r="N2258" i="4"/>
  <c r="N2257" i="4"/>
  <c r="N2238" i="4"/>
  <c r="N2237" i="4"/>
  <c r="N2232" i="4"/>
  <c r="N2216" i="4"/>
  <c r="N2190" i="4"/>
  <c r="N2189" i="4"/>
  <c r="N2188" i="4"/>
  <c r="N2186" i="4"/>
  <c r="N2184" i="4"/>
  <c r="N2183" i="4"/>
  <c r="N2182" i="4"/>
  <c r="N2180" i="4"/>
  <c r="N2179" i="4"/>
  <c r="N2170" i="4"/>
  <c r="N2169" i="4"/>
  <c r="N2158" i="4"/>
  <c r="N2134" i="4"/>
  <c r="N2128" i="4"/>
  <c r="N2105" i="4"/>
  <c r="N2104" i="4"/>
  <c r="N2099" i="4"/>
  <c r="N2098" i="4"/>
  <c r="N2097" i="4"/>
  <c r="N2096" i="4"/>
  <c r="N2078" i="4"/>
  <c r="N2065" i="4"/>
  <c r="N2052" i="4"/>
  <c r="N2051" i="4"/>
  <c r="N2031" i="4"/>
  <c r="N2018" i="4"/>
  <c r="N2017" i="4"/>
  <c r="N2016" i="4"/>
  <c r="N2015" i="4"/>
  <c r="N2014" i="4"/>
  <c r="N2013" i="4"/>
  <c r="N2012" i="4"/>
  <c r="N2001" i="4"/>
  <c r="N2000" i="4"/>
  <c r="N1999" i="4"/>
  <c r="N1998" i="4"/>
  <c r="N1961" i="4"/>
  <c r="N1960" i="4"/>
  <c r="N1944" i="4"/>
  <c r="N1943" i="4"/>
  <c r="N1942" i="4"/>
  <c r="N1938" i="4"/>
  <c r="N1937" i="4"/>
  <c r="N1914" i="4"/>
  <c r="N1906" i="4"/>
  <c r="N1873" i="4"/>
  <c r="N1840" i="4"/>
  <c r="N1839" i="4"/>
  <c r="N1835" i="4"/>
  <c r="N1807" i="4"/>
  <c r="N1805" i="4"/>
  <c r="N1798" i="4"/>
  <c r="N1796" i="4"/>
  <c r="N1781" i="4"/>
  <c r="N1775" i="4"/>
  <c r="N1748" i="4"/>
  <c r="N1747" i="4"/>
  <c r="N1746" i="4"/>
  <c r="N1745" i="4"/>
  <c r="N1744" i="4"/>
  <c r="N1743" i="4"/>
  <c r="N1724" i="4"/>
  <c r="N1623" i="4"/>
  <c r="N1614" i="4"/>
  <c r="N1594" i="4"/>
  <c r="N1592" i="4"/>
  <c r="N1568" i="4"/>
  <c r="N1547" i="4"/>
  <c r="N1540" i="4"/>
  <c r="N1538" i="4"/>
  <c r="N1537" i="4"/>
  <c r="N1531" i="4"/>
  <c r="N1529" i="4"/>
  <c r="N1528" i="4"/>
  <c r="N1527" i="4"/>
  <c r="N1480" i="4"/>
  <c r="N1477" i="4"/>
  <c r="N1460" i="4"/>
  <c r="N1458" i="4"/>
  <c r="N1457" i="4"/>
  <c r="N1456" i="4"/>
  <c r="N1447" i="4"/>
  <c r="N1439" i="4"/>
  <c r="N1437" i="4"/>
  <c r="N1421" i="4"/>
  <c r="N1403" i="4"/>
  <c r="N1377" i="4"/>
  <c r="N1363" i="4"/>
  <c r="N1346" i="4"/>
  <c r="N1343" i="4"/>
  <c r="N1331" i="4"/>
  <c r="N1329" i="4"/>
  <c r="N1318" i="4"/>
  <c r="N1312" i="4"/>
  <c r="N1290" i="4"/>
  <c r="N1226" i="4"/>
  <c r="N1219" i="4"/>
  <c r="N1208" i="4"/>
  <c r="N1196" i="4"/>
  <c r="N1192" i="4"/>
  <c r="N1169" i="4"/>
  <c r="N1168" i="4"/>
  <c r="N1167" i="4"/>
  <c r="N1166" i="4"/>
  <c r="N1154" i="4"/>
  <c r="N1153" i="4"/>
  <c r="N1141" i="4"/>
  <c r="N1140" i="4"/>
  <c r="N1135" i="4"/>
  <c r="N1121" i="4"/>
  <c r="N1063" i="4"/>
  <c r="N1008" i="4"/>
  <c r="N989" i="4"/>
  <c r="N979" i="4"/>
  <c r="N907" i="4"/>
  <c r="N881" i="4"/>
  <c r="N871" i="4"/>
  <c r="N811" i="4"/>
  <c r="N776" i="4"/>
  <c r="N751" i="4"/>
  <c r="N750" i="4"/>
  <c r="N749" i="4"/>
  <c r="N748" i="4"/>
  <c r="N747" i="4"/>
  <c r="N746" i="4"/>
  <c r="N745" i="4"/>
  <c r="N744" i="4"/>
  <c r="N743" i="4"/>
  <c r="N742" i="4"/>
  <c r="N740" i="4"/>
  <c r="N739" i="4"/>
  <c r="N738" i="4"/>
  <c r="N737" i="4"/>
  <c r="N736" i="4"/>
  <c r="N735" i="4"/>
  <c r="N734" i="4"/>
  <c r="N733" i="4"/>
  <c r="N732" i="4"/>
  <c r="N731" i="4"/>
  <c r="N710" i="4"/>
  <c r="N709" i="4"/>
  <c r="N706" i="4"/>
  <c r="N696" i="4"/>
  <c r="N656" i="4"/>
  <c r="N655" i="4"/>
  <c r="N654" i="4"/>
  <c r="N640" i="4"/>
  <c r="N621" i="4"/>
  <c r="N602" i="4"/>
  <c r="N576" i="4"/>
  <c r="N565" i="4"/>
  <c r="N556" i="4"/>
  <c r="N549" i="4"/>
  <c r="N548" i="4"/>
  <c r="N547" i="4"/>
  <c r="N545" i="4"/>
  <c r="N544" i="4"/>
  <c r="N529" i="4"/>
  <c r="N525" i="4"/>
  <c r="N523" i="4"/>
  <c r="N521" i="4"/>
  <c r="N515" i="4"/>
  <c r="N514" i="4"/>
  <c r="N510" i="4"/>
  <c r="N509" i="4"/>
  <c r="N508" i="4"/>
  <c r="N488" i="4"/>
  <c r="N478" i="4"/>
  <c r="N472" i="4"/>
  <c r="N471" i="4"/>
  <c r="N424" i="4"/>
  <c r="N421" i="4"/>
  <c r="N418" i="4"/>
  <c r="N406" i="4"/>
  <c r="N405" i="4"/>
  <c r="N386" i="4"/>
  <c r="N385" i="4"/>
  <c r="N384" i="4"/>
  <c r="N355" i="4"/>
  <c r="N354" i="4"/>
  <c r="N340" i="4"/>
  <c r="N339" i="4"/>
  <c r="N338" i="4"/>
  <c r="N337" i="4"/>
  <c r="N336" i="4"/>
  <c r="N334" i="4"/>
  <c r="N326" i="4"/>
  <c r="N325" i="4"/>
  <c r="N322" i="4"/>
  <c r="N293" i="4"/>
  <c r="N285" i="4"/>
  <c r="N277" i="4"/>
  <c r="N238" i="4"/>
  <c r="N233" i="4"/>
  <c r="N218" i="4"/>
  <c r="N217" i="4"/>
  <c r="N214" i="4"/>
  <c r="N208" i="4"/>
  <c r="N206" i="4"/>
  <c r="N205" i="4"/>
  <c r="N204" i="4"/>
  <c r="N193" i="4"/>
  <c r="N189" i="4"/>
  <c r="N157" i="4"/>
  <c r="N152" i="4"/>
  <c r="N151" i="4"/>
  <c r="N149" i="4"/>
  <c r="N142" i="4"/>
  <c r="N128" i="4"/>
  <c r="N113" i="4"/>
  <c r="N112" i="4"/>
  <c r="N107" i="4"/>
  <c r="N102" i="4"/>
  <c r="N101" i="4"/>
  <c r="N100" i="4"/>
  <c r="N99" i="4"/>
  <c r="N98" i="4"/>
  <c r="N85" i="4"/>
  <c r="N83" i="4"/>
  <c r="N80" i="4"/>
  <c r="N74" i="4"/>
  <c r="N70" i="4"/>
  <c r="N60" i="4"/>
  <c r="N59" i="4"/>
  <c r="N48" i="4"/>
  <c r="N23" i="4"/>
  <c r="I7" i="6"/>
  <c r="P2289" i="4"/>
  <c r="P2277" i="4"/>
  <c r="P2276" i="4"/>
  <c r="P2265" i="4"/>
  <c r="P2258" i="4"/>
  <c r="P2257" i="4"/>
  <c r="P2238" i="4"/>
  <c r="P2237" i="4"/>
  <c r="P2232" i="4"/>
  <c r="P2216" i="4"/>
  <c r="P2190" i="4"/>
  <c r="P2189" i="4"/>
  <c r="P2188" i="4"/>
  <c r="P2186" i="4"/>
  <c r="P2184" i="4"/>
  <c r="P2183" i="4"/>
  <c r="P2182" i="4"/>
  <c r="P2180" i="4"/>
  <c r="P2179" i="4"/>
  <c r="P2170" i="4"/>
  <c r="P2169" i="4"/>
  <c r="P2158" i="4"/>
  <c r="P2134" i="4"/>
  <c r="P2128" i="4"/>
  <c r="P2105" i="4"/>
  <c r="P2104" i="4"/>
  <c r="P2099" i="4"/>
  <c r="P2098" i="4"/>
  <c r="P2097" i="4"/>
  <c r="P2096" i="4"/>
  <c r="P2078" i="4"/>
  <c r="P2065" i="4"/>
  <c r="P2052" i="4"/>
  <c r="P2051" i="4"/>
  <c r="P2031" i="4"/>
  <c r="P2018" i="4"/>
  <c r="P2017" i="4"/>
  <c r="P2016" i="4"/>
  <c r="P2015" i="4"/>
  <c r="P2014" i="4"/>
  <c r="P2013" i="4"/>
  <c r="P2012" i="4"/>
  <c r="P2001" i="4"/>
  <c r="P2000" i="4"/>
  <c r="P1999" i="4"/>
  <c r="P1998" i="4"/>
  <c r="P1961" i="4"/>
  <c r="P1960" i="4"/>
  <c r="P1944" i="4"/>
  <c r="P1943" i="4"/>
  <c r="P1942" i="4"/>
  <c r="P1938" i="4"/>
  <c r="P1937" i="4"/>
  <c r="P1914" i="4"/>
  <c r="P1906" i="4"/>
  <c r="P1873" i="4"/>
  <c r="P1840" i="4"/>
  <c r="P1839" i="4"/>
  <c r="P1835" i="4"/>
  <c r="P1807" i="4"/>
  <c r="P1805" i="4"/>
  <c r="P1798" i="4"/>
  <c r="P1796" i="4"/>
  <c r="P1781" i="4"/>
  <c r="P1775" i="4"/>
  <c r="P1748" i="4"/>
  <c r="P1747" i="4"/>
  <c r="P1746" i="4"/>
  <c r="P1745" i="4"/>
  <c r="P1744" i="4"/>
  <c r="P1743" i="4"/>
  <c r="P1724" i="4"/>
  <c r="P1623" i="4"/>
  <c r="P1614" i="4"/>
  <c r="P1594" i="4"/>
  <c r="P1592" i="4"/>
  <c r="P1568" i="4"/>
  <c r="P1547" i="4"/>
  <c r="P1540" i="4"/>
  <c r="P1538" i="4"/>
  <c r="P1537" i="4"/>
  <c r="P1531" i="4"/>
  <c r="P1529" i="4"/>
  <c r="P1528" i="4"/>
  <c r="P1527" i="4"/>
  <c r="P1480" i="4"/>
  <c r="P1477" i="4"/>
  <c r="P1460" i="4"/>
  <c r="P1458" i="4"/>
  <c r="P1457" i="4"/>
  <c r="P1456" i="4"/>
  <c r="P1447" i="4"/>
  <c r="P1439" i="4"/>
  <c r="P1437" i="4"/>
  <c r="P1421" i="4"/>
  <c r="P1403" i="4"/>
  <c r="P1377" i="4"/>
  <c r="P1363" i="4"/>
  <c r="P1346" i="4"/>
  <c r="P1343" i="4"/>
  <c r="P1331" i="4"/>
  <c r="P1329" i="4"/>
  <c r="P1318" i="4"/>
  <c r="P1312" i="4"/>
  <c r="P1290" i="4"/>
  <c r="P1226" i="4"/>
  <c r="P1219" i="4"/>
  <c r="P1208" i="4"/>
  <c r="P1196" i="4"/>
  <c r="P1192" i="4"/>
  <c r="P1169" i="4"/>
  <c r="P1168" i="4"/>
  <c r="P1167" i="4"/>
  <c r="P1166" i="4"/>
  <c r="P1154" i="4"/>
  <c r="P1153" i="4"/>
  <c r="P1141" i="4"/>
  <c r="P1140" i="4"/>
  <c r="P1135" i="4"/>
  <c r="P1121" i="4"/>
  <c r="P1063" i="4"/>
  <c r="P1008" i="4"/>
  <c r="P989" i="4"/>
  <c r="P979" i="4"/>
  <c r="P907" i="4"/>
  <c r="P881" i="4"/>
  <c r="P871" i="4"/>
  <c r="P811" i="4"/>
  <c r="P776" i="4"/>
  <c r="P751" i="4"/>
  <c r="P750" i="4"/>
  <c r="P749" i="4"/>
  <c r="P748" i="4"/>
  <c r="P747" i="4"/>
  <c r="P746" i="4"/>
  <c r="P745" i="4"/>
  <c r="P744" i="4"/>
  <c r="P743" i="4"/>
  <c r="P742" i="4"/>
  <c r="P740" i="4"/>
  <c r="P739" i="4"/>
  <c r="P738" i="4"/>
  <c r="P737" i="4"/>
  <c r="P736" i="4"/>
  <c r="P735" i="4"/>
  <c r="P734" i="4"/>
  <c r="P733" i="4"/>
  <c r="P732" i="4"/>
  <c r="P731" i="4"/>
  <c r="P710" i="4"/>
  <c r="P709" i="4"/>
  <c r="P706" i="4"/>
  <c r="P696" i="4"/>
  <c r="P656" i="4"/>
  <c r="P655" i="4"/>
  <c r="P654" i="4"/>
  <c r="P640" i="4"/>
  <c r="P621" i="4"/>
  <c r="P602" i="4"/>
  <c r="P576" i="4"/>
  <c r="P565" i="4"/>
  <c r="P556" i="4"/>
  <c r="P549" i="4"/>
  <c r="P548" i="4"/>
  <c r="P547" i="4"/>
  <c r="P545" i="4"/>
  <c r="P544" i="4"/>
  <c r="P529" i="4"/>
  <c r="P525" i="4"/>
  <c r="P523" i="4"/>
  <c r="P521" i="4"/>
  <c r="P515" i="4"/>
  <c r="P514" i="4"/>
  <c r="P510" i="4"/>
  <c r="P509" i="4"/>
  <c r="P508" i="4"/>
  <c r="P488" i="4"/>
  <c r="P478" i="4"/>
  <c r="P472" i="4"/>
  <c r="P471" i="4"/>
  <c r="P424" i="4"/>
  <c r="P421" i="4"/>
  <c r="P418" i="4"/>
  <c r="P406" i="4"/>
  <c r="P405" i="4"/>
  <c r="P386" i="4"/>
  <c r="P385" i="4"/>
  <c r="P384" i="4"/>
  <c r="P355" i="4"/>
  <c r="P354" i="4"/>
  <c r="P340" i="4"/>
  <c r="P339" i="4"/>
  <c r="P338" i="4"/>
  <c r="P337" i="4"/>
  <c r="P336" i="4"/>
  <c r="P334" i="4"/>
  <c r="P326" i="4"/>
  <c r="P325" i="4"/>
  <c r="P322" i="4"/>
  <c r="P293" i="4"/>
  <c r="P285" i="4"/>
  <c r="P277" i="4"/>
  <c r="P238" i="4"/>
  <c r="P233" i="4"/>
  <c r="P218" i="4"/>
  <c r="P217" i="4"/>
  <c r="P214" i="4"/>
  <c r="P208" i="4"/>
  <c r="P206" i="4"/>
  <c r="P205" i="4"/>
  <c r="P204" i="4"/>
  <c r="P193" i="4"/>
  <c r="P189" i="4"/>
  <c r="P157" i="4"/>
  <c r="P152" i="4"/>
  <c r="P151" i="4"/>
  <c r="P149" i="4"/>
  <c r="P142" i="4"/>
  <c r="P128" i="4"/>
  <c r="P113" i="4"/>
  <c r="P112" i="4"/>
  <c r="P107" i="4"/>
  <c r="P102" i="4"/>
  <c r="P101" i="4"/>
  <c r="P100" i="4"/>
  <c r="P99" i="4"/>
  <c r="P98" i="4"/>
  <c r="P85" i="4"/>
  <c r="P83" i="4"/>
  <c r="P80" i="4"/>
  <c r="P74" i="4"/>
  <c r="P70" i="4"/>
  <c r="P60" i="4"/>
  <c r="P59" i="4"/>
  <c r="P48" i="4"/>
  <c r="P23" i="4"/>
  <c r="L8" i="3"/>
  <c r="G8" i="6"/>
  <c r="M1011" i="4"/>
  <c r="M1010" i="4"/>
  <c r="M1009" i="4"/>
  <c r="M991" i="4"/>
  <c r="M990" i="4"/>
  <c r="M970" i="4"/>
  <c r="M846" i="4"/>
  <c r="M383" i="4"/>
  <c r="K9" i="3"/>
  <c r="M9" i="3" s="1"/>
  <c r="N9" i="3" s="1"/>
  <c r="H8" i="6"/>
  <c r="N1011" i="4"/>
  <c r="N1010" i="4"/>
  <c r="N1009" i="4"/>
  <c r="N991" i="4"/>
  <c r="N990" i="4"/>
  <c r="N970" i="4"/>
  <c r="N846" i="4"/>
  <c r="N383" i="4"/>
  <c r="I8" i="6"/>
  <c r="P1011" i="4"/>
  <c r="P1010" i="4"/>
  <c r="P1009" i="4"/>
  <c r="P991" i="4"/>
  <c r="P990" i="4"/>
  <c r="P970" i="4"/>
  <c r="P846" i="4"/>
  <c r="P383" i="4"/>
  <c r="L9" i="3"/>
  <c r="G9" i="6"/>
  <c r="M1699" i="4"/>
  <c r="M1698" i="4"/>
  <c r="M1697" i="4"/>
  <c r="M1690" i="4"/>
  <c r="M1657" i="4"/>
  <c r="M1640" i="4"/>
  <c r="M1631" i="4"/>
  <c r="M1630" i="4"/>
  <c r="M1565" i="4"/>
  <c r="M1563" i="4"/>
  <c r="M1562" i="4"/>
  <c r="M1561" i="4"/>
  <c r="M1560" i="4"/>
  <c r="M1559" i="4"/>
  <c r="M1558" i="4"/>
  <c r="M1556" i="4"/>
  <c r="M1555" i="4"/>
  <c r="M1554" i="4"/>
  <c r="M1553" i="4"/>
  <c r="M1552" i="4"/>
  <c r="M1511" i="4"/>
  <c r="M1490" i="4"/>
  <c r="M1472" i="4"/>
  <c r="M1471" i="4"/>
  <c r="M1467" i="4"/>
  <c r="M1462" i="4"/>
  <c r="M1441" i="4"/>
  <c r="M1440" i="4"/>
  <c r="M1436" i="4"/>
  <c r="M1435" i="4"/>
  <c r="M1434" i="4"/>
  <c r="M1433" i="4"/>
  <c r="M1432" i="4"/>
  <c r="M1430" i="4"/>
  <c r="M1353" i="4"/>
  <c r="M1352" i="4"/>
  <c r="M1348" i="4"/>
  <c r="M1347" i="4"/>
  <c r="M1345" i="4"/>
  <c r="M1305" i="4"/>
  <c r="M1302" i="4"/>
  <c r="M1301" i="4"/>
  <c r="M1276" i="4"/>
  <c r="M1216" i="4"/>
  <c r="M1213" i="4"/>
  <c r="M1190" i="4"/>
  <c r="M1187" i="4"/>
  <c r="M1186" i="4"/>
  <c r="M1182" i="4"/>
  <c r="M952" i="4"/>
  <c r="M946" i="4"/>
  <c r="M945" i="4"/>
  <c r="M906" i="4"/>
  <c r="M905" i="4"/>
  <c r="M526" i="4"/>
  <c r="M524" i="4"/>
  <c r="M522" i="4"/>
  <c r="M486" i="4"/>
  <c r="M485" i="4"/>
  <c r="M484" i="4"/>
  <c r="M133" i="4"/>
  <c r="M132" i="4"/>
  <c r="M130" i="4"/>
  <c r="M127" i="4"/>
  <c r="M126" i="4"/>
  <c r="M124" i="4"/>
  <c r="M122" i="4"/>
  <c r="M121" i="4"/>
  <c r="M120" i="4"/>
  <c r="M119" i="4"/>
  <c r="M30" i="4"/>
  <c r="M28" i="4"/>
  <c r="M27" i="4"/>
  <c r="M16" i="4"/>
  <c r="K10" i="3"/>
  <c r="M10" i="3" s="1"/>
  <c r="N10" i="3" s="1"/>
  <c r="H9" i="6"/>
  <c r="N1699" i="4"/>
  <c r="N1698" i="4"/>
  <c r="N1697" i="4"/>
  <c r="N1690" i="4"/>
  <c r="N1657" i="4"/>
  <c r="N1640" i="4"/>
  <c r="N1631" i="4"/>
  <c r="N1630" i="4"/>
  <c r="N1565" i="4"/>
  <c r="N1563" i="4"/>
  <c r="N1562" i="4"/>
  <c r="N1561" i="4"/>
  <c r="N1560" i="4"/>
  <c r="N1559" i="4"/>
  <c r="N1558" i="4"/>
  <c r="N1556" i="4"/>
  <c r="N1555" i="4"/>
  <c r="N1554" i="4"/>
  <c r="N1553" i="4"/>
  <c r="N1552" i="4"/>
  <c r="N1511" i="4"/>
  <c r="N1490" i="4"/>
  <c r="N1472" i="4"/>
  <c r="N1471" i="4"/>
  <c r="N1467" i="4"/>
  <c r="N1462" i="4"/>
  <c r="N1441" i="4"/>
  <c r="N1440" i="4"/>
  <c r="N1436" i="4"/>
  <c r="N1435" i="4"/>
  <c r="N1434" i="4"/>
  <c r="N1433" i="4"/>
  <c r="N1432" i="4"/>
  <c r="N1430" i="4"/>
  <c r="N1353" i="4"/>
  <c r="N1352" i="4"/>
  <c r="N1348" i="4"/>
  <c r="N1347" i="4"/>
  <c r="N1345" i="4"/>
  <c r="N1305" i="4"/>
  <c r="N1302" i="4"/>
  <c r="N1301" i="4"/>
  <c r="N1276" i="4"/>
  <c r="N1216" i="4"/>
  <c r="N1213" i="4"/>
  <c r="N1190" i="4"/>
  <c r="N1187" i="4"/>
  <c r="N1186" i="4"/>
  <c r="N1182" i="4"/>
  <c r="N952" i="4"/>
  <c r="N946" i="4"/>
  <c r="N945" i="4"/>
  <c r="N906" i="4"/>
  <c r="N905" i="4"/>
  <c r="N526" i="4"/>
  <c r="N524" i="4"/>
  <c r="N522" i="4"/>
  <c r="N486" i="4"/>
  <c r="N485" i="4"/>
  <c r="N484" i="4"/>
  <c r="N133" i="4"/>
  <c r="N132" i="4"/>
  <c r="N130" i="4"/>
  <c r="N127" i="4"/>
  <c r="N126" i="4"/>
  <c r="N124" i="4"/>
  <c r="N122" i="4"/>
  <c r="N121" i="4"/>
  <c r="N120" i="4"/>
  <c r="N119" i="4"/>
  <c r="N30" i="4"/>
  <c r="N28" i="4"/>
  <c r="N27" i="4"/>
  <c r="N16" i="4"/>
  <c r="I9" i="6"/>
  <c r="P1699" i="4"/>
  <c r="P1698" i="4"/>
  <c r="P1697" i="4"/>
  <c r="P1690" i="4"/>
  <c r="P1657" i="4"/>
  <c r="P1640" i="4"/>
  <c r="P1631" i="4"/>
  <c r="P1630" i="4"/>
  <c r="P1565" i="4"/>
  <c r="P1563" i="4"/>
  <c r="P1562" i="4"/>
  <c r="P1561" i="4"/>
  <c r="P1560" i="4"/>
  <c r="P1559" i="4"/>
  <c r="P1558" i="4"/>
  <c r="P1556" i="4"/>
  <c r="P1555" i="4"/>
  <c r="P1554" i="4"/>
  <c r="P1553" i="4"/>
  <c r="P1552" i="4"/>
  <c r="P1511" i="4"/>
  <c r="P1490" i="4"/>
  <c r="P1472" i="4"/>
  <c r="P1471" i="4"/>
  <c r="P1467" i="4"/>
  <c r="P1462" i="4"/>
  <c r="P1441" i="4"/>
  <c r="P1440" i="4"/>
  <c r="P1436" i="4"/>
  <c r="P1435" i="4"/>
  <c r="P1434" i="4"/>
  <c r="P1433" i="4"/>
  <c r="P1432" i="4"/>
  <c r="P1430" i="4"/>
  <c r="P1353" i="4"/>
  <c r="P1352" i="4"/>
  <c r="P1348" i="4"/>
  <c r="P1347" i="4"/>
  <c r="P1345" i="4"/>
  <c r="P1305" i="4"/>
  <c r="P1302" i="4"/>
  <c r="P1301" i="4"/>
  <c r="P1276" i="4"/>
  <c r="P1216" i="4"/>
  <c r="P1213" i="4"/>
  <c r="P1190" i="4"/>
  <c r="P1187" i="4"/>
  <c r="P1186" i="4"/>
  <c r="P1182" i="4"/>
  <c r="P952" i="4"/>
  <c r="P946" i="4"/>
  <c r="P945" i="4"/>
  <c r="P906" i="4"/>
  <c r="P905" i="4"/>
  <c r="P526" i="4"/>
  <c r="P524" i="4"/>
  <c r="P522" i="4"/>
  <c r="P486" i="4"/>
  <c r="P485" i="4"/>
  <c r="P484" i="4"/>
  <c r="P133" i="4"/>
  <c r="P132" i="4"/>
  <c r="P130" i="4"/>
  <c r="P127" i="4"/>
  <c r="P126" i="4"/>
  <c r="P124" i="4"/>
  <c r="P122" i="4"/>
  <c r="P121" i="4"/>
  <c r="P120" i="4"/>
  <c r="P119" i="4"/>
  <c r="P30" i="4"/>
  <c r="P28" i="4"/>
  <c r="P27" i="4"/>
  <c r="P16" i="4"/>
  <c r="L10" i="3"/>
  <c r="G10" i="6"/>
  <c r="M963" i="4"/>
  <c r="M962" i="4"/>
  <c r="M961" i="4"/>
  <c r="M944" i="4"/>
  <c r="M891" i="4"/>
  <c r="M883" i="4"/>
  <c r="M882" i="4"/>
  <c r="M879" i="4"/>
  <c r="M878" i="4"/>
  <c r="M877" i="4"/>
  <c r="M876" i="4"/>
  <c r="K11" i="3"/>
  <c r="M11" i="3" s="1"/>
  <c r="N11" i="3" s="1"/>
  <c r="H10" i="6"/>
  <c r="N963" i="4"/>
  <c r="N962" i="4"/>
  <c r="N961" i="4"/>
  <c r="N944" i="4"/>
  <c r="N891" i="4"/>
  <c r="N883" i="4"/>
  <c r="N882" i="4"/>
  <c r="N879" i="4"/>
  <c r="N878" i="4"/>
  <c r="N877" i="4"/>
  <c r="N876" i="4"/>
  <c r="I10" i="6"/>
  <c r="P963" i="4"/>
  <c r="P962" i="4"/>
  <c r="P961" i="4"/>
  <c r="P944" i="4"/>
  <c r="P891" i="4"/>
  <c r="P883" i="4"/>
  <c r="P882" i="4"/>
  <c r="P879" i="4"/>
  <c r="P878" i="4"/>
  <c r="P877" i="4"/>
  <c r="P876" i="4"/>
  <c r="L11" i="3"/>
  <c r="G11" i="6"/>
  <c r="M899" i="4"/>
  <c r="M898" i="4"/>
  <c r="M587" i="4"/>
  <c r="M583" i="4"/>
  <c r="M582" i="4"/>
  <c r="M575" i="4"/>
  <c r="M330" i="4"/>
  <c r="M328" i="4"/>
  <c r="M327" i="4"/>
  <c r="K12" i="3"/>
  <c r="M12" i="3" s="1"/>
  <c r="N12" i="3" s="1"/>
  <c r="H11" i="6"/>
  <c r="N899" i="4"/>
  <c r="N898" i="4"/>
  <c r="N587" i="4"/>
  <c r="N583" i="4"/>
  <c r="N582" i="4"/>
  <c r="N575" i="4"/>
  <c r="N330" i="4"/>
  <c r="N328" i="4"/>
  <c r="N327" i="4"/>
  <c r="I11" i="6"/>
  <c r="P899" i="4"/>
  <c r="P898" i="4"/>
  <c r="P587" i="4"/>
  <c r="P583" i="4"/>
  <c r="P582" i="4"/>
  <c r="P575" i="4"/>
  <c r="P330" i="4"/>
  <c r="P328" i="4"/>
  <c r="P327" i="4"/>
  <c r="L12" i="3"/>
  <c r="G12" i="6"/>
  <c r="M844" i="4"/>
  <c r="K13" i="3"/>
  <c r="M13" i="3" s="1"/>
  <c r="N13" i="3" s="1"/>
  <c r="H12" i="6"/>
  <c r="N844" i="4"/>
  <c r="I12" i="6"/>
  <c r="P844" i="4"/>
  <c r="L13" i="3"/>
  <c r="G13" i="6"/>
  <c r="M838" i="4"/>
  <c r="K14" i="3"/>
  <c r="M14" i="3" s="1"/>
  <c r="N14" i="3" s="1"/>
  <c r="H13" i="6"/>
  <c r="N838" i="4"/>
  <c r="I13" i="6"/>
  <c r="P838" i="4"/>
  <c r="L14" i="3"/>
  <c r="G14" i="6"/>
  <c r="M2086" i="4"/>
  <c r="M2085" i="4"/>
  <c r="M2066" i="4"/>
  <c r="M2062" i="4"/>
  <c r="M2060" i="4"/>
  <c r="M2056" i="4"/>
  <c r="M2054" i="4"/>
  <c r="M2048" i="4"/>
  <c r="M1122" i="4"/>
  <c r="M1120" i="4"/>
  <c r="M1117" i="4"/>
  <c r="M708" i="4"/>
  <c r="M699" i="4"/>
  <c r="M698" i="4"/>
  <c r="M695" i="4"/>
  <c r="M269" i="4"/>
  <c r="M268" i="4"/>
  <c r="M267" i="4"/>
  <c r="M266" i="4"/>
  <c r="K15" i="3"/>
  <c r="M15" i="3" s="1"/>
  <c r="N15" i="3" s="1"/>
  <c r="H14" i="6"/>
  <c r="N2086" i="4"/>
  <c r="N2085" i="4"/>
  <c r="N2066" i="4"/>
  <c r="N2062" i="4"/>
  <c r="N2060" i="4"/>
  <c r="N2056" i="4"/>
  <c r="N2054" i="4"/>
  <c r="N2048" i="4"/>
  <c r="N1122" i="4"/>
  <c r="N1120" i="4"/>
  <c r="N1117" i="4"/>
  <c r="N708" i="4"/>
  <c r="N699" i="4"/>
  <c r="N698" i="4"/>
  <c r="N695" i="4"/>
  <c r="N269" i="4"/>
  <c r="N268" i="4"/>
  <c r="N267" i="4"/>
  <c r="N266" i="4"/>
  <c r="I14" i="6"/>
  <c r="P2086" i="4"/>
  <c r="P2085" i="4"/>
  <c r="P2066" i="4"/>
  <c r="P2062" i="4"/>
  <c r="P2060" i="4"/>
  <c r="P2056" i="4"/>
  <c r="P2054" i="4"/>
  <c r="P2048" i="4"/>
  <c r="P1122" i="4"/>
  <c r="P1120" i="4"/>
  <c r="P1117" i="4"/>
  <c r="P708" i="4"/>
  <c r="P699" i="4"/>
  <c r="P698" i="4"/>
  <c r="P695" i="4"/>
  <c r="P269" i="4"/>
  <c r="P268" i="4"/>
  <c r="P267" i="4"/>
  <c r="P266" i="4"/>
  <c r="L15" i="3"/>
  <c r="G15" i="6"/>
  <c r="M2135" i="4"/>
  <c r="M1838" i="4"/>
  <c r="M1828" i="4"/>
  <c r="M1788" i="4"/>
  <c r="M1782" i="4"/>
  <c r="M1772" i="4"/>
  <c r="M1770" i="4"/>
  <c r="M1515" i="4"/>
  <c r="M1277" i="4"/>
  <c r="M1156" i="4"/>
  <c r="M1150" i="4"/>
  <c r="M1128" i="4"/>
  <c r="M1114" i="4"/>
  <c r="M915" i="4"/>
  <c r="M292" i="4"/>
  <c r="M245" i="4"/>
  <c r="M169" i="4"/>
  <c r="M136" i="4"/>
  <c r="M13" i="4"/>
  <c r="K16" i="3"/>
  <c r="M16" i="3" s="1"/>
  <c r="N16" i="3" s="1"/>
  <c r="H15" i="6"/>
  <c r="N2135" i="4"/>
  <c r="N1838" i="4"/>
  <c r="N1828" i="4"/>
  <c r="N1788" i="4"/>
  <c r="N1782" i="4"/>
  <c r="N1772" i="4"/>
  <c r="N1770" i="4"/>
  <c r="N1515" i="4"/>
  <c r="N1277" i="4"/>
  <c r="N1156" i="4"/>
  <c r="N1150" i="4"/>
  <c r="N1128" i="4"/>
  <c r="N1114" i="4"/>
  <c r="N915" i="4"/>
  <c r="N292" i="4"/>
  <c r="N245" i="4"/>
  <c r="N169" i="4"/>
  <c r="N136" i="4"/>
  <c r="N13" i="4"/>
  <c r="I15" i="6"/>
  <c r="P2135" i="4"/>
  <c r="P1838" i="4"/>
  <c r="P1828" i="4"/>
  <c r="P1788" i="4"/>
  <c r="P1782" i="4"/>
  <c r="P1772" i="4"/>
  <c r="P1770" i="4"/>
  <c r="P1515" i="4"/>
  <c r="P1277" i="4"/>
  <c r="P1156" i="4"/>
  <c r="P1150" i="4"/>
  <c r="P1128" i="4"/>
  <c r="P1114" i="4"/>
  <c r="P915" i="4"/>
  <c r="P292" i="4"/>
  <c r="P245" i="4"/>
  <c r="P169" i="4"/>
  <c r="P136" i="4"/>
  <c r="P13" i="4"/>
  <c r="L16" i="3"/>
  <c r="G16" i="6"/>
  <c r="M2140" i="4"/>
  <c r="M2037" i="4"/>
  <c r="M1610" i="4"/>
  <c r="M1514" i="4"/>
  <c r="M1364" i="4"/>
  <c r="M1311" i="4"/>
  <c r="M1248" i="4"/>
  <c r="M1197" i="4"/>
  <c r="M1181" i="4"/>
  <c r="M967" i="4"/>
  <c r="M872" i="4"/>
  <c r="M670" i="4"/>
  <c r="M171" i="4"/>
  <c r="M170" i="4"/>
  <c r="M12" i="4"/>
  <c r="K17" i="3"/>
  <c r="M17" i="3" s="1"/>
  <c r="N17" i="3" s="1"/>
  <c r="H16" i="6"/>
  <c r="N2140" i="4"/>
  <c r="N2037" i="4"/>
  <c r="N1610" i="4"/>
  <c r="N1514" i="4"/>
  <c r="N1364" i="4"/>
  <c r="N1311" i="4"/>
  <c r="N1248" i="4"/>
  <c r="N1197" i="4"/>
  <c r="N1181" i="4"/>
  <c r="N967" i="4"/>
  <c r="N872" i="4"/>
  <c r="N670" i="4"/>
  <c r="N171" i="4"/>
  <c r="N170" i="4"/>
  <c r="N12" i="4"/>
  <c r="I16" i="6"/>
  <c r="P2140" i="4"/>
  <c r="P2037" i="4"/>
  <c r="P1610" i="4"/>
  <c r="P1514" i="4"/>
  <c r="P1364" i="4"/>
  <c r="P1311" i="4"/>
  <c r="P1248" i="4"/>
  <c r="P1197" i="4"/>
  <c r="P1181" i="4"/>
  <c r="P967" i="4"/>
  <c r="P872" i="4"/>
  <c r="P670" i="4"/>
  <c r="P171" i="4"/>
  <c r="P170" i="4"/>
  <c r="P12" i="4"/>
  <c r="L17" i="3"/>
  <c r="G17" i="6"/>
  <c r="M2087" i="4"/>
  <c r="M2070" i="4"/>
  <c r="M2068" i="4"/>
  <c r="M1803" i="4"/>
  <c r="M1408" i="4"/>
  <c r="M1407" i="4"/>
  <c r="M1406" i="4"/>
  <c r="M1405" i="4"/>
  <c r="M1382" i="4"/>
  <c r="M1381" i="4"/>
  <c r="M1380" i="4"/>
  <c r="M1379" i="4"/>
  <c r="M1241" i="4"/>
  <c r="M1125" i="4"/>
  <c r="M1124" i="4"/>
  <c r="M892" i="4"/>
  <c r="M890" i="4"/>
  <c r="M888" i="4"/>
  <c r="M712" i="4"/>
  <c r="M711" i="4"/>
  <c r="M249" i="4"/>
  <c r="M247" i="4"/>
  <c r="K18" i="3"/>
  <c r="M18" i="3" s="1"/>
  <c r="N18" i="3" s="1"/>
  <c r="H17" i="6"/>
  <c r="N2087" i="4"/>
  <c r="N2070" i="4"/>
  <c r="N2068" i="4"/>
  <c r="N1803" i="4"/>
  <c r="N1408" i="4"/>
  <c r="N1407" i="4"/>
  <c r="N1406" i="4"/>
  <c r="N1405" i="4"/>
  <c r="N1382" i="4"/>
  <c r="N1381" i="4"/>
  <c r="N1380" i="4"/>
  <c r="N1379" i="4"/>
  <c r="N1241" i="4"/>
  <c r="N1125" i="4"/>
  <c r="N1124" i="4"/>
  <c r="N892" i="4"/>
  <c r="N890" i="4"/>
  <c r="N888" i="4"/>
  <c r="N712" i="4"/>
  <c r="N711" i="4"/>
  <c r="N249" i="4"/>
  <c r="N247" i="4"/>
  <c r="I17" i="6"/>
  <c r="P2087" i="4"/>
  <c r="P2070" i="4"/>
  <c r="P2068" i="4"/>
  <c r="P1803" i="4"/>
  <c r="P1408" i="4"/>
  <c r="P1407" i="4"/>
  <c r="P1406" i="4"/>
  <c r="P1405" i="4"/>
  <c r="P1382" i="4"/>
  <c r="P1381" i="4"/>
  <c r="P1380" i="4"/>
  <c r="P1379" i="4"/>
  <c r="P1241" i="4"/>
  <c r="P1125" i="4"/>
  <c r="P1124" i="4"/>
  <c r="P892" i="4"/>
  <c r="P890" i="4"/>
  <c r="P888" i="4"/>
  <c r="P712" i="4"/>
  <c r="P711" i="4"/>
  <c r="P249" i="4"/>
  <c r="P247" i="4"/>
  <c r="L18" i="3"/>
  <c r="G18" i="6"/>
  <c r="M2073" i="4"/>
  <c r="M2072" i="4"/>
  <c r="M2071" i="4"/>
  <c r="M1801" i="4"/>
  <c r="M889" i="4"/>
  <c r="M714" i="4"/>
  <c r="M713" i="4"/>
  <c r="M250" i="4"/>
  <c r="M248" i="4"/>
  <c r="K19" i="3"/>
  <c r="M19" i="3" s="1"/>
  <c r="N19" i="3" s="1"/>
  <c r="H18" i="6"/>
  <c r="N2073" i="4"/>
  <c r="N2072" i="4"/>
  <c r="N2071" i="4"/>
  <c r="N1801" i="4"/>
  <c r="N889" i="4"/>
  <c r="N714" i="4"/>
  <c r="N713" i="4"/>
  <c r="N250" i="4"/>
  <c r="N248" i="4"/>
  <c r="I18" i="6"/>
  <c r="P2073" i="4"/>
  <c r="P2072" i="4"/>
  <c r="P2071" i="4"/>
  <c r="P1801" i="4"/>
  <c r="P889" i="4"/>
  <c r="P714" i="4"/>
  <c r="P713" i="4"/>
  <c r="P250" i="4"/>
  <c r="P248" i="4"/>
  <c r="L19" i="3"/>
  <c r="G19" i="6"/>
  <c r="M1139" i="4"/>
  <c r="M1138" i="4"/>
  <c r="K20" i="3"/>
  <c r="M20" i="3" s="1"/>
  <c r="N20" i="3" s="1"/>
  <c r="H19" i="6"/>
  <c r="N1139" i="4"/>
  <c r="N1138" i="4"/>
  <c r="I19" i="6"/>
  <c r="P1139" i="4"/>
  <c r="P1138" i="4"/>
  <c r="L20" i="3"/>
  <c r="G20" i="6"/>
  <c r="M2178" i="4"/>
  <c r="M2029" i="4"/>
  <c r="M1825" i="4"/>
  <c r="M1518" i="4"/>
  <c r="M1362" i="4"/>
  <c r="M1316" i="4"/>
  <c r="M1185" i="4"/>
  <c r="M1043" i="4"/>
  <c r="M971" i="4"/>
  <c r="M684" i="4"/>
  <c r="M5" i="4"/>
  <c r="K21" i="3"/>
  <c r="M21" i="3" s="1"/>
  <c r="N21" i="3" s="1"/>
  <c r="H20" i="6"/>
  <c r="N2178" i="4"/>
  <c r="N2029" i="4"/>
  <c r="N1825" i="4"/>
  <c r="N1518" i="4"/>
  <c r="N1362" i="4"/>
  <c r="N1316" i="4"/>
  <c r="N1185" i="4"/>
  <c r="N1043" i="4"/>
  <c r="N971" i="4"/>
  <c r="N684" i="4"/>
  <c r="N5" i="4"/>
  <c r="I20" i="6"/>
  <c r="P2178" i="4"/>
  <c r="P2029" i="4"/>
  <c r="P1825" i="4"/>
  <c r="P1518" i="4"/>
  <c r="P1362" i="4"/>
  <c r="P1316" i="4"/>
  <c r="P1185" i="4"/>
  <c r="P1043" i="4"/>
  <c r="P971" i="4"/>
  <c r="P684" i="4"/>
  <c r="P5" i="4"/>
  <c r="L21" i="3"/>
  <c r="G21" i="6"/>
  <c r="M314" i="4"/>
  <c r="K22" i="3"/>
  <c r="M22" i="3" s="1"/>
  <c r="N22" i="3" s="1"/>
  <c r="H21" i="6"/>
  <c r="N314" i="4"/>
  <c r="I21" i="6"/>
  <c r="P314" i="4"/>
  <c r="L22" i="3"/>
  <c r="G22" i="6"/>
  <c r="M868" i="4"/>
  <c r="K23" i="3"/>
  <c r="M23" i="3" s="1"/>
  <c r="N23" i="3" s="1"/>
  <c r="H22" i="6"/>
  <c r="N868" i="4"/>
  <c r="I22" i="6"/>
  <c r="P868" i="4"/>
  <c r="L23" i="3"/>
  <c r="G23" i="6"/>
  <c r="M2084" i="4"/>
  <c r="M2083" i="4"/>
  <c r="M2061" i="4"/>
  <c r="M2059" i="4"/>
  <c r="M2055" i="4"/>
  <c r="M2053" i="4"/>
  <c r="M2049" i="4"/>
  <c r="M2047" i="4"/>
  <c r="M1404" i="4"/>
  <c r="M1401" i="4"/>
  <c r="M1378" i="4"/>
  <c r="M1376" i="4"/>
  <c r="M1118" i="4"/>
  <c r="M1115" i="4"/>
  <c r="M926" i="4"/>
  <c r="M924" i="4"/>
  <c r="M922" i="4"/>
  <c r="M920" i="4"/>
  <c r="M849" i="4"/>
  <c r="M707" i="4"/>
  <c r="M700" i="4"/>
  <c r="M697" i="4"/>
  <c r="M694" i="4"/>
  <c r="M262" i="4"/>
  <c r="M260" i="4"/>
  <c r="M258" i="4"/>
  <c r="M256" i="4"/>
  <c r="M254" i="4"/>
  <c r="M251" i="4"/>
  <c r="K24" i="3"/>
  <c r="M24" i="3" s="1"/>
  <c r="N24" i="3" s="1"/>
  <c r="H23" i="6"/>
  <c r="N2084" i="4"/>
  <c r="N2083" i="4"/>
  <c r="N2061" i="4"/>
  <c r="N2059" i="4"/>
  <c r="N2055" i="4"/>
  <c r="N2053" i="4"/>
  <c r="N2049" i="4"/>
  <c r="N2047" i="4"/>
  <c r="N1404" i="4"/>
  <c r="N1401" i="4"/>
  <c r="N1378" i="4"/>
  <c r="N1376" i="4"/>
  <c r="N1118" i="4"/>
  <c r="N1115" i="4"/>
  <c r="N926" i="4"/>
  <c r="N924" i="4"/>
  <c r="N922" i="4"/>
  <c r="N920" i="4"/>
  <c r="N849" i="4"/>
  <c r="N707" i="4"/>
  <c r="N700" i="4"/>
  <c r="N697" i="4"/>
  <c r="N694" i="4"/>
  <c r="N262" i="4"/>
  <c r="N260" i="4"/>
  <c r="N258" i="4"/>
  <c r="N256" i="4"/>
  <c r="N254" i="4"/>
  <c r="N251" i="4"/>
  <c r="I23" i="6"/>
  <c r="P2084" i="4"/>
  <c r="P2083" i="4"/>
  <c r="P2061" i="4"/>
  <c r="P2059" i="4"/>
  <c r="P2055" i="4"/>
  <c r="P2053" i="4"/>
  <c r="P2049" i="4"/>
  <c r="P2047" i="4"/>
  <c r="P1404" i="4"/>
  <c r="P1401" i="4"/>
  <c r="P1378" i="4"/>
  <c r="P1376" i="4"/>
  <c r="P1118" i="4"/>
  <c r="P1115" i="4"/>
  <c r="P926" i="4"/>
  <c r="P924" i="4"/>
  <c r="P922" i="4"/>
  <c r="P920" i="4"/>
  <c r="P849" i="4"/>
  <c r="P707" i="4"/>
  <c r="P700" i="4"/>
  <c r="P697" i="4"/>
  <c r="P694" i="4"/>
  <c r="P262" i="4"/>
  <c r="P260" i="4"/>
  <c r="P258" i="4"/>
  <c r="P256" i="4"/>
  <c r="P254" i="4"/>
  <c r="P251" i="4"/>
  <c r="L24" i="3"/>
  <c r="G24" i="6"/>
  <c r="M2292" i="4"/>
  <c r="M2291" i="4"/>
  <c r="M2290" i="4"/>
  <c r="M2287" i="4"/>
  <c r="M2281" i="4"/>
  <c r="M2280" i="4"/>
  <c r="M2279" i="4"/>
  <c r="M2278" i="4"/>
  <c r="M2262" i="4"/>
  <c r="M2256" i="4"/>
  <c r="M2255" i="4"/>
  <c r="M2254" i="4"/>
  <c r="M2253" i="4"/>
  <c r="M2252" i="4"/>
  <c r="M2251" i="4"/>
  <c r="M2244" i="4"/>
  <c r="M2243" i="4"/>
  <c r="M2242" i="4"/>
  <c r="M2241" i="4"/>
  <c r="M2240" i="4"/>
  <c r="M2239" i="4"/>
  <c r="M2231" i="4"/>
  <c r="M2230" i="4"/>
  <c r="M2229" i="4"/>
  <c r="M2228" i="4"/>
  <c r="M2227" i="4"/>
  <c r="M2226" i="4"/>
  <c r="M2225" i="4"/>
  <c r="M2215" i="4"/>
  <c r="M2214" i="4"/>
  <c r="M2213" i="4"/>
  <c r="M2212" i="4"/>
  <c r="M2211" i="4"/>
  <c r="M2210" i="4"/>
  <c r="M2209" i="4"/>
  <c r="M2199" i="4"/>
  <c r="M2198" i="4"/>
  <c r="M2197" i="4"/>
  <c r="M2187" i="4"/>
  <c r="M2185" i="4"/>
  <c r="M2174" i="4"/>
  <c r="M2168" i="4"/>
  <c r="M2167" i="4"/>
  <c r="M2166" i="4"/>
  <c r="M2165" i="4"/>
  <c r="M2164" i="4"/>
  <c r="M2163" i="4"/>
  <c r="M2162" i="4"/>
  <c r="M2157" i="4"/>
  <c r="M2156" i="4"/>
  <c r="M2155" i="4"/>
  <c r="M2154" i="4"/>
  <c r="M2153" i="4"/>
  <c r="M2152" i="4"/>
  <c r="M2151" i="4"/>
  <c r="M2150" i="4"/>
  <c r="M2123" i="4"/>
  <c r="M2122" i="4"/>
  <c r="M2121" i="4"/>
  <c r="M2120" i="4"/>
  <c r="M2119" i="4"/>
  <c r="M2118" i="4"/>
  <c r="M2100" i="4"/>
  <c r="M2095" i="4"/>
  <c r="M2009" i="4"/>
  <c r="M1997" i="4"/>
  <c r="M1994" i="4"/>
  <c r="M1986" i="4"/>
  <c r="M1981" i="4"/>
  <c r="M1977" i="4"/>
  <c r="M1974" i="4"/>
  <c r="M1971" i="4"/>
  <c r="M1964" i="4"/>
  <c r="M1958" i="4"/>
  <c r="M1956" i="4"/>
  <c r="M1952" i="4"/>
  <c r="M1950" i="4"/>
  <c r="M1948" i="4"/>
  <c r="M1940" i="4"/>
  <c r="M1934" i="4"/>
  <c r="M1932" i="4"/>
  <c r="M1925" i="4"/>
  <c r="M1923" i="4"/>
  <c r="M1921" i="4"/>
  <c r="M1919" i="4"/>
  <c r="M1917" i="4"/>
  <c r="M1905" i="4"/>
  <c r="M1903" i="4"/>
  <c r="M1901" i="4"/>
  <c r="M1899" i="4"/>
  <c r="M1893" i="4"/>
  <c r="M1891" i="4"/>
  <c r="M1872" i="4"/>
  <c r="M1867" i="4"/>
  <c r="M1864" i="4"/>
  <c r="M1862" i="4"/>
  <c r="M1859" i="4"/>
  <c r="M1856" i="4"/>
  <c r="M1851" i="4"/>
  <c r="M1849" i="4"/>
  <c r="M1834" i="4"/>
  <c r="M1813" i="4"/>
  <c r="M1811" i="4"/>
  <c r="M1809" i="4"/>
  <c r="M1785" i="4"/>
  <c r="M1769" i="4"/>
  <c r="M1767" i="4"/>
  <c r="M1765" i="4"/>
  <c r="M1763" i="4"/>
  <c r="M1761" i="4"/>
  <c r="M1759" i="4"/>
  <c r="M1757" i="4"/>
  <c r="M1755" i="4"/>
  <c r="M1753" i="4"/>
  <c r="M1751" i="4"/>
  <c r="M1742" i="4"/>
  <c r="M1738" i="4"/>
  <c r="M1736" i="4"/>
  <c r="M1734" i="4"/>
  <c r="M1732" i="4"/>
  <c r="M1730" i="4"/>
  <c r="M1728" i="4"/>
  <c r="M1726" i="4"/>
  <c r="M1723" i="4"/>
  <c r="M1619" i="4"/>
  <c r="M1618" i="4"/>
  <c r="M1617" i="4"/>
  <c r="M1613" i="4"/>
  <c r="M1608" i="4"/>
  <c r="M1603" i="4"/>
  <c r="M1601" i="4"/>
  <c r="M1599" i="4"/>
  <c r="M1598" i="4"/>
  <c r="M1595" i="4"/>
  <c r="M1574" i="4"/>
  <c r="M1548" i="4"/>
  <c r="M1546" i="4"/>
  <c r="M1545" i="4"/>
  <c r="M1541" i="4"/>
  <c r="M1539" i="4"/>
  <c r="M1536" i="4"/>
  <c r="M1535" i="4"/>
  <c r="M1534" i="4"/>
  <c r="M1530" i="4"/>
  <c r="M1526" i="4"/>
  <c r="M1525" i="4"/>
  <c r="M1524" i="4"/>
  <c r="M1523" i="4"/>
  <c r="M1509" i="4"/>
  <c r="M1508" i="4"/>
  <c r="M1505" i="4"/>
  <c r="M1504" i="4"/>
  <c r="M1503" i="4"/>
  <c r="M1502" i="4"/>
  <c r="M1500" i="4"/>
  <c r="M1499" i="4"/>
  <c r="M1497" i="4"/>
  <c r="M1494" i="4"/>
  <c r="M1493" i="4"/>
  <c r="M1492" i="4"/>
  <c r="M1489" i="4"/>
  <c r="M1488" i="4"/>
  <c r="M1487" i="4"/>
  <c r="M1486" i="4"/>
  <c r="M1485" i="4"/>
  <c r="M1484" i="4"/>
  <c r="M1481" i="4"/>
  <c r="M1479" i="4"/>
  <c r="M1478" i="4"/>
  <c r="M1475" i="4"/>
  <c r="M1474" i="4"/>
  <c r="M1469" i="4"/>
  <c r="M1468" i="4"/>
  <c r="M1465" i="4"/>
  <c r="M1464" i="4"/>
  <c r="M1455" i="4"/>
  <c r="M1450" i="4"/>
  <c r="M1426" i="4"/>
  <c r="M1424" i="4"/>
  <c r="M1422" i="4"/>
  <c r="M1420" i="4"/>
  <c r="M1418" i="4"/>
  <c r="M1417" i="4"/>
  <c r="M1412" i="4"/>
  <c r="M1400" i="4"/>
  <c r="M1398" i="4"/>
  <c r="M1393" i="4"/>
  <c r="M1392" i="4"/>
  <c r="M1391" i="4"/>
  <c r="M1389" i="4"/>
  <c r="M1388" i="4"/>
  <c r="M1387" i="4"/>
  <c r="M1386" i="4"/>
  <c r="M1373" i="4"/>
  <c r="M1372" i="4"/>
  <c r="M1371" i="4"/>
  <c r="M1370" i="4"/>
  <c r="M1369" i="4"/>
  <c r="M1354" i="4"/>
  <c r="M1339" i="4"/>
  <c r="M1338" i="4"/>
  <c r="M1337" i="4"/>
  <c r="M1333" i="4"/>
  <c r="M1330" i="4"/>
  <c r="M1324" i="4"/>
  <c r="M1321" i="4"/>
  <c r="M1320" i="4"/>
  <c r="M1319" i="4"/>
  <c r="M1294" i="4"/>
  <c r="M1293" i="4"/>
  <c r="M1292" i="4"/>
  <c r="M1283" i="4"/>
  <c r="M1282" i="4"/>
  <c r="M1281" i="4"/>
  <c r="M1280" i="4"/>
  <c r="M1270" i="4"/>
  <c r="M1267" i="4"/>
  <c r="M1266" i="4"/>
  <c r="M1265" i="4"/>
  <c r="M1259" i="4"/>
  <c r="M1253" i="4"/>
  <c r="M1252" i="4"/>
  <c r="M1249" i="4"/>
  <c r="M1247" i="4"/>
  <c r="M1246" i="4"/>
  <c r="M1245" i="4"/>
  <c r="M1242" i="4"/>
  <c r="M1240" i="4"/>
  <c r="M1237" i="4"/>
  <c r="M1236" i="4"/>
  <c r="M1233" i="4"/>
  <c r="M1231" i="4"/>
  <c r="M1230" i="4"/>
  <c r="M1229" i="4"/>
  <c r="M1218" i="4"/>
  <c r="M1217" i="4"/>
  <c r="M1212" i="4"/>
  <c r="M1209" i="4"/>
  <c r="M1207" i="4"/>
  <c r="M1204" i="4"/>
  <c r="M1203" i="4"/>
  <c r="M1200" i="4"/>
  <c r="M1178" i="4"/>
  <c r="M1176" i="4"/>
  <c r="M1174" i="4"/>
  <c r="M1172" i="4"/>
  <c r="M1165" i="4"/>
  <c r="M1164" i="4"/>
  <c r="M1162" i="4"/>
  <c r="M1161" i="4"/>
  <c r="M1159" i="4"/>
  <c r="M1149" i="4"/>
  <c r="M1145" i="4"/>
  <c r="M1144" i="4"/>
  <c r="M1142" i="4"/>
  <c r="M1134" i="4"/>
  <c r="M1132" i="4"/>
  <c r="M1131" i="4"/>
  <c r="M1129" i="4"/>
  <c r="M1100" i="4"/>
  <c r="M1099" i="4"/>
  <c r="M1098" i="4"/>
  <c r="M1097" i="4"/>
  <c r="M1096" i="4"/>
  <c r="M1095" i="4"/>
  <c r="M1094" i="4"/>
  <c r="M1092" i="4"/>
  <c r="M1091" i="4"/>
  <c r="M1090" i="4"/>
  <c r="M1089" i="4"/>
  <c r="M1088" i="4"/>
  <c r="M1086" i="4"/>
  <c r="M1085" i="4"/>
  <c r="M1068" i="4"/>
  <c r="M1067" i="4"/>
  <c r="M1066" i="4"/>
  <c r="M1065" i="4"/>
  <c r="M1064" i="4"/>
  <c r="M1062" i="4"/>
  <c r="M1061" i="4"/>
  <c r="M1060" i="4"/>
  <c r="M1059" i="4"/>
  <c r="M1058" i="4"/>
  <c r="M1057" i="4"/>
  <c r="M1056" i="4"/>
  <c r="M1055" i="4"/>
  <c r="M1054" i="4"/>
  <c r="M1053" i="4"/>
  <c r="M1029" i="4"/>
  <c r="M1027" i="4"/>
  <c r="M1007" i="4"/>
  <c r="M1006" i="4"/>
  <c r="M1005" i="4"/>
  <c r="M1004" i="4"/>
  <c r="M1003" i="4"/>
  <c r="M1000" i="4"/>
  <c r="M987" i="4"/>
  <c r="M986" i="4"/>
  <c r="M985" i="4"/>
  <c r="M984" i="4"/>
  <c r="M983" i="4"/>
  <c r="M982" i="4"/>
  <c r="M981" i="4"/>
  <c r="M980" i="4"/>
  <c r="M960" i="4"/>
  <c r="M897" i="4"/>
  <c r="M896" i="4"/>
  <c r="M875" i="4"/>
  <c r="M874" i="4"/>
  <c r="M873" i="4"/>
  <c r="M860" i="4"/>
  <c r="M857" i="4"/>
  <c r="M855" i="4"/>
  <c r="M854" i="4"/>
  <c r="M851" i="4"/>
  <c r="M850" i="4"/>
  <c r="M833" i="4"/>
  <c r="M832" i="4"/>
  <c r="M831" i="4"/>
  <c r="M824" i="4"/>
  <c r="M823" i="4"/>
  <c r="M822" i="4"/>
  <c r="M820" i="4"/>
  <c r="M819" i="4"/>
  <c r="M818" i="4"/>
  <c r="M817" i="4"/>
  <c r="M816" i="4"/>
  <c r="M815" i="4"/>
  <c r="M814" i="4"/>
  <c r="M813" i="4"/>
  <c r="M812" i="4"/>
  <c r="M810" i="4"/>
  <c r="M809" i="4"/>
  <c r="M808" i="4"/>
  <c r="M807" i="4"/>
  <c r="M805" i="4"/>
  <c r="M803" i="4"/>
  <c r="M801" i="4"/>
  <c r="M800" i="4"/>
  <c r="M799" i="4"/>
  <c r="M798" i="4"/>
  <c r="M797" i="4"/>
  <c r="M796" i="4"/>
  <c r="M786" i="4"/>
  <c r="M785" i="4"/>
  <c r="M784" i="4"/>
  <c r="M783" i="4"/>
  <c r="M782" i="4"/>
  <c r="M781" i="4"/>
  <c r="M780" i="4"/>
  <c r="M779" i="4"/>
  <c r="M778" i="4"/>
  <c r="M777" i="4"/>
  <c r="M775" i="4"/>
  <c r="M774" i="4"/>
  <c r="M773" i="4"/>
  <c r="M771" i="4"/>
  <c r="M768" i="4"/>
  <c r="M728" i="4"/>
  <c r="M661" i="4"/>
  <c r="M660" i="4"/>
  <c r="M658" i="4"/>
  <c r="M657" i="4"/>
  <c r="M652" i="4"/>
  <c r="M651" i="4"/>
  <c r="M650" i="4"/>
  <c r="M649" i="4"/>
  <c r="M635" i="4"/>
  <c r="M631" i="4"/>
  <c r="M630" i="4"/>
  <c r="M628" i="4"/>
  <c r="M627" i="4"/>
  <c r="M623" i="4"/>
  <c r="M614" i="4"/>
  <c r="M611" i="4"/>
  <c r="M610" i="4"/>
  <c r="M609" i="4"/>
  <c r="M608" i="4"/>
  <c r="M607" i="4"/>
  <c r="M606" i="4"/>
  <c r="M605" i="4"/>
  <c r="M604" i="4"/>
  <c r="M600" i="4"/>
  <c r="M599" i="4"/>
  <c r="M598" i="4"/>
  <c r="M597" i="4"/>
  <c r="M594" i="4"/>
  <c r="M580" i="4"/>
  <c r="M579" i="4"/>
  <c r="M578" i="4"/>
  <c r="M577" i="4"/>
  <c r="M574" i="4"/>
  <c r="M573" i="4"/>
  <c r="M572" i="4"/>
  <c r="M571" i="4"/>
  <c r="M570" i="4"/>
  <c r="M567" i="4"/>
  <c r="M559" i="4"/>
  <c r="M558" i="4"/>
  <c r="M557" i="4"/>
  <c r="M555" i="4"/>
  <c r="M554" i="4"/>
  <c r="M553" i="4"/>
  <c r="M552" i="4"/>
  <c r="M551" i="4"/>
  <c r="M546" i="4"/>
  <c r="M543" i="4"/>
  <c r="M531" i="4"/>
  <c r="M519" i="4"/>
  <c r="M518" i="4"/>
  <c r="M517" i="4"/>
  <c r="M516" i="4"/>
  <c r="M507" i="4"/>
  <c r="M506" i="4"/>
  <c r="M504" i="4"/>
  <c r="M502" i="4"/>
  <c r="M493" i="4"/>
  <c r="M492" i="4"/>
  <c r="M491" i="4"/>
  <c r="M490" i="4"/>
  <c r="M489" i="4"/>
  <c r="M481" i="4"/>
  <c r="M457" i="4"/>
  <c r="M454" i="4"/>
  <c r="M446" i="4"/>
  <c r="M445" i="4"/>
  <c r="M423" i="4"/>
  <c r="M422" i="4"/>
  <c r="M420" i="4"/>
  <c r="M419" i="4"/>
  <c r="M412" i="4"/>
  <c r="M409" i="4"/>
  <c r="M408" i="4"/>
  <c r="M407" i="4"/>
  <c r="M404" i="4"/>
  <c r="M403" i="4"/>
  <c r="M402" i="4"/>
  <c r="M394" i="4"/>
  <c r="M393" i="4"/>
  <c r="M362" i="4"/>
  <c r="M361" i="4"/>
  <c r="M359" i="4"/>
  <c r="M358" i="4"/>
  <c r="M357" i="4"/>
  <c r="M356" i="4"/>
  <c r="M335" i="4"/>
  <c r="M332" i="4"/>
  <c r="M331" i="4"/>
  <c r="M329" i="4"/>
  <c r="M320" i="4"/>
  <c r="M318" i="4"/>
  <c r="M317" i="4"/>
  <c r="M296" i="4"/>
  <c r="M295" i="4"/>
  <c r="M294" i="4"/>
  <c r="M287" i="4"/>
  <c r="M286" i="4"/>
  <c r="M279" i="4"/>
  <c r="M278" i="4"/>
  <c r="M237" i="4"/>
  <c r="M236" i="4"/>
  <c r="M235" i="4"/>
  <c r="M232" i="4"/>
  <c r="M231" i="4"/>
  <c r="M230" i="4"/>
  <c r="M229" i="4"/>
  <c r="M228" i="4"/>
  <c r="M227" i="4"/>
  <c r="M226" i="4"/>
  <c r="M216" i="4"/>
  <c r="M215" i="4"/>
  <c r="M213" i="4"/>
  <c r="M212" i="4"/>
  <c r="M211" i="4"/>
  <c r="M210" i="4"/>
  <c r="M209" i="4"/>
  <c r="M195" i="4"/>
  <c r="M194" i="4"/>
  <c r="M192" i="4"/>
  <c r="M191" i="4"/>
  <c r="M187" i="4"/>
  <c r="M186" i="4"/>
  <c r="M185" i="4"/>
  <c r="M184" i="4"/>
  <c r="M174" i="4"/>
  <c r="M173" i="4"/>
  <c r="M172" i="4"/>
  <c r="M153" i="4"/>
  <c r="M144" i="4"/>
  <c r="M114" i="4"/>
  <c r="M106" i="4"/>
  <c r="M91" i="4"/>
  <c r="M90" i="4"/>
  <c r="M82" i="4"/>
  <c r="M81" i="4"/>
  <c r="M73" i="4"/>
  <c r="M57" i="4"/>
  <c r="M55" i="4"/>
  <c r="M54" i="4"/>
  <c r="M53" i="4"/>
  <c r="M52" i="4"/>
  <c r="M51" i="4"/>
  <c r="K25" i="3"/>
  <c r="M25" i="3" s="1"/>
  <c r="N25" i="3" s="1"/>
  <c r="H24" i="6"/>
  <c r="N2292" i="4"/>
  <c r="N2291" i="4"/>
  <c r="N2290" i="4"/>
  <c r="N2287" i="4"/>
  <c r="N2281" i="4"/>
  <c r="N2280" i="4"/>
  <c r="N2279" i="4"/>
  <c r="N2278" i="4"/>
  <c r="N2262" i="4"/>
  <c r="N2256" i="4"/>
  <c r="N2255" i="4"/>
  <c r="N2254" i="4"/>
  <c r="N2253" i="4"/>
  <c r="N2252" i="4"/>
  <c r="N2251" i="4"/>
  <c r="N2244" i="4"/>
  <c r="N2243" i="4"/>
  <c r="N2242" i="4"/>
  <c r="N2241" i="4"/>
  <c r="N2240" i="4"/>
  <c r="N2239" i="4"/>
  <c r="N2231" i="4"/>
  <c r="N2230" i="4"/>
  <c r="N2229" i="4"/>
  <c r="N2228" i="4"/>
  <c r="N2227" i="4"/>
  <c r="N2226" i="4"/>
  <c r="N2225" i="4"/>
  <c r="N2215" i="4"/>
  <c r="N2214" i="4"/>
  <c r="N2213" i="4"/>
  <c r="N2212" i="4"/>
  <c r="N2211" i="4"/>
  <c r="N2210" i="4"/>
  <c r="N2209" i="4"/>
  <c r="N2199" i="4"/>
  <c r="N2198" i="4"/>
  <c r="N2197" i="4"/>
  <c r="N2187" i="4"/>
  <c r="N2185" i="4"/>
  <c r="N2174" i="4"/>
  <c r="N2168" i="4"/>
  <c r="N2167" i="4"/>
  <c r="N2166" i="4"/>
  <c r="N2165" i="4"/>
  <c r="N2164" i="4"/>
  <c r="N2163" i="4"/>
  <c r="N2162" i="4"/>
  <c r="N2157" i="4"/>
  <c r="N2156" i="4"/>
  <c r="N2155" i="4"/>
  <c r="N2154" i="4"/>
  <c r="N2153" i="4"/>
  <c r="N2152" i="4"/>
  <c r="N2151" i="4"/>
  <c r="N2150" i="4"/>
  <c r="N2123" i="4"/>
  <c r="N2122" i="4"/>
  <c r="N2121" i="4"/>
  <c r="N2120" i="4"/>
  <c r="N2119" i="4"/>
  <c r="N2118" i="4"/>
  <c r="N2100" i="4"/>
  <c r="N2095" i="4"/>
  <c r="N2009" i="4"/>
  <c r="N1997" i="4"/>
  <c r="N1994" i="4"/>
  <c r="N1986" i="4"/>
  <c r="N1981" i="4"/>
  <c r="N1977" i="4"/>
  <c r="N1974" i="4"/>
  <c r="N1971" i="4"/>
  <c r="N1964" i="4"/>
  <c r="N1958" i="4"/>
  <c r="N1956" i="4"/>
  <c r="N1952" i="4"/>
  <c r="N1950" i="4"/>
  <c r="N1948" i="4"/>
  <c r="N1940" i="4"/>
  <c r="N1934" i="4"/>
  <c r="N1932" i="4"/>
  <c r="N1925" i="4"/>
  <c r="N1923" i="4"/>
  <c r="N1921" i="4"/>
  <c r="N1919" i="4"/>
  <c r="N1917" i="4"/>
  <c r="N1905" i="4"/>
  <c r="N1903" i="4"/>
  <c r="N1901" i="4"/>
  <c r="N1899" i="4"/>
  <c r="N1893" i="4"/>
  <c r="N1891" i="4"/>
  <c r="N1872" i="4"/>
  <c r="N1867" i="4"/>
  <c r="N1864" i="4"/>
  <c r="N1862" i="4"/>
  <c r="N1859" i="4"/>
  <c r="N1856" i="4"/>
  <c r="N1851" i="4"/>
  <c r="N1849" i="4"/>
  <c r="N1834" i="4"/>
  <c r="N1813" i="4"/>
  <c r="N1811" i="4"/>
  <c r="N1809" i="4"/>
  <c r="N1785" i="4"/>
  <c r="N1769" i="4"/>
  <c r="N1767" i="4"/>
  <c r="N1765" i="4"/>
  <c r="N1763" i="4"/>
  <c r="N1761" i="4"/>
  <c r="N1759" i="4"/>
  <c r="N1757" i="4"/>
  <c r="N1755" i="4"/>
  <c r="N1753" i="4"/>
  <c r="N1751" i="4"/>
  <c r="N1742" i="4"/>
  <c r="N1738" i="4"/>
  <c r="N1736" i="4"/>
  <c r="N1734" i="4"/>
  <c r="N1732" i="4"/>
  <c r="N1730" i="4"/>
  <c r="N1728" i="4"/>
  <c r="N1726" i="4"/>
  <c r="N1723" i="4"/>
  <c r="N1619" i="4"/>
  <c r="N1618" i="4"/>
  <c r="N1617" i="4"/>
  <c r="N1613" i="4"/>
  <c r="N1608" i="4"/>
  <c r="N1603" i="4"/>
  <c r="N1601" i="4"/>
  <c r="N1599" i="4"/>
  <c r="N1598" i="4"/>
  <c r="N1595" i="4"/>
  <c r="N1574" i="4"/>
  <c r="N1548" i="4"/>
  <c r="N1546" i="4"/>
  <c r="N1545" i="4"/>
  <c r="N1541" i="4"/>
  <c r="N1539" i="4"/>
  <c r="N1536" i="4"/>
  <c r="N1535" i="4"/>
  <c r="N1534" i="4"/>
  <c r="N1530" i="4"/>
  <c r="N1526" i="4"/>
  <c r="N1525" i="4"/>
  <c r="N1524" i="4"/>
  <c r="N1523" i="4"/>
  <c r="N1509" i="4"/>
  <c r="N1508" i="4"/>
  <c r="N1505" i="4"/>
  <c r="N1504" i="4"/>
  <c r="N1503" i="4"/>
  <c r="N1502" i="4"/>
  <c r="N1500" i="4"/>
  <c r="N1499" i="4"/>
  <c r="N1497" i="4"/>
  <c r="N1494" i="4"/>
  <c r="N1493" i="4"/>
  <c r="N1492" i="4"/>
  <c r="N1489" i="4"/>
  <c r="N1488" i="4"/>
  <c r="N1487" i="4"/>
  <c r="N1486" i="4"/>
  <c r="N1485" i="4"/>
  <c r="N1484" i="4"/>
  <c r="N1481" i="4"/>
  <c r="N1479" i="4"/>
  <c r="N1478" i="4"/>
  <c r="N1475" i="4"/>
  <c r="N1474" i="4"/>
  <c r="N1469" i="4"/>
  <c r="N1468" i="4"/>
  <c r="N1465" i="4"/>
  <c r="N1464" i="4"/>
  <c r="N1455" i="4"/>
  <c r="N1450" i="4"/>
  <c r="N1426" i="4"/>
  <c r="N1424" i="4"/>
  <c r="N1422" i="4"/>
  <c r="N1420" i="4"/>
  <c r="N1418" i="4"/>
  <c r="N1417" i="4"/>
  <c r="N1412" i="4"/>
  <c r="N1400" i="4"/>
  <c r="N1398" i="4"/>
  <c r="N1393" i="4"/>
  <c r="N1392" i="4"/>
  <c r="N1391" i="4"/>
  <c r="N1389" i="4"/>
  <c r="N1388" i="4"/>
  <c r="N1387" i="4"/>
  <c r="N1386" i="4"/>
  <c r="N1373" i="4"/>
  <c r="N1372" i="4"/>
  <c r="N1371" i="4"/>
  <c r="N1370" i="4"/>
  <c r="N1369" i="4"/>
  <c r="N1354" i="4"/>
  <c r="N1339" i="4"/>
  <c r="N1338" i="4"/>
  <c r="N1337" i="4"/>
  <c r="N1333" i="4"/>
  <c r="N1330" i="4"/>
  <c r="N1324" i="4"/>
  <c r="N1321" i="4"/>
  <c r="N1320" i="4"/>
  <c r="N1319" i="4"/>
  <c r="N1294" i="4"/>
  <c r="N1293" i="4"/>
  <c r="N1292" i="4"/>
  <c r="N1283" i="4"/>
  <c r="N1282" i="4"/>
  <c r="N1281" i="4"/>
  <c r="N1280" i="4"/>
  <c r="N1270" i="4"/>
  <c r="N1267" i="4"/>
  <c r="N1266" i="4"/>
  <c r="N1265" i="4"/>
  <c r="N1259" i="4"/>
  <c r="N1253" i="4"/>
  <c r="N1252" i="4"/>
  <c r="N1249" i="4"/>
  <c r="N1247" i="4"/>
  <c r="N1246" i="4"/>
  <c r="N1245" i="4"/>
  <c r="N1242" i="4"/>
  <c r="N1240" i="4"/>
  <c r="N1237" i="4"/>
  <c r="N1236" i="4"/>
  <c r="N1233" i="4"/>
  <c r="N1231" i="4"/>
  <c r="N1230" i="4"/>
  <c r="N1229" i="4"/>
  <c r="N1218" i="4"/>
  <c r="N1217" i="4"/>
  <c r="N1212" i="4"/>
  <c r="N1209" i="4"/>
  <c r="N1207" i="4"/>
  <c r="N1204" i="4"/>
  <c r="N1203" i="4"/>
  <c r="N1200" i="4"/>
  <c r="N1178" i="4"/>
  <c r="N1176" i="4"/>
  <c r="N1174" i="4"/>
  <c r="N1172" i="4"/>
  <c r="N1165" i="4"/>
  <c r="N1164" i="4"/>
  <c r="N1162" i="4"/>
  <c r="N1161" i="4"/>
  <c r="N1159" i="4"/>
  <c r="N1149" i="4"/>
  <c r="N1145" i="4"/>
  <c r="N1144" i="4"/>
  <c r="N1142" i="4"/>
  <c r="N1134" i="4"/>
  <c r="N1132" i="4"/>
  <c r="N1131" i="4"/>
  <c r="N1129" i="4"/>
  <c r="N1100" i="4"/>
  <c r="N1099" i="4"/>
  <c r="N1098" i="4"/>
  <c r="N1097" i="4"/>
  <c r="N1096" i="4"/>
  <c r="N1095" i="4"/>
  <c r="N1094" i="4"/>
  <c r="N1092" i="4"/>
  <c r="N1091" i="4"/>
  <c r="N1090" i="4"/>
  <c r="N1089" i="4"/>
  <c r="N1088" i="4"/>
  <c r="N1086" i="4"/>
  <c r="N1085" i="4"/>
  <c r="N1068" i="4"/>
  <c r="N1067" i="4"/>
  <c r="N1066" i="4"/>
  <c r="N1065" i="4"/>
  <c r="N1064" i="4"/>
  <c r="N1062" i="4"/>
  <c r="N1061" i="4"/>
  <c r="N1060" i="4"/>
  <c r="N1059" i="4"/>
  <c r="N1058" i="4"/>
  <c r="N1057" i="4"/>
  <c r="N1056" i="4"/>
  <c r="N1055" i="4"/>
  <c r="N1054" i="4"/>
  <c r="N1053" i="4"/>
  <c r="N1029" i="4"/>
  <c r="N1027" i="4"/>
  <c r="N1007" i="4"/>
  <c r="N1006" i="4"/>
  <c r="N1005" i="4"/>
  <c r="N1004" i="4"/>
  <c r="N1003" i="4"/>
  <c r="N1000" i="4"/>
  <c r="N987" i="4"/>
  <c r="N986" i="4"/>
  <c r="N985" i="4"/>
  <c r="N984" i="4"/>
  <c r="N983" i="4"/>
  <c r="N982" i="4"/>
  <c r="N981" i="4"/>
  <c r="N980" i="4"/>
  <c r="N960" i="4"/>
  <c r="N897" i="4"/>
  <c r="N896" i="4"/>
  <c r="N875" i="4"/>
  <c r="N874" i="4"/>
  <c r="N873" i="4"/>
  <c r="N860" i="4"/>
  <c r="N857" i="4"/>
  <c r="N855" i="4"/>
  <c r="N854" i="4"/>
  <c r="N851" i="4"/>
  <c r="N850" i="4"/>
  <c r="N833" i="4"/>
  <c r="N832" i="4"/>
  <c r="N831" i="4"/>
  <c r="N824" i="4"/>
  <c r="N823" i="4"/>
  <c r="N822" i="4"/>
  <c r="N820" i="4"/>
  <c r="N819" i="4"/>
  <c r="N818" i="4"/>
  <c r="N817" i="4"/>
  <c r="N816" i="4"/>
  <c r="N815" i="4"/>
  <c r="N814" i="4"/>
  <c r="N813" i="4"/>
  <c r="N812" i="4"/>
  <c r="N810" i="4"/>
  <c r="N809" i="4"/>
  <c r="N808" i="4"/>
  <c r="N807" i="4"/>
  <c r="N805" i="4"/>
  <c r="N803" i="4"/>
  <c r="N801" i="4"/>
  <c r="N800" i="4"/>
  <c r="N799" i="4"/>
  <c r="N798" i="4"/>
  <c r="N797" i="4"/>
  <c r="N796" i="4"/>
  <c r="N786" i="4"/>
  <c r="N785" i="4"/>
  <c r="N784" i="4"/>
  <c r="N783" i="4"/>
  <c r="N782" i="4"/>
  <c r="N781" i="4"/>
  <c r="N780" i="4"/>
  <c r="N779" i="4"/>
  <c r="N778" i="4"/>
  <c r="N777" i="4"/>
  <c r="N775" i="4"/>
  <c r="N774" i="4"/>
  <c r="N773" i="4"/>
  <c r="N771" i="4"/>
  <c r="N768" i="4"/>
  <c r="N728" i="4"/>
  <c r="N661" i="4"/>
  <c r="N660" i="4"/>
  <c r="N658" i="4"/>
  <c r="N657" i="4"/>
  <c r="N652" i="4"/>
  <c r="N651" i="4"/>
  <c r="N650" i="4"/>
  <c r="N649" i="4"/>
  <c r="N635" i="4"/>
  <c r="N631" i="4"/>
  <c r="N630" i="4"/>
  <c r="N628" i="4"/>
  <c r="N627" i="4"/>
  <c r="N623" i="4"/>
  <c r="N614" i="4"/>
  <c r="N611" i="4"/>
  <c r="N610" i="4"/>
  <c r="N609" i="4"/>
  <c r="N608" i="4"/>
  <c r="N607" i="4"/>
  <c r="N606" i="4"/>
  <c r="N605" i="4"/>
  <c r="N604" i="4"/>
  <c r="N600" i="4"/>
  <c r="N599" i="4"/>
  <c r="N598" i="4"/>
  <c r="N597" i="4"/>
  <c r="N594" i="4"/>
  <c r="N580" i="4"/>
  <c r="N579" i="4"/>
  <c r="N578" i="4"/>
  <c r="N577" i="4"/>
  <c r="N574" i="4"/>
  <c r="N573" i="4"/>
  <c r="N572" i="4"/>
  <c r="N571" i="4"/>
  <c r="N570" i="4"/>
  <c r="N567" i="4"/>
  <c r="N559" i="4"/>
  <c r="N558" i="4"/>
  <c r="N557" i="4"/>
  <c r="N555" i="4"/>
  <c r="N554" i="4"/>
  <c r="N553" i="4"/>
  <c r="N552" i="4"/>
  <c r="N551" i="4"/>
  <c r="N546" i="4"/>
  <c r="N543" i="4"/>
  <c r="N531" i="4"/>
  <c r="N519" i="4"/>
  <c r="N518" i="4"/>
  <c r="N517" i="4"/>
  <c r="N516" i="4"/>
  <c r="N507" i="4"/>
  <c r="N506" i="4"/>
  <c r="N504" i="4"/>
  <c r="N502" i="4"/>
  <c r="N493" i="4"/>
  <c r="N492" i="4"/>
  <c r="N491" i="4"/>
  <c r="N490" i="4"/>
  <c r="N489" i="4"/>
  <c r="N481" i="4"/>
  <c r="N457" i="4"/>
  <c r="N454" i="4"/>
  <c r="N446" i="4"/>
  <c r="N445" i="4"/>
  <c r="N423" i="4"/>
  <c r="N422" i="4"/>
  <c r="N420" i="4"/>
  <c r="N419" i="4"/>
  <c r="N412" i="4"/>
  <c r="N409" i="4"/>
  <c r="N408" i="4"/>
  <c r="N407" i="4"/>
  <c r="N404" i="4"/>
  <c r="N403" i="4"/>
  <c r="N402" i="4"/>
  <c r="N394" i="4"/>
  <c r="N393" i="4"/>
  <c r="N362" i="4"/>
  <c r="N361" i="4"/>
  <c r="N359" i="4"/>
  <c r="N358" i="4"/>
  <c r="N357" i="4"/>
  <c r="N356" i="4"/>
  <c r="N335" i="4"/>
  <c r="N332" i="4"/>
  <c r="N331" i="4"/>
  <c r="N329" i="4"/>
  <c r="N320" i="4"/>
  <c r="N318" i="4"/>
  <c r="N317" i="4"/>
  <c r="N296" i="4"/>
  <c r="N295" i="4"/>
  <c r="N294" i="4"/>
  <c r="N287" i="4"/>
  <c r="N286" i="4"/>
  <c r="N279" i="4"/>
  <c r="N278" i="4"/>
  <c r="N237" i="4"/>
  <c r="N236" i="4"/>
  <c r="N235" i="4"/>
  <c r="N232" i="4"/>
  <c r="N231" i="4"/>
  <c r="N230" i="4"/>
  <c r="N229" i="4"/>
  <c r="N228" i="4"/>
  <c r="N227" i="4"/>
  <c r="N226" i="4"/>
  <c r="N216" i="4"/>
  <c r="N215" i="4"/>
  <c r="N213" i="4"/>
  <c r="N212" i="4"/>
  <c r="N211" i="4"/>
  <c r="N210" i="4"/>
  <c r="N209" i="4"/>
  <c r="N195" i="4"/>
  <c r="N194" i="4"/>
  <c r="N192" i="4"/>
  <c r="N191" i="4"/>
  <c r="N187" i="4"/>
  <c r="N186" i="4"/>
  <c r="N185" i="4"/>
  <c r="N184" i="4"/>
  <c r="N174" i="4"/>
  <c r="N173" i="4"/>
  <c r="N172" i="4"/>
  <c r="N153" i="4"/>
  <c r="N144" i="4"/>
  <c r="N114" i="4"/>
  <c r="N106" i="4"/>
  <c r="N91" i="4"/>
  <c r="N90" i="4"/>
  <c r="N82" i="4"/>
  <c r="N81" i="4"/>
  <c r="N73" i="4"/>
  <c r="N57" i="4"/>
  <c r="N55" i="4"/>
  <c r="N54" i="4"/>
  <c r="N53" i="4"/>
  <c r="N52" i="4"/>
  <c r="N51" i="4"/>
  <c r="I24" i="6"/>
  <c r="P2292" i="4"/>
  <c r="P2291" i="4"/>
  <c r="P2290" i="4"/>
  <c r="P2287" i="4"/>
  <c r="P2281" i="4"/>
  <c r="P2280" i="4"/>
  <c r="P2279" i="4"/>
  <c r="P2278" i="4"/>
  <c r="P2262" i="4"/>
  <c r="P2256" i="4"/>
  <c r="P2255" i="4"/>
  <c r="P2254" i="4"/>
  <c r="P2253" i="4"/>
  <c r="P2252" i="4"/>
  <c r="P2251" i="4"/>
  <c r="P2244" i="4"/>
  <c r="P2243" i="4"/>
  <c r="P2242" i="4"/>
  <c r="P2241" i="4"/>
  <c r="P2240" i="4"/>
  <c r="P2239" i="4"/>
  <c r="P2231" i="4"/>
  <c r="P2230" i="4"/>
  <c r="P2229" i="4"/>
  <c r="P2228" i="4"/>
  <c r="P2227" i="4"/>
  <c r="P2226" i="4"/>
  <c r="P2225" i="4"/>
  <c r="P2215" i="4"/>
  <c r="P2214" i="4"/>
  <c r="P2213" i="4"/>
  <c r="P2212" i="4"/>
  <c r="P2211" i="4"/>
  <c r="P2210" i="4"/>
  <c r="P2209" i="4"/>
  <c r="P2199" i="4"/>
  <c r="P2198" i="4"/>
  <c r="P2197" i="4"/>
  <c r="P2187" i="4"/>
  <c r="P2185" i="4"/>
  <c r="P2174" i="4"/>
  <c r="P2168" i="4"/>
  <c r="P2167" i="4"/>
  <c r="P2166" i="4"/>
  <c r="P2165" i="4"/>
  <c r="P2164" i="4"/>
  <c r="P2163" i="4"/>
  <c r="P2162" i="4"/>
  <c r="P2157" i="4"/>
  <c r="P2156" i="4"/>
  <c r="P2155" i="4"/>
  <c r="P2154" i="4"/>
  <c r="P2153" i="4"/>
  <c r="P2152" i="4"/>
  <c r="P2151" i="4"/>
  <c r="P2150" i="4"/>
  <c r="P2123" i="4"/>
  <c r="P2122" i="4"/>
  <c r="P2121" i="4"/>
  <c r="P2120" i="4"/>
  <c r="P2119" i="4"/>
  <c r="P2118" i="4"/>
  <c r="P2100" i="4"/>
  <c r="P2095" i="4"/>
  <c r="P2009" i="4"/>
  <c r="P1997" i="4"/>
  <c r="P1994" i="4"/>
  <c r="P1986" i="4"/>
  <c r="P1981" i="4"/>
  <c r="P1977" i="4"/>
  <c r="P1974" i="4"/>
  <c r="P1971" i="4"/>
  <c r="P1964" i="4"/>
  <c r="P1958" i="4"/>
  <c r="P1956" i="4"/>
  <c r="P1952" i="4"/>
  <c r="P1950" i="4"/>
  <c r="P1948" i="4"/>
  <c r="P1940" i="4"/>
  <c r="P1934" i="4"/>
  <c r="P1932" i="4"/>
  <c r="P1925" i="4"/>
  <c r="P1923" i="4"/>
  <c r="P1921" i="4"/>
  <c r="P1919" i="4"/>
  <c r="P1917" i="4"/>
  <c r="P1905" i="4"/>
  <c r="P1903" i="4"/>
  <c r="P1901" i="4"/>
  <c r="P1899" i="4"/>
  <c r="P1893" i="4"/>
  <c r="P1891" i="4"/>
  <c r="P1872" i="4"/>
  <c r="P1867" i="4"/>
  <c r="P1864" i="4"/>
  <c r="P1862" i="4"/>
  <c r="P1859" i="4"/>
  <c r="P1856" i="4"/>
  <c r="P1851" i="4"/>
  <c r="P1849" i="4"/>
  <c r="P1834" i="4"/>
  <c r="P1813" i="4"/>
  <c r="P1811" i="4"/>
  <c r="P1809" i="4"/>
  <c r="P1785" i="4"/>
  <c r="P1769" i="4"/>
  <c r="P1767" i="4"/>
  <c r="P1765" i="4"/>
  <c r="P1763" i="4"/>
  <c r="P1761" i="4"/>
  <c r="P1759" i="4"/>
  <c r="P1757" i="4"/>
  <c r="P1755" i="4"/>
  <c r="P1753" i="4"/>
  <c r="P1751" i="4"/>
  <c r="P1742" i="4"/>
  <c r="P1738" i="4"/>
  <c r="P1736" i="4"/>
  <c r="P1734" i="4"/>
  <c r="P1732" i="4"/>
  <c r="P1730" i="4"/>
  <c r="P1728" i="4"/>
  <c r="P1726" i="4"/>
  <c r="P1723" i="4"/>
  <c r="P1619" i="4"/>
  <c r="P1618" i="4"/>
  <c r="P1617" i="4"/>
  <c r="P1613" i="4"/>
  <c r="P1608" i="4"/>
  <c r="P1603" i="4"/>
  <c r="P1601" i="4"/>
  <c r="P1599" i="4"/>
  <c r="P1598" i="4"/>
  <c r="P1595" i="4"/>
  <c r="P1574" i="4"/>
  <c r="P1548" i="4"/>
  <c r="P1546" i="4"/>
  <c r="P1545" i="4"/>
  <c r="P1541" i="4"/>
  <c r="P1539" i="4"/>
  <c r="P1536" i="4"/>
  <c r="P1535" i="4"/>
  <c r="P1534" i="4"/>
  <c r="P1530" i="4"/>
  <c r="P1526" i="4"/>
  <c r="P1525" i="4"/>
  <c r="P1524" i="4"/>
  <c r="P1523" i="4"/>
  <c r="P1509" i="4"/>
  <c r="P1508" i="4"/>
  <c r="P1505" i="4"/>
  <c r="P1504" i="4"/>
  <c r="P1503" i="4"/>
  <c r="P1502" i="4"/>
  <c r="P1500" i="4"/>
  <c r="P1499" i="4"/>
  <c r="P1497" i="4"/>
  <c r="P1494" i="4"/>
  <c r="P1493" i="4"/>
  <c r="P1492" i="4"/>
  <c r="P1489" i="4"/>
  <c r="P1488" i="4"/>
  <c r="P1487" i="4"/>
  <c r="P1486" i="4"/>
  <c r="P1485" i="4"/>
  <c r="P1484" i="4"/>
  <c r="P1481" i="4"/>
  <c r="P1479" i="4"/>
  <c r="P1478" i="4"/>
  <c r="P1475" i="4"/>
  <c r="P1474" i="4"/>
  <c r="P1469" i="4"/>
  <c r="P1468" i="4"/>
  <c r="P1465" i="4"/>
  <c r="P1464" i="4"/>
  <c r="P1455" i="4"/>
  <c r="P1450" i="4"/>
  <c r="P1426" i="4"/>
  <c r="P1424" i="4"/>
  <c r="P1422" i="4"/>
  <c r="P1420" i="4"/>
  <c r="P1418" i="4"/>
  <c r="P1417" i="4"/>
  <c r="P1412" i="4"/>
  <c r="P1400" i="4"/>
  <c r="P1398" i="4"/>
  <c r="P1393" i="4"/>
  <c r="P1392" i="4"/>
  <c r="P1391" i="4"/>
  <c r="P1389" i="4"/>
  <c r="P1388" i="4"/>
  <c r="P1387" i="4"/>
  <c r="P1386" i="4"/>
  <c r="P1373" i="4"/>
  <c r="P1372" i="4"/>
  <c r="P1371" i="4"/>
  <c r="P1370" i="4"/>
  <c r="P1369" i="4"/>
  <c r="P1354" i="4"/>
  <c r="P1339" i="4"/>
  <c r="P1338" i="4"/>
  <c r="P1337" i="4"/>
  <c r="P1333" i="4"/>
  <c r="P1330" i="4"/>
  <c r="P1324" i="4"/>
  <c r="P1321" i="4"/>
  <c r="P1320" i="4"/>
  <c r="P1319" i="4"/>
  <c r="P1294" i="4"/>
  <c r="P1293" i="4"/>
  <c r="P1292" i="4"/>
  <c r="P1283" i="4"/>
  <c r="P1282" i="4"/>
  <c r="P1281" i="4"/>
  <c r="P1280" i="4"/>
  <c r="P1270" i="4"/>
  <c r="P1267" i="4"/>
  <c r="P1266" i="4"/>
  <c r="P1265" i="4"/>
  <c r="P1259" i="4"/>
  <c r="P1253" i="4"/>
  <c r="P1252" i="4"/>
  <c r="P1249" i="4"/>
  <c r="P1247" i="4"/>
  <c r="P1246" i="4"/>
  <c r="P1245" i="4"/>
  <c r="P1242" i="4"/>
  <c r="P1240" i="4"/>
  <c r="P1237" i="4"/>
  <c r="P1236" i="4"/>
  <c r="P1233" i="4"/>
  <c r="P1231" i="4"/>
  <c r="P1230" i="4"/>
  <c r="P1229" i="4"/>
  <c r="P1218" i="4"/>
  <c r="P1217" i="4"/>
  <c r="P1212" i="4"/>
  <c r="P1209" i="4"/>
  <c r="P1207" i="4"/>
  <c r="P1204" i="4"/>
  <c r="P1203" i="4"/>
  <c r="P1200" i="4"/>
  <c r="P1178" i="4"/>
  <c r="P1176" i="4"/>
  <c r="P1174" i="4"/>
  <c r="P1172" i="4"/>
  <c r="P1165" i="4"/>
  <c r="P1164" i="4"/>
  <c r="P1162" i="4"/>
  <c r="P1161" i="4"/>
  <c r="P1159" i="4"/>
  <c r="P1149" i="4"/>
  <c r="P1145" i="4"/>
  <c r="P1144" i="4"/>
  <c r="P1142" i="4"/>
  <c r="P1134" i="4"/>
  <c r="P1132" i="4"/>
  <c r="P1131" i="4"/>
  <c r="P1129" i="4"/>
  <c r="P1100" i="4"/>
  <c r="P1099" i="4"/>
  <c r="P1098" i="4"/>
  <c r="P1097" i="4"/>
  <c r="P1096" i="4"/>
  <c r="P1095" i="4"/>
  <c r="P1094" i="4"/>
  <c r="P1092" i="4"/>
  <c r="P1091" i="4"/>
  <c r="P1090" i="4"/>
  <c r="P1089" i="4"/>
  <c r="P1088" i="4"/>
  <c r="P1086" i="4"/>
  <c r="P1085" i="4"/>
  <c r="P1068" i="4"/>
  <c r="P1067" i="4"/>
  <c r="P1066" i="4"/>
  <c r="P1065" i="4"/>
  <c r="P1064" i="4"/>
  <c r="P1062" i="4"/>
  <c r="P1061" i="4"/>
  <c r="P1060" i="4"/>
  <c r="P1059" i="4"/>
  <c r="P1058" i="4"/>
  <c r="P1057" i="4"/>
  <c r="P1056" i="4"/>
  <c r="P1055" i="4"/>
  <c r="P1054" i="4"/>
  <c r="P1053" i="4"/>
  <c r="P1029" i="4"/>
  <c r="P1027" i="4"/>
  <c r="P1007" i="4"/>
  <c r="P1006" i="4"/>
  <c r="P1005" i="4"/>
  <c r="P1004" i="4"/>
  <c r="P1003" i="4"/>
  <c r="P1000" i="4"/>
  <c r="P987" i="4"/>
  <c r="P986" i="4"/>
  <c r="P985" i="4"/>
  <c r="P984" i="4"/>
  <c r="P983" i="4"/>
  <c r="P982" i="4"/>
  <c r="P981" i="4"/>
  <c r="P980" i="4"/>
  <c r="P960" i="4"/>
  <c r="P897" i="4"/>
  <c r="P896" i="4"/>
  <c r="P875" i="4"/>
  <c r="P874" i="4"/>
  <c r="P873" i="4"/>
  <c r="P860" i="4"/>
  <c r="P857" i="4"/>
  <c r="P855" i="4"/>
  <c r="P854" i="4"/>
  <c r="P851" i="4"/>
  <c r="P850" i="4"/>
  <c r="P833" i="4"/>
  <c r="P832" i="4"/>
  <c r="P831" i="4"/>
  <c r="P824" i="4"/>
  <c r="P823" i="4"/>
  <c r="P822" i="4"/>
  <c r="P820" i="4"/>
  <c r="P819" i="4"/>
  <c r="P818" i="4"/>
  <c r="P817" i="4"/>
  <c r="P816" i="4"/>
  <c r="P815" i="4"/>
  <c r="P814" i="4"/>
  <c r="P813" i="4"/>
  <c r="P812" i="4"/>
  <c r="P810" i="4"/>
  <c r="P809" i="4"/>
  <c r="P808" i="4"/>
  <c r="P807" i="4"/>
  <c r="P805" i="4"/>
  <c r="P803" i="4"/>
  <c r="P801" i="4"/>
  <c r="P800" i="4"/>
  <c r="P799" i="4"/>
  <c r="P798" i="4"/>
  <c r="P797" i="4"/>
  <c r="P796" i="4"/>
  <c r="P786" i="4"/>
  <c r="P785" i="4"/>
  <c r="P784" i="4"/>
  <c r="P783" i="4"/>
  <c r="P782" i="4"/>
  <c r="P781" i="4"/>
  <c r="P780" i="4"/>
  <c r="P779" i="4"/>
  <c r="P778" i="4"/>
  <c r="P777" i="4"/>
  <c r="P775" i="4"/>
  <c r="P774" i="4"/>
  <c r="P773" i="4"/>
  <c r="P771" i="4"/>
  <c r="P768" i="4"/>
  <c r="P728" i="4"/>
  <c r="P661" i="4"/>
  <c r="P660" i="4"/>
  <c r="P658" i="4"/>
  <c r="P657" i="4"/>
  <c r="P652" i="4"/>
  <c r="P651" i="4"/>
  <c r="P650" i="4"/>
  <c r="P649" i="4"/>
  <c r="P635" i="4"/>
  <c r="P631" i="4"/>
  <c r="P630" i="4"/>
  <c r="P628" i="4"/>
  <c r="P627" i="4"/>
  <c r="P623" i="4"/>
  <c r="P614" i="4"/>
  <c r="P611" i="4"/>
  <c r="P610" i="4"/>
  <c r="P609" i="4"/>
  <c r="P608" i="4"/>
  <c r="P607" i="4"/>
  <c r="P606" i="4"/>
  <c r="P605" i="4"/>
  <c r="P604" i="4"/>
  <c r="P600" i="4"/>
  <c r="P599" i="4"/>
  <c r="P598" i="4"/>
  <c r="P597" i="4"/>
  <c r="P594" i="4"/>
  <c r="P580" i="4"/>
  <c r="P579" i="4"/>
  <c r="P578" i="4"/>
  <c r="P577" i="4"/>
  <c r="P574" i="4"/>
  <c r="P573" i="4"/>
  <c r="P572" i="4"/>
  <c r="P571" i="4"/>
  <c r="P570" i="4"/>
  <c r="P567" i="4"/>
  <c r="P559" i="4"/>
  <c r="P558" i="4"/>
  <c r="P557" i="4"/>
  <c r="P555" i="4"/>
  <c r="P554" i="4"/>
  <c r="P553" i="4"/>
  <c r="P552" i="4"/>
  <c r="P551" i="4"/>
  <c r="P546" i="4"/>
  <c r="P543" i="4"/>
  <c r="P531" i="4"/>
  <c r="P519" i="4"/>
  <c r="P518" i="4"/>
  <c r="P517" i="4"/>
  <c r="P516" i="4"/>
  <c r="P507" i="4"/>
  <c r="P506" i="4"/>
  <c r="P504" i="4"/>
  <c r="P502" i="4"/>
  <c r="P493" i="4"/>
  <c r="P492" i="4"/>
  <c r="P491" i="4"/>
  <c r="P490" i="4"/>
  <c r="P489" i="4"/>
  <c r="P481" i="4"/>
  <c r="P457" i="4"/>
  <c r="P454" i="4"/>
  <c r="P446" i="4"/>
  <c r="P445" i="4"/>
  <c r="P423" i="4"/>
  <c r="P422" i="4"/>
  <c r="P420" i="4"/>
  <c r="P419" i="4"/>
  <c r="P412" i="4"/>
  <c r="P409" i="4"/>
  <c r="P408" i="4"/>
  <c r="P407" i="4"/>
  <c r="P404" i="4"/>
  <c r="P403" i="4"/>
  <c r="P402" i="4"/>
  <c r="P394" i="4"/>
  <c r="P393" i="4"/>
  <c r="P362" i="4"/>
  <c r="P361" i="4"/>
  <c r="P359" i="4"/>
  <c r="P358" i="4"/>
  <c r="P357" i="4"/>
  <c r="P356" i="4"/>
  <c r="P335" i="4"/>
  <c r="P332" i="4"/>
  <c r="P331" i="4"/>
  <c r="P329" i="4"/>
  <c r="P320" i="4"/>
  <c r="P318" i="4"/>
  <c r="P317" i="4"/>
  <c r="P296" i="4"/>
  <c r="P295" i="4"/>
  <c r="P294" i="4"/>
  <c r="P287" i="4"/>
  <c r="P286" i="4"/>
  <c r="P279" i="4"/>
  <c r="P278" i="4"/>
  <c r="P237" i="4"/>
  <c r="P236" i="4"/>
  <c r="P235" i="4"/>
  <c r="P232" i="4"/>
  <c r="P231" i="4"/>
  <c r="P230" i="4"/>
  <c r="P229" i="4"/>
  <c r="P228" i="4"/>
  <c r="P227" i="4"/>
  <c r="P226" i="4"/>
  <c r="P216" i="4"/>
  <c r="P215" i="4"/>
  <c r="P213" i="4"/>
  <c r="P212" i="4"/>
  <c r="P211" i="4"/>
  <c r="P210" i="4"/>
  <c r="P209" i="4"/>
  <c r="P195" i="4"/>
  <c r="P194" i="4"/>
  <c r="P192" i="4"/>
  <c r="P191" i="4"/>
  <c r="P187" i="4"/>
  <c r="P186" i="4"/>
  <c r="P185" i="4"/>
  <c r="P184" i="4"/>
  <c r="P174" i="4"/>
  <c r="P173" i="4"/>
  <c r="P172" i="4"/>
  <c r="P153" i="4"/>
  <c r="P144" i="4"/>
  <c r="P114" i="4"/>
  <c r="P106" i="4"/>
  <c r="P91" i="4"/>
  <c r="P90" i="4"/>
  <c r="P82" i="4"/>
  <c r="P81" i="4"/>
  <c r="P73" i="4"/>
  <c r="P57" i="4"/>
  <c r="P55" i="4"/>
  <c r="P54" i="4"/>
  <c r="P53" i="4"/>
  <c r="P52" i="4"/>
  <c r="P51" i="4"/>
  <c r="L25" i="3"/>
  <c r="G25" i="6"/>
  <c r="M1696" i="4"/>
  <c r="M1695" i="4"/>
  <c r="M1694" i="4"/>
  <c r="M1693" i="4"/>
  <c r="M1692" i="4"/>
  <c r="M1677" i="4"/>
  <c r="M1676" i="4"/>
  <c r="M1675" i="4"/>
  <c r="M1674" i="4"/>
  <c r="M1673" i="4"/>
  <c r="M1672" i="4"/>
  <c r="M1671" i="4"/>
  <c r="M1647" i="4"/>
  <c r="M1646" i="4"/>
  <c r="M1645" i="4"/>
  <c r="M1644" i="4"/>
  <c r="M1643" i="4"/>
  <c r="M1642" i="4"/>
  <c r="M1629" i="4"/>
  <c r="M1628" i="4"/>
  <c r="M1627" i="4"/>
  <c r="M1626" i="4"/>
  <c r="M1625" i="4"/>
  <c r="M1624" i="4"/>
  <c r="M1507" i="4"/>
  <c r="M1506" i="4"/>
  <c r="M1445" i="4"/>
  <c r="M1308" i="4"/>
  <c r="M1307" i="4"/>
  <c r="M1306" i="4"/>
  <c r="M1303" i="4"/>
  <c r="M959" i="4"/>
  <c r="M958" i="4"/>
  <c r="M957" i="4"/>
  <c r="M953" i="4"/>
  <c r="M943" i="4"/>
  <c r="M942" i="4"/>
  <c r="M941" i="4"/>
  <c r="M940" i="4"/>
  <c r="M939" i="4"/>
  <c r="M938" i="4"/>
  <c r="M901" i="4"/>
  <c r="M900" i="4"/>
  <c r="M864" i="4"/>
  <c r="K26" i="3"/>
  <c r="M26" i="3" s="1"/>
  <c r="N26" i="3" s="1"/>
  <c r="H25" i="6"/>
  <c r="N1696" i="4"/>
  <c r="N1695" i="4"/>
  <c r="N1694" i="4"/>
  <c r="N1693" i="4"/>
  <c r="N1692" i="4"/>
  <c r="N1677" i="4"/>
  <c r="N1676" i="4"/>
  <c r="N1675" i="4"/>
  <c r="N1674" i="4"/>
  <c r="N1673" i="4"/>
  <c r="N1672" i="4"/>
  <c r="N1671" i="4"/>
  <c r="N1647" i="4"/>
  <c r="N1646" i="4"/>
  <c r="N1645" i="4"/>
  <c r="N1644" i="4"/>
  <c r="N1643" i="4"/>
  <c r="N1642" i="4"/>
  <c r="N1629" i="4"/>
  <c r="N1628" i="4"/>
  <c r="N1627" i="4"/>
  <c r="N1626" i="4"/>
  <c r="N1625" i="4"/>
  <c r="N1624" i="4"/>
  <c r="N1507" i="4"/>
  <c r="N1506" i="4"/>
  <c r="N1445" i="4"/>
  <c r="N1308" i="4"/>
  <c r="N1307" i="4"/>
  <c r="N1306" i="4"/>
  <c r="N1303" i="4"/>
  <c r="N959" i="4"/>
  <c r="N958" i="4"/>
  <c r="N957" i="4"/>
  <c r="N953" i="4"/>
  <c r="N943" i="4"/>
  <c r="N942" i="4"/>
  <c r="N941" i="4"/>
  <c r="N940" i="4"/>
  <c r="N939" i="4"/>
  <c r="N938" i="4"/>
  <c r="N901" i="4"/>
  <c r="N900" i="4"/>
  <c r="N864" i="4"/>
  <c r="I25" i="6"/>
  <c r="P1696" i="4"/>
  <c r="P1695" i="4"/>
  <c r="P1694" i="4"/>
  <c r="P1693" i="4"/>
  <c r="P1692" i="4"/>
  <c r="P1677" i="4"/>
  <c r="P1676" i="4"/>
  <c r="P1675" i="4"/>
  <c r="P1674" i="4"/>
  <c r="P1673" i="4"/>
  <c r="P1672" i="4"/>
  <c r="P1671" i="4"/>
  <c r="P1647" i="4"/>
  <c r="P1646" i="4"/>
  <c r="P1645" i="4"/>
  <c r="P1644" i="4"/>
  <c r="P1643" i="4"/>
  <c r="P1642" i="4"/>
  <c r="P1629" i="4"/>
  <c r="P1628" i="4"/>
  <c r="P1627" i="4"/>
  <c r="P1626" i="4"/>
  <c r="P1625" i="4"/>
  <c r="P1624" i="4"/>
  <c r="P1507" i="4"/>
  <c r="P1506" i="4"/>
  <c r="P1445" i="4"/>
  <c r="P1308" i="4"/>
  <c r="P1307" i="4"/>
  <c r="P1306" i="4"/>
  <c r="P1303" i="4"/>
  <c r="P959" i="4"/>
  <c r="P958" i="4"/>
  <c r="P957" i="4"/>
  <c r="P953" i="4"/>
  <c r="P943" i="4"/>
  <c r="P942" i="4"/>
  <c r="P941" i="4"/>
  <c r="P940" i="4"/>
  <c r="P939" i="4"/>
  <c r="P938" i="4"/>
  <c r="P901" i="4"/>
  <c r="P900" i="4"/>
  <c r="P864" i="4"/>
  <c r="L26" i="3"/>
  <c r="G26" i="6"/>
  <c r="M1868" i="4"/>
  <c r="M1787" i="4"/>
  <c r="M1195" i="4"/>
  <c r="M1152" i="4"/>
  <c r="M1113" i="4"/>
  <c r="M239" i="4"/>
  <c r="K27" i="3"/>
  <c r="M27" i="3" s="1"/>
  <c r="N27" i="3" s="1"/>
  <c r="H26" i="6"/>
  <c r="N1868" i="4"/>
  <c r="N1787" i="4"/>
  <c r="N1195" i="4"/>
  <c r="N1152" i="4"/>
  <c r="N1113" i="4"/>
  <c r="N239" i="4"/>
  <c r="I26" i="6"/>
  <c r="P1868" i="4"/>
  <c r="P1787" i="4"/>
  <c r="P1195" i="4"/>
  <c r="P1152" i="4"/>
  <c r="P1113" i="4"/>
  <c r="P239" i="4"/>
  <c r="L27" i="3"/>
  <c r="G27" i="6"/>
  <c r="M904" i="4"/>
  <c r="K28" i="3"/>
  <c r="M28" i="3" s="1"/>
  <c r="N28" i="3" s="1"/>
  <c r="H27" i="6"/>
  <c r="N904" i="4"/>
  <c r="I27" i="6"/>
  <c r="P904" i="4"/>
  <c r="L28" i="3"/>
  <c r="G28" i="6"/>
  <c r="M2024" i="4"/>
  <c r="M2019" i="4"/>
  <c r="M2011" i="4"/>
  <c r="M2006" i="4"/>
  <c r="M2003" i="4"/>
  <c r="M2002" i="4"/>
  <c r="M1995" i="4"/>
  <c r="M1989" i="4"/>
  <c r="M1975" i="4"/>
  <c r="M1965" i="4"/>
  <c r="M1962" i="4"/>
  <c r="M1959" i="4"/>
  <c r="M1945" i="4"/>
  <c r="M1936" i="4"/>
  <c r="M1915" i="4"/>
  <c r="M1907" i="4"/>
  <c r="M1889" i="4"/>
  <c r="M1888" i="4"/>
  <c r="M1870" i="4"/>
  <c r="M1865" i="4"/>
  <c r="M1860" i="4"/>
  <c r="M1857" i="4"/>
  <c r="M1837" i="4"/>
  <c r="M1836" i="4"/>
  <c r="M1831" i="4"/>
  <c r="M1830" i="4"/>
  <c r="M1820" i="4"/>
  <c r="M1819" i="4"/>
  <c r="M1795" i="4"/>
  <c r="M1794" i="4"/>
  <c r="M1774" i="4"/>
  <c r="M1749" i="4"/>
  <c r="M413" i="4"/>
  <c r="M253" i="4"/>
  <c r="M243" i="4"/>
  <c r="M207" i="4"/>
  <c r="M177" i="4"/>
  <c r="M150" i="4"/>
  <c r="M135" i="4"/>
  <c r="M134" i="4"/>
  <c r="M104" i="4"/>
  <c r="M39" i="4"/>
  <c r="M33" i="4"/>
  <c r="M29" i="4"/>
  <c r="M25" i="4"/>
  <c r="K29" i="3"/>
  <c r="M29" i="3" s="1"/>
  <c r="N29" i="3" s="1"/>
  <c r="H28" i="6"/>
  <c r="N2024" i="4"/>
  <c r="N2019" i="4"/>
  <c r="N2011" i="4"/>
  <c r="N2006" i="4"/>
  <c r="N2003" i="4"/>
  <c r="N2002" i="4"/>
  <c r="N1995" i="4"/>
  <c r="N1989" i="4"/>
  <c r="N1975" i="4"/>
  <c r="N1965" i="4"/>
  <c r="N1962" i="4"/>
  <c r="N1959" i="4"/>
  <c r="N1945" i="4"/>
  <c r="N1936" i="4"/>
  <c r="N1915" i="4"/>
  <c r="N1907" i="4"/>
  <c r="N1889" i="4"/>
  <c r="N1888" i="4"/>
  <c r="N1870" i="4"/>
  <c r="N1865" i="4"/>
  <c r="N1860" i="4"/>
  <c r="N1857" i="4"/>
  <c r="N1837" i="4"/>
  <c r="N1836" i="4"/>
  <c r="N1831" i="4"/>
  <c r="N1830" i="4"/>
  <c r="N1820" i="4"/>
  <c r="N1819" i="4"/>
  <c r="N1795" i="4"/>
  <c r="N1794" i="4"/>
  <c r="N1774" i="4"/>
  <c r="N1749" i="4"/>
  <c r="N413" i="4"/>
  <c r="N253" i="4"/>
  <c r="N243" i="4"/>
  <c r="N207" i="4"/>
  <c r="N177" i="4"/>
  <c r="N150" i="4"/>
  <c r="N135" i="4"/>
  <c r="N134" i="4"/>
  <c r="N104" i="4"/>
  <c r="N39" i="4"/>
  <c r="N33" i="4"/>
  <c r="N29" i="4"/>
  <c r="N25" i="4"/>
  <c r="I28" i="6"/>
  <c r="P2024" i="4"/>
  <c r="P2019" i="4"/>
  <c r="P2011" i="4"/>
  <c r="P2006" i="4"/>
  <c r="P2003" i="4"/>
  <c r="P2002" i="4"/>
  <c r="P1995" i="4"/>
  <c r="P1989" i="4"/>
  <c r="P1975" i="4"/>
  <c r="P1965" i="4"/>
  <c r="P1962" i="4"/>
  <c r="P1959" i="4"/>
  <c r="P1945" i="4"/>
  <c r="P1936" i="4"/>
  <c r="P1915" i="4"/>
  <c r="P1907" i="4"/>
  <c r="P1889" i="4"/>
  <c r="P1888" i="4"/>
  <c r="P1870" i="4"/>
  <c r="P1865" i="4"/>
  <c r="P1860" i="4"/>
  <c r="P1857" i="4"/>
  <c r="P1837" i="4"/>
  <c r="P1836" i="4"/>
  <c r="P1831" i="4"/>
  <c r="P1830" i="4"/>
  <c r="P1820" i="4"/>
  <c r="P1819" i="4"/>
  <c r="P1795" i="4"/>
  <c r="P1794" i="4"/>
  <c r="P1774" i="4"/>
  <c r="P1749" i="4"/>
  <c r="P413" i="4"/>
  <c r="P253" i="4"/>
  <c r="P243" i="4"/>
  <c r="P207" i="4"/>
  <c r="P177" i="4"/>
  <c r="P150" i="4"/>
  <c r="P135" i="4"/>
  <c r="P134" i="4"/>
  <c r="P104" i="4"/>
  <c r="P39" i="4"/>
  <c r="P33" i="4"/>
  <c r="P29" i="4"/>
  <c r="P25" i="4"/>
  <c r="L29" i="3"/>
  <c r="G29" i="6"/>
  <c r="M758" i="4"/>
  <c r="K30" i="3"/>
  <c r="M30" i="3" s="1"/>
  <c r="N30" i="3" s="1"/>
  <c r="H29" i="6"/>
  <c r="N758" i="4"/>
  <c r="I29" i="6"/>
  <c r="P758" i="4"/>
  <c r="L30" i="3"/>
  <c r="G30" i="6"/>
  <c r="M392" i="4"/>
  <c r="M391" i="4"/>
  <c r="K31" i="3"/>
  <c r="M31" i="3" s="1"/>
  <c r="N31" i="3" s="1"/>
  <c r="H30" i="6"/>
  <c r="N392" i="4"/>
  <c r="N391" i="4"/>
  <c r="I30" i="6"/>
  <c r="P392" i="4"/>
  <c r="P391" i="4"/>
  <c r="L31" i="3"/>
  <c r="G31" i="6"/>
  <c r="M2288" i="4"/>
  <c r="M2275" i="4"/>
  <c r="M2223" i="4"/>
  <c r="M2208" i="4"/>
  <c r="M2202" i="4"/>
  <c r="M2196" i="4"/>
  <c r="M2195" i="4"/>
  <c r="M2194" i="4"/>
  <c r="M2193" i="4"/>
  <c r="M2161" i="4"/>
  <c r="M2125" i="4"/>
  <c r="M2124" i="4"/>
  <c r="M2103" i="4"/>
  <c r="M2094" i="4"/>
  <c r="M1979" i="4"/>
  <c r="M1449" i="4"/>
  <c r="M1028" i="4"/>
  <c r="M954" i="4"/>
  <c r="M596" i="4"/>
  <c r="M542" i="4"/>
  <c r="M436" i="4"/>
  <c r="M431" i="4"/>
  <c r="M430" i="4"/>
  <c r="M411" i="4"/>
  <c r="M364" i="4"/>
  <c r="M316" i="4"/>
  <c r="M297" i="4"/>
  <c r="M87" i="4"/>
  <c r="M84" i="4"/>
  <c r="M78" i="4"/>
  <c r="M77" i="4"/>
  <c r="M76" i="4"/>
  <c r="M75" i="4"/>
  <c r="M68" i="4"/>
  <c r="M67" i="4"/>
  <c r="M66" i="4"/>
  <c r="M65" i="4"/>
  <c r="M64" i="4"/>
  <c r="M63" i="4"/>
  <c r="M62" i="4"/>
  <c r="M58" i="4"/>
  <c r="M46" i="4"/>
  <c r="M45" i="4"/>
  <c r="M44" i="4"/>
  <c r="K32" i="3"/>
  <c r="M32" i="3" s="1"/>
  <c r="N32" i="3" s="1"/>
  <c r="H31" i="6"/>
  <c r="N2288" i="4"/>
  <c r="N2275" i="4"/>
  <c r="N2223" i="4"/>
  <c r="N2208" i="4"/>
  <c r="N2202" i="4"/>
  <c r="N2196" i="4"/>
  <c r="N2195" i="4"/>
  <c r="N2194" i="4"/>
  <c r="N2193" i="4"/>
  <c r="N2161" i="4"/>
  <c r="N2125" i="4"/>
  <c r="N2124" i="4"/>
  <c r="N2103" i="4"/>
  <c r="N2094" i="4"/>
  <c r="N1979" i="4"/>
  <c r="N1449" i="4"/>
  <c r="N1028" i="4"/>
  <c r="N954" i="4"/>
  <c r="N596" i="4"/>
  <c r="N542" i="4"/>
  <c r="N436" i="4"/>
  <c r="N431" i="4"/>
  <c r="N430" i="4"/>
  <c r="N411" i="4"/>
  <c r="N364" i="4"/>
  <c r="N316" i="4"/>
  <c r="N297" i="4"/>
  <c r="N87" i="4"/>
  <c r="N84" i="4"/>
  <c r="N78" i="4"/>
  <c r="N77" i="4"/>
  <c r="N76" i="4"/>
  <c r="N75" i="4"/>
  <c r="N68" i="4"/>
  <c r="N67" i="4"/>
  <c r="N66" i="4"/>
  <c r="N65" i="4"/>
  <c r="N64" i="4"/>
  <c r="N63" i="4"/>
  <c r="N62" i="4"/>
  <c r="N58" i="4"/>
  <c r="N46" i="4"/>
  <c r="N45" i="4"/>
  <c r="N44" i="4"/>
  <c r="I31" i="6"/>
  <c r="P2288" i="4"/>
  <c r="P2275" i="4"/>
  <c r="P2223" i="4"/>
  <c r="P2208" i="4"/>
  <c r="P2202" i="4"/>
  <c r="P2196" i="4"/>
  <c r="P2195" i="4"/>
  <c r="P2194" i="4"/>
  <c r="P2193" i="4"/>
  <c r="P2161" i="4"/>
  <c r="P2125" i="4"/>
  <c r="P2124" i="4"/>
  <c r="P2103" i="4"/>
  <c r="P2094" i="4"/>
  <c r="P1979" i="4"/>
  <c r="P1449" i="4"/>
  <c r="P1028" i="4"/>
  <c r="P954" i="4"/>
  <c r="P596" i="4"/>
  <c r="P542" i="4"/>
  <c r="P436" i="4"/>
  <c r="P431" i="4"/>
  <c r="P430" i="4"/>
  <c r="P411" i="4"/>
  <c r="P364" i="4"/>
  <c r="P316" i="4"/>
  <c r="P297" i="4"/>
  <c r="P87" i="4"/>
  <c r="P84" i="4"/>
  <c r="P78" i="4"/>
  <c r="P77" i="4"/>
  <c r="P76" i="4"/>
  <c r="P75" i="4"/>
  <c r="P68" i="4"/>
  <c r="P67" i="4"/>
  <c r="P66" i="4"/>
  <c r="P65" i="4"/>
  <c r="P64" i="4"/>
  <c r="P63" i="4"/>
  <c r="P62" i="4"/>
  <c r="P58" i="4"/>
  <c r="P46" i="4"/>
  <c r="P45" i="4"/>
  <c r="P44" i="4"/>
  <c r="L32" i="3"/>
  <c r="G32" i="6"/>
  <c r="M2264" i="4"/>
  <c r="M1829" i="4"/>
  <c r="M1689" i="4"/>
  <c r="M1641" i="4"/>
  <c r="M1607" i="4"/>
  <c r="M1589" i="4"/>
  <c r="M1315" i="4"/>
  <c r="M1191" i="4"/>
  <c r="M1137" i="4"/>
  <c r="M992" i="4"/>
  <c r="M686" i="4"/>
  <c r="M95" i="4"/>
  <c r="M22" i="4"/>
  <c r="K33" i="3"/>
  <c r="M33" i="3" s="1"/>
  <c r="N33" i="3" s="1"/>
  <c r="H32" i="6"/>
  <c r="N2264" i="4"/>
  <c r="N1829" i="4"/>
  <c r="N1689" i="4"/>
  <c r="N1641" i="4"/>
  <c r="N1607" i="4"/>
  <c r="N1589" i="4"/>
  <c r="N1315" i="4"/>
  <c r="N1191" i="4"/>
  <c r="N1137" i="4"/>
  <c r="N992" i="4"/>
  <c r="N686" i="4"/>
  <c r="N95" i="4"/>
  <c r="N22" i="4"/>
  <c r="I32" i="6"/>
  <c r="P2264" i="4"/>
  <c r="P1829" i="4"/>
  <c r="P1689" i="4"/>
  <c r="P1641" i="4"/>
  <c r="P1607" i="4"/>
  <c r="P1589" i="4"/>
  <c r="P1315" i="4"/>
  <c r="P1191" i="4"/>
  <c r="P1137" i="4"/>
  <c r="P992" i="4"/>
  <c r="P686" i="4"/>
  <c r="P95" i="4"/>
  <c r="P22" i="4"/>
  <c r="L33" i="3"/>
  <c r="G33" i="6"/>
  <c r="M1988" i="4"/>
  <c r="M1987" i="4"/>
  <c r="M1935" i="4"/>
  <c r="M1323" i="4"/>
  <c r="M1279" i="4"/>
  <c r="M1275" i="4"/>
  <c r="M1257" i="4"/>
  <c r="M1256" i="4"/>
  <c r="M1223" i="4"/>
  <c r="M1093" i="4"/>
  <c r="M1087" i="4"/>
  <c r="M1052" i="4"/>
  <c r="M1030" i="4"/>
  <c r="M1024" i="4"/>
  <c r="M1023" i="4"/>
  <c r="M1019" i="4"/>
  <c r="M1018" i="4"/>
  <c r="M1002" i="4"/>
  <c r="M1001" i="4"/>
  <c r="M956" i="4"/>
  <c r="M937" i="4"/>
  <c r="M863" i="4"/>
  <c r="M862" i="4"/>
  <c r="M861" i="4"/>
  <c r="M806" i="4"/>
  <c r="M804" i="4"/>
  <c r="M769" i="4"/>
  <c r="M767" i="4"/>
  <c r="M674" i="4"/>
  <c r="M203" i="4"/>
  <c r="M178" i="4"/>
  <c r="M176" i="4"/>
  <c r="M36" i="4"/>
  <c r="M35" i="4"/>
  <c r="M34" i="4"/>
  <c r="M26" i="4"/>
  <c r="K34" i="3"/>
  <c r="M34" i="3" s="1"/>
  <c r="N34" i="3" s="1"/>
  <c r="H33" i="6"/>
  <c r="N1988" i="4"/>
  <c r="N1987" i="4"/>
  <c r="N1935" i="4"/>
  <c r="N1323" i="4"/>
  <c r="N1279" i="4"/>
  <c r="N1275" i="4"/>
  <c r="N1257" i="4"/>
  <c r="N1256" i="4"/>
  <c r="N1223" i="4"/>
  <c r="N1093" i="4"/>
  <c r="N1087" i="4"/>
  <c r="N1052" i="4"/>
  <c r="N1030" i="4"/>
  <c r="N1024" i="4"/>
  <c r="N1023" i="4"/>
  <c r="N1019" i="4"/>
  <c r="N1018" i="4"/>
  <c r="N1002" i="4"/>
  <c r="N1001" i="4"/>
  <c r="N956" i="4"/>
  <c r="N937" i="4"/>
  <c r="N863" i="4"/>
  <c r="N862" i="4"/>
  <c r="N861" i="4"/>
  <c r="N806" i="4"/>
  <c r="N804" i="4"/>
  <c r="N769" i="4"/>
  <c r="N767" i="4"/>
  <c r="N674" i="4"/>
  <c r="N203" i="4"/>
  <c r="N178" i="4"/>
  <c r="N176" i="4"/>
  <c r="N36" i="4"/>
  <c r="N35" i="4"/>
  <c r="N34" i="4"/>
  <c r="N26" i="4"/>
  <c r="I33" i="6"/>
  <c r="P1988" i="4"/>
  <c r="P1987" i="4"/>
  <c r="P1935" i="4"/>
  <c r="P1323" i="4"/>
  <c r="P1279" i="4"/>
  <c r="P1275" i="4"/>
  <c r="P1257" i="4"/>
  <c r="P1256" i="4"/>
  <c r="P1223" i="4"/>
  <c r="P1093" i="4"/>
  <c r="P1087" i="4"/>
  <c r="P1052" i="4"/>
  <c r="P1030" i="4"/>
  <c r="P1024" i="4"/>
  <c r="P1023" i="4"/>
  <c r="P1019" i="4"/>
  <c r="P1018" i="4"/>
  <c r="P1002" i="4"/>
  <c r="P1001" i="4"/>
  <c r="P956" i="4"/>
  <c r="P937" i="4"/>
  <c r="P863" i="4"/>
  <c r="P862" i="4"/>
  <c r="P861" i="4"/>
  <c r="P806" i="4"/>
  <c r="P804" i="4"/>
  <c r="P769" i="4"/>
  <c r="P767" i="4"/>
  <c r="P674" i="4"/>
  <c r="P203" i="4"/>
  <c r="P178" i="4"/>
  <c r="P176" i="4"/>
  <c r="P36" i="4"/>
  <c r="P35" i="4"/>
  <c r="P34" i="4"/>
  <c r="P26" i="4"/>
  <c r="L34" i="3"/>
  <c r="G34" i="6"/>
  <c r="M451" i="4"/>
  <c r="M363" i="4"/>
  <c r="K35" i="3"/>
  <c r="M35" i="3" s="1"/>
  <c r="N35" i="3" s="1"/>
  <c r="H34" i="6"/>
  <c r="N451" i="4"/>
  <c r="N363" i="4"/>
  <c r="I34" i="6"/>
  <c r="P451" i="4"/>
  <c r="P363" i="4"/>
  <c r="L35" i="3"/>
  <c r="G35" i="6"/>
  <c r="M1913" i="4"/>
  <c r="M1896" i="4"/>
  <c r="M1708" i="4"/>
  <c r="M1691" i="4"/>
  <c r="M1688" i="4"/>
  <c r="M1670" i="4"/>
  <c r="M1322" i="4"/>
  <c r="K36" i="3"/>
  <c r="M36" i="3" s="1"/>
  <c r="N36" i="3" s="1"/>
  <c r="H35" i="6"/>
  <c r="N1913" i="4"/>
  <c r="N1896" i="4"/>
  <c r="N1708" i="4"/>
  <c r="N1691" i="4"/>
  <c r="N1688" i="4"/>
  <c r="N1670" i="4"/>
  <c r="N1322" i="4"/>
  <c r="I35" i="6"/>
  <c r="P1913" i="4"/>
  <c r="P1896" i="4"/>
  <c r="P1708" i="4"/>
  <c r="P1691" i="4"/>
  <c r="P1688" i="4"/>
  <c r="P1670" i="4"/>
  <c r="P1322" i="4"/>
  <c r="L36" i="3"/>
  <c r="G36" i="6"/>
  <c r="M1953" i="4"/>
  <c r="M1946" i="4"/>
  <c r="M1413" i="4"/>
  <c r="M1397" i="4"/>
  <c r="M1332" i="4"/>
  <c r="M1291" i="4"/>
  <c r="M1026" i="4"/>
  <c r="M1025" i="4"/>
  <c r="M902" i="4"/>
  <c r="M729" i="4"/>
  <c r="M727" i="4"/>
  <c r="M723" i="4"/>
  <c r="M722" i="4"/>
  <c r="M721" i="4"/>
  <c r="M720" i="4"/>
  <c r="M719" i="4"/>
  <c r="M675" i="4"/>
  <c r="M673" i="4"/>
  <c r="M415" i="4"/>
  <c r="M300" i="4"/>
  <c r="M299" i="4"/>
  <c r="K37" i="3"/>
  <c r="M37" i="3" s="1"/>
  <c r="N37" i="3" s="1"/>
  <c r="H36" i="6"/>
  <c r="N1953" i="4"/>
  <c r="N1946" i="4"/>
  <c r="N1413" i="4"/>
  <c r="N1397" i="4"/>
  <c r="N1332" i="4"/>
  <c r="N1291" i="4"/>
  <c r="N1026" i="4"/>
  <c r="N1025" i="4"/>
  <c r="N902" i="4"/>
  <c r="N729" i="4"/>
  <c r="N727" i="4"/>
  <c r="N723" i="4"/>
  <c r="N722" i="4"/>
  <c r="N721" i="4"/>
  <c r="N720" i="4"/>
  <c r="N719" i="4"/>
  <c r="N675" i="4"/>
  <c r="N673" i="4"/>
  <c r="N415" i="4"/>
  <c r="N300" i="4"/>
  <c r="N299" i="4"/>
  <c r="I36" i="6"/>
  <c r="P1953" i="4"/>
  <c r="P1946" i="4"/>
  <c r="P1413" i="4"/>
  <c r="P1397" i="4"/>
  <c r="P1332" i="4"/>
  <c r="P1291" i="4"/>
  <c r="P1026" i="4"/>
  <c r="P1025" i="4"/>
  <c r="P902" i="4"/>
  <c r="P729" i="4"/>
  <c r="P727" i="4"/>
  <c r="P723" i="4"/>
  <c r="P722" i="4"/>
  <c r="P721" i="4"/>
  <c r="P720" i="4"/>
  <c r="P719" i="4"/>
  <c r="P675" i="4"/>
  <c r="P673" i="4"/>
  <c r="P415" i="4"/>
  <c r="P300" i="4"/>
  <c r="P299" i="4"/>
  <c r="L37" i="3"/>
  <c r="G37" i="6"/>
  <c r="M1972" i="4"/>
  <c r="M1966" i="4"/>
  <c r="M1222" i="4"/>
  <c r="M1022" i="4"/>
  <c r="M1021" i="4"/>
  <c r="M1020" i="4"/>
  <c r="M858" i="4"/>
  <c r="M856" i="4"/>
  <c r="M853" i="4"/>
  <c r="M852" i="4"/>
  <c r="M845" i="4"/>
  <c r="M842" i="4"/>
  <c r="M841" i="4"/>
  <c r="M840" i="4"/>
  <c r="M837" i="4"/>
  <c r="M772" i="4"/>
  <c r="M770" i="4"/>
  <c r="M681" i="4"/>
  <c r="M680" i="4"/>
  <c r="M679" i="4"/>
  <c r="M678" i="4"/>
  <c r="M444" i="4"/>
  <c r="M345" i="4"/>
  <c r="M344" i="4"/>
  <c r="M321" i="4"/>
  <c r="M315" i="4"/>
  <c r="M275" i="4"/>
  <c r="K38" i="3"/>
  <c r="M38" i="3" s="1"/>
  <c r="N38" i="3" s="1"/>
  <c r="H37" i="6"/>
  <c r="N1972" i="4"/>
  <c r="N1966" i="4"/>
  <c r="N1222" i="4"/>
  <c r="N1022" i="4"/>
  <c r="N1021" i="4"/>
  <c r="N1020" i="4"/>
  <c r="N858" i="4"/>
  <c r="N856" i="4"/>
  <c r="N853" i="4"/>
  <c r="N852" i="4"/>
  <c r="N845" i="4"/>
  <c r="N842" i="4"/>
  <c r="N841" i="4"/>
  <c r="N840" i="4"/>
  <c r="N837" i="4"/>
  <c r="N772" i="4"/>
  <c r="N770" i="4"/>
  <c r="N681" i="4"/>
  <c r="N680" i="4"/>
  <c r="N679" i="4"/>
  <c r="N678" i="4"/>
  <c r="N444" i="4"/>
  <c r="N345" i="4"/>
  <c r="N344" i="4"/>
  <c r="N321" i="4"/>
  <c r="N315" i="4"/>
  <c r="N275" i="4"/>
  <c r="I37" i="6"/>
  <c r="P1972" i="4"/>
  <c r="P1966" i="4"/>
  <c r="P1222" i="4"/>
  <c r="P1022" i="4"/>
  <c r="P1021" i="4"/>
  <c r="P1020" i="4"/>
  <c r="P858" i="4"/>
  <c r="P856" i="4"/>
  <c r="P853" i="4"/>
  <c r="P852" i="4"/>
  <c r="P845" i="4"/>
  <c r="P842" i="4"/>
  <c r="P841" i="4"/>
  <c r="P840" i="4"/>
  <c r="P837" i="4"/>
  <c r="P772" i="4"/>
  <c r="P770" i="4"/>
  <c r="P681" i="4"/>
  <c r="P680" i="4"/>
  <c r="P679" i="4"/>
  <c r="P678" i="4"/>
  <c r="P444" i="4"/>
  <c r="P345" i="4"/>
  <c r="P344" i="4"/>
  <c r="P321" i="4"/>
  <c r="P315" i="4"/>
  <c r="P275" i="4"/>
  <c r="L38" i="3"/>
  <c r="G38" i="6"/>
  <c r="M1399" i="4"/>
  <c r="M1395" i="4"/>
  <c r="M988" i="4"/>
  <c r="M978" i="4"/>
  <c r="M848" i="4"/>
  <c r="M847" i="4"/>
  <c r="M765" i="4"/>
  <c r="M763" i="4"/>
  <c r="M726" i="4"/>
  <c r="M718" i="4"/>
  <c r="M717" i="4"/>
  <c r="M716" i="4"/>
  <c r="M715" i="4"/>
  <c r="M639" i="4"/>
  <c r="M634" i="4"/>
  <c r="M632" i="4"/>
  <c r="M625" i="4"/>
  <c r="M455" i="4"/>
  <c r="M453" i="4"/>
  <c r="M452" i="4"/>
  <c r="M447" i="4"/>
  <c r="M416" i="4"/>
  <c r="M414" i="4"/>
  <c r="M401" i="4"/>
  <c r="M381" i="4"/>
  <c r="M380" i="4"/>
  <c r="M379" i="4"/>
  <c r="M377" i="4"/>
  <c r="M298" i="4"/>
  <c r="M156" i="4"/>
  <c r="M155" i="4"/>
  <c r="M154" i="4"/>
  <c r="M147" i="4"/>
  <c r="M146" i="4"/>
  <c r="M145" i="4"/>
  <c r="M143" i="4"/>
  <c r="M40" i="4"/>
  <c r="M38" i="4"/>
  <c r="M31" i="4"/>
  <c r="K39" i="3"/>
  <c r="M39" i="3" s="1"/>
  <c r="N39" i="3" s="1"/>
  <c r="H38" i="6"/>
  <c r="N1399" i="4"/>
  <c r="N1395" i="4"/>
  <c r="N988" i="4"/>
  <c r="N978" i="4"/>
  <c r="N848" i="4"/>
  <c r="N847" i="4"/>
  <c r="N765" i="4"/>
  <c r="N763" i="4"/>
  <c r="N726" i="4"/>
  <c r="N718" i="4"/>
  <c r="N717" i="4"/>
  <c r="N716" i="4"/>
  <c r="N715" i="4"/>
  <c r="N639" i="4"/>
  <c r="N634" i="4"/>
  <c r="N632" i="4"/>
  <c r="N625" i="4"/>
  <c r="N455" i="4"/>
  <c r="N453" i="4"/>
  <c r="N452" i="4"/>
  <c r="N447" i="4"/>
  <c r="N416" i="4"/>
  <c r="N414" i="4"/>
  <c r="N401" i="4"/>
  <c r="N381" i="4"/>
  <c r="N380" i="4"/>
  <c r="N379" i="4"/>
  <c r="N377" i="4"/>
  <c r="N298" i="4"/>
  <c r="N156" i="4"/>
  <c r="N155" i="4"/>
  <c r="N154" i="4"/>
  <c r="N147" i="4"/>
  <c r="N146" i="4"/>
  <c r="N145" i="4"/>
  <c r="N143" i="4"/>
  <c r="N40" i="4"/>
  <c r="N38" i="4"/>
  <c r="N31" i="4"/>
  <c r="I38" i="6"/>
  <c r="P1399" i="4"/>
  <c r="P1395" i="4"/>
  <c r="P988" i="4"/>
  <c r="P978" i="4"/>
  <c r="P848" i="4"/>
  <c r="P847" i="4"/>
  <c r="P765" i="4"/>
  <c r="P763" i="4"/>
  <c r="P726" i="4"/>
  <c r="P718" i="4"/>
  <c r="P717" i="4"/>
  <c r="P716" i="4"/>
  <c r="P715" i="4"/>
  <c r="P639" i="4"/>
  <c r="P634" i="4"/>
  <c r="P632" i="4"/>
  <c r="P625" i="4"/>
  <c r="P455" i="4"/>
  <c r="P453" i="4"/>
  <c r="P452" i="4"/>
  <c r="P447" i="4"/>
  <c r="P416" i="4"/>
  <c r="P414" i="4"/>
  <c r="P401" i="4"/>
  <c r="P381" i="4"/>
  <c r="P380" i="4"/>
  <c r="P379" i="4"/>
  <c r="P377" i="4"/>
  <c r="P298" i="4"/>
  <c r="P156" i="4"/>
  <c r="P155" i="4"/>
  <c r="P154" i="4"/>
  <c r="P147" i="4"/>
  <c r="P146" i="4"/>
  <c r="P145" i="4"/>
  <c r="P143" i="4"/>
  <c r="P40" i="4"/>
  <c r="P38" i="4"/>
  <c r="P31" i="4"/>
  <c r="L39" i="3"/>
  <c r="G39" i="6"/>
  <c r="M1566" i="4"/>
  <c r="K40" i="3"/>
  <c r="M40" i="3" s="1"/>
  <c r="N40" i="3" s="1"/>
  <c r="H39" i="6"/>
  <c r="N1566" i="4"/>
  <c r="I39" i="6"/>
  <c r="P1566" i="4"/>
  <c r="L40" i="3"/>
  <c r="G40" i="6"/>
  <c r="M2297" i="4"/>
  <c r="M2296" i="4"/>
  <c r="M2286" i="4"/>
  <c r="M2285" i="4"/>
  <c r="M2268" i="4"/>
  <c r="M2267" i="4"/>
  <c r="M2261" i="4"/>
  <c r="M2260" i="4"/>
  <c r="M2249" i="4"/>
  <c r="M2248" i="4"/>
  <c r="M2235" i="4"/>
  <c r="M2234" i="4"/>
  <c r="M2218" i="4"/>
  <c r="M2217" i="4"/>
  <c r="M2201" i="4"/>
  <c r="M2200" i="4"/>
  <c r="M2192" i="4"/>
  <c r="M2191" i="4"/>
  <c r="M2173" i="4"/>
  <c r="M2172" i="4"/>
  <c r="M2160" i="4"/>
  <c r="M2159" i="4"/>
  <c r="M2139" i="4"/>
  <c r="M2138" i="4"/>
  <c r="M2137" i="4"/>
  <c r="M2136" i="4"/>
  <c r="M2131" i="4"/>
  <c r="M2129" i="4"/>
  <c r="M2127" i="4"/>
  <c r="M2126" i="4"/>
  <c r="M2107" i="4"/>
  <c r="M2106" i="4"/>
  <c r="M2089" i="4"/>
  <c r="M2088" i="4"/>
  <c r="M2067" i="4"/>
  <c r="M2064" i="4"/>
  <c r="M2063" i="4"/>
  <c r="M2058" i="4"/>
  <c r="M2057" i="4"/>
  <c r="M2050" i="4"/>
  <c r="M2036" i="4"/>
  <c r="M2035" i="4"/>
  <c r="M2034" i="4"/>
  <c r="M2022" i="4"/>
  <c r="M2020" i="4"/>
  <c r="M2004" i="4"/>
  <c r="M1991" i="4"/>
  <c r="M1983" i="4"/>
  <c r="M1968" i="4"/>
  <c r="M1929" i="4"/>
  <c r="M1927" i="4"/>
  <c r="M1911" i="4"/>
  <c r="M1909" i="4"/>
  <c r="M1894" i="4"/>
  <c r="M1877" i="4"/>
  <c r="M1875" i="4"/>
  <c r="M1852" i="4"/>
  <c r="M1846" i="4"/>
  <c r="M1844" i="4"/>
  <c r="M1842" i="4"/>
  <c r="M1826" i="4"/>
  <c r="M1823" i="4"/>
  <c r="M1821" i="4"/>
  <c r="M1816" i="4"/>
  <c r="M1814" i="4"/>
  <c r="M1799" i="4"/>
  <c r="M1792" i="4"/>
  <c r="M1790" i="4"/>
  <c r="M1778" i="4"/>
  <c r="M1776" i="4"/>
  <c r="M1739" i="4"/>
  <c r="M1706" i="4"/>
  <c r="M1704" i="4"/>
  <c r="M1702" i="4"/>
  <c r="M1700" i="4"/>
  <c r="M1686" i="4"/>
  <c r="M1684" i="4"/>
  <c r="M1682" i="4"/>
  <c r="M1680" i="4"/>
  <c r="M1655" i="4"/>
  <c r="M1653" i="4"/>
  <c r="M1651" i="4"/>
  <c r="M1649" i="4"/>
  <c r="M1638" i="4"/>
  <c r="M1636" i="4"/>
  <c r="M1634" i="4"/>
  <c r="M1632" i="4"/>
  <c r="M1606" i="4"/>
  <c r="M1605" i="4"/>
  <c r="M1604" i="4"/>
  <c r="M1587" i="4"/>
  <c r="M1581" i="4"/>
  <c r="M1579" i="4"/>
  <c r="M1576" i="4"/>
  <c r="M1569" i="4"/>
  <c r="M1567" i="4"/>
  <c r="M1544" i="4"/>
  <c r="M1543" i="4"/>
  <c r="M1542" i="4"/>
  <c r="M1522" i="4"/>
  <c r="M1521" i="4"/>
  <c r="M1496" i="4"/>
  <c r="M1495" i="4"/>
  <c r="M1482" i="4"/>
  <c r="M1454" i="4"/>
  <c r="M1453" i="4"/>
  <c r="M1452" i="4"/>
  <c r="M1444" i="4"/>
  <c r="M1443" i="4"/>
  <c r="M1415" i="4"/>
  <c r="M1414" i="4"/>
  <c r="M1396" i="4"/>
  <c r="M1366" i="4"/>
  <c r="M1359" i="4"/>
  <c r="M1358" i="4"/>
  <c r="M1357" i="4"/>
  <c r="M1350" i="4"/>
  <c r="M1336" i="4"/>
  <c r="M1335" i="4"/>
  <c r="M1334" i="4"/>
  <c r="M1328" i="4"/>
  <c r="M1327" i="4"/>
  <c r="M1326" i="4"/>
  <c r="M1299" i="4"/>
  <c r="M1297" i="4"/>
  <c r="M1295" i="4"/>
  <c r="M1286" i="4"/>
  <c r="M1284" i="4"/>
  <c r="M1273" i="4"/>
  <c r="M1268" i="4"/>
  <c r="M1263" i="4"/>
  <c r="M1258" i="4"/>
  <c r="M1250" i="4"/>
  <c r="M1243" i="4"/>
  <c r="M1238" i="4"/>
  <c r="M1234" i="4"/>
  <c r="M1227" i="4"/>
  <c r="M1220" i="4"/>
  <c r="M1214" i="4"/>
  <c r="M1210" i="4"/>
  <c r="M1205" i="4"/>
  <c r="M1201" i="4"/>
  <c r="M1193" i="4"/>
  <c r="M1188" i="4"/>
  <c r="M1183" i="4"/>
  <c r="M1177" i="4"/>
  <c r="M1173" i="4"/>
  <c r="M1171" i="4"/>
  <c r="M1170" i="4"/>
  <c r="M1163" i="4"/>
  <c r="M1160" i="4"/>
  <c r="M1151" i="4"/>
  <c r="M1143" i="4"/>
  <c r="M1136" i="4"/>
  <c r="M1133" i="4"/>
  <c r="M1130" i="4"/>
  <c r="M1119" i="4"/>
  <c r="M1116" i="4"/>
  <c r="M1112" i="4"/>
  <c r="M1111" i="4"/>
  <c r="M1084" i="4"/>
  <c r="M1083" i="4"/>
  <c r="M1082" i="4"/>
  <c r="M1081" i="4"/>
  <c r="M1080" i="4"/>
  <c r="M1050" i="4"/>
  <c r="M1049" i="4"/>
  <c r="M1048" i="4"/>
  <c r="M1047" i="4"/>
  <c r="M1046" i="4"/>
  <c r="M1045" i="4"/>
  <c r="M1044" i="4"/>
  <c r="M1015" i="4"/>
  <c r="M1014" i="4"/>
  <c r="M1013" i="4"/>
  <c r="M996" i="4"/>
  <c r="M995" i="4"/>
  <c r="M993" i="4"/>
  <c r="M955" i="4"/>
  <c r="M947" i="4"/>
  <c r="M932" i="4"/>
  <c r="M931" i="4"/>
  <c r="M930" i="4"/>
  <c r="M929" i="4"/>
  <c r="M927" i="4"/>
  <c r="M925" i="4"/>
  <c r="M923" i="4"/>
  <c r="M921" i="4"/>
  <c r="M919" i="4"/>
  <c r="M918" i="4"/>
  <c r="M917" i="4"/>
  <c r="M895" i="4"/>
  <c r="M893" i="4"/>
  <c r="M887" i="4"/>
  <c r="M886" i="4"/>
  <c r="M885" i="4"/>
  <c r="M870" i="4"/>
  <c r="M869" i="4"/>
  <c r="M843" i="4"/>
  <c r="M827" i="4"/>
  <c r="M825" i="4"/>
  <c r="M793" i="4"/>
  <c r="M791" i="4"/>
  <c r="M756" i="4"/>
  <c r="M754" i="4"/>
  <c r="M752" i="4"/>
  <c r="M724" i="4"/>
  <c r="M703" i="4"/>
  <c r="M701" i="4"/>
  <c r="M692" i="4"/>
  <c r="M690" i="4"/>
  <c r="M676" i="4"/>
  <c r="M665" i="4"/>
  <c r="M664" i="4"/>
  <c r="M663" i="4"/>
  <c r="M646" i="4"/>
  <c r="M645" i="4"/>
  <c r="M644" i="4"/>
  <c r="M636" i="4"/>
  <c r="M622" i="4"/>
  <c r="M619" i="4"/>
  <c r="M618" i="4"/>
  <c r="M617" i="4"/>
  <c r="M615" i="4"/>
  <c r="M593" i="4"/>
  <c r="M592" i="4"/>
  <c r="M591" i="4"/>
  <c r="M584" i="4"/>
  <c r="M566" i="4"/>
  <c r="M563" i="4"/>
  <c r="M562" i="4"/>
  <c r="M561" i="4"/>
  <c r="M540" i="4"/>
  <c r="M539" i="4"/>
  <c r="M538" i="4"/>
  <c r="M530" i="4"/>
  <c r="M528" i="4"/>
  <c r="M527" i="4"/>
  <c r="M501" i="4"/>
  <c r="M499" i="4"/>
  <c r="M498" i="4"/>
  <c r="M497" i="4"/>
  <c r="M477" i="4"/>
  <c r="M476" i="4"/>
  <c r="M475" i="4"/>
  <c r="M474" i="4"/>
  <c r="M462" i="4"/>
  <c r="M461" i="4"/>
  <c r="M460" i="4"/>
  <c r="M459" i="4"/>
  <c r="M449" i="4"/>
  <c r="M448" i="4"/>
  <c r="M442" i="4"/>
  <c r="M434" i="4"/>
  <c r="M432" i="4"/>
  <c r="M427" i="4"/>
  <c r="M425" i="4"/>
  <c r="M397" i="4"/>
  <c r="M395" i="4"/>
  <c r="M374" i="4"/>
  <c r="M372" i="4"/>
  <c r="M370" i="4"/>
  <c r="M368" i="4"/>
  <c r="M366" i="4"/>
  <c r="M352" i="4"/>
  <c r="M350" i="4"/>
  <c r="M348" i="4"/>
  <c r="M346" i="4"/>
  <c r="M323" i="4"/>
  <c r="M312" i="4"/>
  <c r="M310" i="4"/>
  <c r="M304" i="4"/>
  <c r="M302" i="4"/>
  <c r="M284" i="4"/>
  <c r="M274" i="4"/>
  <c r="M273" i="4"/>
  <c r="M263" i="4"/>
  <c r="M261" i="4"/>
  <c r="M259" i="4"/>
  <c r="M257" i="4"/>
  <c r="M255" i="4"/>
  <c r="M252" i="4"/>
  <c r="M241" i="4"/>
  <c r="M240" i="4"/>
  <c r="M225" i="4"/>
  <c r="M224" i="4"/>
  <c r="M223" i="4"/>
  <c r="M222" i="4"/>
  <c r="M201" i="4"/>
  <c r="M200" i="4"/>
  <c r="M199" i="4"/>
  <c r="M198" i="4"/>
  <c r="M197" i="4"/>
  <c r="M181" i="4"/>
  <c r="M180" i="4"/>
  <c r="M179" i="4"/>
  <c r="M159" i="4"/>
  <c r="M158" i="4"/>
  <c r="M140" i="4"/>
  <c r="M139" i="4"/>
  <c r="M111" i="4"/>
  <c r="M110" i="4"/>
  <c r="M97" i="4"/>
  <c r="M96" i="4"/>
  <c r="M72" i="4"/>
  <c r="M71" i="4"/>
  <c r="M50" i="4"/>
  <c r="M49" i="4"/>
  <c r="M21" i="4"/>
  <c r="M20" i="4"/>
  <c r="M19" i="4"/>
  <c r="M17" i="4"/>
  <c r="K41" i="3"/>
  <c r="M41" i="3" s="1"/>
  <c r="N41" i="3" s="1"/>
  <c r="H40" i="6"/>
  <c r="N2297" i="4"/>
  <c r="N2296" i="4"/>
  <c r="N2286" i="4"/>
  <c r="N2285" i="4"/>
  <c r="N2268" i="4"/>
  <c r="N2267" i="4"/>
  <c r="N2261" i="4"/>
  <c r="N2260" i="4"/>
  <c r="N2249" i="4"/>
  <c r="N2248" i="4"/>
  <c r="N2235" i="4"/>
  <c r="N2234" i="4"/>
  <c r="N2218" i="4"/>
  <c r="N2217" i="4"/>
  <c r="N2201" i="4"/>
  <c r="N2200" i="4"/>
  <c r="N2192" i="4"/>
  <c r="N2191" i="4"/>
  <c r="N2173" i="4"/>
  <c r="N2172" i="4"/>
  <c r="N2160" i="4"/>
  <c r="N2159" i="4"/>
  <c r="N2139" i="4"/>
  <c r="N2138" i="4"/>
  <c r="N2137" i="4"/>
  <c r="N2136" i="4"/>
  <c r="N2131" i="4"/>
  <c r="N2129" i="4"/>
  <c r="N2127" i="4"/>
  <c r="N2126" i="4"/>
  <c r="N2107" i="4"/>
  <c r="N2106" i="4"/>
  <c r="N2089" i="4"/>
  <c r="N2088" i="4"/>
  <c r="N2067" i="4"/>
  <c r="N2064" i="4"/>
  <c r="N2063" i="4"/>
  <c r="N2058" i="4"/>
  <c r="N2057" i="4"/>
  <c r="N2050" i="4"/>
  <c r="N2036" i="4"/>
  <c r="N2035" i="4"/>
  <c r="N2034" i="4"/>
  <c r="N2022" i="4"/>
  <c r="N2020" i="4"/>
  <c r="N2004" i="4"/>
  <c r="N1991" i="4"/>
  <c r="N1983" i="4"/>
  <c r="N1968" i="4"/>
  <c r="N1929" i="4"/>
  <c r="N1927" i="4"/>
  <c r="N1911" i="4"/>
  <c r="N1909" i="4"/>
  <c r="N1894" i="4"/>
  <c r="N1877" i="4"/>
  <c r="N1875" i="4"/>
  <c r="N1852" i="4"/>
  <c r="N1846" i="4"/>
  <c r="N1844" i="4"/>
  <c r="N1842" i="4"/>
  <c r="N1826" i="4"/>
  <c r="N1823" i="4"/>
  <c r="N1821" i="4"/>
  <c r="N1816" i="4"/>
  <c r="N1814" i="4"/>
  <c r="N1799" i="4"/>
  <c r="N1792" i="4"/>
  <c r="N1790" i="4"/>
  <c r="N1778" i="4"/>
  <c r="N1776" i="4"/>
  <c r="N1739" i="4"/>
  <c r="N1706" i="4"/>
  <c r="N1704" i="4"/>
  <c r="N1702" i="4"/>
  <c r="N1700" i="4"/>
  <c r="N1686" i="4"/>
  <c r="N1684" i="4"/>
  <c r="N1682" i="4"/>
  <c r="N1680" i="4"/>
  <c r="N1655" i="4"/>
  <c r="N1653" i="4"/>
  <c r="N1651" i="4"/>
  <c r="N1649" i="4"/>
  <c r="N1638" i="4"/>
  <c r="N1636" i="4"/>
  <c r="N1634" i="4"/>
  <c r="N1632" i="4"/>
  <c r="N1606" i="4"/>
  <c r="N1605" i="4"/>
  <c r="N1604" i="4"/>
  <c r="N1587" i="4"/>
  <c r="N1581" i="4"/>
  <c r="N1579" i="4"/>
  <c r="N1576" i="4"/>
  <c r="N1569" i="4"/>
  <c r="N1567" i="4"/>
  <c r="N1544" i="4"/>
  <c r="N1543" i="4"/>
  <c r="N1542" i="4"/>
  <c r="N1522" i="4"/>
  <c r="N1521" i="4"/>
  <c r="N1496" i="4"/>
  <c r="N1495" i="4"/>
  <c r="N1482" i="4"/>
  <c r="N1454" i="4"/>
  <c r="N1453" i="4"/>
  <c r="N1452" i="4"/>
  <c r="N1444" i="4"/>
  <c r="N1443" i="4"/>
  <c r="N1415" i="4"/>
  <c r="N1414" i="4"/>
  <c r="N1396" i="4"/>
  <c r="N1366" i="4"/>
  <c r="N1359" i="4"/>
  <c r="N1358" i="4"/>
  <c r="N1357" i="4"/>
  <c r="N1350" i="4"/>
  <c r="N1336" i="4"/>
  <c r="N1335" i="4"/>
  <c r="N1334" i="4"/>
  <c r="N1328" i="4"/>
  <c r="N1327" i="4"/>
  <c r="N1326" i="4"/>
  <c r="N1299" i="4"/>
  <c r="N1297" i="4"/>
  <c r="N1295" i="4"/>
  <c r="N1286" i="4"/>
  <c r="N1284" i="4"/>
  <c r="N1273" i="4"/>
  <c r="N1268" i="4"/>
  <c r="N1263" i="4"/>
  <c r="N1258" i="4"/>
  <c r="N1250" i="4"/>
  <c r="N1243" i="4"/>
  <c r="N1238" i="4"/>
  <c r="N1234" i="4"/>
  <c r="N1227" i="4"/>
  <c r="N1220" i="4"/>
  <c r="N1214" i="4"/>
  <c r="N1210" i="4"/>
  <c r="N1205" i="4"/>
  <c r="N1201" i="4"/>
  <c r="N1193" i="4"/>
  <c r="N1188" i="4"/>
  <c r="N1183" i="4"/>
  <c r="N1177" i="4"/>
  <c r="N1173" i="4"/>
  <c r="N1171" i="4"/>
  <c r="N1170" i="4"/>
  <c r="N1163" i="4"/>
  <c r="N1160" i="4"/>
  <c r="N1151" i="4"/>
  <c r="N1143" i="4"/>
  <c r="N1136" i="4"/>
  <c r="N1133" i="4"/>
  <c r="N1130" i="4"/>
  <c r="N1119" i="4"/>
  <c r="N1116" i="4"/>
  <c r="N1112" i="4"/>
  <c r="N1111" i="4"/>
  <c r="N1084" i="4"/>
  <c r="N1083" i="4"/>
  <c r="N1082" i="4"/>
  <c r="N1081" i="4"/>
  <c r="N1080" i="4"/>
  <c r="N1050" i="4"/>
  <c r="N1049" i="4"/>
  <c r="N1048" i="4"/>
  <c r="N1047" i="4"/>
  <c r="N1046" i="4"/>
  <c r="N1045" i="4"/>
  <c r="N1044" i="4"/>
  <c r="N1015" i="4"/>
  <c r="N1014" i="4"/>
  <c r="N1013" i="4"/>
  <c r="N996" i="4"/>
  <c r="N995" i="4"/>
  <c r="N993" i="4"/>
  <c r="N955" i="4"/>
  <c r="N947" i="4"/>
  <c r="N932" i="4"/>
  <c r="N931" i="4"/>
  <c r="N930" i="4"/>
  <c r="N929" i="4"/>
  <c r="N927" i="4"/>
  <c r="N925" i="4"/>
  <c r="N923" i="4"/>
  <c r="N921" i="4"/>
  <c r="N919" i="4"/>
  <c r="N918" i="4"/>
  <c r="N917" i="4"/>
  <c r="N895" i="4"/>
  <c r="N893" i="4"/>
  <c r="N887" i="4"/>
  <c r="N886" i="4"/>
  <c r="N885" i="4"/>
  <c r="N870" i="4"/>
  <c r="N869" i="4"/>
  <c r="N843" i="4"/>
  <c r="N827" i="4"/>
  <c r="N825" i="4"/>
  <c r="N793" i="4"/>
  <c r="N791" i="4"/>
  <c r="N756" i="4"/>
  <c r="N754" i="4"/>
  <c r="N752" i="4"/>
  <c r="N724" i="4"/>
  <c r="N703" i="4"/>
  <c r="N701" i="4"/>
  <c r="N692" i="4"/>
  <c r="N690" i="4"/>
  <c r="N676" i="4"/>
  <c r="N665" i="4"/>
  <c r="N664" i="4"/>
  <c r="N663" i="4"/>
  <c r="N646" i="4"/>
  <c r="N645" i="4"/>
  <c r="N644" i="4"/>
  <c r="N636" i="4"/>
  <c r="N622" i="4"/>
  <c r="N619" i="4"/>
  <c r="N618" i="4"/>
  <c r="N617" i="4"/>
  <c r="N615" i="4"/>
  <c r="N593" i="4"/>
  <c r="N592" i="4"/>
  <c r="N591" i="4"/>
  <c r="N584" i="4"/>
  <c r="N566" i="4"/>
  <c r="N563" i="4"/>
  <c r="N562" i="4"/>
  <c r="N561" i="4"/>
  <c r="N540" i="4"/>
  <c r="N539" i="4"/>
  <c r="N538" i="4"/>
  <c r="N530" i="4"/>
  <c r="N528" i="4"/>
  <c r="N527" i="4"/>
  <c r="N501" i="4"/>
  <c r="N499" i="4"/>
  <c r="N498" i="4"/>
  <c r="N497" i="4"/>
  <c r="N477" i="4"/>
  <c r="N476" i="4"/>
  <c r="N475" i="4"/>
  <c r="N474" i="4"/>
  <c r="N462" i="4"/>
  <c r="N461" i="4"/>
  <c r="N460" i="4"/>
  <c r="N459" i="4"/>
  <c r="N449" i="4"/>
  <c r="N448" i="4"/>
  <c r="N442" i="4"/>
  <c r="N434" i="4"/>
  <c r="N432" i="4"/>
  <c r="N427" i="4"/>
  <c r="N425" i="4"/>
  <c r="N397" i="4"/>
  <c r="N395" i="4"/>
  <c r="N374" i="4"/>
  <c r="N372" i="4"/>
  <c r="N370" i="4"/>
  <c r="N368" i="4"/>
  <c r="N366" i="4"/>
  <c r="N352" i="4"/>
  <c r="N350" i="4"/>
  <c r="N348" i="4"/>
  <c r="N346" i="4"/>
  <c r="N323" i="4"/>
  <c r="N312" i="4"/>
  <c r="N310" i="4"/>
  <c r="N304" i="4"/>
  <c r="N302" i="4"/>
  <c r="N284" i="4"/>
  <c r="N274" i="4"/>
  <c r="N273" i="4"/>
  <c r="N263" i="4"/>
  <c r="N261" i="4"/>
  <c r="N259" i="4"/>
  <c r="N257" i="4"/>
  <c r="N255" i="4"/>
  <c r="N252" i="4"/>
  <c r="N241" i="4"/>
  <c r="N240" i="4"/>
  <c r="N225" i="4"/>
  <c r="N224" i="4"/>
  <c r="N223" i="4"/>
  <c r="N222" i="4"/>
  <c r="N201" i="4"/>
  <c r="N200" i="4"/>
  <c r="N199" i="4"/>
  <c r="N198" i="4"/>
  <c r="N197" i="4"/>
  <c r="N181" i="4"/>
  <c r="N180" i="4"/>
  <c r="N179" i="4"/>
  <c r="N159" i="4"/>
  <c r="N158" i="4"/>
  <c r="N140" i="4"/>
  <c r="N139" i="4"/>
  <c r="N111" i="4"/>
  <c r="N110" i="4"/>
  <c r="N97" i="4"/>
  <c r="N96" i="4"/>
  <c r="N72" i="4"/>
  <c r="N71" i="4"/>
  <c r="N50" i="4"/>
  <c r="N49" i="4"/>
  <c r="N21" i="4"/>
  <c r="N20" i="4"/>
  <c r="N19" i="4"/>
  <c r="N17" i="4"/>
  <c r="I40" i="6"/>
  <c r="P2297" i="4"/>
  <c r="P2296" i="4"/>
  <c r="P2286" i="4"/>
  <c r="P2285" i="4"/>
  <c r="P2268" i="4"/>
  <c r="P2267" i="4"/>
  <c r="P2261" i="4"/>
  <c r="P2260" i="4"/>
  <c r="P2249" i="4"/>
  <c r="P2248" i="4"/>
  <c r="P2235" i="4"/>
  <c r="P2234" i="4"/>
  <c r="P2218" i="4"/>
  <c r="P2217" i="4"/>
  <c r="P2201" i="4"/>
  <c r="P2200" i="4"/>
  <c r="P2192" i="4"/>
  <c r="P2191" i="4"/>
  <c r="P2173" i="4"/>
  <c r="P2172" i="4"/>
  <c r="P2160" i="4"/>
  <c r="P2159" i="4"/>
  <c r="P2139" i="4"/>
  <c r="P2138" i="4"/>
  <c r="P2137" i="4"/>
  <c r="P2136" i="4"/>
  <c r="P2131" i="4"/>
  <c r="P2129" i="4"/>
  <c r="P2127" i="4"/>
  <c r="P2126" i="4"/>
  <c r="P2107" i="4"/>
  <c r="P2106" i="4"/>
  <c r="P2089" i="4"/>
  <c r="P2088" i="4"/>
  <c r="P2067" i="4"/>
  <c r="P2064" i="4"/>
  <c r="P2063" i="4"/>
  <c r="P2058" i="4"/>
  <c r="P2057" i="4"/>
  <c r="P2050" i="4"/>
  <c r="P2036" i="4"/>
  <c r="P2035" i="4"/>
  <c r="P2034" i="4"/>
  <c r="P2022" i="4"/>
  <c r="P2020" i="4"/>
  <c r="P2004" i="4"/>
  <c r="P1991" i="4"/>
  <c r="P1983" i="4"/>
  <c r="P1968" i="4"/>
  <c r="P1929" i="4"/>
  <c r="P1927" i="4"/>
  <c r="P1911" i="4"/>
  <c r="P1909" i="4"/>
  <c r="P1894" i="4"/>
  <c r="P1877" i="4"/>
  <c r="P1875" i="4"/>
  <c r="P1852" i="4"/>
  <c r="P1846" i="4"/>
  <c r="P1844" i="4"/>
  <c r="P1842" i="4"/>
  <c r="P1826" i="4"/>
  <c r="P1823" i="4"/>
  <c r="P1821" i="4"/>
  <c r="P1816" i="4"/>
  <c r="P1814" i="4"/>
  <c r="P1799" i="4"/>
  <c r="P1792" i="4"/>
  <c r="P1790" i="4"/>
  <c r="P1778" i="4"/>
  <c r="P1776" i="4"/>
  <c r="P1739" i="4"/>
  <c r="P1706" i="4"/>
  <c r="P1704" i="4"/>
  <c r="P1702" i="4"/>
  <c r="P1700" i="4"/>
  <c r="P1686" i="4"/>
  <c r="P1684" i="4"/>
  <c r="P1682" i="4"/>
  <c r="P1680" i="4"/>
  <c r="P1655" i="4"/>
  <c r="P1653" i="4"/>
  <c r="P1651" i="4"/>
  <c r="P1649" i="4"/>
  <c r="P1638" i="4"/>
  <c r="P1636" i="4"/>
  <c r="P1634" i="4"/>
  <c r="P1632" i="4"/>
  <c r="P1606" i="4"/>
  <c r="P1605" i="4"/>
  <c r="P1604" i="4"/>
  <c r="P1587" i="4"/>
  <c r="P1581" i="4"/>
  <c r="P1579" i="4"/>
  <c r="P1576" i="4"/>
  <c r="P1569" i="4"/>
  <c r="P1567" i="4"/>
  <c r="P1544" i="4"/>
  <c r="P1543" i="4"/>
  <c r="P1542" i="4"/>
  <c r="P1522" i="4"/>
  <c r="P1521" i="4"/>
  <c r="P1496" i="4"/>
  <c r="P1495" i="4"/>
  <c r="P1482" i="4"/>
  <c r="P1454" i="4"/>
  <c r="P1453" i="4"/>
  <c r="P1452" i="4"/>
  <c r="P1444" i="4"/>
  <c r="P1443" i="4"/>
  <c r="P1415" i="4"/>
  <c r="P1414" i="4"/>
  <c r="P1396" i="4"/>
  <c r="P1366" i="4"/>
  <c r="P1359" i="4"/>
  <c r="P1358" i="4"/>
  <c r="P1357" i="4"/>
  <c r="P1350" i="4"/>
  <c r="P1336" i="4"/>
  <c r="P1335" i="4"/>
  <c r="P1334" i="4"/>
  <c r="P1328" i="4"/>
  <c r="P1327" i="4"/>
  <c r="P1326" i="4"/>
  <c r="P1299" i="4"/>
  <c r="P1297" i="4"/>
  <c r="P1295" i="4"/>
  <c r="P1286" i="4"/>
  <c r="P1284" i="4"/>
  <c r="P1273" i="4"/>
  <c r="P1268" i="4"/>
  <c r="P1263" i="4"/>
  <c r="P1258" i="4"/>
  <c r="P1250" i="4"/>
  <c r="P1243" i="4"/>
  <c r="P1238" i="4"/>
  <c r="P1234" i="4"/>
  <c r="P1227" i="4"/>
  <c r="P1220" i="4"/>
  <c r="P1214" i="4"/>
  <c r="P1210" i="4"/>
  <c r="P1205" i="4"/>
  <c r="P1201" i="4"/>
  <c r="P1193" i="4"/>
  <c r="P1188" i="4"/>
  <c r="P1183" i="4"/>
  <c r="P1177" i="4"/>
  <c r="P1173" i="4"/>
  <c r="P1171" i="4"/>
  <c r="P1170" i="4"/>
  <c r="P1163" i="4"/>
  <c r="P1160" i="4"/>
  <c r="P1151" i="4"/>
  <c r="P1143" i="4"/>
  <c r="P1136" i="4"/>
  <c r="P1133" i="4"/>
  <c r="P1130" i="4"/>
  <c r="P1119" i="4"/>
  <c r="P1116" i="4"/>
  <c r="P1112" i="4"/>
  <c r="P1111" i="4"/>
  <c r="P1084" i="4"/>
  <c r="P1083" i="4"/>
  <c r="P1082" i="4"/>
  <c r="P1081" i="4"/>
  <c r="P1080" i="4"/>
  <c r="P1050" i="4"/>
  <c r="P1049" i="4"/>
  <c r="P1048" i="4"/>
  <c r="P1047" i="4"/>
  <c r="P1046" i="4"/>
  <c r="P1045" i="4"/>
  <c r="P1044" i="4"/>
  <c r="P1015" i="4"/>
  <c r="P1014" i="4"/>
  <c r="P1013" i="4"/>
  <c r="P996" i="4"/>
  <c r="P995" i="4"/>
  <c r="P993" i="4"/>
  <c r="P955" i="4"/>
  <c r="P947" i="4"/>
  <c r="P932" i="4"/>
  <c r="P931" i="4"/>
  <c r="P930" i="4"/>
  <c r="P929" i="4"/>
  <c r="P927" i="4"/>
  <c r="P925" i="4"/>
  <c r="P923" i="4"/>
  <c r="P921" i="4"/>
  <c r="P919" i="4"/>
  <c r="P918" i="4"/>
  <c r="P917" i="4"/>
  <c r="P895" i="4"/>
  <c r="P893" i="4"/>
  <c r="P887" i="4"/>
  <c r="P886" i="4"/>
  <c r="P885" i="4"/>
  <c r="P870" i="4"/>
  <c r="P869" i="4"/>
  <c r="P843" i="4"/>
  <c r="P827" i="4"/>
  <c r="P825" i="4"/>
  <c r="P793" i="4"/>
  <c r="P791" i="4"/>
  <c r="P756" i="4"/>
  <c r="P754" i="4"/>
  <c r="P752" i="4"/>
  <c r="P724" i="4"/>
  <c r="P703" i="4"/>
  <c r="P701" i="4"/>
  <c r="P692" i="4"/>
  <c r="P690" i="4"/>
  <c r="P676" i="4"/>
  <c r="P665" i="4"/>
  <c r="P664" i="4"/>
  <c r="P663" i="4"/>
  <c r="P646" i="4"/>
  <c r="P645" i="4"/>
  <c r="P644" i="4"/>
  <c r="P636" i="4"/>
  <c r="P622" i="4"/>
  <c r="P619" i="4"/>
  <c r="P618" i="4"/>
  <c r="P617" i="4"/>
  <c r="P615" i="4"/>
  <c r="P593" i="4"/>
  <c r="P592" i="4"/>
  <c r="P591" i="4"/>
  <c r="P584" i="4"/>
  <c r="P566" i="4"/>
  <c r="P563" i="4"/>
  <c r="P562" i="4"/>
  <c r="P561" i="4"/>
  <c r="P540" i="4"/>
  <c r="P539" i="4"/>
  <c r="P538" i="4"/>
  <c r="P530" i="4"/>
  <c r="P528" i="4"/>
  <c r="P527" i="4"/>
  <c r="P501" i="4"/>
  <c r="P499" i="4"/>
  <c r="P498" i="4"/>
  <c r="P497" i="4"/>
  <c r="P477" i="4"/>
  <c r="P476" i="4"/>
  <c r="P475" i="4"/>
  <c r="P474" i="4"/>
  <c r="P462" i="4"/>
  <c r="P461" i="4"/>
  <c r="P460" i="4"/>
  <c r="P459" i="4"/>
  <c r="P449" i="4"/>
  <c r="P448" i="4"/>
  <c r="P442" i="4"/>
  <c r="P434" i="4"/>
  <c r="P432" i="4"/>
  <c r="P427" i="4"/>
  <c r="P425" i="4"/>
  <c r="P397" i="4"/>
  <c r="P395" i="4"/>
  <c r="P374" i="4"/>
  <c r="P372" i="4"/>
  <c r="P370" i="4"/>
  <c r="P368" i="4"/>
  <c r="P366" i="4"/>
  <c r="P352" i="4"/>
  <c r="P350" i="4"/>
  <c r="P348" i="4"/>
  <c r="P346" i="4"/>
  <c r="P323" i="4"/>
  <c r="P312" i="4"/>
  <c r="P310" i="4"/>
  <c r="P304" i="4"/>
  <c r="P302" i="4"/>
  <c r="P284" i="4"/>
  <c r="P274" i="4"/>
  <c r="P273" i="4"/>
  <c r="P263" i="4"/>
  <c r="P261" i="4"/>
  <c r="P259" i="4"/>
  <c r="P257" i="4"/>
  <c r="P255" i="4"/>
  <c r="P252" i="4"/>
  <c r="P241" i="4"/>
  <c r="P240" i="4"/>
  <c r="P225" i="4"/>
  <c r="P224" i="4"/>
  <c r="P223" i="4"/>
  <c r="P222" i="4"/>
  <c r="P201" i="4"/>
  <c r="P200" i="4"/>
  <c r="P199" i="4"/>
  <c r="P198" i="4"/>
  <c r="P197" i="4"/>
  <c r="P181" i="4"/>
  <c r="P180" i="4"/>
  <c r="P179" i="4"/>
  <c r="P159" i="4"/>
  <c r="P158" i="4"/>
  <c r="P140" i="4"/>
  <c r="P139" i="4"/>
  <c r="P111" i="4"/>
  <c r="P110" i="4"/>
  <c r="P97" i="4"/>
  <c r="P96" i="4"/>
  <c r="P72" i="4"/>
  <c r="P71" i="4"/>
  <c r="P50" i="4"/>
  <c r="P49" i="4"/>
  <c r="P21" i="4"/>
  <c r="P20" i="4"/>
  <c r="P19" i="4"/>
  <c r="P17" i="4"/>
  <c r="L41" i="3"/>
  <c r="G41" i="6"/>
  <c r="M2023" i="4"/>
  <c r="M2021" i="4"/>
  <c r="M2005" i="4"/>
  <c r="M1992" i="4"/>
  <c r="M1984" i="4"/>
  <c r="M1969" i="4"/>
  <c r="M1930" i="4"/>
  <c r="M1928" i="4"/>
  <c r="M1912" i="4"/>
  <c r="M1910" i="4"/>
  <c r="M1895" i="4"/>
  <c r="M1878" i="4"/>
  <c r="M1876" i="4"/>
  <c r="M1853" i="4"/>
  <c r="M1847" i="4"/>
  <c r="M1845" i="4"/>
  <c r="M1843" i="4"/>
  <c r="M1827" i="4"/>
  <c r="M1824" i="4"/>
  <c r="M1822" i="4"/>
  <c r="M1817" i="4"/>
  <c r="M1815" i="4"/>
  <c r="M1800" i="4"/>
  <c r="M1793" i="4"/>
  <c r="M1791" i="4"/>
  <c r="M1779" i="4"/>
  <c r="M1777" i="4"/>
  <c r="M1740" i="4"/>
  <c r="M1707" i="4"/>
  <c r="M1705" i="4"/>
  <c r="M1703" i="4"/>
  <c r="M1701" i="4"/>
  <c r="M1687" i="4"/>
  <c r="M1685" i="4"/>
  <c r="M1683" i="4"/>
  <c r="M1681" i="4"/>
  <c r="M1656" i="4"/>
  <c r="M1654" i="4"/>
  <c r="M1652" i="4"/>
  <c r="M1650" i="4"/>
  <c r="M1639" i="4"/>
  <c r="M1637" i="4"/>
  <c r="M1635" i="4"/>
  <c r="M1633" i="4"/>
  <c r="M1300" i="4"/>
  <c r="M1298" i="4"/>
  <c r="M1296" i="4"/>
  <c r="M1287" i="4"/>
  <c r="M1285" i="4"/>
  <c r="M1274" i="4"/>
  <c r="M1269" i="4"/>
  <c r="M1264" i="4"/>
  <c r="M1251" i="4"/>
  <c r="M1244" i="4"/>
  <c r="M1239" i="4"/>
  <c r="M1235" i="4"/>
  <c r="M1228" i="4"/>
  <c r="M1221" i="4"/>
  <c r="M1215" i="4"/>
  <c r="M1211" i="4"/>
  <c r="M1206" i="4"/>
  <c r="M1202" i="4"/>
  <c r="M1194" i="4"/>
  <c r="M1189" i="4"/>
  <c r="M1184" i="4"/>
  <c r="M828" i="4"/>
  <c r="M826" i="4"/>
  <c r="M794" i="4"/>
  <c r="M792" i="4"/>
  <c r="M757" i="4"/>
  <c r="M755" i="4"/>
  <c r="M725" i="4"/>
  <c r="M704" i="4"/>
  <c r="M702" i="4"/>
  <c r="M693" i="4"/>
  <c r="M691" i="4"/>
  <c r="M677" i="4"/>
  <c r="M435" i="4"/>
  <c r="M433" i="4"/>
  <c r="M428" i="4"/>
  <c r="M426" i="4"/>
  <c r="M398" i="4"/>
  <c r="M396" i="4"/>
  <c r="M375" i="4"/>
  <c r="M373" i="4"/>
  <c r="M371" i="4"/>
  <c r="M369" i="4"/>
  <c r="M367" i="4"/>
  <c r="M353" i="4"/>
  <c r="M351" i="4"/>
  <c r="M349" i="4"/>
  <c r="M347" i="4"/>
  <c r="M324" i="4"/>
  <c r="M313" i="4"/>
  <c r="M311" i="4"/>
  <c r="M305" i="4"/>
  <c r="M303" i="4"/>
  <c r="K42" i="3"/>
  <c r="M42" i="3" s="1"/>
  <c r="N42" i="3" s="1"/>
  <c r="H41" i="6"/>
  <c r="N2023" i="4"/>
  <c r="N2021" i="4"/>
  <c r="N2005" i="4"/>
  <c r="N1992" i="4"/>
  <c r="N1984" i="4"/>
  <c r="N1969" i="4"/>
  <c r="N1930" i="4"/>
  <c r="N1928" i="4"/>
  <c r="N1912" i="4"/>
  <c r="N1910" i="4"/>
  <c r="N1895" i="4"/>
  <c r="N1878" i="4"/>
  <c r="N1876" i="4"/>
  <c r="N1853" i="4"/>
  <c r="N1847" i="4"/>
  <c r="N1845" i="4"/>
  <c r="N1843" i="4"/>
  <c r="N1827" i="4"/>
  <c r="N1824" i="4"/>
  <c r="N1822" i="4"/>
  <c r="N1817" i="4"/>
  <c r="N1815" i="4"/>
  <c r="N1800" i="4"/>
  <c r="N1793" i="4"/>
  <c r="N1791" i="4"/>
  <c r="N1779" i="4"/>
  <c r="N1777" i="4"/>
  <c r="N1740" i="4"/>
  <c r="N1707" i="4"/>
  <c r="N1705" i="4"/>
  <c r="N1703" i="4"/>
  <c r="N1701" i="4"/>
  <c r="N1687" i="4"/>
  <c r="N1685" i="4"/>
  <c r="N1683" i="4"/>
  <c r="N1681" i="4"/>
  <c r="N1656" i="4"/>
  <c r="N1654" i="4"/>
  <c r="N1652" i="4"/>
  <c r="N1650" i="4"/>
  <c r="N1639" i="4"/>
  <c r="N1637" i="4"/>
  <c r="N1635" i="4"/>
  <c r="N1633" i="4"/>
  <c r="N1300" i="4"/>
  <c r="N1298" i="4"/>
  <c r="N1296" i="4"/>
  <c r="N1287" i="4"/>
  <c r="N1285" i="4"/>
  <c r="N1274" i="4"/>
  <c r="N1269" i="4"/>
  <c r="N1264" i="4"/>
  <c r="N1251" i="4"/>
  <c r="N1244" i="4"/>
  <c r="N1239" i="4"/>
  <c r="N1235" i="4"/>
  <c r="N1228" i="4"/>
  <c r="N1221" i="4"/>
  <c r="N1215" i="4"/>
  <c r="N1211" i="4"/>
  <c r="N1206" i="4"/>
  <c r="N1202" i="4"/>
  <c r="N1194" i="4"/>
  <c r="N1189" i="4"/>
  <c r="N1184" i="4"/>
  <c r="N828" i="4"/>
  <c r="N826" i="4"/>
  <c r="N794" i="4"/>
  <c r="N792" i="4"/>
  <c r="N757" i="4"/>
  <c r="N755" i="4"/>
  <c r="N725" i="4"/>
  <c r="N704" i="4"/>
  <c r="N702" i="4"/>
  <c r="N693" i="4"/>
  <c r="N691" i="4"/>
  <c r="N677" i="4"/>
  <c r="N435" i="4"/>
  <c r="N433" i="4"/>
  <c r="N428" i="4"/>
  <c r="N426" i="4"/>
  <c r="N398" i="4"/>
  <c r="N396" i="4"/>
  <c r="N375" i="4"/>
  <c r="N373" i="4"/>
  <c r="N371" i="4"/>
  <c r="N369" i="4"/>
  <c r="N367" i="4"/>
  <c r="N353" i="4"/>
  <c r="N351" i="4"/>
  <c r="N349" i="4"/>
  <c r="N347" i="4"/>
  <c r="N324" i="4"/>
  <c r="N313" i="4"/>
  <c r="N311" i="4"/>
  <c r="N305" i="4"/>
  <c r="N303" i="4"/>
  <c r="I41" i="6"/>
  <c r="P2023" i="4"/>
  <c r="P2021" i="4"/>
  <c r="P2005" i="4"/>
  <c r="P1992" i="4"/>
  <c r="P1984" i="4"/>
  <c r="P1969" i="4"/>
  <c r="P1930" i="4"/>
  <c r="P1928" i="4"/>
  <c r="P1912" i="4"/>
  <c r="P1910" i="4"/>
  <c r="P1895" i="4"/>
  <c r="P1878" i="4"/>
  <c r="P1876" i="4"/>
  <c r="P1853" i="4"/>
  <c r="P1847" i="4"/>
  <c r="P1845" i="4"/>
  <c r="P1843" i="4"/>
  <c r="P1827" i="4"/>
  <c r="P1824" i="4"/>
  <c r="P1822" i="4"/>
  <c r="P1817" i="4"/>
  <c r="P1815" i="4"/>
  <c r="P1800" i="4"/>
  <c r="P1793" i="4"/>
  <c r="P1791" i="4"/>
  <c r="P1779" i="4"/>
  <c r="P1777" i="4"/>
  <c r="P1740" i="4"/>
  <c r="P1707" i="4"/>
  <c r="P1705" i="4"/>
  <c r="P1703" i="4"/>
  <c r="P1701" i="4"/>
  <c r="P1687" i="4"/>
  <c r="P1685" i="4"/>
  <c r="P1683" i="4"/>
  <c r="P1681" i="4"/>
  <c r="P1656" i="4"/>
  <c r="P1654" i="4"/>
  <c r="P1652" i="4"/>
  <c r="P1650" i="4"/>
  <c r="P1639" i="4"/>
  <c r="P1637" i="4"/>
  <c r="P1635" i="4"/>
  <c r="P1633" i="4"/>
  <c r="P1300" i="4"/>
  <c r="P1298" i="4"/>
  <c r="P1296" i="4"/>
  <c r="P1287" i="4"/>
  <c r="P1285" i="4"/>
  <c r="P1274" i="4"/>
  <c r="P1269" i="4"/>
  <c r="P1264" i="4"/>
  <c r="P1251" i="4"/>
  <c r="P1244" i="4"/>
  <c r="P1239" i="4"/>
  <c r="P1235" i="4"/>
  <c r="P1228" i="4"/>
  <c r="P1221" i="4"/>
  <c r="P1215" i="4"/>
  <c r="P1211" i="4"/>
  <c r="P1206" i="4"/>
  <c r="P1202" i="4"/>
  <c r="P1194" i="4"/>
  <c r="P1189" i="4"/>
  <c r="P1184" i="4"/>
  <c r="P828" i="4"/>
  <c r="P826" i="4"/>
  <c r="P794" i="4"/>
  <c r="P792" i="4"/>
  <c r="P757" i="4"/>
  <c r="P755" i="4"/>
  <c r="P725" i="4"/>
  <c r="P704" i="4"/>
  <c r="P702" i="4"/>
  <c r="P693" i="4"/>
  <c r="P691" i="4"/>
  <c r="P677" i="4"/>
  <c r="P435" i="4"/>
  <c r="P433" i="4"/>
  <c r="P428" i="4"/>
  <c r="P426" i="4"/>
  <c r="P398" i="4"/>
  <c r="P396" i="4"/>
  <c r="P375" i="4"/>
  <c r="P373" i="4"/>
  <c r="P371" i="4"/>
  <c r="P369" i="4"/>
  <c r="P367" i="4"/>
  <c r="P353" i="4"/>
  <c r="P351" i="4"/>
  <c r="P349" i="4"/>
  <c r="P347" i="4"/>
  <c r="P324" i="4"/>
  <c r="P313" i="4"/>
  <c r="P311" i="4"/>
  <c r="P305" i="4"/>
  <c r="P303" i="4"/>
  <c r="L42" i="3"/>
  <c r="G42" i="6"/>
  <c r="M1313" i="4"/>
  <c r="M89" i="4"/>
  <c r="M88" i="4"/>
  <c r="K43" i="3"/>
  <c r="M43" i="3" s="1"/>
  <c r="N43" i="3" s="1"/>
  <c r="H42" i="6"/>
  <c r="N1313" i="4"/>
  <c r="N89" i="4"/>
  <c r="N88" i="4"/>
  <c r="I42" i="6"/>
  <c r="P1313" i="4"/>
  <c r="P89" i="4"/>
  <c r="P88" i="4"/>
  <c r="L43" i="3"/>
  <c r="G43" i="6"/>
  <c r="M1669" i="4"/>
  <c r="M1648" i="4"/>
  <c r="K44" i="3"/>
  <c r="M44" i="3" s="1"/>
  <c r="N44" i="3" s="1"/>
  <c r="H43" i="6"/>
  <c r="N1669" i="4"/>
  <c r="N1648" i="4"/>
  <c r="I43" i="6"/>
  <c r="P1669" i="4"/>
  <c r="P1648" i="4"/>
  <c r="L44" i="3"/>
  <c r="G44" i="6"/>
  <c r="M2274" i="4"/>
  <c r="M2273" i="4"/>
  <c r="M2272" i="4"/>
  <c r="M2222" i="4"/>
  <c r="M2221" i="4"/>
  <c r="M2220" i="4"/>
  <c r="M2207" i="4"/>
  <c r="M2206" i="4"/>
  <c r="M2205" i="4"/>
  <c r="M2204" i="4"/>
  <c r="M2203" i="4"/>
  <c r="M2149" i="4"/>
  <c r="M2148" i="4"/>
  <c r="M2147" i="4"/>
  <c r="M2146" i="4"/>
  <c r="M2145" i="4"/>
  <c r="M2144" i="4"/>
  <c r="M2132" i="4"/>
  <c r="M2117" i="4"/>
  <c r="M2116" i="4"/>
  <c r="M2115" i="4"/>
  <c r="M2114" i="4"/>
  <c r="M2113" i="4"/>
  <c r="M2112" i="4"/>
  <c r="M2111" i="4"/>
  <c r="M2110" i="4"/>
  <c r="M2109" i="4"/>
  <c r="M2077" i="4"/>
  <c r="M2076" i="4"/>
  <c r="M2075" i="4"/>
  <c r="M2074" i="4"/>
  <c r="M2069" i="4"/>
  <c r="M2043" i="4"/>
  <c r="M2042" i="4"/>
  <c r="M2041" i="4"/>
  <c r="M2040" i="4"/>
  <c r="M2039" i="4"/>
  <c r="M2038" i="4"/>
  <c r="M1887" i="4"/>
  <c r="M1886" i="4"/>
  <c r="M1885" i="4"/>
  <c r="M1884" i="4"/>
  <c r="M1883" i="4"/>
  <c r="M1882" i="4"/>
  <c r="M1609" i="4"/>
  <c r="M1596" i="4"/>
  <c r="M1575" i="4"/>
  <c r="M1519" i="4"/>
  <c r="M1501" i="4"/>
  <c r="M1470" i="4"/>
  <c r="M1427" i="4"/>
  <c r="M1419" i="4"/>
  <c r="M1410" i="4"/>
  <c r="M1384" i="4"/>
  <c r="M1374" i="4"/>
  <c r="M1317" i="4"/>
  <c r="M1288" i="4"/>
  <c r="M1255" i="4"/>
  <c r="M1199" i="4"/>
  <c r="M1110" i="4"/>
  <c r="M1109" i="4"/>
  <c r="M1108" i="4"/>
  <c r="M1107" i="4"/>
  <c r="M1079" i="4"/>
  <c r="M1078" i="4"/>
  <c r="M1077" i="4"/>
  <c r="M1076" i="4"/>
  <c r="M1070" i="4"/>
  <c r="M1069" i="4"/>
  <c r="M1042" i="4"/>
  <c r="M1041" i="4"/>
  <c r="M1040" i="4"/>
  <c r="M1039" i="4"/>
  <c r="M1035" i="4"/>
  <c r="M976" i="4"/>
  <c r="M964" i="4"/>
  <c r="M936" i="4"/>
  <c r="M935" i="4"/>
  <c r="M934" i="4"/>
  <c r="M933" i="4"/>
  <c r="M829" i="4"/>
  <c r="M821" i="4"/>
  <c r="M795" i="4"/>
  <c r="M789" i="4"/>
  <c r="M787" i="4"/>
  <c r="M762" i="4"/>
  <c r="M761" i="4"/>
  <c r="M759" i="4"/>
  <c r="M730" i="4"/>
  <c r="M688" i="4"/>
  <c r="M682" i="4"/>
  <c r="M672" i="4"/>
  <c r="M417" i="4"/>
  <c r="M399" i="4"/>
  <c r="M382" i="4"/>
  <c r="M319" i="4"/>
  <c r="M307" i="4"/>
  <c r="M283" i="4"/>
  <c r="M271" i="4"/>
  <c r="M244" i="4"/>
  <c r="M242" i="4"/>
  <c r="M202" i="4"/>
  <c r="M160" i="4"/>
  <c r="M148" i="4"/>
  <c r="M137" i="4"/>
  <c r="M108" i="4"/>
  <c r="M92" i="4"/>
  <c r="M79" i="4"/>
  <c r="M69" i="4"/>
  <c r="M56" i="4"/>
  <c r="M47" i="4"/>
  <c r="M37" i="4"/>
  <c r="M24" i="4"/>
  <c r="M10" i="4"/>
  <c r="M8" i="4"/>
  <c r="K45" i="3"/>
  <c r="M45" i="3" s="1"/>
  <c r="N45" i="3" s="1"/>
  <c r="H44" i="6"/>
  <c r="N2274" i="4"/>
  <c r="N2273" i="4"/>
  <c r="N2272" i="4"/>
  <c r="N2222" i="4"/>
  <c r="N2221" i="4"/>
  <c r="N2220" i="4"/>
  <c r="N2207" i="4"/>
  <c r="N2206" i="4"/>
  <c r="N2205" i="4"/>
  <c r="N2204" i="4"/>
  <c r="N2203" i="4"/>
  <c r="N2149" i="4"/>
  <c r="N2148" i="4"/>
  <c r="N2147" i="4"/>
  <c r="N2146" i="4"/>
  <c r="N2145" i="4"/>
  <c r="N2144" i="4"/>
  <c r="N2132" i="4"/>
  <c r="N2117" i="4"/>
  <c r="N2116" i="4"/>
  <c r="N2115" i="4"/>
  <c r="N2114" i="4"/>
  <c r="N2113" i="4"/>
  <c r="N2112" i="4"/>
  <c r="N2111" i="4"/>
  <c r="N2110" i="4"/>
  <c r="N2109" i="4"/>
  <c r="N2077" i="4"/>
  <c r="N2076" i="4"/>
  <c r="N2075" i="4"/>
  <c r="N2074" i="4"/>
  <c r="N2069" i="4"/>
  <c r="N2043" i="4"/>
  <c r="N2042" i="4"/>
  <c r="N2041" i="4"/>
  <c r="N2040" i="4"/>
  <c r="N2039" i="4"/>
  <c r="N2038" i="4"/>
  <c r="N1887" i="4"/>
  <c r="N1886" i="4"/>
  <c r="N1885" i="4"/>
  <c r="N1884" i="4"/>
  <c r="N1883" i="4"/>
  <c r="N1882" i="4"/>
  <c r="N1609" i="4"/>
  <c r="N1596" i="4"/>
  <c r="N1575" i="4"/>
  <c r="N1519" i="4"/>
  <c r="N1501" i="4"/>
  <c r="N1470" i="4"/>
  <c r="N1427" i="4"/>
  <c r="N1419" i="4"/>
  <c r="N1410" i="4"/>
  <c r="N1384" i="4"/>
  <c r="N1374" i="4"/>
  <c r="N1317" i="4"/>
  <c r="N1288" i="4"/>
  <c r="N1255" i="4"/>
  <c r="N1199" i="4"/>
  <c r="N1110" i="4"/>
  <c r="N1109" i="4"/>
  <c r="N1108" i="4"/>
  <c r="N1107" i="4"/>
  <c r="N1079" i="4"/>
  <c r="N1078" i="4"/>
  <c r="N1077" i="4"/>
  <c r="N1076" i="4"/>
  <c r="N1070" i="4"/>
  <c r="N1069" i="4"/>
  <c r="N1042" i="4"/>
  <c r="N1041" i="4"/>
  <c r="N1040" i="4"/>
  <c r="N1039" i="4"/>
  <c r="N1035" i="4"/>
  <c r="N976" i="4"/>
  <c r="N964" i="4"/>
  <c r="N936" i="4"/>
  <c r="N935" i="4"/>
  <c r="N934" i="4"/>
  <c r="N933" i="4"/>
  <c r="N829" i="4"/>
  <c r="N821" i="4"/>
  <c r="N795" i="4"/>
  <c r="N789" i="4"/>
  <c r="N787" i="4"/>
  <c r="N762" i="4"/>
  <c r="N761" i="4"/>
  <c r="N759" i="4"/>
  <c r="N730" i="4"/>
  <c r="N688" i="4"/>
  <c r="N682" i="4"/>
  <c r="N672" i="4"/>
  <c r="N417" i="4"/>
  <c r="N399" i="4"/>
  <c r="N382" i="4"/>
  <c r="N319" i="4"/>
  <c r="N307" i="4"/>
  <c r="N283" i="4"/>
  <c r="N271" i="4"/>
  <c r="N244" i="4"/>
  <c r="N242" i="4"/>
  <c r="N202" i="4"/>
  <c r="N160" i="4"/>
  <c r="N148" i="4"/>
  <c r="N137" i="4"/>
  <c r="N108" i="4"/>
  <c r="N92" i="4"/>
  <c r="N79" i="4"/>
  <c r="N69" i="4"/>
  <c r="N56" i="4"/>
  <c r="N47" i="4"/>
  <c r="N37" i="4"/>
  <c r="N24" i="4"/>
  <c r="N10" i="4"/>
  <c r="N8" i="4"/>
  <c r="I44" i="6"/>
  <c r="P2274" i="4"/>
  <c r="P2273" i="4"/>
  <c r="P2272" i="4"/>
  <c r="P2222" i="4"/>
  <c r="P2221" i="4"/>
  <c r="P2220" i="4"/>
  <c r="P2207" i="4"/>
  <c r="P2206" i="4"/>
  <c r="P2205" i="4"/>
  <c r="P2204" i="4"/>
  <c r="P2203" i="4"/>
  <c r="P2149" i="4"/>
  <c r="P2148" i="4"/>
  <c r="P2147" i="4"/>
  <c r="P2146" i="4"/>
  <c r="P2145" i="4"/>
  <c r="P2144" i="4"/>
  <c r="P2132" i="4"/>
  <c r="P2117" i="4"/>
  <c r="P2116" i="4"/>
  <c r="P2115" i="4"/>
  <c r="P2114" i="4"/>
  <c r="P2113" i="4"/>
  <c r="P2112" i="4"/>
  <c r="P2111" i="4"/>
  <c r="P2110" i="4"/>
  <c r="P2109" i="4"/>
  <c r="P2077" i="4"/>
  <c r="P2076" i="4"/>
  <c r="P2075" i="4"/>
  <c r="P2074" i="4"/>
  <c r="P2069" i="4"/>
  <c r="P2043" i="4"/>
  <c r="P2042" i="4"/>
  <c r="P2041" i="4"/>
  <c r="P2040" i="4"/>
  <c r="P2039" i="4"/>
  <c r="P2038" i="4"/>
  <c r="P1887" i="4"/>
  <c r="P1886" i="4"/>
  <c r="P1885" i="4"/>
  <c r="P1884" i="4"/>
  <c r="P1883" i="4"/>
  <c r="P1882" i="4"/>
  <c r="P1609" i="4"/>
  <c r="P1596" i="4"/>
  <c r="P1575" i="4"/>
  <c r="P1519" i="4"/>
  <c r="P1501" i="4"/>
  <c r="P1470" i="4"/>
  <c r="P1427" i="4"/>
  <c r="P1419" i="4"/>
  <c r="P1410" i="4"/>
  <c r="P1384" i="4"/>
  <c r="P1374" i="4"/>
  <c r="P1317" i="4"/>
  <c r="P1288" i="4"/>
  <c r="P1255" i="4"/>
  <c r="P1199" i="4"/>
  <c r="P1110" i="4"/>
  <c r="P1109" i="4"/>
  <c r="P1108" i="4"/>
  <c r="P1107" i="4"/>
  <c r="P1079" i="4"/>
  <c r="P1078" i="4"/>
  <c r="P1077" i="4"/>
  <c r="P1076" i="4"/>
  <c r="P1070" i="4"/>
  <c r="P1069" i="4"/>
  <c r="P1042" i="4"/>
  <c r="P1041" i="4"/>
  <c r="P1040" i="4"/>
  <c r="P1039" i="4"/>
  <c r="P1035" i="4"/>
  <c r="P976" i="4"/>
  <c r="P964" i="4"/>
  <c r="P936" i="4"/>
  <c r="P935" i="4"/>
  <c r="P934" i="4"/>
  <c r="P933" i="4"/>
  <c r="P829" i="4"/>
  <c r="P821" i="4"/>
  <c r="P795" i="4"/>
  <c r="P789" i="4"/>
  <c r="P787" i="4"/>
  <c r="P762" i="4"/>
  <c r="P761" i="4"/>
  <c r="P759" i="4"/>
  <c r="P730" i="4"/>
  <c r="P688" i="4"/>
  <c r="P682" i="4"/>
  <c r="P672" i="4"/>
  <c r="P417" i="4"/>
  <c r="P399" i="4"/>
  <c r="P382" i="4"/>
  <c r="P319" i="4"/>
  <c r="P307" i="4"/>
  <c r="P283" i="4"/>
  <c r="P271" i="4"/>
  <c r="P244" i="4"/>
  <c r="P242" i="4"/>
  <c r="P202" i="4"/>
  <c r="P160" i="4"/>
  <c r="P148" i="4"/>
  <c r="P137" i="4"/>
  <c r="P108" i="4"/>
  <c r="P92" i="4"/>
  <c r="P79" i="4"/>
  <c r="P69" i="4"/>
  <c r="P56" i="4"/>
  <c r="P47" i="4"/>
  <c r="P37" i="4"/>
  <c r="P24" i="4"/>
  <c r="P10" i="4"/>
  <c r="P8" i="4"/>
  <c r="L45" i="3"/>
  <c r="G45" i="6"/>
  <c r="M1602" i="4"/>
  <c r="M1591" i="4"/>
  <c r="M1549" i="4"/>
  <c r="M1532" i="4"/>
  <c r="M948" i="4"/>
  <c r="M913" i="4"/>
  <c r="K46" i="3"/>
  <c r="M46" i="3" s="1"/>
  <c r="N46" i="3" s="1"/>
  <c r="H45" i="6"/>
  <c r="N1602" i="4"/>
  <c r="N1591" i="4"/>
  <c r="N1549" i="4"/>
  <c r="N1532" i="4"/>
  <c r="N948" i="4"/>
  <c r="N913" i="4"/>
  <c r="I45" i="6"/>
  <c r="P1602" i="4"/>
  <c r="P1591" i="4"/>
  <c r="P1549" i="4"/>
  <c r="P1532" i="4"/>
  <c r="P948" i="4"/>
  <c r="P913" i="4"/>
  <c r="L46" i="3"/>
  <c r="G46" i="6"/>
  <c r="M2295" i="4"/>
  <c r="M2294" i="4"/>
  <c r="M2284" i="4"/>
  <c r="M2283" i="4"/>
  <c r="M2269" i="4"/>
  <c r="M2266" i="4"/>
  <c r="M2259" i="4"/>
  <c r="M2250" i="4"/>
  <c r="M2247" i="4"/>
  <c r="M2246" i="4"/>
  <c r="M2245" i="4"/>
  <c r="M2233" i="4"/>
  <c r="M2224" i="4"/>
  <c r="M2181" i="4"/>
  <c r="M2177" i="4"/>
  <c r="M2176" i="4"/>
  <c r="M2175" i="4"/>
  <c r="M2171" i="4"/>
  <c r="M2143" i="4"/>
  <c r="M2141" i="4"/>
  <c r="M2133" i="4"/>
  <c r="M2130" i="4"/>
  <c r="M2108" i="4"/>
  <c r="M2093" i="4"/>
  <c r="M2092" i="4"/>
  <c r="M2091" i="4"/>
  <c r="M2090" i="4"/>
  <c r="M2082" i="4"/>
  <c r="M2081" i="4"/>
  <c r="M2080" i="4"/>
  <c r="M2046" i="4"/>
  <c r="M2045" i="4"/>
  <c r="M2044" i="4"/>
  <c r="M2032" i="4"/>
  <c r="M2030" i="4"/>
  <c r="M2010" i="4"/>
  <c r="M2007" i="4"/>
  <c r="M1990" i="4"/>
  <c r="M1982" i="4"/>
  <c r="M1967" i="4"/>
  <c r="M1954" i="4"/>
  <c r="M1941" i="4"/>
  <c r="M1926" i="4"/>
  <c r="M1908" i="4"/>
  <c r="M1897" i="4"/>
  <c r="M1879" i="4"/>
  <c r="M1874" i="4"/>
  <c r="M1869" i="4"/>
  <c r="M1854" i="4"/>
  <c r="M1841" i="4"/>
  <c r="M1832" i="4"/>
  <c r="M1818" i="4"/>
  <c r="M1806" i="4"/>
  <c r="M1804" i="4"/>
  <c r="M1797" i="4"/>
  <c r="M1780" i="4"/>
  <c r="M1719" i="4"/>
  <c r="M1718" i="4"/>
  <c r="M1717" i="4"/>
  <c r="M1716" i="4"/>
  <c r="M1715" i="4"/>
  <c r="M1714" i="4"/>
  <c r="M1713" i="4"/>
  <c r="M1712" i="4"/>
  <c r="M1711" i="4"/>
  <c r="M1710" i="4"/>
  <c r="M1709" i="4"/>
  <c r="M1668" i="4"/>
  <c r="M1667" i="4"/>
  <c r="M1666" i="4"/>
  <c r="M1665" i="4"/>
  <c r="M1664" i="4"/>
  <c r="M1663" i="4"/>
  <c r="M1662" i="4"/>
  <c r="M1661" i="4"/>
  <c r="M1660" i="4"/>
  <c r="M1659" i="4"/>
  <c r="M1658" i="4"/>
  <c r="M1616" i="4"/>
  <c r="M1615" i="4"/>
  <c r="M1612" i="4"/>
  <c r="M1611" i="4"/>
  <c r="M1600" i="4"/>
  <c r="M1597" i="4"/>
  <c r="M1593" i="4"/>
  <c r="M1588" i="4"/>
  <c r="M1586" i="4"/>
  <c r="M1584" i="4"/>
  <c r="M1583" i="4"/>
  <c r="M1582" i="4"/>
  <c r="M1580" i="4"/>
  <c r="M1578" i="4"/>
  <c r="M1577" i="4"/>
  <c r="M1573" i="4"/>
  <c r="M1520" i="4"/>
  <c r="M1516" i="4"/>
  <c r="M1510" i="4"/>
  <c r="M1498" i="4"/>
  <c r="M1491" i="4"/>
  <c r="M1483" i="4"/>
  <c r="M1476" i="4"/>
  <c r="M1473" i="4"/>
  <c r="M1466" i="4"/>
  <c r="M1463" i="4"/>
  <c r="M1461" i="4"/>
  <c r="M1459" i="4"/>
  <c r="M1451" i="4"/>
  <c r="M1448" i="4"/>
  <c r="M1446" i="4"/>
  <c r="M1442" i="4"/>
  <c r="M1438" i="4"/>
  <c r="M1431" i="4"/>
  <c r="M1429" i="4"/>
  <c r="M1425" i="4"/>
  <c r="M1423" i="4"/>
  <c r="M1416" i="4"/>
  <c r="M1411" i="4"/>
  <c r="M1409" i="4"/>
  <c r="M1402" i="4"/>
  <c r="M1394" i="4"/>
  <c r="M1390" i="4"/>
  <c r="M1385" i="4"/>
  <c r="M1383" i="4"/>
  <c r="M1375" i="4"/>
  <c r="M1368" i="4"/>
  <c r="M1367" i="4"/>
  <c r="M1365" i="4"/>
  <c r="M1361" i="4"/>
  <c r="M1360" i="4"/>
  <c r="M1349" i="4"/>
  <c r="M1344" i="4"/>
  <c r="M1340" i="4"/>
  <c r="M1325" i="4"/>
  <c r="M1289" i="4"/>
  <c r="M1278" i="4"/>
  <c r="M1272" i="4"/>
  <c r="M1262" i="4"/>
  <c r="M1261" i="4"/>
  <c r="M1260" i="4"/>
  <c r="M1232" i="4"/>
  <c r="M1225" i="4"/>
  <c r="M1224" i="4"/>
  <c r="M1158" i="4"/>
  <c r="M1155" i="4"/>
  <c r="M1148" i="4"/>
  <c r="M1147" i="4"/>
  <c r="M1146" i="4"/>
  <c r="M1123" i="4"/>
  <c r="M1106" i="4"/>
  <c r="M1105" i="4"/>
  <c r="M1104" i="4"/>
  <c r="M1103" i="4"/>
  <c r="M1102" i="4"/>
  <c r="M1101" i="4"/>
  <c r="M1075" i="4"/>
  <c r="M1074" i="4"/>
  <c r="M1073" i="4"/>
  <c r="M1072" i="4"/>
  <c r="M1071" i="4"/>
  <c r="M1051" i="4"/>
  <c r="M1038" i="4"/>
  <c r="M1037" i="4"/>
  <c r="M1036" i="4"/>
  <c r="M1034" i="4"/>
  <c r="M1033" i="4"/>
  <c r="M1012" i="4"/>
  <c r="M999" i="4"/>
  <c r="M998" i="4"/>
  <c r="M997" i="4"/>
  <c r="M994" i="4"/>
  <c r="M977" i="4"/>
  <c r="M975" i="4"/>
  <c r="M974" i="4"/>
  <c r="M973" i="4"/>
  <c r="M972" i="4"/>
  <c r="M969" i="4"/>
  <c r="M951" i="4"/>
  <c r="M950" i="4"/>
  <c r="M949" i="4"/>
  <c r="M916" i="4"/>
  <c r="M909" i="4"/>
  <c r="M908" i="4"/>
  <c r="M903" i="4"/>
  <c r="M894" i="4"/>
  <c r="M839" i="4"/>
  <c r="M834" i="4"/>
  <c r="M830" i="4"/>
  <c r="M802" i="4"/>
  <c r="M790" i="4"/>
  <c r="M788" i="4"/>
  <c r="M766" i="4"/>
  <c r="M764" i="4"/>
  <c r="M760" i="4"/>
  <c r="M753" i="4"/>
  <c r="M741" i="4"/>
  <c r="M705" i="4"/>
  <c r="M689" i="4"/>
  <c r="M687" i="4"/>
  <c r="M683" i="4"/>
  <c r="M666" i="4"/>
  <c r="M662" i="4"/>
  <c r="M659" i="4"/>
  <c r="M653" i="4"/>
  <c r="M648" i="4"/>
  <c r="M647" i="4"/>
  <c r="M643" i="4"/>
  <c r="M642" i="4"/>
  <c r="M641" i="4"/>
  <c r="M638" i="4"/>
  <c r="M637" i="4"/>
  <c r="M633" i="4"/>
  <c r="M629" i="4"/>
  <c r="M626" i="4"/>
  <c r="M624" i="4"/>
  <c r="M620" i="4"/>
  <c r="M616" i="4"/>
  <c r="M612" i="4"/>
  <c r="M603" i="4"/>
  <c r="M601" i="4"/>
  <c r="M595" i="4"/>
  <c r="M590" i="4"/>
  <c r="M589" i="4"/>
  <c r="M588" i="4"/>
  <c r="M586" i="4"/>
  <c r="M585" i="4"/>
  <c r="M581" i="4"/>
  <c r="M569" i="4"/>
  <c r="M568" i="4"/>
  <c r="M564" i="4"/>
  <c r="M560" i="4"/>
  <c r="M550" i="4"/>
  <c r="M541" i="4"/>
  <c r="M537" i="4"/>
  <c r="M536" i="4"/>
  <c r="M535" i="4"/>
  <c r="M534" i="4"/>
  <c r="M533" i="4"/>
  <c r="M532" i="4"/>
  <c r="M520" i="4"/>
  <c r="M513" i="4"/>
  <c r="M512" i="4"/>
  <c r="M511" i="4"/>
  <c r="M503" i="4"/>
  <c r="M500" i="4"/>
  <c r="M496" i="4"/>
  <c r="M495" i="4"/>
  <c r="M494" i="4"/>
  <c r="M483" i="4"/>
  <c r="M482" i="4"/>
  <c r="M480" i="4"/>
  <c r="M479" i="4"/>
  <c r="M470" i="4"/>
  <c r="M469" i="4"/>
  <c r="M468" i="4"/>
  <c r="M467" i="4"/>
  <c r="M465" i="4"/>
  <c r="M464" i="4"/>
  <c r="M463" i="4"/>
  <c r="M458" i="4"/>
  <c r="M456" i="4"/>
  <c r="M450" i="4"/>
  <c r="M443" i="4"/>
  <c r="M437" i="4"/>
  <c r="M429" i="4"/>
  <c r="M400" i="4"/>
  <c r="M390" i="4"/>
  <c r="M389" i="4"/>
  <c r="M388" i="4"/>
  <c r="M387" i="4"/>
  <c r="M376" i="4"/>
  <c r="M365" i="4"/>
  <c r="M360" i="4"/>
  <c r="M343" i="4"/>
  <c r="M342" i="4"/>
  <c r="M341" i="4"/>
  <c r="M333" i="4"/>
  <c r="M309" i="4"/>
  <c r="M301" i="4"/>
  <c r="M282" i="4"/>
  <c r="M281" i="4"/>
  <c r="M280" i="4"/>
  <c r="M272" i="4"/>
  <c r="M265" i="4"/>
  <c r="M264" i="4"/>
  <c r="M246" i="4"/>
  <c r="M234" i="4"/>
  <c r="M221" i="4"/>
  <c r="M220" i="4"/>
  <c r="M219" i="4"/>
  <c r="M196" i="4"/>
  <c r="M190" i="4"/>
  <c r="M188" i="4"/>
  <c r="M183" i="4"/>
  <c r="M182" i="4"/>
  <c r="M141" i="4"/>
  <c r="M109" i="4"/>
  <c r="M105" i="4"/>
  <c r="M94" i="4"/>
  <c r="M86" i="4"/>
  <c r="M61" i="4"/>
  <c r="M43" i="4"/>
  <c r="M42" i="4"/>
  <c r="M41" i="4"/>
  <c r="M18" i="4"/>
  <c r="M15" i="4"/>
  <c r="M14" i="4"/>
  <c r="K47" i="3"/>
  <c r="M47" i="3" s="1"/>
  <c r="N47" i="3" s="1"/>
  <c r="H46" i="6"/>
  <c r="N2295" i="4"/>
  <c r="N2294" i="4"/>
  <c r="N2284" i="4"/>
  <c r="N2283" i="4"/>
  <c r="N2269" i="4"/>
  <c r="N2266" i="4"/>
  <c r="N2259" i="4"/>
  <c r="N2250" i="4"/>
  <c r="N2247" i="4"/>
  <c r="N2246" i="4"/>
  <c r="N2245" i="4"/>
  <c r="N2233" i="4"/>
  <c r="N2224" i="4"/>
  <c r="N2181" i="4"/>
  <c r="N2177" i="4"/>
  <c r="N2176" i="4"/>
  <c r="N2175" i="4"/>
  <c r="N2171" i="4"/>
  <c r="N2143" i="4"/>
  <c r="N2141" i="4"/>
  <c r="N2133" i="4"/>
  <c r="N2130" i="4"/>
  <c r="N2108" i="4"/>
  <c r="N2093" i="4"/>
  <c r="N2092" i="4"/>
  <c r="N2091" i="4"/>
  <c r="N2090" i="4"/>
  <c r="N2082" i="4"/>
  <c r="N2081" i="4"/>
  <c r="N2080" i="4"/>
  <c r="N2046" i="4"/>
  <c r="N2045" i="4"/>
  <c r="N2044" i="4"/>
  <c r="N2032" i="4"/>
  <c r="N2030" i="4"/>
  <c r="N2010" i="4"/>
  <c r="N2007" i="4"/>
  <c r="N1990" i="4"/>
  <c r="N1982" i="4"/>
  <c r="N1967" i="4"/>
  <c r="N1954" i="4"/>
  <c r="N1941" i="4"/>
  <c r="N1926" i="4"/>
  <c r="N1908" i="4"/>
  <c r="N1897" i="4"/>
  <c r="N1879" i="4"/>
  <c r="N1874" i="4"/>
  <c r="N1869" i="4"/>
  <c r="N1854" i="4"/>
  <c r="N1841" i="4"/>
  <c r="N1832" i="4"/>
  <c r="N1818" i="4"/>
  <c r="N1806" i="4"/>
  <c r="N1804" i="4"/>
  <c r="N1797" i="4"/>
  <c r="N1780" i="4"/>
  <c r="N1719" i="4"/>
  <c r="N1718" i="4"/>
  <c r="N1717" i="4"/>
  <c r="N1716" i="4"/>
  <c r="N1715" i="4"/>
  <c r="N1714" i="4"/>
  <c r="N1713" i="4"/>
  <c r="N1712" i="4"/>
  <c r="N1711" i="4"/>
  <c r="N1710" i="4"/>
  <c r="N1709" i="4"/>
  <c r="N1668" i="4"/>
  <c r="N1667" i="4"/>
  <c r="N1666" i="4"/>
  <c r="N1665" i="4"/>
  <c r="N1664" i="4"/>
  <c r="N1663" i="4"/>
  <c r="N1662" i="4"/>
  <c r="N1661" i="4"/>
  <c r="N1660" i="4"/>
  <c r="N1659" i="4"/>
  <c r="N1658" i="4"/>
  <c r="N1616" i="4"/>
  <c r="N1615" i="4"/>
  <c r="N1612" i="4"/>
  <c r="N1611" i="4"/>
  <c r="N1600" i="4"/>
  <c r="N1597" i="4"/>
  <c r="N1593" i="4"/>
  <c r="N1588" i="4"/>
  <c r="N1586" i="4"/>
  <c r="N1584" i="4"/>
  <c r="N1583" i="4"/>
  <c r="N1582" i="4"/>
  <c r="N1580" i="4"/>
  <c r="N1578" i="4"/>
  <c r="N1577" i="4"/>
  <c r="N1573" i="4"/>
  <c r="N1520" i="4"/>
  <c r="N1516" i="4"/>
  <c r="N1510" i="4"/>
  <c r="N1498" i="4"/>
  <c r="N1491" i="4"/>
  <c r="N1483" i="4"/>
  <c r="N1476" i="4"/>
  <c r="N1473" i="4"/>
  <c r="N1466" i="4"/>
  <c r="N1463" i="4"/>
  <c r="N1461" i="4"/>
  <c r="N1459" i="4"/>
  <c r="N1451" i="4"/>
  <c r="N1448" i="4"/>
  <c r="N1446" i="4"/>
  <c r="N1442" i="4"/>
  <c r="N1438" i="4"/>
  <c r="N1431" i="4"/>
  <c r="N1429" i="4"/>
  <c r="N1425" i="4"/>
  <c r="N1423" i="4"/>
  <c r="N1416" i="4"/>
  <c r="N1411" i="4"/>
  <c r="N1409" i="4"/>
  <c r="N1402" i="4"/>
  <c r="N1394" i="4"/>
  <c r="N1390" i="4"/>
  <c r="N1385" i="4"/>
  <c r="N1383" i="4"/>
  <c r="N1375" i="4"/>
  <c r="N1368" i="4"/>
  <c r="N1367" i="4"/>
  <c r="N1365" i="4"/>
  <c r="N1361" i="4"/>
  <c r="N1360" i="4"/>
  <c r="N1349" i="4"/>
  <c r="N1344" i="4"/>
  <c r="N1340" i="4"/>
  <c r="N1325" i="4"/>
  <c r="N1289" i="4"/>
  <c r="N1278" i="4"/>
  <c r="N1272" i="4"/>
  <c r="N1262" i="4"/>
  <c r="N1261" i="4"/>
  <c r="N1260" i="4"/>
  <c r="N1232" i="4"/>
  <c r="N1225" i="4"/>
  <c r="N1224" i="4"/>
  <c r="N1158" i="4"/>
  <c r="N1155" i="4"/>
  <c r="N1148" i="4"/>
  <c r="N1147" i="4"/>
  <c r="N1146" i="4"/>
  <c r="N1123" i="4"/>
  <c r="N1106" i="4"/>
  <c r="N1105" i="4"/>
  <c r="N1104" i="4"/>
  <c r="N1103" i="4"/>
  <c r="N1102" i="4"/>
  <c r="N1101" i="4"/>
  <c r="N1075" i="4"/>
  <c r="N1074" i="4"/>
  <c r="N1073" i="4"/>
  <c r="N1072" i="4"/>
  <c r="N1071" i="4"/>
  <c r="N1051" i="4"/>
  <c r="N1038" i="4"/>
  <c r="N1037" i="4"/>
  <c r="N1036" i="4"/>
  <c r="N1034" i="4"/>
  <c r="N1033" i="4"/>
  <c r="N1012" i="4"/>
  <c r="N999" i="4"/>
  <c r="N998" i="4"/>
  <c r="N997" i="4"/>
  <c r="N994" i="4"/>
  <c r="N977" i="4"/>
  <c r="N975" i="4"/>
  <c r="N974" i="4"/>
  <c r="N973" i="4"/>
  <c r="N972" i="4"/>
  <c r="N969" i="4"/>
  <c r="N951" i="4"/>
  <c r="N950" i="4"/>
  <c r="N949" i="4"/>
  <c r="N916" i="4"/>
  <c r="N909" i="4"/>
  <c r="N908" i="4"/>
  <c r="N903" i="4"/>
  <c r="N894" i="4"/>
  <c r="N839" i="4"/>
  <c r="N834" i="4"/>
  <c r="N830" i="4"/>
  <c r="N802" i="4"/>
  <c r="N790" i="4"/>
  <c r="N788" i="4"/>
  <c r="N766" i="4"/>
  <c r="N764" i="4"/>
  <c r="N760" i="4"/>
  <c r="N753" i="4"/>
  <c r="N741" i="4"/>
  <c r="N705" i="4"/>
  <c r="N689" i="4"/>
  <c r="N687" i="4"/>
  <c r="N683" i="4"/>
  <c r="N666" i="4"/>
  <c r="N662" i="4"/>
  <c r="N659" i="4"/>
  <c r="N653" i="4"/>
  <c r="N648" i="4"/>
  <c r="N647" i="4"/>
  <c r="N643" i="4"/>
  <c r="N642" i="4"/>
  <c r="N641" i="4"/>
  <c r="N638" i="4"/>
  <c r="N637" i="4"/>
  <c r="N633" i="4"/>
  <c r="N629" i="4"/>
  <c r="N626" i="4"/>
  <c r="N624" i="4"/>
  <c r="N620" i="4"/>
  <c r="N616" i="4"/>
  <c r="N612" i="4"/>
  <c r="N603" i="4"/>
  <c r="N601" i="4"/>
  <c r="N595" i="4"/>
  <c r="N590" i="4"/>
  <c r="N589" i="4"/>
  <c r="N588" i="4"/>
  <c r="N586" i="4"/>
  <c r="N585" i="4"/>
  <c r="N581" i="4"/>
  <c r="N569" i="4"/>
  <c r="N568" i="4"/>
  <c r="N564" i="4"/>
  <c r="N560" i="4"/>
  <c r="N550" i="4"/>
  <c r="N541" i="4"/>
  <c r="N537" i="4"/>
  <c r="N536" i="4"/>
  <c r="N535" i="4"/>
  <c r="N534" i="4"/>
  <c r="N533" i="4"/>
  <c r="N532" i="4"/>
  <c r="N520" i="4"/>
  <c r="N513" i="4"/>
  <c r="N512" i="4"/>
  <c r="N511" i="4"/>
  <c r="N503" i="4"/>
  <c r="N500" i="4"/>
  <c r="N496" i="4"/>
  <c r="N495" i="4"/>
  <c r="N494" i="4"/>
  <c r="N483" i="4"/>
  <c r="N482" i="4"/>
  <c r="N480" i="4"/>
  <c r="N479" i="4"/>
  <c r="N470" i="4"/>
  <c r="N469" i="4"/>
  <c r="N468" i="4"/>
  <c r="N467" i="4"/>
  <c r="N465" i="4"/>
  <c r="N464" i="4"/>
  <c r="N463" i="4"/>
  <c r="N458" i="4"/>
  <c r="N456" i="4"/>
  <c r="N450" i="4"/>
  <c r="N443" i="4"/>
  <c r="N437" i="4"/>
  <c r="N429" i="4"/>
  <c r="N400" i="4"/>
  <c r="N390" i="4"/>
  <c r="N389" i="4"/>
  <c r="N388" i="4"/>
  <c r="N387" i="4"/>
  <c r="N376" i="4"/>
  <c r="N365" i="4"/>
  <c r="N360" i="4"/>
  <c r="N343" i="4"/>
  <c r="N342" i="4"/>
  <c r="N341" i="4"/>
  <c r="N333" i="4"/>
  <c r="N309" i="4"/>
  <c r="N301" i="4"/>
  <c r="N282" i="4"/>
  <c r="N281" i="4"/>
  <c r="N280" i="4"/>
  <c r="N272" i="4"/>
  <c r="N265" i="4"/>
  <c r="N264" i="4"/>
  <c r="N246" i="4"/>
  <c r="N234" i="4"/>
  <c r="N221" i="4"/>
  <c r="N220" i="4"/>
  <c r="N219" i="4"/>
  <c r="N196" i="4"/>
  <c r="N190" i="4"/>
  <c r="N188" i="4"/>
  <c r="N183" i="4"/>
  <c r="N182" i="4"/>
  <c r="N141" i="4"/>
  <c r="N109" i="4"/>
  <c r="N105" i="4"/>
  <c r="N94" i="4"/>
  <c r="N86" i="4"/>
  <c r="N61" i="4"/>
  <c r="N43" i="4"/>
  <c r="N42" i="4"/>
  <c r="N41" i="4"/>
  <c r="N18" i="4"/>
  <c r="N15" i="4"/>
  <c r="N14" i="4"/>
  <c r="I46" i="6"/>
  <c r="P2295" i="4"/>
  <c r="P2294" i="4"/>
  <c r="P2284" i="4"/>
  <c r="P2283" i="4"/>
  <c r="P2269" i="4"/>
  <c r="P2266" i="4"/>
  <c r="P2259" i="4"/>
  <c r="P2250" i="4"/>
  <c r="P2247" i="4"/>
  <c r="P2246" i="4"/>
  <c r="P2245" i="4"/>
  <c r="P2233" i="4"/>
  <c r="P2224" i="4"/>
  <c r="P2181" i="4"/>
  <c r="P2177" i="4"/>
  <c r="P2176" i="4"/>
  <c r="P2175" i="4"/>
  <c r="P2171" i="4"/>
  <c r="P2143" i="4"/>
  <c r="P2141" i="4"/>
  <c r="P2133" i="4"/>
  <c r="P2130" i="4"/>
  <c r="P2108" i="4"/>
  <c r="P2093" i="4"/>
  <c r="P2092" i="4"/>
  <c r="P2091" i="4"/>
  <c r="P2090" i="4"/>
  <c r="P2082" i="4"/>
  <c r="P2081" i="4"/>
  <c r="P2080" i="4"/>
  <c r="P2046" i="4"/>
  <c r="P2045" i="4"/>
  <c r="P2044" i="4"/>
  <c r="P2032" i="4"/>
  <c r="P2030" i="4"/>
  <c r="P2010" i="4"/>
  <c r="P2007" i="4"/>
  <c r="P1990" i="4"/>
  <c r="P1982" i="4"/>
  <c r="P1967" i="4"/>
  <c r="P1954" i="4"/>
  <c r="P1941" i="4"/>
  <c r="P1926" i="4"/>
  <c r="P1908" i="4"/>
  <c r="P1897" i="4"/>
  <c r="P1879" i="4"/>
  <c r="P1874" i="4"/>
  <c r="P1869" i="4"/>
  <c r="P1854" i="4"/>
  <c r="P1841" i="4"/>
  <c r="P1832" i="4"/>
  <c r="P1818" i="4"/>
  <c r="P1806" i="4"/>
  <c r="P1804" i="4"/>
  <c r="P1797" i="4"/>
  <c r="P1780" i="4"/>
  <c r="P1719" i="4"/>
  <c r="P1718" i="4"/>
  <c r="P1717" i="4"/>
  <c r="P1716" i="4"/>
  <c r="P1715" i="4"/>
  <c r="P1714" i="4"/>
  <c r="P1713" i="4"/>
  <c r="P1712" i="4"/>
  <c r="P1711" i="4"/>
  <c r="P1710" i="4"/>
  <c r="P1709" i="4"/>
  <c r="P1668" i="4"/>
  <c r="P1667" i="4"/>
  <c r="P1666" i="4"/>
  <c r="P1665" i="4"/>
  <c r="P1664" i="4"/>
  <c r="P1663" i="4"/>
  <c r="P1662" i="4"/>
  <c r="P1661" i="4"/>
  <c r="P1660" i="4"/>
  <c r="P1659" i="4"/>
  <c r="P1658" i="4"/>
  <c r="P1616" i="4"/>
  <c r="P1615" i="4"/>
  <c r="P1612" i="4"/>
  <c r="P1611" i="4"/>
  <c r="P1600" i="4"/>
  <c r="P1597" i="4"/>
  <c r="P1593" i="4"/>
  <c r="P1588" i="4"/>
  <c r="P1586" i="4"/>
  <c r="P1584" i="4"/>
  <c r="P1583" i="4"/>
  <c r="P1582" i="4"/>
  <c r="P1580" i="4"/>
  <c r="P1578" i="4"/>
  <c r="P1577" i="4"/>
  <c r="P1573" i="4"/>
  <c r="P1520" i="4"/>
  <c r="P1516" i="4"/>
  <c r="P1510" i="4"/>
  <c r="P1498" i="4"/>
  <c r="P1491" i="4"/>
  <c r="P1483" i="4"/>
  <c r="P1476" i="4"/>
  <c r="P1473" i="4"/>
  <c r="P1466" i="4"/>
  <c r="P1463" i="4"/>
  <c r="P1461" i="4"/>
  <c r="P1459" i="4"/>
  <c r="P1451" i="4"/>
  <c r="P1448" i="4"/>
  <c r="P1446" i="4"/>
  <c r="P1442" i="4"/>
  <c r="P1438" i="4"/>
  <c r="P1431" i="4"/>
  <c r="P1429" i="4"/>
  <c r="P1425" i="4"/>
  <c r="P1423" i="4"/>
  <c r="P1416" i="4"/>
  <c r="P1411" i="4"/>
  <c r="P1409" i="4"/>
  <c r="P1402" i="4"/>
  <c r="P1394" i="4"/>
  <c r="P1390" i="4"/>
  <c r="P1385" i="4"/>
  <c r="P1383" i="4"/>
  <c r="P1375" i="4"/>
  <c r="P1368" i="4"/>
  <c r="P1367" i="4"/>
  <c r="P1365" i="4"/>
  <c r="P1361" i="4"/>
  <c r="P1360" i="4"/>
  <c r="P1349" i="4"/>
  <c r="P1344" i="4"/>
  <c r="P1340" i="4"/>
  <c r="P1325" i="4"/>
  <c r="P1289" i="4"/>
  <c r="P1278" i="4"/>
  <c r="P1272" i="4"/>
  <c r="P1262" i="4"/>
  <c r="P1261" i="4"/>
  <c r="P1260" i="4"/>
  <c r="P1232" i="4"/>
  <c r="P1225" i="4"/>
  <c r="P1224" i="4"/>
  <c r="P1158" i="4"/>
  <c r="P1155" i="4"/>
  <c r="P1148" i="4"/>
  <c r="P1147" i="4"/>
  <c r="P1146" i="4"/>
  <c r="P1123" i="4"/>
  <c r="P1106" i="4"/>
  <c r="P1105" i="4"/>
  <c r="P1104" i="4"/>
  <c r="P1103" i="4"/>
  <c r="P1102" i="4"/>
  <c r="P1101" i="4"/>
  <c r="P1075" i="4"/>
  <c r="P1074" i="4"/>
  <c r="P1073" i="4"/>
  <c r="P1072" i="4"/>
  <c r="P1071" i="4"/>
  <c r="P1051" i="4"/>
  <c r="P1038" i="4"/>
  <c r="P1037" i="4"/>
  <c r="P1036" i="4"/>
  <c r="P1034" i="4"/>
  <c r="P1033" i="4"/>
  <c r="P1012" i="4"/>
  <c r="P999" i="4"/>
  <c r="P998" i="4"/>
  <c r="P997" i="4"/>
  <c r="P994" i="4"/>
  <c r="P977" i="4"/>
  <c r="P975" i="4"/>
  <c r="P974" i="4"/>
  <c r="P973" i="4"/>
  <c r="P972" i="4"/>
  <c r="P969" i="4"/>
  <c r="P951" i="4"/>
  <c r="P950" i="4"/>
  <c r="P949" i="4"/>
  <c r="P916" i="4"/>
  <c r="P909" i="4"/>
  <c r="P908" i="4"/>
  <c r="P903" i="4"/>
  <c r="P894" i="4"/>
  <c r="P839" i="4"/>
  <c r="P834" i="4"/>
  <c r="P830" i="4"/>
  <c r="P802" i="4"/>
  <c r="P790" i="4"/>
  <c r="P788" i="4"/>
  <c r="P766" i="4"/>
  <c r="P764" i="4"/>
  <c r="P760" i="4"/>
  <c r="P753" i="4"/>
  <c r="P741" i="4"/>
  <c r="P705" i="4"/>
  <c r="P689" i="4"/>
  <c r="P687" i="4"/>
  <c r="P683" i="4"/>
  <c r="P666" i="4"/>
  <c r="P662" i="4"/>
  <c r="P659" i="4"/>
  <c r="P653" i="4"/>
  <c r="P648" i="4"/>
  <c r="P647" i="4"/>
  <c r="P643" i="4"/>
  <c r="P642" i="4"/>
  <c r="P641" i="4"/>
  <c r="P638" i="4"/>
  <c r="P637" i="4"/>
  <c r="P633" i="4"/>
  <c r="P629" i="4"/>
  <c r="P626" i="4"/>
  <c r="P624" i="4"/>
  <c r="P620" i="4"/>
  <c r="P616" i="4"/>
  <c r="P612" i="4"/>
  <c r="P603" i="4"/>
  <c r="P601" i="4"/>
  <c r="P595" i="4"/>
  <c r="P590" i="4"/>
  <c r="P589" i="4"/>
  <c r="P588" i="4"/>
  <c r="P586" i="4"/>
  <c r="P585" i="4"/>
  <c r="P581" i="4"/>
  <c r="P569" i="4"/>
  <c r="P568" i="4"/>
  <c r="P564" i="4"/>
  <c r="P560" i="4"/>
  <c r="P550" i="4"/>
  <c r="P541" i="4"/>
  <c r="P537" i="4"/>
  <c r="P536" i="4"/>
  <c r="P535" i="4"/>
  <c r="P534" i="4"/>
  <c r="P533" i="4"/>
  <c r="P532" i="4"/>
  <c r="P520" i="4"/>
  <c r="P513" i="4"/>
  <c r="P512" i="4"/>
  <c r="P511" i="4"/>
  <c r="P503" i="4"/>
  <c r="P500" i="4"/>
  <c r="P496" i="4"/>
  <c r="P495" i="4"/>
  <c r="P494" i="4"/>
  <c r="P483" i="4"/>
  <c r="P482" i="4"/>
  <c r="P480" i="4"/>
  <c r="P479" i="4"/>
  <c r="P470" i="4"/>
  <c r="P469" i="4"/>
  <c r="P468" i="4"/>
  <c r="P467" i="4"/>
  <c r="P465" i="4"/>
  <c r="P464" i="4"/>
  <c r="P463" i="4"/>
  <c r="P458" i="4"/>
  <c r="P456" i="4"/>
  <c r="P450" i="4"/>
  <c r="P443" i="4"/>
  <c r="P437" i="4"/>
  <c r="P429" i="4"/>
  <c r="P400" i="4"/>
  <c r="P390" i="4"/>
  <c r="P389" i="4"/>
  <c r="P388" i="4"/>
  <c r="P387" i="4"/>
  <c r="P376" i="4"/>
  <c r="P365" i="4"/>
  <c r="P360" i="4"/>
  <c r="P343" i="4"/>
  <c r="P342" i="4"/>
  <c r="P341" i="4"/>
  <c r="P333" i="4"/>
  <c r="P309" i="4"/>
  <c r="P301" i="4"/>
  <c r="P282" i="4"/>
  <c r="P281" i="4"/>
  <c r="P280" i="4"/>
  <c r="P272" i="4"/>
  <c r="P265" i="4"/>
  <c r="P264" i="4"/>
  <c r="P246" i="4"/>
  <c r="P234" i="4"/>
  <c r="P221" i="4"/>
  <c r="P220" i="4"/>
  <c r="P219" i="4"/>
  <c r="P196" i="4"/>
  <c r="P190" i="4"/>
  <c r="P188" i="4"/>
  <c r="P183" i="4"/>
  <c r="P182" i="4"/>
  <c r="P141" i="4"/>
  <c r="P109" i="4"/>
  <c r="P105" i="4"/>
  <c r="P94" i="4"/>
  <c r="P86" i="4"/>
  <c r="P61" i="4"/>
  <c r="P43" i="4"/>
  <c r="P42" i="4"/>
  <c r="P41" i="4"/>
  <c r="P18" i="4"/>
  <c r="P15" i="4"/>
  <c r="P14" i="4"/>
  <c r="L47" i="3"/>
  <c r="G47" i="6"/>
  <c r="M613" i="4"/>
  <c r="M473" i="4"/>
  <c r="M441" i="4"/>
  <c r="M440" i="4"/>
  <c r="M9" i="4"/>
  <c r="M7" i="4"/>
  <c r="K48" i="3"/>
  <c r="M48" i="3" s="1"/>
  <c r="N48" i="3" s="1"/>
  <c r="H47" i="6"/>
  <c r="N613" i="4"/>
  <c r="N473" i="4"/>
  <c r="N441" i="4"/>
  <c r="N440" i="4"/>
  <c r="N9" i="4"/>
  <c r="N7" i="4"/>
  <c r="I47" i="6"/>
  <c r="P613" i="4"/>
  <c r="P473" i="4"/>
  <c r="P441" i="4"/>
  <c r="P440" i="4"/>
  <c r="P9" i="4"/>
  <c r="P7" i="4"/>
  <c r="L48" i="3"/>
  <c r="G48" i="6"/>
  <c r="M1679" i="4"/>
  <c r="M1678" i="4"/>
  <c r="M1585" i="4"/>
  <c r="M1570" i="4"/>
  <c r="M1564" i="4"/>
  <c r="M1557" i="4"/>
  <c r="M1551" i="4"/>
  <c r="M1550" i="4"/>
  <c r="M1533" i="4"/>
  <c r="M1355" i="4"/>
  <c r="M1304" i="4"/>
  <c r="M1254" i="4"/>
  <c r="M928" i="4"/>
  <c r="M914" i="4"/>
  <c r="M912" i="4"/>
  <c r="M911" i="4"/>
  <c r="M910" i="4"/>
  <c r="M884" i="4"/>
  <c r="M866" i="4"/>
  <c r="M865" i="4"/>
  <c r="M131" i="4"/>
  <c r="M129" i="4"/>
  <c r="M125" i="4"/>
  <c r="M123" i="4"/>
  <c r="M103" i="4"/>
  <c r="K49" i="3"/>
  <c r="M49" i="3" s="1"/>
  <c r="N49" i="3" s="1"/>
  <c r="H48" i="6"/>
  <c r="N1679" i="4"/>
  <c r="N1678" i="4"/>
  <c r="N1585" i="4"/>
  <c r="N1570" i="4"/>
  <c r="N1564" i="4"/>
  <c r="N1557" i="4"/>
  <c r="N1551" i="4"/>
  <c r="N1550" i="4"/>
  <c r="N1533" i="4"/>
  <c r="N1355" i="4"/>
  <c r="N1304" i="4"/>
  <c r="N1254" i="4"/>
  <c r="N928" i="4"/>
  <c r="N914" i="4"/>
  <c r="N912" i="4"/>
  <c r="N911" i="4"/>
  <c r="N910" i="4"/>
  <c r="N884" i="4"/>
  <c r="N866" i="4"/>
  <c r="N865" i="4"/>
  <c r="N131" i="4"/>
  <c r="N129" i="4"/>
  <c r="N125" i="4"/>
  <c r="N123" i="4"/>
  <c r="N103" i="4"/>
  <c r="I48" i="6"/>
  <c r="P1679" i="4"/>
  <c r="P1678" i="4"/>
  <c r="P1585" i="4"/>
  <c r="P1570" i="4"/>
  <c r="P1564" i="4"/>
  <c r="P1557" i="4"/>
  <c r="P1551" i="4"/>
  <c r="P1550" i="4"/>
  <c r="P1533" i="4"/>
  <c r="P1355" i="4"/>
  <c r="P1304" i="4"/>
  <c r="P1254" i="4"/>
  <c r="P928" i="4"/>
  <c r="P914" i="4"/>
  <c r="P912" i="4"/>
  <c r="P911" i="4"/>
  <c r="P910" i="4"/>
  <c r="P884" i="4"/>
  <c r="P866" i="4"/>
  <c r="P865" i="4"/>
  <c r="P131" i="4"/>
  <c r="P129" i="4"/>
  <c r="P125" i="4"/>
  <c r="P123" i="4"/>
  <c r="P103" i="4"/>
  <c r="L49" i="3"/>
  <c r="G49" i="6"/>
  <c r="M2102" i="4"/>
  <c r="M2101" i="4"/>
  <c r="M2079" i="4"/>
  <c r="K50" i="3"/>
  <c r="M50" i="3" s="1"/>
  <c r="N50" i="3" s="1"/>
  <c r="H49" i="6"/>
  <c r="N2102" i="4"/>
  <c r="N2101" i="4"/>
  <c r="N2079" i="4"/>
  <c r="I49" i="6"/>
  <c r="P2102" i="4"/>
  <c r="P2101" i="4"/>
  <c r="P2079" i="4"/>
  <c r="L50" i="3"/>
  <c r="M51" i="3"/>
  <c r="N51" i="3" s="1"/>
  <c r="L51" i="3"/>
  <c r="M54" i="3"/>
  <c r="N54" i="3" s="1"/>
  <c r="L54" i="3"/>
  <c r="M56" i="3"/>
  <c r="N56" i="3" s="1"/>
  <c r="L56" i="3"/>
  <c r="M60" i="3"/>
  <c r="N60" i="3" s="1"/>
  <c r="L60" i="3"/>
  <c r="G64" i="6"/>
  <c r="M104" i="5"/>
  <c r="M103" i="5"/>
  <c r="M102" i="5"/>
  <c r="M101" i="5"/>
  <c r="M95" i="5"/>
  <c r="M94" i="5"/>
  <c r="M92" i="5"/>
  <c r="M91" i="5"/>
  <c r="M90" i="5"/>
  <c r="M88" i="5"/>
  <c r="M87" i="5"/>
  <c r="M83" i="5"/>
  <c r="M79" i="5"/>
  <c r="M68" i="5"/>
  <c r="M60" i="5"/>
  <c r="M59" i="5"/>
  <c r="M57" i="5"/>
  <c r="M48" i="5"/>
  <c r="M46" i="5"/>
  <c r="M43" i="5"/>
  <c r="M41" i="5"/>
  <c r="M36" i="5"/>
  <c r="M34" i="5"/>
  <c r="M31" i="5"/>
  <c r="M30" i="5"/>
  <c r="M29" i="5"/>
  <c r="M28" i="5"/>
  <c r="M27" i="5"/>
  <c r="M26" i="5"/>
  <c r="M24" i="5"/>
  <c r="M14" i="5"/>
  <c r="K69" i="3"/>
  <c r="H64" i="6"/>
  <c r="N104" i="5"/>
  <c r="N103" i="5"/>
  <c r="N102" i="5"/>
  <c r="N101" i="5"/>
  <c r="N95" i="5"/>
  <c r="N94" i="5"/>
  <c r="N92" i="5"/>
  <c r="N91" i="5"/>
  <c r="N90" i="5"/>
  <c r="N88" i="5"/>
  <c r="N87" i="5"/>
  <c r="N83" i="5"/>
  <c r="N79" i="5"/>
  <c r="N68" i="5"/>
  <c r="N60" i="5"/>
  <c r="N59" i="5"/>
  <c r="N57" i="5"/>
  <c r="N48" i="5"/>
  <c r="N46" i="5"/>
  <c r="N43" i="5"/>
  <c r="N41" i="5"/>
  <c r="N36" i="5"/>
  <c r="N34" i="5"/>
  <c r="N31" i="5"/>
  <c r="N30" i="5"/>
  <c r="N29" i="5"/>
  <c r="N28" i="5"/>
  <c r="N27" i="5"/>
  <c r="N26" i="5"/>
  <c r="N24" i="5"/>
  <c r="N14" i="5"/>
  <c r="I64" i="6"/>
  <c r="P104" i="5"/>
  <c r="P103" i="5"/>
  <c r="P102" i="5"/>
  <c r="P101" i="5"/>
  <c r="P95" i="5"/>
  <c r="P94" i="5"/>
  <c r="P92" i="5"/>
  <c r="P91" i="5"/>
  <c r="P90" i="5"/>
  <c r="P88" i="5"/>
  <c r="P87" i="5"/>
  <c r="P83" i="5"/>
  <c r="P79" i="5"/>
  <c r="P68" i="5"/>
  <c r="P60" i="5"/>
  <c r="P59" i="5"/>
  <c r="P57" i="5"/>
  <c r="P48" i="5"/>
  <c r="P46" i="5"/>
  <c r="P43" i="5"/>
  <c r="P41" i="5"/>
  <c r="P36" i="5"/>
  <c r="P34" i="5"/>
  <c r="P31" i="5"/>
  <c r="P30" i="5"/>
  <c r="P29" i="5"/>
  <c r="P28" i="5"/>
  <c r="P27" i="5"/>
  <c r="P26" i="5"/>
  <c r="P24" i="5"/>
  <c r="P14" i="5"/>
  <c r="L69" i="3"/>
  <c r="G65" i="6"/>
  <c r="M19" i="5"/>
  <c r="M18" i="5"/>
  <c r="M16" i="5"/>
  <c r="M13" i="5"/>
  <c r="M12" i="5"/>
  <c r="M10" i="5"/>
  <c r="M8" i="5"/>
  <c r="M7" i="5"/>
  <c r="M6" i="5"/>
  <c r="M5" i="5"/>
  <c r="K70" i="3"/>
  <c r="M70" i="3" s="1"/>
  <c r="N70" i="3" s="1"/>
  <c r="H65" i="6"/>
  <c r="N19" i="5"/>
  <c r="N18" i="5"/>
  <c r="N16" i="5"/>
  <c r="N13" i="5"/>
  <c r="N12" i="5"/>
  <c r="N10" i="5"/>
  <c r="N8" i="5"/>
  <c r="N7" i="5"/>
  <c r="N6" i="5"/>
  <c r="N5" i="5"/>
  <c r="I65" i="6"/>
  <c r="P19" i="5"/>
  <c r="P18" i="5"/>
  <c r="P16" i="5"/>
  <c r="P13" i="5"/>
  <c r="P12" i="5"/>
  <c r="P10" i="5"/>
  <c r="P8" i="5"/>
  <c r="P7" i="5"/>
  <c r="P6" i="5"/>
  <c r="P5" i="5"/>
  <c r="L70" i="3"/>
  <c r="G66" i="6"/>
  <c r="M58" i="5"/>
  <c r="M55" i="5"/>
  <c r="M38" i="5"/>
  <c r="M37" i="5"/>
  <c r="M33" i="5"/>
  <c r="M32" i="5"/>
  <c r="K71" i="3"/>
  <c r="M71" i="3" s="1"/>
  <c r="N71" i="3" s="1"/>
  <c r="H66" i="6"/>
  <c r="N58" i="5"/>
  <c r="N55" i="5"/>
  <c r="N38" i="5"/>
  <c r="N37" i="5"/>
  <c r="N33" i="5"/>
  <c r="N32" i="5"/>
  <c r="I66" i="6"/>
  <c r="P58" i="5"/>
  <c r="P55" i="5"/>
  <c r="P38" i="5"/>
  <c r="P37" i="5"/>
  <c r="P33" i="5"/>
  <c r="P32" i="5"/>
  <c r="L71" i="3"/>
  <c r="G67" i="6"/>
  <c r="M109" i="5"/>
  <c r="M108" i="5"/>
  <c r="M105" i="5"/>
  <c r="M100" i="5"/>
  <c r="M97" i="5"/>
  <c r="M86" i="5"/>
  <c r="M85" i="5"/>
  <c r="M82" i="5"/>
  <c r="M81" i="5"/>
  <c r="M70" i="5"/>
  <c r="M69" i="5"/>
  <c r="M65" i="5"/>
  <c r="M64" i="5"/>
  <c r="M63" i="5"/>
  <c r="M62" i="5"/>
  <c r="M54" i="5"/>
  <c r="M53" i="5"/>
  <c r="M52" i="5"/>
  <c r="M50" i="5"/>
  <c r="M49" i="5"/>
  <c r="M44" i="5"/>
  <c r="M40" i="5"/>
  <c r="M39" i="5"/>
  <c r="M25" i="5"/>
  <c r="M21" i="5"/>
  <c r="M20" i="5"/>
  <c r="K72" i="3"/>
  <c r="M72" i="3" s="1"/>
  <c r="N72" i="3" s="1"/>
  <c r="H67" i="6"/>
  <c r="N109" i="5"/>
  <c r="N108" i="5"/>
  <c r="N105" i="5"/>
  <c r="N100" i="5"/>
  <c r="N97" i="5"/>
  <c r="N86" i="5"/>
  <c r="N85" i="5"/>
  <c r="N82" i="5"/>
  <c r="N81" i="5"/>
  <c r="N70" i="5"/>
  <c r="N69" i="5"/>
  <c r="N65" i="5"/>
  <c r="N64" i="5"/>
  <c r="N63" i="5"/>
  <c r="N62" i="5"/>
  <c r="N54" i="5"/>
  <c r="N53" i="5"/>
  <c r="N52" i="5"/>
  <c r="N50" i="5"/>
  <c r="N49" i="5"/>
  <c r="N44" i="5"/>
  <c r="N40" i="5"/>
  <c r="N39" i="5"/>
  <c r="N25" i="5"/>
  <c r="N21" i="5"/>
  <c r="N20" i="5"/>
  <c r="I67" i="6"/>
  <c r="P109" i="5"/>
  <c r="P108" i="5"/>
  <c r="P105" i="5"/>
  <c r="P100" i="5"/>
  <c r="P97" i="5"/>
  <c r="P86" i="5"/>
  <c r="P85" i="5"/>
  <c r="P82" i="5"/>
  <c r="P81" i="5"/>
  <c r="P70" i="5"/>
  <c r="P69" i="5"/>
  <c r="P65" i="5"/>
  <c r="P64" i="5"/>
  <c r="P63" i="5"/>
  <c r="P62" i="5"/>
  <c r="P54" i="5"/>
  <c r="P53" i="5"/>
  <c r="P52" i="5"/>
  <c r="P50" i="5"/>
  <c r="P49" i="5"/>
  <c r="P44" i="5"/>
  <c r="P40" i="5"/>
  <c r="P39" i="5"/>
  <c r="P25" i="5"/>
  <c r="P21" i="5"/>
  <c r="P20" i="5"/>
  <c r="L72" i="3"/>
  <c r="G68" i="6"/>
  <c r="M77" i="5"/>
  <c r="M76" i="5"/>
  <c r="M75" i="5"/>
  <c r="M74" i="5"/>
  <c r="M73" i="5"/>
  <c r="M72" i="5"/>
  <c r="K73" i="3"/>
  <c r="M73" i="3" s="1"/>
  <c r="N73" i="3" s="1"/>
  <c r="H68" i="6"/>
  <c r="N77" i="5"/>
  <c r="N76" i="5"/>
  <c r="N75" i="5"/>
  <c r="N74" i="5"/>
  <c r="N73" i="5"/>
  <c r="N72" i="5"/>
  <c r="I68" i="6"/>
  <c r="P77" i="5"/>
  <c r="P76" i="5"/>
  <c r="P75" i="5"/>
  <c r="P74" i="5"/>
  <c r="P73" i="5"/>
  <c r="P72" i="5"/>
  <c r="L73" i="3"/>
  <c r="G69" i="6"/>
  <c r="M107" i="5"/>
  <c r="M106" i="5"/>
  <c r="M99" i="5"/>
  <c r="M98" i="5"/>
  <c r="M96" i="5"/>
  <c r="M93" i="5"/>
  <c r="M89" i="5"/>
  <c r="M84" i="5"/>
  <c r="M80" i="5"/>
  <c r="M78" i="5"/>
  <c r="M71" i="5"/>
  <c r="M67" i="5"/>
  <c r="M66" i="5"/>
  <c r="M61" i="5"/>
  <c r="M56" i="5"/>
  <c r="M51" i="5"/>
  <c r="M47" i="5"/>
  <c r="M45" i="5"/>
  <c r="M42" i="5"/>
  <c r="M35" i="5"/>
  <c r="K74" i="3"/>
  <c r="M74" i="3" s="1"/>
  <c r="N74" i="3" s="1"/>
  <c r="H69" i="6"/>
  <c r="N107" i="5"/>
  <c r="N106" i="5"/>
  <c r="N99" i="5"/>
  <c r="N98" i="5"/>
  <c r="N96" i="5"/>
  <c r="N93" i="5"/>
  <c r="N89" i="5"/>
  <c r="N84" i="5"/>
  <c r="N80" i="5"/>
  <c r="N78" i="5"/>
  <c r="N71" i="5"/>
  <c r="N67" i="5"/>
  <c r="N66" i="5"/>
  <c r="N61" i="5"/>
  <c r="N56" i="5"/>
  <c r="N51" i="5"/>
  <c r="N47" i="5"/>
  <c r="N45" i="5"/>
  <c r="N42" i="5"/>
  <c r="N35" i="5"/>
  <c r="I69" i="6"/>
  <c r="P107" i="5"/>
  <c r="P106" i="5"/>
  <c r="P99" i="5"/>
  <c r="P98" i="5"/>
  <c r="P96" i="5"/>
  <c r="P93" i="5"/>
  <c r="P89" i="5"/>
  <c r="P84" i="5"/>
  <c r="P80" i="5"/>
  <c r="P78" i="5"/>
  <c r="P71" i="5"/>
  <c r="P67" i="5"/>
  <c r="P66" i="5"/>
  <c r="P61" i="5"/>
  <c r="P56" i="5"/>
  <c r="P51" i="5"/>
  <c r="P47" i="5"/>
  <c r="P45" i="5"/>
  <c r="P42" i="5"/>
  <c r="P35" i="5"/>
  <c r="L74" i="3"/>
  <c r="G70" i="6"/>
  <c r="M17" i="5"/>
  <c r="M15" i="5"/>
  <c r="M11" i="5"/>
  <c r="M9" i="5"/>
  <c r="K75" i="3"/>
  <c r="M75" i="3" s="1"/>
  <c r="N75" i="3" s="1"/>
  <c r="H70" i="6"/>
  <c r="N17" i="5"/>
  <c r="N15" i="5"/>
  <c r="N11" i="5"/>
  <c r="N9" i="5"/>
  <c r="I70" i="6"/>
  <c r="P17" i="5"/>
  <c r="P15" i="5"/>
  <c r="P11" i="5"/>
  <c r="P9" i="5"/>
  <c r="L75" i="3"/>
  <c r="Q6" i="4"/>
  <c r="S6" i="4"/>
  <c r="Q11" i="4"/>
  <c r="S11" i="4"/>
  <c r="R115" i="4"/>
  <c r="S115" i="4"/>
  <c r="S161" i="4"/>
  <c r="R162" i="4"/>
  <c r="S162" i="4"/>
  <c r="R163" i="4"/>
  <c r="S163" i="4"/>
  <c r="R164" i="4"/>
  <c r="S164" i="4"/>
  <c r="R165" i="4"/>
  <c r="S165" i="4"/>
  <c r="R166" i="4"/>
  <c r="S166" i="4"/>
  <c r="R167" i="4"/>
  <c r="S167" i="4"/>
  <c r="R168" i="4"/>
  <c r="S168" i="4"/>
  <c r="Q290" i="4"/>
  <c r="S290" i="4"/>
  <c r="S438" i="4" s="1"/>
  <c r="R291" i="4"/>
  <c r="S291" i="4"/>
  <c r="Q667" i="4"/>
  <c r="S667" i="4"/>
  <c r="T1157" i="4"/>
  <c r="U1157" i="4" s="1"/>
  <c r="S1157" i="4"/>
  <c r="T1175" i="4"/>
  <c r="U1175" i="4" s="1"/>
  <c r="S1175" i="4"/>
  <c r="Q1722" i="4"/>
  <c r="S1722" i="4"/>
  <c r="S2027" i="4" s="1"/>
  <c r="Q1725" i="4"/>
  <c r="S1725" i="4"/>
  <c r="Q1727" i="4"/>
  <c r="S1727" i="4"/>
  <c r="Q1729" i="4"/>
  <c r="S1729" i="4"/>
  <c r="Q1731" i="4"/>
  <c r="S1731" i="4"/>
  <c r="Q1733" i="4"/>
  <c r="S1733" i="4"/>
  <c r="Q1735" i="4"/>
  <c r="S1735" i="4"/>
  <c r="Q1737" i="4"/>
  <c r="S1737" i="4"/>
  <c r="Q1741" i="4"/>
  <c r="S1741" i="4"/>
  <c r="Q1750" i="4"/>
  <c r="S1750" i="4"/>
  <c r="Q1752" i="4"/>
  <c r="S1752" i="4"/>
  <c r="Q1754" i="4"/>
  <c r="S1754" i="4"/>
  <c r="Q1756" i="4"/>
  <c r="S1756" i="4"/>
  <c r="Q1758" i="4"/>
  <c r="S1758" i="4"/>
  <c r="Q1760" i="4"/>
  <c r="S1760" i="4"/>
  <c r="Q1762" i="4"/>
  <c r="S1762" i="4"/>
  <c r="Q1764" i="4"/>
  <c r="S1764" i="4"/>
  <c r="Q1766" i="4"/>
  <c r="S1766" i="4"/>
  <c r="Q1768" i="4"/>
  <c r="S1768" i="4"/>
  <c r="Q1771" i="4"/>
  <c r="S1771" i="4"/>
  <c r="Q1773" i="4"/>
  <c r="S1773" i="4"/>
  <c r="Q1783" i="4"/>
  <c r="S1783" i="4"/>
  <c r="Q1784" i="4"/>
  <c r="S1784" i="4"/>
  <c r="Q1786" i="4"/>
  <c r="S1786" i="4"/>
  <c r="Q1789" i="4"/>
  <c r="S1789" i="4"/>
  <c r="Q1802" i="4"/>
  <c r="S1802" i="4"/>
  <c r="Q1808" i="4"/>
  <c r="S1808" i="4"/>
  <c r="Q1810" i="4"/>
  <c r="S1810" i="4"/>
  <c r="Q1812" i="4"/>
  <c r="S1812" i="4"/>
  <c r="Q1833" i="4"/>
  <c r="S1833" i="4"/>
  <c r="Q1848" i="4"/>
  <c r="S1848" i="4"/>
  <c r="Q1850" i="4"/>
  <c r="S1850" i="4"/>
  <c r="Q1855" i="4"/>
  <c r="S1855" i="4"/>
  <c r="Q1858" i="4"/>
  <c r="S1858" i="4"/>
  <c r="Q1861" i="4"/>
  <c r="S1861" i="4"/>
  <c r="Q1863" i="4"/>
  <c r="S1863" i="4"/>
  <c r="Q1866" i="4"/>
  <c r="S1866" i="4"/>
  <c r="Q1871" i="4"/>
  <c r="S1871" i="4"/>
  <c r="Q1880" i="4"/>
  <c r="S1880" i="4"/>
  <c r="Q1890" i="4"/>
  <c r="S1890" i="4"/>
  <c r="Q1892" i="4"/>
  <c r="S1892" i="4"/>
  <c r="Q1898" i="4"/>
  <c r="S1898" i="4"/>
  <c r="Q1900" i="4"/>
  <c r="S1900" i="4"/>
  <c r="Q1902" i="4"/>
  <c r="S1902" i="4"/>
  <c r="Q1904" i="4"/>
  <c r="S1904" i="4"/>
  <c r="Q1916" i="4"/>
  <c r="S1916" i="4"/>
  <c r="Q1918" i="4"/>
  <c r="S1918" i="4"/>
  <c r="Q1920" i="4"/>
  <c r="S1920" i="4"/>
  <c r="Q1922" i="4"/>
  <c r="S1922" i="4"/>
  <c r="Q1924" i="4"/>
  <c r="S1924" i="4"/>
  <c r="Q1931" i="4"/>
  <c r="S1931" i="4"/>
  <c r="Q1933" i="4"/>
  <c r="S1933" i="4"/>
  <c r="Q1939" i="4"/>
  <c r="S1939" i="4"/>
  <c r="Q1947" i="4"/>
  <c r="S1947" i="4"/>
  <c r="Q1949" i="4"/>
  <c r="S1949" i="4"/>
  <c r="Q1951" i="4"/>
  <c r="S1951" i="4"/>
  <c r="Q1955" i="4"/>
  <c r="S1955" i="4"/>
  <c r="Q1957" i="4"/>
  <c r="S1957" i="4"/>
  <c r="Q1963" i="4"/>
  <c r="S1963" i="4"/>
  <c r="Q1970" i="4"/>
  <c r="S1970" i="4"/>
  <c r="Q1973" i="4"/>
  <c r="S1973" i="4"/>
  <c r="Q1976" i="4"/>
  <c r="S1976" i="4"/>
  <c r="Q1978" i="4"/>
  <c r="S1978" i="4"/>
  <c r="Q1980" i="4"/>
  <c r="S1980" i="4"/>
  <c r="Q1985" i="4"/>
  <c r="S1985" i="4"/>
  <c r="Q1993" i="4"/>
  <c r="S1993" i="4"/>
  <c r="Q1996" i="4"/>
  <c r="S1996" i="4"/>
  <c r="Q2008" i="4"/>
  <c r="S2008" i="4"/>
  <c r="R2025" i="4"/>
  <c r="S2025" i="4"/>
  <c r="R2026" i="4"/>
  <c r="S2026" i="4"/>
  <c r="H4" i="9"/>
  <c r="H22" i="9" s="1"/>
  <c r="H159" i="8"/>
  <c r="H193" i="8" s="1"/>
  <c r="D5" i="14" s="1"/>
  <c r="D9" i="14" s="1"/>
  <c r="J13" i="8"/>
  <c r="K8" i="8"/>
  <c r="K13" i="8" s="1"/>
  <c r="J22" i="8"/>
  <c r="K17" i="8"/>
  <c r="K22" i="8" s="1"/>
  <c r="J31" i="8"/>
  <c r="I6" i="9" s="1"/>
  <c r="K26" i="8"/>
  <c r="K31" i="8" s="1"/>
  <c r="J40" i="8"/>
  <c r="K35" i="8"/>
  <c r="K40" i="8" s="1"/>
  <c r="J49" i="8"/>
  <c r="I8" i="9" s="1"/>
  <c r="K44" i="8"/>
  <c r="K49" i="8" s="1"/>
  <c r="J58" i="8"/>
  <c r="I9" i="9" s="1"/>
  <c r="K53" i="8"/>
  <c r="K58" i="8" s="1"/>
  <c r="J67" i="8"/>
  <c r="I10" i="9" s="1"/>
  <c r="K62" i="8"/>
  <c r="K67" i="8" s="1"/>
  <c r="J76" i="8"/>
  <c r="I11" i="9" s="1"/>
  <c r="K71" i="8"/>
  <c r="K76" i="8" s="1"/>
  <c r="J85" i="8"/>
  <c r="I12" i="9" s="1"/>
  <c r="K80" i="8"/>
  <c r="K85" i="8" s="1"/>
  <c r="J94" i="8"/>
  <c r="I13" i="9" s="1"/>
  <c r="K89" i="8"/>
  <c r="K94" i="8" s="1"/>
  <c r="J103" i="8"/>
  <c r="I14" i="9" s="1"/>
  <c r="K98" i="8"/>
  <c r="K103" i="8" s="1"/>
  <c r="J112" i="8"/>
  <c r="I15" i="9" s="1"/>
  <c r="K107" i="8"/>
  <c r="K112" i="8" s="1"/>
  <c r="J121" i="8"/>
  <c r="I16" i="9" s="1"/>
  <c r="K116" i="8"/>
  <c r="K121" i="8" s="1"/>
  <c r="J130" i="8"/>
  <c r="I17" i="9" s="1"/>
  <c r="K125" i="8"/>
  <c r="K130" i="8" s="1"/>
  <c r="J139" i="8"/>
  <c r="I18" i="9" s="1"/>
  <c r="K134" i="8"/>
  <c r="K139" i="8" s="1"/>
  <c r="J148" i="8"/>
  <c r="K143" i="8"/>
  <c r="K148" i="8" s="1"/>
  <c r="J157" i="8"/>
  <c r="I20" i="9" s="1"/>
  <c r="K152" i="8"/>
  <c r="K157" i="8" s="1"/>
  <c r="J170" i="8"/>
  <c r="K165" i="8"/>
  <c r="K170" i="8" s="1"/>
  <c r="J179" i="8"/>
  <c r="K174" i="8"/>
  <c r="K179" i="8" s="1"/>
  <c r="J188" i="8"/>
  <c r="K183" i="8"/>
  <c r="K188" i="8" s="1"/>
  <c r="K6" i="11"/>
  <c r="K7" i="11" s="1"/>
  <c r="K10" i="11"/>
  <c r="K11" i="11" s="1"/>
  <c r="K14" i="11"/>
  <c r="K15" i="11" s="1"/>
  <c r="K18" i="11"/>
  <c r="K19" i="11" s="1"/>
  <c r="K22" i="11"/>
  <c r="K24" i="11" s="1"/>
  <c r="K23" i="11"/>
  <c r="K27" i="11"/>
  <c r="K29" i="11" s="1"/>
  <c r="K28" i="11"/>
  <c r="K32" i="11"/>
  <c r="K33" i="11" s="1"/>
  <c r="K36" i="11"/>
  <c r="K37" i="11" s="1"/>
  <c r="K40" i="11"/>
  <c r="K41" i="11" s="1"/>
  <c r="K44" i="11"/>
  <c r="K45" i="11" s="1"/>
  <c r="K48" i="11"/>
  <c r="K49" i="11" s="1"/>
  <c r="K52" i="11"/>
  <c r="K53" i="11" s="1"/>
  <c r="K56" i="11"/>
  <c r="K57" i="11" s="1"/>
  <c r="K60" i="11"/>
  <c r="K61" i="11" s="1"/>
  <c r="K64" i="11"/>
  <c r="K65" i="11" s="1"/>
  <c r="K68" i="11"/>
  <c r="K69" i="11" s="1"/>
  <c r="K72" i="11"/>
  <c r="K73" i="11" s="1"/>
  <c r="K190" i="8" l="1"/>
  <c r="J190" i="8"/>
  <c r="I19" i="9"/>
  <c r="I7" i="9"/>
  <c r="I5" i="9"/>
  <c r="K159" i="8"/>
  <c r="K193" i="8" s="1"/>
  <c r="K195" i="8" s="1"/>
  <c r="I4" i="9"/>
  <c r="I22" i="9" s="1"/>
  <c r="J159" i="8"/>
  <c r="J193" i="8" s="1"/>
  <c r="T2008" i="4"/>
  <c r="U2008" i="4" s="1"/>
  <c r="R2008" i="4"/>
  <c r="T1996" i="4"/>
  <c r="U1996" i="4" s="1"/>
  <c r="R1996" i="4"/>
  <c r="T1993" i="4"/>
  <c r="U1993" i="4" s="1"/>
  <c r="R1993" i="4"/>
  <c r="T1985" i="4"/>
  <c r="U1985" i="4" s="1"/>
  <c r="R1985" i="4"/>
  <c r="T1980" i="4"/>
  <c r="U1980" i="4" s="1"/>
  <c r="R1980" i="4"/>
  <c r="T1978" i="4"/>
  <c r="U1978" i="4" s="1"/>
  <c r="R1978" i="4"/>
  <c r="T1976" i="4"/>
  <c r="U1976" i="4" s="1"/>
  <c r="R1976" i="4"/>
  <c r="T1973" i="4"/>
  <c r="U1973" i="4" s="1"/>
  <c r="R1973" i="4"/>
  <c r="T1970" i="4"/>
  <c r="U1970" i="4" s="1"/>
  <c r="R1970" i="4"/>
  <c r="T1963" i="4"/>
  <c r="U1963" i="4" s="1"/>
  <c r="R1963" i="4"/>
  <c r="T1957" i="4"/>
  <c r="U1957" i="4" s="1"/>
  <c r="R1957" i="4"/>
  <c r="T1955" i="4"/>
  <c r="U1955" i="4" s="1"/>
  <c r="R1955" i="4"/>
  <c r="T1951" i="4"/>
  <c r="U1951" i="4" s="1"/>
  <c r="R1951" i="4"/>
  <c r="T1949" i="4"/>
  <c r="U1949" i="4" s="1"/>
  <c r="R1949" i="4"/>
  <c r="T1947" i="4"/>
  <c r="U1947" i="4" s="1"/>
  <c r="R1947" i="4"/>
  <c r="T1939" i="4"/>
  <c r="U1939" i="4" s="1"/>
  <c r="R1939" i="4"/>
  <c r="T1933" i="4"/>
  <c r="U1933" i="4" s="1"/>
  <c r="R1933" i="4"/>
  <c r="T1931" i="4"/>
  <c r="U1931" i="4" s="1"/>
  <c r="R1931" i="4"/>
  <c r="T1924" i="4"/>
  <c r="U1924" i="4" s="1"/>
  <c r="R1924" i="4"/>
  <c r="T1922" i="4"/>
  <c r="U1922" i="4" s="1"/>
  <c r="R1922" i="4"/>
  <c r="T1920" i="4"/>
  <c r="U1920" i="4" s="1"/>
  <c r="R1920" i="4"/>
  <c r="T1918" i="4"/>
  <c r="U1918" i="4" s="1"/>
  <c r="R1918" i="4"/>
  <c r="T1916" i="4"/>
  <c r="U1916" i="4" s="1"/>
  <c r="R1916" i="4"/>
  <c r="T1904" i="4"/>
  <c r="U1904" i="4" s="1"/>
  <c r="R1904" i="4"/>
  <c r="T1902" i="4"/>
  <c r="U1902" i="4" s="1"/>
  <c r="R1902" i="4"/>
  <c r="T1900" i="4"/>
  <c r="U1900" i="4" s="1"/>
  <c r="R1900" i="4"/>
  <c r="T1898" i="4"/>
  <c r="U1898" i="4" s="1"/>
  <c r="R1898" i="4"/>
  <c r="T1892" i="4"/>
  <c r="U1892" i="4" s="1"/>
  <c r="R1892" i="4"/>
  <c r="T1890" i="4"/>
  <c r="U1890" i="4" s="1"/>
  <c r="R1890" i="4"/>
  <c r="T1880" i="4"/>
  <c r="U1880" i="4" s="1"/>
  <c r="R1880" i="4"/>
  <c r="T1871" i="4"/>
  <c r="U1871" i="4" s="1"/>
  <c r="R1871" i="4"/>
  <c r="T1866" i="4"/>
  <c r="U1866" i="4" s="1"/>
  <c r="R1866" i="4"/>
  <c r="T1863" i="4"/>
  <c r="U1863" i="4" s="1"/>
  <c r="R1863" i="4"/>
  <c r="T1861" i="4"/>
  <c r="U1861" i="4" s="1"/>
  <c r="R1861" i="4"/>
  <c r="T1858" i="4"/>
  <c r="U1858" i="4" s="1"/>
  <c r="R1858" i="4"/>
  <c r="T1855" i="4"/>
  <c r="U1855" i="4" s="1"/>
  <c r="R1855" i="4"/>
  <c r="T1850" i="4"/>
  <c r="U1850" i="4" s="1"/>
  <c r="R1850" i="4"/>
  <c r="T1848" i="4"/>
  <c r="U1848" i="4" s="1"/>
  <c r="R1848" i="4"/>
  <c r="T1833" i="4"/>
  <c r="U1833" i="4" s="1"/>
  <c r="R1833" i="4"/>
  <c r="T1812" i="4"/>
  <c r="U1812" i="4" s="1"/>
  <c r="R1812" i="4"/>
  <c r="T1810" i="4"/>
  <c r="U1810" i="4" s="1"/>
  <c r="R1810" i="4"/>
  <c r="T1808" i="4"/>
  <c r="U1808" i="4" s="1"/>
  <c r="R1808" i="4"/>
  <c r="T1802" i="4"/>
  <c r="U1802" i="4" s="1"/>
  <c r="R1802" i="4"/>
  <c r="T1789" i="4"/>
  <c r="U1789" i="4" s="1"/>
  <c r="R1789" i="4"/>
  <c r="T1786" i="4"/>
  <c r="U1786" i="4" s="1"/>
  <c r="R1786" i="4"/>
  <c r="T1784" i="4"/>
  <c r="U1784" i="4" s="1"/>
  <c r="R1784" i="4"/>
  <c r="T1783" i="4"/>
  <c r="U1783" i="4" s="1"/>
  <c r="R1783" i="4"/>
  <c r="T1773" i="4"/>
  <c r="U1773" i="4" s="1"/>
  <c r="R1773" i="4"/>
  <c r="T1771" i="4"/>
  <c r="U1771" i="4" s="1"/>
  <c r="R1771" i="4"/>
  <c r="T1768" i="4"/>
  <c r="U1768" i="4" s="1"/>
  <c r="R1768" i="4"/>
  <c r="T1766" i="4"/>
  <c r="U1766" i="4" s="1"/>
  <c r="R1766" i="4"/>
  <c r="T1764" i="4"/>
  <c r="U1764" i="4" s="1"/>
  <c r="R1764" i="4"/>
  <c r="T1762" i="4"/>
  <c r="U1762" i="4" s="1"/>
  <c r="R1762" i="4"/>
  <c r="T1760" i="4"/>
  <c r="U1760" i="4" s="1"/>
  <c r="R1760" i="4"/>
  <c r="T1758" i="4"/>
  <c r="U1758" i="4" s="1"/>
  <c r="R1758" i="4"/>
  <c r="T1756" i="4"/>
  <c r="U1756" i="4" s="1"/>
  <c r="R1756" i="4"/>
  <c r="T1754" i="4"/>
  <c r="U1754" i="4" s="1"/>
  <c r="R1754" i="4"/>
  <c r="T1752" i="4"/>
  <c r="U1752" i="4" s="1"/>
  <c r="R1752" i="4"/>
  <c r="T1750" i="4"/>
  <c r="U1750" i="4" s="1"/>
  <c r="R1750" i="4"/>
  <c r="T1741" i="4"/>
  <c r="U1741" i="4" s="1"/>
  <c r="R1741" i="4"/>
  <c r="T1737" i="4"/>
  <c r="U1737" i="4" s="1"/>
  <c r="R1737" i="4"/>
  <c r="T1735" i="4"/>
  <c r="U1735" i="4" s="1"/>
  <c r="R1735" i="4"/>
  <c r="T1733" i="4"/>
  <c r="U1733" i="4" s="1"/>
  <c r="R1733" i="4"/>
  <c r="T1731" i="4"/>
  <c r="U1731" i="4" s="1"/>
  <c r="R1731" i="4"/>
  <c r="T1729" i="4"/>
  <c r="U1729" i="4" s="1"/>
  <c r="R1729" i="4"/>
  <c r="T1727" i="4"/>
  <c r="U1727" i="4" s="1"/>
  <c r="R1727" i="4"/>
  <c r="T1725" i="4"/>
  <c r="U1725" i="4" s="1"/>
  <c r="R1725" i="4"/>
  <c r="Q2027" i="4"/>
  <c r="T1722" i="4"/>
  <c r="R1722" i="4"/>
  <c r="R2027" i="4" s="1"/>
  <c r="T667" i="4"/>
  <c r="U667" i="4" s="1"/>
  <c r="R667" i="4"/>
  <c r="Q438" i="4"/>
  <c r="T290" i="4"/>
  <c r="R290" i="4"/>
  <c r="R438" i="4" s="1"/>
  <c r="T11" i="4"/>
  <c r="U11" i="4" s="1"/>
  <c r="R11" i="4"/>
  <c r="T6" i="4"/>
  <c r="U6" i="4" s="1"/>
  <c r="R6" i="4"/>
  <c r="Q9" i="5"/>
  <c r="Q11" i="5"/>
  <c r="Q15" i="5"/>
  <c r="Q17" i="5"/>
  <c r="Q35" i="5"/>
  <c r="Q42" i="5"/>
  <c r="Q45" i="5"/>
  <c r="Q47" i="5"/>
  <c r="Q51" i="5"/>
  <c r="Q56" i="5"/>
  <c r="Q61" i="5"/>
  <c r="Q66" i="5"/>
  <c r="Q67" i="5"/>
  <c r="Q71" i="5"/>
  <c r="Q78" i="5"/>
  <c r="Q80" i="5"/>
  <c r="Q84" i="5"/>
  <c r="Q89" i="5"/>
  <c r="Q93" i="5"/>
  <c r="Q96" i="5"/>
  <c r="Q98" i="5"/>
  <c r="Q99" i="5"/>
  <c r="Q106" i="5"/>
  <c r="Q107" i="5"/>
  <c r="Q72" i="5"/>
  <c r="Q73" i="5"/>
  <c r="Q74" i="5"/>
  <c r="Q75" i="5"/>
  <c r="Q76" i="5"/>
  <c r="Q77" i="5"/>
  <c r="Q20" i="5"/>
  <c r="Q21" i="5"/>
  <c r="Q25" i="5"/>
  <c r="Q39" i="5"/>
  <c r="Q40" i="5"/>
  <c r="Q44" i="5"/>
  <c r="Q49" i="5"/>
  <c r="Q50" i="5"/>
  <c r="Q52" i="5"/>
  <c r="Q53" i="5"/>
  <c r="Q54" i="5"/>
  <c r="Q62" i="5"/>
  <c r="Q63" i="5"/>
  <c r="Q64" i="5"/>
  <c r="Q65" i="5"/>
  <c r="Q69" i="5"/>
  <c r="Q70" i="5"/>
  <c r="Q81" i="5"/>
  <c r="Q82" i="5"/>
  <c r="Q85" i="5"/>
  <c r="Q86" i="5"/>
  <c r="Q97" i="5"/>
  <c r="Q100" i="5"/>
  <c r="Q105" i="5"/>
  <c r="Q108" i="5"/>
  <c r="Q109" i="5"/>
  <c r="Q32" i="5"/>
  <c r="Q33" i="5"/>
  <c r="Q37" i="5"/>
  <c r="Q38" i="5"/>
  <c r="Q55" i="5"/>
  <c r="Q58" i="5"/>
  <c r="Q5" i="5"/>
  <c r="Q6" i="5"/>
  <c r="Q7" i="5"/>
  <c r="Q8" i="5"/>
  <c r="Q10" i="5"/>
  <c r="Q12" i="5"/>
  <c r="Q13" i="5"/>
  <c r="Q16" i="5"/>
  <c r="Q18" i="5"/>
  <c r="Q19" i="5"/>
  <c r="L76" i="3"/>
  <c r="K76" i="3"/>
  <c r="M69" i="3"/>
  <c r="Q14" i="5"/>
  <c r="Q24" i="5"/>
  <c r="Q26" i="5"/>
  <c r="Q27" i="5"/>
  <c r="Q28" i="5"/>
  <c r="Q29" i="5"/>
  <c r="Q30" i="5"/>
  <c r="Q31" i="5"/>
  <c r="Q34" i="5"/>
  <c r="Q36" i="5"/>
  <c r="Q41" i="5"/>
  <c r="Q43" i="5"/>
  <c r="Q46" i="5"/>
  <c r="Q48" i="5"/>
  <c r="Q57" i="5"/>
  <c r="Q59" i="5"/>
  <c r="Q60" i="5"/>
  <c r="Q68" i="5"/>
  <c r="Q79" i="5"/>
  <c r="Q83" i="5"/>
  <c r="Q87" i="5"/>
  <c r="Q88" i="5"/>
  <c r="Q90" i="5"/>
  <c r="Q91" i="5"/>
  <c r="Q92" i="5"/>
  <c r="Q94" i="5"/>
  <c r="Q95" i="5"/>
  <c r="Q101" i="5"/>
  <c r="Q102" i="5"/>
  <c r="Q103" i="5"/>
  <c r="Q104" i="5"/>
  <c r="Q2079" i="4"/>
  <c r="Q2101" i="4"/>
  <c r="Q2102" i="4"/>
  <c r="Q103" i="4"/>
  <c r="Q123" i="4"/>
  <c r="Q125" i="4"/>
  <c r="Q129" i="4"/>
  <c r="Q131" i="4"/>
  <c r="Q865" i="4"/>
  <c r="Q866" i="4"/>
  <c r="Q884" i="4"/>
  <c r="Q910" i="4"/>
  <c r="Q911" i="4"/>
  <c r="Q912" i="4"/>
  <c r="Q914" i="4"/>
  <c r="Q928" i="4"/>
  <c r="Q1254" i="4"/>
  <c r="Q1304" i="4"/>
  <c r="Q1355" i="4"/>
  <c r="Q1533" i="4"/>
  <c r="Q1550" i="4"/>
  <c r="Q1551" i="4"/>
  <c r="Q1557" i="4"/>
  <c r="Q1564" i="4"/>
  <c r="Q1570" i="4"/>
  <c r="Q1585" i="4"/>
  <c r="Q1678" i="4"/>
  <c r="Q1679" i="4"/>
  <c r="Q7" i="4"/>
  <c r="Q9" i="4"/>
  <c r="Q440" i="4"/>
  <c r="Q441" i="4"/>
  <c r="Q473" i="4"/>
  <c r="Q613" i="4"/>
  <c r="Q14" i="4"/>
  <c r="Q15" i="4"/>
  <c r="Q18" i="4"/>
  <c r="Q41" i="4"/>
  <c r="Q42" i="4"/>
  <c r="Q43" i="4"/>
  <c r="Q61" i="4"/>
  <c r="Q86" i="4"/>
  <c r="Q94" i="4"/>
  <c r="Q105" i="4"/>
  <c r="Q109" i="4"/>
  <c r="Q141" i="4"/>
  <c r="Q182" i="4"/>
  <c r="Q183" i="4"/>
  <c r="Q188" i="4"/>
  <c r="Q190" i="4"/>
  <c r="Q196" i="4"/>
  <c r="Q219" i="4"/>
  <c r="Q220" i="4"/>
  <c r="Q221" i="4"/>
  <c r="Q234" i="4"/>
  <c r="Q246" i="4"/>
  <c r="Q264" i="4"/>
  <c r="Q265" i="4"/>
  <c r="Q272" i="4"/>
  <c r="Q280" i="4"/>
  <c r="Q281" i="4"/>
  <c r="Q282" i="4"/>
  <c r="Q301" i="4"/>
  <c r="Q309" i="4"/>
  <c r="Q333" i="4"/>
  <c r="Q341" i="4"/>
  <c r="Q342" i="4"/>
  <c r="Q343" i="4"/>
  <c r="Q360" i="4"/>
  <c r="Q365" i="4"/>
  <c r="Q376" i="4"/>
  <c r="Q387" i="4"/>
  <c r="Q388" i="4"/>
  <c r="Q389" i="4"/>
  <c r="Q390" i="4"/>
  <c r="Q400" i="4"/>
  <c r="Q429" i="4"/>
  <c r="Q437" i="4"/>
  <c r="Q443" i="4"/>
  <c r="Q450" i="4"/>
  <c r="Q456" i="4"/>
  <c r="Q458" i="4"/>
  <c r="Q463" i="4"/>
  <c r="Q464" i="4"/>
  <c r="Q465" i="4"/>
  <c r="Q467" i="4"/>
  <c r="Q468" i="4"/>
  <c r="Q469" i="4"/>
  <c r="Q470" i="4"/>
  <c r="Q479" i="4"/>
  <c r="Q480" i="4"/>
  <c r="Q482" i="4"/>
  <c r="Q483" i="4"/>
  <c r="Q494" i="4"/>
  <c r="Q495" i="4"/>
  <c r="Q496" i="4"/>
  <c r="Q500" i="4"/>
  <c r="Q503" i="4"/>
  <c r="Q511" i="4"/>
  <c r="Q512" i="4"/>
  <c r="Q513" i="4"/>
  <c r="Q520" i="4"/>
  <c r="Q532" i="4"/>
  <c r="Q533" i="4"/>
  <c r="Q534" i="4"/>
  <c r="Q535" i="4"/>
  <c r="Q536" i="4"/>
  <c r="Q537" i="4"/>
  <c r="Q541" i="4"/>
  <c r="Q550" i="4"/>
  <c r="Q560" i="4"/>
  <c r="Q564" i="4"/>
  <c r="Q568" i="4"/>
  <c r="Q569" i="4"/>
  <c r="Q581" i="4"/>
  <c r="Q585" i="4"/>
  <c r="Q586" i="4"/>
  <c r="Q588" i="4"/>
  <c r="Q589" i="4"/>
  <c r="Q590" i="4"/>
  <c r="Q595" i="4"/>
  <c r="Q601" i="4"/>
  <c r="Q603" i="4"/>
  <c r="Q612" i="4"/>
  <c r="Q616" i="4"/>
  <c r="Q620" i="4"/>
  <c r="Q624" i="4"/>
  <c r="Q626" i="4"/>
  <c r="Q629" i="4"/>
  <c r="Q633" i="4"/>
  <c r="Q637" i="4"/>
  <c r="Q638" i="4"/>
  <c r="Q641" i="4"/>
  <c r="Q642" i="4"/>
  <c r="Q643" i="4"/>
  <c r="Q647" i="4"/>
  <c r="Q648" i="4"/>
  <c r="Q653" i="4"/>
  <c r="Q659" i="4"/>
  <c r="Q662" i="4"/>
  <c r="Q666" i="4"/>
  <c r="Q683" i="4"/>
  <c r="Q687" i="4"/>
  <c r="Q689" i="4"/>
  <c r="Q705" i="4"/>
  <c r="Q741" i="4"/>
  <c r="Q753" i="4"/>
  <c r="Q760" i="4"/>
  <c r="Q764" i="4"/>
  <c r="Q766" i="4"/>
  <c r="Q788" i="4"/>
  <c r="Q790" i="4"/>
  <c r="Q802" i="4"/>
  <c r="Q830" i="4"/>
  <c r="Q834" i="4"/>
  <c r="Q839" i="4"/>
  <c r="Q894" i="4"/>
  <c r="Q903" i="4"/>
  <c r="Q908" i="4"/>
  <c r="Q909" i="4"/>
  <c r="Q916" i="4"/>
  <c r="Q949" i="4"/>
  <c r="Q950" i="4"/>
  <c r="Q951" i="4"/>
  <c r="Q969" i="4"/>
  <c r="Q972" i="4"/>
  <c r="Q973" i="4"/>
  <c r="Q974" i="4"/>
  <c r="Q975" i="4"/>
  <c r="Q977" i="4"/>
  <c r="Q994" i="4"/>
  <c r="Q997" i="4"/>
  <c r="Q998" i="4"/>
  <c r="Q999" i="4"/>
  <c r="Q1012" i="4"/>
  <c r="Q1033" i="4"/>
  <c r="Q1034" i="4"/>
  <c r="Q1036" i="4"/>
  <c r="Q1037" i="4"/>
  <c r="Q1038" i="4"/>
  <c r="Q1051" i="4"/>
  <c r="Q1071" i="4"/>
  <c r="Q1072" i="4"/>
  <c r="Q1073" i="4"/>
  <c r="Q1074" i="4"/>
  <c r="Q1075" i="4"/>
  <c r="Q1101" i="4"/>
  <c r="Q1102" i="4"/>
  <c r="Q1103" i="4"/>
  <c r="Q1104" i="4"/>
  <c r="Q1105" i="4"/>
  <c r="Q1106" i="4"/>
  <c r="Q1123" i="4"/>
  <c r="Q1146" i="4"/>
  <c r="Q1147" i="4"/>
  <c r="Q1148" i="4"/>
  <c r="Q1155" i="4"/>
  <c r="Q1158" i="4"/>
  <c r="Q1224" i="4"/>
  <c r="Q1225" i="4"/>
  <c r="Q1232" i="4"/>
  <c r="Q1260" i="4"/>
  <c r="Q1261" i="4"/>
  <c r="Q1262" i="4"/>
  <c r="Q1272" i="4"/>
  <c r="Q1278" i="4"/>
  <c r="Q1289" i="4"/>
  <c r="Q1325" i="4"/>
  <c r="Q1340" i="4"/>
  <c r="Q1344" i="4"/>
  <c r="Q1349" i="4"/>
  <c r="Q1360" i="4"/>
  <c r="Q1361" i="4"/>
  <c r="Q1365" i="4"/>
  <c r="Q1367" i="4"/>
  <c r="Q1368" i="4"/>
  <c r="Q1375" i="4"/>
  <c r="Q1383" i="4"/>
  <c r="Q1385" i="4"/>
  <c r="Q1390" i="4"/>
  <c r="Q1394" i="4"/>
  <c r="Q1402" i="4"/>
  <c r="Q1409" i="4"/>
  <c r="Q1411" i="4"/>
  <c r="Q1416" i="4"/>
  <c r="Q1423" i="4"/>
  <c r="Q1425" i="4"/>
  <c r="Q1429" i="4"/>
  <c r="Q1431" i="4"/>
  <c r="Q1438" i="4"/>
  <c r="Q1442" i="4"/>
  <c r="Q1446" i="4"/>
  <c r="Q1448" i="4"/>
  <c r="Q1451" i="4"/>
  <c r="Q1459" i="4"/>
  <c r="Q1461" i="4"/>
  <c r="Q1463" i="4"/>
  <c r="Q1466" i="4"/>
  <c r="Q1473" i="4"/>
  <c r="Q1476" i="4"/>
  <c r="Q1483" i="4"/>
  <c r="Q1491" i="4"/>
  <c r="Q1498" i="4"/>
  <c r="Q1510" i="4"/>
  <c r="Q1516" i="4"/>
  <c r="Q1520" i="4"/>
  <c r="Q1573" i="4"/>
  <c r="Q1577" i="4"/>
  <c r="Q1578" i="4"/>
  <c r="Q1580" i="4"/>
  <c r="Q1582" i="4"/>
  <c r="Q1583" i="4"/>
  <c r="Q1584" i="4"/>
  <c r="Q1586" i="4"/>
  <c r="Q1588" i="4"/>
  <c r="Q1593" i="4"/>
  <c r="Q1597" i="4"/>
  <c r="Q1600" i="4"/>
  <c r="Q1611" i="4"/>
  <c r="Q1612" i="4"/>
  <c r="Q1615" i="4"/>
  <c r="Q1616" i="4"/>
  <c r="Q1658" i="4"/>
  <c r="Q1659" i="4"/>
  <c r="Q1660" i="4"/>
  <c r="Q1661" i="4"/>
  <c r="Q1662" i="4"/>
  <c r="Q1663" i="4"/>
  <c r="Q1664" i="4"/>
  <c r="Q1665" i="4"/>
  <c r="Q1666" i="4"/>
  <c r="Q1667" i="4"/>
  <c r="Q1668" i="4"/>
  <c r="Q1709" i="4"/>
  <c r="Q1710" i="4"/>
  <c r="Q1711" i="4"/>
  <c r="Q1712" i="4"/>
  <c r="Q1713" i="4"/>
  <c r="Q1714" i="4"/>
  <c r="Q1715" i="4"/>
  <c r="Q1716" i="4"/>
  <c r="Q1717" i="4"/>
  <c r="Q1718" i="4"/>
  <c r="Q1719" i="4"/>
  <c r="Q1780" i="4"/>
  <c r="Q1797" i="4"/>
  <c r="Q1804" i="4"/>
  <c r="Q1806" i="4"/>
  <c r="Q1818" i="4"/>
  <c r="Q1832" i="4"/>
  <c r="Q1841" i="4"/>
  <c r="Q1854" i="4"/>
  <c r="Q1869" i="4"/>
  <c r="Q1874" i="4"/>
  <c r="Q1879" i="4"/>
  <c r="Q1897" i="4"/>
  <c r="Q1908" i="4"/>
  <c r="Q1926" i="4"/>
  <c r="Q1941" i="4"/>
  <c r="Q1954" i="4"/>
  <c r="Q1967" i="4"/>
  <c r="Q1982" i="4"/>
  <c r="Q1990" i="4"/>
  <c r="Q2007" i="4"/>
  <c r="Q2010" i="4"/>
  <c r="Q2030" i="4"/>
  <c r="Q2032" i="4"/>
  <c r="Q2044" i="4"/>
  <c r="Q2045" i="4"/>
  <c r="Q2046" i="4"/>
  <c r="Q2080" i="4"/>
  <c r="Q2081" i="4"/>
  <c r="Q2082" i="4"/>
  <c r="Q2090" i="4"/>
  <c r="Q2091" i="4"/>
  <c r="Q2092" i="4"/>
  <c r="Q2093" i="4"/>
  <c r="Q2108" i="4"/>
  <c r="Q2130" i="4"/>
  <c r="Q2133" i="4"/>
  <c r="Q2141" i="4"/>
  <c r="Q2143" i="4"/>
  <c r="Q2171" i="4"/>
  <c r="Q2175" i="4"/>
  <c r="Q2176" i="4"/>
  <c r="Q2177" i="4"/>
  <c r="Q2181" i="4"/>
  <c r="Q2224" i="4"/>
  <c r="Q2233" i="4"/>
  <c r="Q2245" i="4"/>
  <c r="Q2246" i="4"/>
  <c r="Q2247" i="4"/>
  <c r="Q2250" i="4"/>
  <c r="Q2259" i="4"/>
  <c r="Q2266" i="4"/>
  <c r="Q2269" i="4"/>
  <c r="Q2283" i="4"/>
  <c r="Q2284" i="4"/>
  <c r="Q2294" i="4"/>
  <c r="Q2295" i="4"/>
  <c r="Q913" i="4"/>
  <c r="Q948" i="4"/>
  <c r="Q1532" i="4"/>
  <c r="Q1549" i="4"/>
  <c r="Q1591" i="4"/>
  <c r="Q1602" i="4"/>
  <c r="Q8" i="4"/>
  <c r="Q10" i="4"/>
  <c r="Q24" i="4"/>
  <c r="Q37" i="4"/>
  <c r="Q47" i="4"/>
  <c r="Q56" i="4"/>
  <c r="Q69" i="4"/>
  <c r="Q79" i="4"/>
  <c r="Q92" i="4"/>
  <c r="Q108" i="4"/>
  <c r="Q137" i="4"/>
  <c r="Q148" i="4"/>
  <c r="Q160" i="4"/>
  <c r="Q202" i="4"/>
  <c r="Q242" i="4"/>
  <c r="Q244" i="4"/>
  <c r="Q271" i="4"/>
  <c r="Q283" i="4"/>
  <c r="Q307" i="4"/>
  <c r="Q319" i="4"/>
  <c r="Q382" i="4"/>
  <c r="Q399" i="4"/>
  <c r="Q417" i="4"/>
  <c r="Q672" i="4"/>
  <c r="Q682" i="4"/>
  <c r="Q688" i="4"/>
  <c r="Q730" i="4"/>
  <c r="Q759" i="4"/>
  <c r="Q761" i="4"/>
  <c r="Q762" i="4"/>
  <c r="Q787" i="4"/>
  <c r="Q789" i="4"/>
  <c r="Q795" i="4"/>
  <c r="Q821" i="4"/>
  <c r="Q829" i="4"/>
  <c r="Q933" i="4"/>
  <c r="Q934" i="4"/>
  <c r="Q935" i="4"/>
  <c r="Q936" i="4"/>
  <c r="Q964" i="4"/>
  <c r="Q976" i="4"/>
  <c r="Q1035" i="4"/>
  <c r="Q1039" i="4"/>
  <c r="Q1040" i="4"/>
  <c r="Q1041" i="4"/>
  <c r="Q1042" i="4"/>
  <c r="Q1069" i="4"/>
  <c r="Q1070" i="4"/>
  <c r="Q1076" i="4"/>
  <c r="Q1077" i="4"/>
  <c r="Q1078" i="4"/>
  <c r="Q1079" i="4"/>
  <c r="Q1107" i="4"/>
  <c r="Q1108" i="4"/>
  <c r="Q1109" i="4"/>
  <c r="Q1110" i="4"/>
  <c r="Q1199" i="4"/>
  <c r="Q1255" i="4"/>
  <c r="Q1288" i="4"/>
  <c r="Q1317" i="4"/>
  <c r="Q1374" i="4"/>
  <c r="Q1384" i="4"/>
  <c r="Q1410" i="4"/>
  <c r="Q1419" i="4"/>
  <c r="Q1427" i="4"/>
  <c r="Q1470" i="4"/>
  <c r="Q1501" i="4"/>
  <c r="Q1519" i="4"/>
  <c r="Q1575" i="4"/>
  <c r="Q1596" i="4"/>
  <c r="Q1609" i="4"/>
  <c r="Q1882" i="4"/>
  <c r="Q1883" i="4"/>
  <c r="Q1884" i="4"/>
  <c r="Q1885" i="4"/>
  <c r="Q1886" i="4"/>
  <c r="Q1887" i="4"/>
  <c r="Q2038" i="4"/>
  <c r="Q2039" i="4"/>
  <c r="Q2040" i="4"/>
  <c r="Q2041" i="4"/>
  <c r="Q2042" i="4"/>
  <c r="Q2043" i="4"/>
  <c r="Q2069" i="4"/>
  <c r="Q2074" i="4"/>
  <c r="Q2075" i="4"/>
  <c r="Q2076" i="4"/>
  <c r="Q2077" i="4"/>
  <c r="Q2109" i="4"/>
  <c r="Q2110" i="4"/>
  <c r="Q2111" i="4"/>
  <c r="Q2112" i="4"/>
  <c r="Q2113" i="4"/>
  <c r="Q2114" i="4"/>
  <c r="Q2115" i="4"/>
  <c r="Q2116" i="4"/>
  <c r="Q2117" i="4"/>
  <c r="Q2132" i="4"/>
  <c r="Q2144" i="4"/>
  <c r="Q2145" i="4"/>
  <c r="Q2146" i="4"/>
  <c r="Q2147" i="4"/>
  <c r="Q2148" i="4"/>
  <c r="Q2149" i="4"/>
  <c r="Q2203" i="4"/>
  <c r="Q2204" i="4"/>
  <c r="Q2205" i="4"/>
  <c r="Q2206" i="4"/>
  <c r="Q2207" i="4"/>
  <c r="Q2220" i="4"/>
  <c r="Q2221" i="4"/>
  <c r="Q2222" i="4"/>
  <c r="Q2272" i="4"/>
  <c r="Q2273" i="4"/>
  <c r="Q2274" i="4"/>
  <c r="Q1648" i="4"/>
  <c r="Q1669" i="4"/>
  <c r="Q88" i="4"/>
  <c r="Q89" i="4"/>
  <c r="Q1313" i="4"/>
  <c r="Q303" i="4"/>
  <c r="Q305" i="4"/>
  <c r="Q311" i="4"/>
  <c r="Q313" i="4"/>
  <c r="Q324" i="4"/>
  <c r="Q347" i="4"/>
  <c r="Q349" i="4"/>
  <c r="Q351" i="4"/>
  <c r="Q353" i="4"/>
  <c r="Q367" i="4"/>
  <c r="Q369" i="4"/>
  <c r="Q371" i="4"/>
  <c r="Q373" i="4"/>
  <c r="Q375" i="4"/>
  <c r="Q396" i="4"/>
  <c r="Q398" i="4"/>
  <c r="Q426" i="4"/>
  <c r="Q428" i="4"/>
  <c r="Q433" i="4"/>
  <c r="Q435" i="4"/>
  <c r="Q677" i="4"/>
  <c r="Q691" i="4"/>
  <c r="Q693" i="4"/>
  <c r="Q702" i="4"/>
  <c r="Q704" i="4"/>
  <c r="Q725" i="4"/>
  <c r="Q755" i="4"/>
  <c r="Q757" i="4"/>
  <c r="Q792" i="4"/>
  <c r="Q794" i="4"/>
  <c r="Q826" i="4"/>
  <c r="Q828" i="4"/>
  <c r="Q1184" i="4"/>
  <c r="Q1189" i="4"/>
  <c r="Q1194" i="4"/>
  <c r="Q1202" i="4"/>
  <c r="Q1206" i="4"/>
  <c r="Q1211" i="4"/>
  <c r="Q1215" i="4"/>
  <c r="Q1221" i="4"/>
  <c r="Q1228" i="4"/>
  <c r="Q1235" i="4"/>
  <c r="Q1239" i="4"/>
  <c r="Q1244" i="4"/>
  <c r="Q1251" i="4"/>
  <c r="Q1264" i="4"/>
  <c r="Q1269" i="4"/>
  <c r="Q1274" i="4"/>
  <c r="Q1285" i="4"/>
  <c r="Q1287" i="4"/>
  <c r="Q1296" i="4"/>
  <c r="Q1298" i="4"/>
  <c r="Q1300" i="4"/>
  <c r="Q1633" i="4"/>
  <c r="Q1635" i="4"/>
  <c r="Q1637" i="4"/>
  <c r="Q1639" i="4"/>
  <c r="Q1650" i="4"/>
  <c r="Q1652" i="4"/>
  <c r="Q1654" i="4"/>
  <c r="Q1656" i="4"/>
  <c r="Q1681" i="4"/>
  <c r="Q1683" i="4"/>
  <c r="Q1685" i="4"/>
  <c r="Q1687" i="4"/>
  <c r="Q1701" i="4"/>
  <c r="Q1703" i="4"/>
  <c r="Q1705" i="4"/>
  <c r="Q1707" i="4"/>
  <c r="Q1740" i="4"/>
  <c r="Q1777" i="4"/>
  <c r="Q1779" i="4"/>
  <c r="Q1791" i="4"/>
  <c r="Q1793" i="4"/>
  <c r="Q1800" i="4"/>
  <c r="Q1815" i="4"/>
  <c r="Q1817" i="4"/>
  <c r="Q1822" i="4"/>
  <c r="Q1824" i="4"/>
  <c r="Q1827" i="4"/>
  <c r="Q1843" i="4"/>
  <c r="Q1845" i="4"/>
  <c r="Q1847" i="4"/>
  <c r="Q1853" i="4"/>
  <c r="Q1876" i="4"/>
  <c r="Q1878" i="4"/>
  <c r="Q1895" i="4"/>
  <c r="Q1910" i="4"/>
  <c r="Q1912" i="4"/>
  <c r="Q1928" i="4"/>
  <c r="Q1930" i="4"/>
  <c r="Q1969" i="4"/>
  <c r="Q1984" i="4"/>
  <c r="Q1992" i="4"/>
  <c r="Q2005" i="4"/>
  <c r="Q2021" i="4"/>
  <c r="Q2023" i="4"/>
  <c r="Q17" i="4"/>
  <c r="Q19" i="4"/>
  <c r="Q20" i="4"/>
  <c r="Q21" i="4"/>
  <c r="Q49" i="4"/>
  <c r="Q50" i="4"/>
  <c r="Q71" i="4"/>
  <c r="Q72" i="4"/>
  <c r="Q96" i="4"/>
  <c r="Q97" i="4"/>
  <c r="Q110" i="4"/>
  <c r="Q111" i="4"/>
  <c r="Q139" i="4"/>
  <c r="Q140" i="4"/>
  <c r="Q158" i="4"/>
  <c r="Q159" i="4"/>
  <c r="Q179" i="4"/>
  <c r="Q180" i="4"/>
  <c r="Q181" i="4"/>
  <c r="Q197" i="4"/>
  <c r="Q198" i="4"/>
  <c r="Q199" i="4"/>
  <c r="Q200" i="4"/>
  <c r="Q201" i="4"/>
  <c r="Q222" i="4"/>
  <c r="Q223" i="4"/>
  <c r="Q224" i="4"/>
  <c r="Q225" i="4"/>
  <c r="Q240" i="4"/>
  <c r="Q241" i="4"/>
  <c r="Q252" i="4"/>
  <c r="Q255" i="4"/>
  <c r="Q257" i="4"/>
  <c r="Q259" i="4"/>
  <c r="Q261" i="4"/>
  <c r="Q263" i="4"/>
  <c r="Q273" i="4"/>
  <c r="Q274" i="4"/>
  <c r="Q284" i="4"/>
  <c r="Q302" i="4"/>
  <c r="Q304" i="4"/>
  <c r="Q310" i="4"/>
  <c r="Q312" i="4"/>
  <c r="Q323" i="4"/>
  <c r="Q346" i="4"/>
  <c r="Q348" i="4"/>
  <c r="Q350" i="4"/>
  <c r="Q352" i="4"/>
  <c r="Q366" i="4"/>
  <c r="Q368" i="4"/>
  <c r="Q370" i="4"/>
  <c r="Q372" i="4"/>
  <c r="Q374" i="4"/>
  <c r="Q395" i="4"/>
  <c r="Q397" i="4"/>
  <c r="Q425" i="4"/>
  <c r="Q427" i="4"/>
  <c r="Q432" i="4"/>
  <c r="Q434" i="4"/>
  <c r="Q442" i="4"/>
  <c r="Q448" i="4"/>
  <c r="Q449" i="4"/>
  <c r="Q459" i="4"/>
  <c r="Q460" i="4"/>
  <c r="Q461" i="4"/>
  <c r="Q462" i="4"/>
  <c r="Q474" i="4"/>
  <c r="Q475" i="4"/>
  <c r="Q476" i="4"/>
  <c r="Q477" i="4"/>
  <c r="Q497" i="4"/>
  <c r="Q498" i="4"/>
  <c r="Q499" i="4"/>
  <c r="Q501" i="4"/>
  <c r="Q527" i="4"/>
  <c r="Q528" i="4"/>
  <c r="Q530" i="4"/>
  <c r="Q538" i="4"/>
  <c r="Q539" i="4"/>
  <c r="Q540" i="4"/>
  <c r="Q561" i="4"/>
  <c r="Q562" i="4"/>
  <c r="Q563" i="4"/>
  <c r="Q566" i="4"/>
  <c r="Q584" i="4"/>
  <c r="Q591" i="4"/>
  <c r="Q592" i="4"/>
  <c r="Q593" i="4"/>
  <c r="Q615" i="4"/>
  <c r="Q617" i="4"/>
  <c r="Q618" i="4"/>
  <c r="Q619" i="4"/>
  <c r="Q622" i="4"/>
  <c r="Q636" i="4"/>
  <c r="Q644" i="4"/>
  <c r="Q645" i="4"/>
  <c r="Q646" i="4"/>
  <c r="Q663" i="4"/>
  <c r="Q664" i="4"/>
  <c r="Q665" i="4"/>
  <c r="Q676" i="4"/>
  <c r="Q690" i="4"/>
  <c r="Q692" i="4"/>
  <c r="Q701" i="4"/>
  <c r="Q703" i="4"/>
  <c r="Q724" i="4"/>
  <c r="Q752" i="4"/>
  <c r="Q754" i="4"/>
  <c r="Q756" i="4"/>
  <c r="Q791" i="4"/>
  <c r="Q793" i="4"/>
  <c r="Q825" i="4"/>
  <c r="Q827" i="4"/>
  <c r="Q843" i="4"/>
  <c r="Q869" i="4"/>
  <c r="Q870" i="4"/>
  <c r="Q885" i="4"/>
  <c r="Q886" i="4"/>
  <c r="Q887" i="4"/>
  <c r="Q893" i="4"/>
  <c r="Q895" i="4"/>
  <c r="Q917" i="4"/>
  <c r="Q918" i="4"/>
  <c r="Q919" i="4"/>
  <c r="Q921" i="4"/>
  <c r="Q923" i="4"/>
  <c r="Q925" i="4"/>
  <c r="Q927" i="4"/>
  <c r="Q929" i="4"/>
  <c r="Q930" i="4"/>
  <c r="Q931" i="4"/>
  <c r="Q932" i="4"/>
  <c r="Q947" i="4"/>
  <c r="Q955" i="4"/>
  <c r="Q993" i="4"/>
  <c r="Q995" i="4"/>
  <c r="Q996" i="4"/>
  <c r="Q1013" i="4"/>
  <c r="Q1014" i="4"/>
  <c r="Q1015" i="4"/>
  <c r="Q1044" i="4"/>
  <c r="Q1045" i="4"/>
  <c r="Q1046" i="4"/>
  <c r="Q1047" i="4"/>
  <c r="Q1048" i="4"/>
  <c r="Q1049" i="4"/>
  <c r="Q1050" i="4"/>
  <c r="Q1080" i="4"/>
  <c r="Q1081" i="4"/>
  <c r="Q1082" i="4"/>
  <c r="Q1083" i="4"/>
  <c r="Q1084" i="4"/>
  <c r="Q1111" i="4"/>
  <c r="Q1112" i="4"/>
  <c r="Q1116" i="4"/>
  <c r="Q1119" i="4"/>
  <c r="Q1130" i="4"/>
  <c r="Q1133" i="4"/>
  <c r="Q1136" i="4"/>
  <c r="Q1143" i="4"/>
  <c r="Q1151" i="4"/>
  <c r="Q1160" i="4"/>
  <c r="Q1163" i="4"/>
  <c r="Q1170" i="4"/>
  <c r="Q1171" i="4"/>
  <c r="Q1173" i="4"/>
  <c r="Q1177" i="4"/>
  <c r="Q1183" i="4"/>
  <c r="Q1188" i="4"/>
  <c r="Q1193" i="4"/>
  <c r="Q1201" i="4"/>
  <c r="Q1205" i="4"/>
  <c r="Q1210" i="4"/>
  <c r="Q1214" i="4"/>
  <c r="Q1220" i="4"/>
  <c r="Q1227" i="4"/>
  <c r="Q1234" i="4"/>
  <c r="Q1238" i="4"/>
  <c r="Q1243" i="4"/>
  <c r="Q1250" i="4"/>
  <c r="Q1258" i="4"/>
  <c r="Q1263" i="4"/>
  <c r="Q1268" i="4"/>
  <c r="Q1273" i="4"/>
  <c r="Q1284" i="4"/>
  <c r="Q1286" i="4"/>
  <c r="Q1295" i="4"/>
  <c r="Q1297" i="4"/>
  <c r="Q1299" i="4"/>
  <c r="Q1326" i="4"/>
  <c r="Q1327" i="4"/>
  <c r="Q1328" i="4"/>
  <c r="Q1334" i="4"/>
  <c r="Q1335" i="4"/>
  <c r="Q1336" i="4"/>
  <c r="Q1350" i="4"/>
  <c r="Q1357" i="4"/>
  <c r="Q1358" i="4"/>
  <c r="Q1359" i="4"/>
  <c r="Q1366" i="4"/>
  <c r="Q1396" i="4"/>
  <c r="Q1414" i="4"/>
  <c r="Q1415" i="4"/>
  <c r="Q1443" i="4"/>
  <c r="Q1444" i="4"/>
  <c r="Q1452" i="4"/>
  <c r="Q1453" i="4"/>
  <c r="Q1454" i="4"/>
  <c r="Q1482" i="4"/>
  <c r="Q1495" i="4"/>
  <c r="Q1496" i="4"/>
  <c r="Q1521" i="4"/>
  <c r="Q1522" i="4"/>
  <c r="Q1542" i="4"/>
  <c r="Q1543" i="4"/>
  <c r="Q1544" i="4"/>
  <c r="Q1567" i="4"/>
  <c r="Q1569" i="4"/>
  <c r="Q1576" i="4"/>
  <c r="Q1579" i="4"/>
  <c r="Q1581" i="4"/>
  <c r="Q1587" i="4"/>
  <c r="Q1604" i="4"/>
  <c r="Q1605" i="4"/>
  <c r="Q1606" i="4"/>
  <c r="Q1632" i="4"/>
  <c r="Q1634" i="4"/>
  <c r="Q1636" i="4"/>
  <c r="Q1638" i="4"/>
  <c r="Q1649" i="4"/>
  <c r="Q1651" i="4"/>
  <c r="Q1653" i="4"/>
  <c r="Q1655" i="4"/>
  <c r="Q1680" i="4"/>
  <c r="Q1682" i="4"/>
  <c r="Q1684" i="4"/>
  <c r="Q1686" i="4"/>
  <c r="Q1700" i="4"/>
  <c r="Q1702" i="4"/>
  <c r="Q1704" i="4"/>
  <c r="Q1706" i="4"/>
  <c r="Q1739" i="4"/>
  <c r="Q1776" i="4"/>
  <c r="Q1778" i="4"/>
  <c r="Q1790" i="4"/>
  <c r="Q1792" i="4"/>
  <c r="Q1799" i="4"/>
  <c r="Q1814" i="4"/>
  <c r="Q1816" i="4"/>
  <c r="Q1821" i="4"/>
  <c r="Q1823" i="4"/>
  <c r="Q1826" i="4"/>
  <c r="Q1842" i="4"/>
  <c r="Q1844" i="4"/>
  <c r="Q1846" i="4"/>
  <c r="Q1852" i="4"/>
  <c r="Q1875" i="4"/>
  <c r="Q1877" i="4"/>
  <c r="Q1894" i="4"/>
  <c r="Q1909" i="4"/>
  <c r="Q1911" i="4"/>
  <c r="Q1927" i="4"/>
  <c r="Q1929" i="4"/>
  <c r="Q1968" i="4"/>
  <c r="Q1983" i="4"/>
  <c r="Q1991" i="4"/>
  <c r="Q2004" i="4"/>
  <c r="Q2020" i="4"/>
  <c r="Q2022" i="4"/>
  <c r="Q2034" i="4"/>
  <c r="Q2035" i="4"/>
  <c r="Q2036" i="4"/>
  <c r="Q2050" i="4"/>
  <c r="Q2057" i="4"/>
  <c r="Q2058" i="4"/>
  <c r="Q2063" i="4"/>
  <c r="Q2064" i="4"/>
  <c r="Q2067" i="4"/>
  <c r="Q2088" i="4"/>
  <c r="Q2089" i="4"/>
  <c r="Q2106" i="4"/>
  <c r="Q2107" i="4"/>
  <c r="Q2126" i="4"/>
  <c r="Q2127" i="4"/>
  <c r="Q2129" i="4"/>
  <c r="Q2131" i="4"/>
  <c r="Q2136" i="4"/>
  <c r="Q2137" i="4"/>
  <c r="Q2138" i="4"/>
  <c r="Q2139" i="4"/>
  <c r="Q2159" i="4"/>
  <c r="Q2160" i="4"/>
  <c r="Q2172" i="4"/>
  <c r="Q2173" i="4"/>
  <c r="Q2191" i="4"/>
  <c r="Q2192" i="4"/>
  <c r="Q2200" i="4"/>
  <c r="Q2201" i="4"/>
  <c r="Q2217" i="4"/>
  <c r="Q2218" i="4"/>
  <c r="Q2234" i="4"/>
  <c r="Q2235" i="4"/>
  <c r="Q2248" i="4"/>
  <c r="Q2249" i="4"/>
  <c r="Q2260" i="4"/>
  <c r="Q2261" i="4"/>
  <c r="Q2267" i="4"/>
  <c r="Q2268" i="4"/>
  <c r="Q2285" i="4"/>
  <c r="Q2286" i="4"/>
  <c r="Q2296" i="4"/>
  <c r="Q2297" i="4"/>
  <c r="Q1566" i="4"/>
  <c r="Q31" i="4"/>
  <c r="Q38" i="4"/>
  <c r="Q40" i="4"/>
  <c r="Q143" i="4"/>
  <c r="Q145" i="4"/>
  <c r="Q146" i="4"/>
  <c r="Q147" i="4"/>
  <c r="Q154" i="4"/>
  <c r="Q155" i="4"/>
  <c r="Q156" i="4"/>
  <c r="Q298" i="4"/>
  <c r="Q377" i="4"/>
  <c r="Q379" i="4"/>
  <c r="Q380" i="4"/>
  <c r="Q381" i="4"/>
  <c r="Q401" i="4"/>
  <c r="Q414" i="4"/>
  <c r="Q416" i="4"/>
  <c r="Q447" i="4"/>
  <c r="Q452" i="4"/>
  <c r="Q453" i="4"/>
  <c r="Q455" i="4"/>
  <c r="Q625" i="4"/>
  <c r="Q632" i="4"/>
  <c r="Q634" i="4"/>
  <c r="Q639" i="4"/>
  <c r="Q715" i="4"/>
  <c r="Q716" i="4"/>
  <c r="Q717" i="4"/>
  <c r="Q718" i="4"/>
  <c r="Q726" i="4"/>
  <c r="Q763" i="4"/>
  <c r="Q765" i="4"/>
  <c r="Q847" i="4"/>
  <c r="Q848" i="4"/>
  <c r="Q978" i="4"/>
  <c r="Q988" i="4"/>
  <c r="Q1395" i="4"/>
  <c r="Q1399" i="4"/>
  <c r="Q275" i="4"/>
  <c r="Q315" i="4"/>
  <c r="Q321" i="4"/>
  <c r="Q344" i="4"/>
  <c r="Q345" i="4"/>
  <c r="Q444" i="4"/>
  <c r="Q678" i="4"/>
  <c r="Q679" i="4"/>
  <c r="Q680" i="4"/>
  <c r="Q681" i="4"/>
  <c r="Q770" i="4"/>
  <c r="Q772" i="4"/>
  <c r="Q837" i="4"/>
  <c r="Q840" i="4"/>
  <c r="Q841" i="4"/>
  <c r="Q842" i="4"/>
  <c r="Q845" i="4"/>
  <c r="Q852" i="4"/>
  <c r="Q853" i="4"/>
  <c r="Q856" i="4"/>
  <c r="Q858" i="4"/>
  <c r="Q1020" i="4"/>
  <c r="Q1021" i="4"/>
  <c r="Q1022" i="4"/>
  <c r="Q1222" i="4"/>
  <c r="Q1966" i="4"/>
  <c r="Q1972" i="4"/>
  <c r="Q299" i="4"/>
  <c r="Q300" i="4"/>
  <c r="Q415" i="4"/>
  <c r="Q673" i="4"/>
  <c r="Q675" i="4"/>
  <c r="Q719" i="4"/>
  <c r="Q720" i="4"/>
  <c r="Q721" i="4"/>
  <c r="Q722" i="4"/>
  <c r="Q723" i="4"/>
  <c r="Q727" i="4"/>
  <c r="Q729" i="4"/>
  <c r="Q902" i="4"/>
  <c r="Q1025" i="4"/>
  <c r="Q1026" i="4"/>
  <c r="Q1291" i="4"/>
  <c r="Q1332" i="4"/>
  <c r="Q1397" i="4"/>
  <c r="Q1413" i="4"/>
  <c r="Q1946" i="4"/>
  <c r="Q1953" i="4"/>
  <c r="Q1322" i="4"/>
  <c r="Q1670" i="4"/>
  <c r="Q1688" i="4"/>
  <c r="Q1691" i="4"/>
  <c r="Q1708" i="4"/>
  <c r="Q1896" i="4"/>
  <c r="Q1913" i="4"/>
  <c r="Q363" i="4"/>
  <c r="Q451" i="4"/>
  <c r="Q26" i="4"/>
  <c r="Q34" i="4"/>
  <c r="Q35" i="4"/>
  <c r="Q36" i="4"/>
  <c r="Q176" i="4"/>
  <c r="Q178" i="4"/>
  <c r="Q203" i="4"/>
  <c r="Q674" i="4"/>
  <c r="Q767" i="4"/>
  <c r="Q769" i="4"/>
  <c r="Q804" i="4"/>
  <c r="Q806" i="4"/>
  <c r="Q861" i="4"/>
  <c r="Q862" i="4"/>
  <c r="Q863" i="4"/>
  <c r="Q937" i="4"/>
  <c r="Q956" i="4"/>
  <c r="Q1001" i="4"/>
  <c r="Q1002" i="4"/>
  <c r="Q1018" i="4"/>
  <c r="Q1019" i="4"/>
  <c r="Q1023" i="4"/>
  <c r="Q1024" i="4"/>
  <c r="Q1030" i="4"/>
  <c r="Q1052" i="4"/>
  <c r="Q1087" i="4"/>
  <c r="Q1093" i="4"/>
  <c r="Q1223" i="4"/>
  <c r="Q1256" i="4"/>
  <c r="Q1257" i="4"/>
  <c r="Q1275" i="4"/>
  <c r="Q1279" i="4"/>
  <c r="Q1323" i="4"/>
  <c r="Q1935" i="4"/>
  <c r="Q1987" i="4"/>
  <c r="Q1988" i="4"/>
  <c r="Q22" i="4"/>
  <c r="Q95" i="4"/>
  <c r="Q686" i="4"/>
  <c r="Q992" i="4"/>
  <c r="Q1137" i="4"/>
  <c r="Q1191" i="4"/>
  <c r="Q1315" i="4"/>
  <c r="Q1589" i="4"/>
  <c r="Q1607" i="4"/>
  <c r="Q1641" i="4"/>
  <c r="Q1689" i="4"/>
  <c r="Q1829" i="4"/>
  <c r="Q2264" i="4"/>
  <c r="Q44" i="4"/>
  <c r="Q45" i="4"/>
  <c r="Q46" i="4"/>
  <c r="Q58" i="4"/>
  <c r="Q62" i="4"/>
  <c r="Q63" i="4"/>
  <c r="Q64" i="4"/>
  <c r="Q65" i="4"/>
  <c r="Q66" i="4"/>
  <c r="Q67" i="4"/>
  <c r="Q68" i="4"/>
  <c r="Q75" i="4"/>
  <c r="Q76" i="4"/>
  <c r="Q77" i="4"/>
  <c r="Q78" i="4"/>
  <c r="Q84" i="4"/>
  <c r="Q87" i="4"/>
  <c r="Q297" i="4"/>
  <c r="Q316" i="4"/>
  <c r="Q364" i="4"/>
  <c r="Q411" i="4"/>
  <c r="Q430" i="4"/>
  <c r="Q431" i="4"/>
  <c r="Q436" i="4"/>
  <c r="Q542" i="4"/>
  <c r="Q596" i="4"/>
  <c r="Q954" i="4"/>
  <c r="Q1028" i="4"/>
  <c r="Q1449" i="4"/>
  <c r="Q1979" i="4"/>
  <c r="Q2094" i="4"/>
  <c r="Q2103" i="4"/>
  <c r="Q2124" i="4"/>
  <c r="Q2125" i="4"/>
  <c r="Q2161" i="4"/>
  <c r="Q2193" i="4"/>
  <c r="Q2194" i="4"/>
  <c r="Q2195" i="4"/>
  <c r="Q2196" i="4"/>
  <c r="Q2202" i="4"/>
  <c r="Q2208" i="4"/>
  <c r="Q2223" i="4"/>
  <c r="Q2275" i="4"/>
  <c r="Q2288" i="4"/>
  <c r="Q391" i="4"/>
  <c r="Q392" i="4"/>
  <c r="Q758" i="4"/>
  <c r="Q25" i="4"/>
  <c r="Q29" i="4"/>
  <c r="Q33" i="4"/>
  <c r="Q39" i="4"/>
  <c r="Q104" i="4"/>
  <c r="Q134" i="4"/>
  <c r="Q135" i="4"/>
  <c r="Q150" i="4"/>
  <c r="Q177" i="4"/>
  <c r="Q207" i="4"/>
  <c r="Q243" i="4"/>
  <c r="Q253" i="4"/>
  <c r="Q413" i="4"/>
  <c r="Q1749" i="4"/>
  <c r="Q1774" i="4"/>
  <c r="Q1794" i="4"/>
  <c r="Q1795" i="4"/>
  <c r="Q1819" i="4"/>
  <c r="Q1820" i="4"/>
  <c r="Q1830" i="4"/>
  <c r="Q1831" i="4"/>
  <c r="Q1836" i="4"/>
  <c r="Q1837" i="4"/>
  <c r="Q1857" i="4"/>
  <c r="Q1860" i="4"/>
  <c r="Q1865" i="4"/>
  <c r="Q1870" i="4"/>
  <c r="Q1888" i="4"/>
  <c r="Q1889" i="4"/>
  <c r="Q1907" i="4"/>
  <c r="Q1915" i="4"/>
  <c r="Q1936" i="4"/>
  <c r="Q1945" i="4"/>
  <c r="Q1959" i="4"/>
  <c r="Q1962" i="4"/>
  <c r="Q1965" i="4"/>
  <c r="Q1975" i="4"/>
  <c r="Q1989" i="4"/>
  <c r="Q1995" i="4"/>
  <c r="Q2002" i="4"/>
  <c r="Q2003" i="4"/>
  <c r="Q2006" i="4"/>
  <c r="Q2011" i="4"/>
  <c r="Q2019" i="4"/>
  <c r="Q2024" i="4"/>
  <c r="Q904" i="4"/>
  <c r="Q239" i="4"/>
  <c r="Q1113" i="4"/>
  <c r="Q1152" i="4"/>
  <c r="Q1195" i="4"/>
  <c r="Q1787" i="4"/>
  <c r="Q1868" i="4"/>
  <c r="Q864" i="4"/>
  <c r="Q900" i="4"/>
  <c r="Q901" i="4"/>
  <c r="Q938" i="4"/>
  <c r="Q939" i="4"/>
  <c r="Q940" i="4"/>
  <c r="Q941" i="4"/>
  <c r="Q942" i="4"/>
  <c r="Q943" i="4"/>
  <c r="Q953" i="4"/>
  <c r="Q957" i="4"/>
  <c r="Q958" i="4"/>
  <c r="Q959" i="4"/>
  <c r="Q1303" i="4"/>
  <c r="Q1306" i="4"/>
  <c r="Q1307" i="4"/>
  <c r="Q1308" i="4"/>
  <c r="Q1445" i="4"/>
  <c r="Q1506" i="4"/>
  <c r="Q1507" i="4"/>
  <c r="Q1624" i="4"/>
  <c r="Q1625" i="4"/>
  <c r="Q1626" i="4"/>
  <c r="Q1627" i="4"/>
  <c r="Q1628" i="4"/>
  <c r="Q1629" i="4"/>
  <c r="Q1642" i="4"/>
  <c r="Q1643" i="4"/>
  <c r="Q1644" i="4"/>
  <c r="Q1645" i="4"/>
  <c r="Q1646" i="4"/>
  <c r="Q1647" i="4"/>
  <c r="Q1671" i="4"/>
  <c r="Q1672" i="4"/>
  <c r="Q1673" i="4"/>
  <c r="Q1674" i="4"/>
  <c r="Q1675" i="4"/>
  <c r="Q1676" i="4"/>
  <c r="Q1677" i="4"/>
  <c r="Q1692" i="4"/>
  <c r="Q1693" i="4"/>
  <c r="Q1694" i="4"/>
  <c r="Q1695" i="4"/>
  <c r="Q1696" i="4"/>
  <c r="Q51" i="4"/>
  <c r="Q52" i="4"/>
  <c r="Q53" i="4"/>
  <c r="Q54" i="4"/>
  <c r="Q55" i="4"/>
  <c r="Q57" i="4"/>
  <c r="Q73" i="4"/>
  <c r="Q81" i="4"/>
  <c r="Q82" i="4"/>
  <c r="Q90" i="4"/>
  <c r="Q91" i="4"/>
  <c r="Q106" i="4"/>
  <c r="Q114" i="4"/>
  <c r="Q144" i="4"/>
  <c r="Q153" i="4"/>
  <c r="Q172" i="4"/>
  <c r="Q173" i="4"/>
  <c r="Q174" i="4"/>
  <c r="Q184" i="4"/>
  <c r="Q185" i="4"/>
  <c r="Q186" i="4"/>
  <c r="Q187" i="4"/>
  <c r="Q191" i="4"/>
  <c r="Q192" i="4"/>
  <c r="Q194" i="4"/>
  <c r="Q195" i="4"/>
  <c r="Q209" i="4"/>
  <c r="Q210" i="4"/>
  <c r="Q211" i="4"/>
  <c r="Q212" i="4"/>
  <c r="Q213" i="4"/>
  <c r="Q215" i="4"/>
  <c r="Q216" i="4"/>
  <c r="Q226" i="4"/>
  <c r="Q227" i="4"/>
  <c r="Q228" i="4"/>
  <c r="Q229" i="4"/>
  <c r="Q230" i="4"/>
  <c r="Q231" i="4"/>
  <c r="Q232" i="4"/>
  <c r="Q235" i="4"/>
  <c r="Q236" i="4"/>
  <c r="Q237" i="4"/>
  <c r="Q278" i="4"/>
  <c r="Q279" i="4"/>
  <c r="Q286" i="4"/>
  <c r="Q287" i="4"/>
  <c r="Q294" i="4"/>
  <c r="Q295" i="4"/>
  <c r="Q296" i="4"/>
  <c r="Q317" i="4"/>
  <c r="Q318" i="4"/>
  <c r="Q320" i="4"/>
  <c r="Q329" i="4"/>
  <c r="Q331" i="4"/>
  <c r="Q332" i="4"/>
  <c r="Q335" i="4"/>
  <c r="Q356" i="4"/>
  <c r="Q357" i="4"/>
  <c r="Q358" i="4"/>
  <c r="Q359" i="4"/>
  <c r="Q361" i="4"/>
  <c r="Q362" i="4"/>
  <c r="Q393" i="4"/>
  <c r="Q394" i="4"/>
  <c r="Q402" i="4"/>
  <c r="Q403" i="4"/>
  <c r="Q404" i="4"/>
  <c r="Q407" i="4"/>
  <c r="Q408" i="4"/>
  <c r="Q409" i="4"/>
  <c r="Q412" i="4"/>
  <c r="Q419" i="4"/>
  <c r="Q420" i="4"/>
  <c r="Q422" i="4"/>
  <c r="Q423" i="4"/>
  <c r="Q445" i="4"/>
  <c r="Q446" i="4"/>
  <c r="Q454" i="4"/>
  <c r="Q457" i="4"/>
  <c r="Q481" i="4"/>
  <c r="Q489" i="4"/>
  <c r="Q490" i="4"/>
  <c r="Q491" i="4"/>
  <c r="Q492" i="4"/>
  <c r="Q493" i="4"/>
  <c r="Q502" i="4"/>
  <c r="Q504" i="4"/>
  <c r="Q506" i="4"/>
  <c r="Q507" i="4"/>
  <c r="Q516" i="4"/>
  <c r="Q517" i="4"/>
  <c r="Q518" i="4"/>
  <c r="Q519" i="4"/>
  <c r="Q531" i="4"/>
  <c r="Q543" i="4"/>
  <c r="Q546" i="4"/>
  <c r="Q551" i="4"/>
  <c r="Q552" i="4"/>
  <c r="Q553" i="4"/>
  <c r="Q554" i="4"/>
  <c r="Q555" i="4"/>
  <c r="Q557" i="4"/>
  <c r="Q558" i="4"/>
  <c r="Q559" i="4"/>
  <c r="Q567" i="4"/>
  <c r="Q570" i="4"/>
  <c r="Q571" i="4"/>
  <c r="Q572" i="4"/>
  <c r="Q573" i="4"/>
  <c r="Q574" i="4"/>
  <c r="Q577" i="4"/>
  <c r="Q578" i="4"/>
  <c r="Q579" i="4"/>
  <c r="Q580" i="4"/>
  <c r="Q594" i="4"/>
  <c r="Q597" i="4"/>
  <c r="Q598" i="4"/>
  <c r="Q599" i="4"/>
  <c r="Q600" i="4"/>
  <c r="Q604" i="4"/>
  <c r="Q605" i="4"/>
  <c r="Q606" i="4"/>
  <c r="Q607" i="4"/>
  <c r="Q608" i="4"/>
  <c r="Q609" i="4"/>
  <c r="Q610" i="4"/>
  <c r="Q611" i="4"/>
  <c r="Q614" i="4"/>
  <c r="Q623" i="4"/>
  <c r="Q627" i="4"/>
  <c r="Q628" i="4"/>
  <c r="Q630" i="4"/>
  <c r="Q631" i="4"/>
  <c r="Q635" i="4"/>
  <c r="Q649" i="4"/>
  <c r="Q650" i="4"/>
  <c r="Q651" i="4"/>
  <c r="Q652" i="4"/>
  <c r="Q657" i="4"/>
  <c r="Q658" i="4"/>
  <c r="Q660" i="4"/>
  <c r="Q661" i="4"/>
  <c r="Q728" i="4"/>
  <c r="Q768" i="4"/>
  <c r="Q771" i="4"/>
  <c r="Q773" i="4"/>
  <c r="Q774" i="4"/>
  <c r="Q775" i="4"/>
  <c r="Q777" i="4"/>
  <c r="Q778" i="4"/>
  <c r="Q779" i="4"/>
  <c r="Q780" i="4"/>
  <c r="Q781" i="4"/>
  <c r="Q782" i="4"/>
  <c r="Q783" i="4"/>
  <c r="Q784" i="4"/>
  <c r="Q785" i="4"/>
  <c r="Q786" i="4"/>
  <c r="Q796" i="4"/>
  <c r="Q797" i="4"/>
  <c r="Q798" i="4"/>
  <c r="Q799" i="4"/>
  <c r="Q800" i="4"/>
  <c r="Q801" i="4"/>
  <c r="Q803" i="4"/>
  <c r="Q805" i="4"/>
  <c r="Q807" i="4"/>
  <c r="Q808" i="4"/>
  <c r="Q809" i="4"/>
  <c r="Q810" i="4"/>
  <c r="Q812" i="4"/>
  <c r="Q813" i="4"/>
  <c r="Q814" i="4"/>
  <c r="Q815" i="4"/>
  <c r="Q816" i="4"/>
  <c r="Q817" i="4"/>
  <c r="Q818" i="4"/>
  <c r="Q819" i="4"/>
  <c r="Q820" i="4"/>
  <c r="Q822" i="4"/>
  <c r="Q823" i="4"/>
  <c r="Q824" i="4"/>
  <c r="Q831" i="4"/>
  <c r="Q832" i="4"/>
  <c r="Q833" i="4"/>
  <c r="Q850" i="4"/>
  <c r="Q851" i="4"/>
  <c r="Q854" i="4"/>
  <c r="Q855" i="4"/>
  <c r="Q857" i="4"/>
  <c r="Q860" i="4"/>
  <c r="Q873" i="4"/>
  <c r="Q874" i="4"/>
  <c r="Q875" i="4"/>
  <c r="Q896" i="4"/>
  <c r="Q897" i="4"/>
  <c r="Q960" i="4"/>
  <c r="Q980" i="4"/>
  <c r="Q981" i="4"/>
  <c r="Q982" i="4"/>
  <c r="Q983" i="4"/>
  <c r="Q984" i="4"/>
  <c r="Q985" i="4"/>
  <c r="Q986" i="4"/>
  <c r="Q987" i="4"/>
  <c r="Q1000" i="4"/>
  <c r="Q1003" i="4"/>
  <c r="Q1004" i="4"/>
  <c r="Q1005" i="4"/>
  <c r="Q1006" i="4"/>
  <c r="Q1007" i="4"/>
  <c r="Q1027" i="4"/>
  <c r="Q1029" i="4"/>
  <c r="Q1053" i="4"/>
  <c r="Q1054" i="4"/>
  <c r="Q1055" i="4"/>
  <c r="Q1056" i="4"/>
  <c r="Q1057" i="4"/>
  <c r="Q1058" i="4"/>
  <c r="Q1059" i="4"/>
  <c r="Q1060" i="4"/>
  <c r="Q1061" i="4"/>
  <c r="Q1062" i="4"/>
  <c r="Q1064" i="4"/>
  <c r="Q1065" i="4"/>
  <c r="Q1066" i="4"/>
  <c r="Q1067" i="4"/>
  <c r="Q1068" i="4"/>
  <c r="Q1085" i="4"/>
  <c r="Q1086" i="4"/>
  <c r="Q1088" i="4"/>
  <c r="Q1089" i="4"/>
  <c r="Q1090" i="4"/>
  <c r="Q1091" i="4"/>
  <c r="Q1092" i="4"/>
  <c r="Q1094" i="4"/>
  <c r="Q1095" i="4"/>
  <c r="Q1096" i="4"/>
  <c r="Q1097" i="4"/>
  <c r="Q1098" i="4"/>
  <c r="Q1099" i="4"/>
  <c r="Q1100" i="4"/>
  <c r="Q1129" i="4"/>
  <c r="Q1131" i="4"/>
  <c r="Q1132" i="4"/>
  <c r="Q1134" i="4"/>
  <c r="Q1142" i="4"/>
  <c r="Q1144" i="4"/>
  <c r="Q1145" i="4"/>
  <c r="Q1149" i="4"/>
  <c r="Q1159" i="4"/>
  <c r="Q1161" i="4"/>
  <c r="Q1162" i="4"/>
  <c r="Q1164" i="4"/>
  <c r="Q1165" i="4"/>
  <c r="Q1172" i="4"/>
  <c r="Q1174" i="4"/>
  <c r="Q1176" i="4"/>
  <c r="Q1178" i="4"/>
  <c r="Q1200" i="4"/>
  <c r="Q1203" i="4"/>
  <c r="Q1204" i="4"/>
  <c r="Q1207" i="4"/>
  <c r="Q1209" i="4"/>
  <c r="Q1212" i="4"/>
  <c r="Q1217" i="4"/>
  <c r="Q1218" i="4"/>
  <c r="Q1229" i="4"/>
  <c r="Q1230" i="4"/>
  <c r="Q1231" i="4"/>
  <c r="Q1233" i="4"/>
  <c r="Q1236" i="4"/>
  <c r="Q1237" i="4"/>
  <c r="Q1240" i="4"/>
  <c r="Q1242" i="4"/>
  <c r="Q1245" i="4"/>
  <c r="Q1246" i="4"/>
  <c r="Q1247" i="4"/>
  <c r="Q1249" i="4"/>
  <c r="Q1252" i="4"/>
  <c r="Q1253" i="4"/>
  <c r="Q1259" i="4"/>
  <c r="Q1265" i="4"/>
  <c r="Q1266" i="4"/>
  <c r="Q1267" i="4"/>
  <c r="Q1270" i="4"/>
  <c r="Q1280" i="4"/>
  <c r="Q1281" i="4"/>
  <c r="Q1282" i="4"/>
  <c r="Q1283" i="4"/>
  <c r="Q1292" i="4"/>
  <c r="Q1293" i="4"/>
  <c r="Q1294" i="4"/>
  <c r="Q1319" i="4"/>
  <c r="Q1320" i="4"/>
  <c r="Q1321" i="4"/>
  <c r="Q1324" i="4"/>
  <c r="Q1330" i="4"/>
  <c r="Q1333" i="4"/>
  <c r="Q1337" i="4"/>
  <c r="Q1338" i="4"/>
  <c r="Q1339" i="4"/>
  <c r="Q1354" i="4"/>
  <c r="Q1369" i="4"/>
  <c r="Q1370" i="4"/>
  <c r="Q1371" i="4"/>
  <c r="Q1372" i="4"/>
  <c r="Q1373" i="4"/>
  <c r="Q1386" i="4"/>
  <c r="Q1387" i="4"/>
  <c r="Q1388" i="4"/>
  <c r="Q1389" i="4"/>
  <c r="Q1391" i="4"/>
  <c r="Q1392" i="4"/>
  <c r="Q1393" i="4"/>
  <c r="Q1398" i="4"/>
  <c r="Q1400" i="4"/>
  <c r="Q1412" i="4"/>
  <c r="Q1417" i="4"/>
  <c r="Q1418" i="4"/>
  <c r="Q1420" i="4"/>
  <c r="Q1422" i="4"/>
  <c r="Q1424" i="4"/>
  <c r="Q1426" i="4"/>
  <c r="Q1450" i="4"/>
  <c r="Q1455" i="4"/>
  <c r="Q1464" i="4"/>
  <c r="Q1465" i="4"/>
  <c r="Q1468" i="4"/>
  <c r="Q1469" i="4"/>
  <c r="Q1474" i="4"/>
  <c r="Q1475" i="4"/>
  <c r="Q1478" i="4"/>
  <c r="Q1479" i="4"/>
  <c r="Q1481" i="4"/>
  <c r="Q1484" i="4"/>
  <c r="Q1485" i="4"/>
  <c r="Q1486" i="4"/>
  <c r="Q1487" i="4"/>
  <c r="Q1488" i="4"/>
  <c r="Q1489" i="4"/>
  <c r="Q1492" i="4"/>
  <c r="Q1493" i="4"/>
  <c r="Q1494" i="4"/>
  <c r="Q1497" i="4"/>
  <c r="Q1499" i="4"/>
  <c r="Q1500" i="4"/>
  <c r="Q1502" i="4"/>
  <c r="Q1503" i="4"/>
  <c r="Q1504" i="4"/>
  <c r="Q1505" i="4"/>
  <c r="Q1508" i="4"/>
  <c r="Q1509" i="4"/>
  <c r="Q1523" i="4"/>
  <c r="Q1524" i="4"/>
  <c r="Q1525" i="4"/>
  <c r="Q1526" i="4"/>
  <c r="Q1530" i="4"/>
  <c r="Q1534" i="4"/>
  <c r="Q1535" i="4"/>
  <c r="Q1536" i="4"/>
  <c r="Q1539" i="4"/>
  <c r="Q1541" i="4"/>
  <c r="Q1545" i="4"/>
  <c r="Q1546" i="4"/>
  <c r="Q1548" i="4"/>
  <c r="Q1574" i="4"/>
  <c r="Q1595" i="4"/>
  <c r="Q1598" i="4"/>
  <c r="Q1599" i="4"/>
  <c r="Q1601" i="4"/>
  <c r="Q1603" i="4"/>
  <c r="Q1608" i="4"/>
  <c r="Q1613" i="4"/>
  <c r="Q1617" i="4"/>
  <c r="Q1618" i="4"/>
  <c r="Q1619" i="4"/>
  <c r="Q1723" i="4"/>
  <c r="Q1726" i="4"/>
  <c r="Q1728" i="4"/>
  <c r="Q1730" i="4"/>
  <c r="Q1732" i="4"/>
  <c r="Q1734" i="4"/>
  <c r="Q1736" i="4"/>
  <c r="Q1738" i="4"/>
  <c r="Q1742" i="4"/>
  <c r="Q1751" i="4"/>
  <c r="Q1753" i="4"/>
  <c r="Q1755" i="4"/>
  <c r="Q1757" i="4"/>
  <c r="Q1759" i="4"/>
  <c r="Q1761" i="4"/>
  <c r="Q1763" i="4"/>
  <c r="Q1765" i="4"/>
  <c r="Q1767" i="4"/>
  <c r="Q1769" i="4"/>
  <c r="Q1785" i="4"/>
  <c r="Q1809" i="4"/>
  <c r="Q1811" i="4"/>
  <c r="Q1813" i="4"/>
  <c r="Q1834" i="4"/>
  <c r="Q1849" i="4"/>
  <c r="Q1851" i="4"/>
  <c r="Q1856" i="4"/>
  <c r="Q1859" i="4"/>
  <c r="Q1862" i="4"/>
  <c r="Q1864" i="4"/>
  <c r="Q1867" i="4"/>
  <c r="Q1872" i="4"/>
  <c r="Q1891" i="4"/>
  <c r="Q1893" i="4"/>
  <c r="Q1899" i="4"/>
  <c r="Q1901" i="4"/>
  <c r="Q1903" i="4"/>
  <c r="Q1905" i="4"/>
  <c r="Q1917" i="4"/>
  <c r="Q1919" i="4"/>
  <c r="Q1921" i="4"/>
  <c r="Q1923" i="4"/>
  <c r="Q1925" i="4"/>
  <c r="Q1932" i="4"/>
  <c r="Q1934" i="4"/>
  <c r="Q1940" i="4"/>
  <c r="Q1948" i="4"/>
  <c r="Q1950" i="4"/>
  <c r="Q1952" i="4"/>
  <c r="Q1956" i="4"/>
  <c r="Q1958" i="4"/>
  <c r="Q1964" i="4"/>
  <c r="Q1971" i="4"/>
  <c r="Q1974" i="4"/>
  <c r="Q1977" i="4"/>
  <c r="Q1981" i="4"/>
  <c r="Q1986" i="4"/>
  <c r="Q1994" i="4"/>
  <c r="Q1997" i="4"/>
  <c r="Q2009" i="4"/>
  <c r="Q2095" i="4"/>
  <c r="Q2100" i="4"/>
  <c r="Q2118" i="4"/>
  <c r="Q2119" i="4"/>
  <c r="Q2120" i="4"/>
  <c r="Q2121" i="4"/>
  <c r="Q2122" i="4"/>
  <c r="Q2123" i="4"/>
  <c r="Q2150" i="4"/>
  <c r="Q2151" i="4"/>
  <c r="Q2152" i="4"/>
  <c r="Q2153" i="4"/>
  <c r="Q2154" i="4"/>
  <c r="Q2155" i="4"/>
  <c r="Q2156" i="4"/>
  <c r="Q2157" i="4"/>
  <c r="Q2162" i="4"/>
  <c r="Q2163" i="4"/>
  <c r="Q2164" i="4"/>
  <c r="Q2165" i="4"/>
  <c r="Q2166" i="4"/>
  <c r="Q2167" i="4"/>
  <c r="Q2168" i="4"/>
  <c r="Q2174" i="4"/>
  <c r="Q2185" i="4"/>
  <c r="Q2187" i="4"/>
  <c r="Q2197" i="4"/>
  <c r="Q2198" i="4"/>
  <c r="Q2199" i="4"/>
  <c r="Q2209" i="4"/>
  <c r="Q2210" i="4"/>
  <c r="Q2211" i="4"/>
  <c r="Q2212" i="4"/>
  <c r="Q2213" i="4"/>
  <c r="Q2214" i="4"/>
  <c r="Q2215" i="4"/>
  <c r="Q2225" i="4"/>
  <c r="Q2226" i="4"/>
  <c r="Q2227" i="4"/>
  <c r="Q2228" i="4"/>
  <c r="Q2229" i="4"/>
  <c r="Q2230" i="4"/>
  <c r="Q2231" i="4"/>
  <c r="Q2239" i="4"/>
  <c r="Q2240" i="4"/>
  <c r="Q2241" i="4"/>
  <c r="Q2242" i="4"/>
  <c r="Q2243" i="4"/>
  <c r="Q2244" i="4"/>
  <c r="Q2251" i="4"/>
  <c r="Q2252" i="4"/>
  <c r="Q2253" i="4"/>
  <c r="Q2254" i="4"/>
  <c r="Q2255" i="4"/>
  <c r="Q2256" i="4"/>
  <c r="Q2262" i="4"/>
  <c r="Q2278" i="4"/>
  <c r="Q2279" i="4"/>
  <c r="Q2280" i="4"/>
  <c r="Q2281" i="4"/>
  <c r="Q2287" i="4"/>
  <c r="Q2290" i="4"/>
  <c r="Q2291" i="4"/>
  <c r="Q2292" i="4"/>
  <c r="Q251" i="4"/>
  <c r="Q254" i="4"/>
  <c r="Q256" i="4"/>
  <c r="Q258" i="4"/>
  <c r="Q260" i="4"/>
  <c r="Q262" i="4"/>
  <c r="Q694" i="4"/>
  <c r="Q697" i="4"/>
  <c r="Q700" i="4"/>
  <c r="Q707" i="4"/>
  <c r="Q849" i="4"/>
  <c r="Q920" i="4"/>
  <c r="Q922" i="4"/>
  <c r="Q924" i="4"/>
  <c r="Q926" i="4"/>
  <c r="Q1115" i="4"/>
  <c r="Q1118" i="4"/>
  <c r="Q1376" i="4"/>
  <c r="Q1378" i="4"/>
  <c r="Q1401" i="4"/>
  <c r="Q1404" i="4"/>
  <c r="Q2047" i="4"/>
  <c r="Q2049" i="4"/>
  <c r="Q2053" i="4"/>
  <c r="Q2055" i="4"/>
  <c r="Q2059" i="4"/>
  <c r="Q2061" i="4"/>
  <c r="Q2083" i="4"/>
  <c r="Q2084" i="4"/>
  <c r="Q868" i="4"/>
  <c r="Q314" i="4"/>
  <c r="Q5" i="4"/>
  <c r="Q684" i="4"/>
  <c r="Q971" i="4"/>
  <c r="Q1043" i="4"/>
  <c r="Q1185" i="4"/>
  <c r="Q1316" i="4"/>
  <c r="Q1362" i="4"/>
  <c r="Q1518" i="4"/>
  <c r="Q1825" i="4"/>
  <c r="Q2029" i="4"/>
  <c r="Q2178" i="4"/>
  <c r="Q1138" i="4"/>
  <c r="Q1139" i="4"/>
  <c r="Q248" i="4"/>
  <c r="Q250" i="4"/>
  <c r="Q713" i="4"/>
  <c r="Q714" i="4"/>
  <c r="Q889" i="4"/>
  <c r="Q1801" i="4"/>
  <c r="Q2071" i="4"/>
  <c r="Q2072" i="4"/>
  <c r="Q2073" i="4"/>
  <c r="Q247" i="4"/>
  <c r="Q249" i="4"/>
  <c r="Q711" i="4"/>
  <c r="Q712" i="4"/>
  <c r="Q888" i="4"/>
  <c r="Q890" i="4"/>
  <c r="Q892" i="4"/>
  <c r="Q1124" i="4"/>
  <c r="Q1125" i="4"/>
  <c r="Q1241" i="4"/>
  <c r="Q1379" i="4"/>
  <c r="Q1380" i="4"/>
  <c r="Q1381" i="4"/>
  <c r="Q1382" i="4"/>
  <c r="Q1405" i="4"/>
  <c r="Q1406" i="4"/>
  <c r="Q1407" i="4"/>
  <c r="Q1408" i="4"/>
  <c r="Q1803" i="4"/>
  <c r="Q2068" i="4"/>
  <c r="Q2070" i="4"/>
  <c r="Q2087" i="4"/>
  <c r="Q12" i="4"/>
  <c r="Q170" i="4"/>
  <c r="Q171" i="4"/>
  <c r="Q670" i="4"/>
  <c r="Q872" i="4"/>
  <c r="Q967" i="4"/>
  <c r="Q1181" i="4"/>
  <c r="Q1197" i="4"/>
  <c r="Q1248" i="4"/>
  <c r="Q1311" i="4"/>
  <c r="Q1364" i="4"/>
  <c r="Q1514" i="4"/>
  <c r="Q1610" i="4"/>
  <c r="Q2037" i="4"/>
  <c r="Q2140" i="4"/>
  <c r="Q13" i="4"/>
  <c r="Q136" i="4"/>
  <c r="Q169" i="4"/>
  <c r="Q245" i="4"/>
  <c r="Q292" i="4"/>
  <c r="Q915" i="4"/>
  <c r="Q1114" i="4"/>
  <c r="Q1128" i="4"/>
  <c r="Q1150" i="4"/>
  <c r="Q1156" i="4"/>
  <c r="Q1277" i="4"/>
  <c r="Q1515" i="4"/>
  <c r="Q1770" i="4"/>
  <c r="Q1772" i="4"/>
  <c r="Q1782" i="4"/>
  <c r="Q1788" i="4"/>
  <c r="Q1828" i="4"/>
  <c r="Q1838" i="4"/>
  <c r="Q2135" i="4"/>
  <c r="Q266" i="4"/>
  <c r="Q267" i="4"/>
  <c r="Q268" i="4"/>
  <c r="Q269" i="4"/>
  <c r="Q695" i="4"/>
  <c r="Q698" i="4"/>
  <c r="Q699" i="4"/>
  <c r="Q708" i="4"/>
  <c r="Q1117" i="4"/>
  <c r="Q1120" i="4"/>
  <c r="Q1122" i="4"/>
  <c r="Q2048" i="4"/>
  <c r="Q2054" i="4"/>
  <c r="Q2056" i="4"/>
  <c r="Q2060" i="4"/>
  <c r="Q2062" i="4"/>
  <c r="Q2066" i="4"/>
  <c r="Q2085" i="4"/>
  <c r="Q2086" i="4"/>
  <c r="Q838" i="4"/>
  <c r="Q844" i="4"/>
  <c r="Q327" i="4"/>
  <c r="Q328" i="4"/>
  <c r="Q330" i="4"/>
  <c r="Q575" i="4"/>
  <c r="Q582" i="4"/>
  <c r="Q583" i="4"/>
  <c r="Q587" i="4"/>
  <c r="Q898" i="4"/>
  <c r="Q899" i="4"/>
  <c r="Q876" i="4"/>
  <c r="Q877" i="4"/>
  <c r="Q878" i="4"/>
  <c r="Q879" i="4"/>
  <c r="Q882" i="4"/>
  <c r="Q883" i="4"/>
  <c r="Q891" i="4"/>
  <c r="Q944" i="4"/>
  <c r="Q961" i="4"/>
  <c r="Q962" i="4"/>
  <c r="Q963" i="4"/>
  <c r="Q16" i="4"/>
  <c r="Q27" i="4"/>
  <c r="Q28" i="4"/>
  <c r="Q30" i="4"/>
  <c r="Q119" i="4"/>
  <c r="Q120" i="4"/>
  <c r="Q121" i="4"/>
  <c r="Q122" i="4"/>
  <c r="Q124" i="4"/>
  <c r="Q126" i="4"/>
  <c r="Q127" i="4"/>
  <c r="Q130" i="4"/>
  <c r="Q132" i="4"/>
  <c r="Q133" i="4"/>
  <c r="Q484" i="4"/>
  <c r="Q485" i="4"/>
  <c r="Q486" i="4"/>
  <c r="Q522" i="4"/>
  <c r="Q524" i="4"/>
  <c r="Q526" i="4"/>
  <c r="Q905" i="4"/>
  <c r="Q906" i="4"/>
  <c r="Q945" i="4"/>
  <c r="Q946" i="4"/>
  <c r="Q952" i="4"/>
  <c r="Q1182" i="4"/>
  <c r="Q1186" i="4"/>
  <c r="Q1187" i="4"/>
  <c r="Q1190" i="4"/>
  <c r="Q1213" i="4"/>
  <c r="Q1216" i="4"/>
  <c r="Q1276" i="4"/>
  <c r="Q1301" i="4"/>
  <c r="Q1302" i="4"/>
  <c r="Q1305" i="4"/>
  <c r="Q1345" i="4"/>
  <c r="Q1347" i="4"/>
  <c r="Q1348" i="4"/>
  <c r="Q1352" i="4"/>
  <c r="Q1353" i="4"/>
  <c r="Q1430" i="4"/>
  <c r="Q1432" i="4"/>
  <c r="Q1433" i="4"/>
  <c r="Q1434" i="4"/>
  <c r="Q1435" i="4"/>
  <c r="Q1436" i="4"/>
  <c r="Q1440" i="4"/>
  <c r="Q1441" i="4"/>
  <c r="Q1462" i="4"/>
  <c r="Q1467" i="4"/>
  <c r="Q1471" i="4"/>
  <c r="Q1472" i="4"/>
  <c r="Q1490" i="4"/>
  <c r="Q1511" i="4"/>
  <c r="Q1552" i="4"/>
  <c r="Q1553" i="4"/>
  <c r="Q1554" i="4"/>
  <c r="Q1555" i="4"/>
  <c r="Q1556" i="4"/>
  <c r="Q1558" i="4"/>
  <c r="Q1559" i="4"/>
  <c r="Q1560" i="4"/>
  <c r="Q1561" i="4"/>
  <c r="Q1562" i="4"/>
  <c r="Q1563" i="4"/>
  <c r="Q1565" i="4"/>
  <c r="Q1630" i="4"/>
  <c r="Q1631" i="4"/>
  <c r="Q1640" i="4"/>
  <c r="Q1657" i="4"/>
  <c r="Q1690" i="4"/>
  <c r="Q1697" i="4"/>
  <c r="Q1698" i="4"/>
  <c r="Q1699" i="4"/>
  <c r="Q383" i="4"/>
  <c r="Q846" i="4"/>
  <c r="Q970" i="4"/>
  <c r="Q990" i="4"/>
  <c r="Q991" i="4"/>
  <c r="Q1009" i="4"/>
  <c r="Q1010" i="4"/>
  <c r="Q1011" i="4"/>
  <c r="Q23" i="4"/>
  <c r="Q48" i="4"/>
  <c r="Q59" i="4"/>
  <c r="Q60" i="4"/>
  <c r="Q70" i="4"/>
  <c r="Q74" i="4"/>
  <c r="Q80" i="4"/>
  <c r="Q83" i="4"/>
  <c r="Q85" i="4"/>
  <c r="Q98" i="4"/>
  <c r="Q99" i="4"/>
  <c r="Q100" i="4"/>
  <c r="Q101" i="4"/>
  <c r="Q102" i="4"/>
  <c r="Q107" i="4"/>
  <c r="Q112" i="4"/>
  <c r="Q113" i="4"/>
  <c r="Q128" i="4"/>
  <c r="Q142" i="4"/>
  <c r="Q149" i="4"/>
  <c r="Q151" i="4"/>
  <c r="Q152" i="4"/>
  <c r="Q157" i="4"/>
  <c r="Q189" i="4"/>
  <c r="Q193" i="4"/>
  <c r="Q204" i="4"/>
  <c r="Q205" i="4"/>
  <c r="Q206" i="4"/>
  <c r="Q208" i="4"/>
  <c r="Q214" i="4"/>
  <c r="Q217" i="4"/>
  <c r="Q218" i="4"/>
  <c r="Q233" i="4"/>
  <c r="Q238" i="4"/>
  <c r="Q277" i="4"/>
  <c r="Q285" i="4"/>
  <c r="Q293" i="4"/>
  <c r="Q322" i="4"/>
  <c r="Q325" i="4"/>
  <c r="Q326" i="4"/>
  <c r="Q334" i="4"/>
  <c r="Q336" i="4"/>
  <c r="Q337" i="4"/>
  <c r="Q338" i="4"/>
  <c r="Q339" i="4"/>
  <c r="Q340" i="4"/>
  <c r="Q354" i="4"/>
  <c r="Q355" i="4"/>
  <c r="Q384" i="4"/>
  <c r="Q385" i="4"/>
  <c r="Q386" i="4"/>
  <c r="Q405" i="4"/>
  <c r="Q406" i="4"/>
  <c r="Q418" i="4"/>
  <c r="Q421" i="4"/>
  <c r="Q424" i="4"/>
  <c r="Q471" i="4"/>
  <c r="Q472" i="4"/>
  <c r="Q478" i="4"/>
  <c r="Q488" i="4"/>
  <c r="Q508" i="4"/>
  <c r="Q509" i="4"/>
  <c r="Q510" i="4"/>
  <c r="Q514" i="4"/>
  <c r="Q515" i="4"/>
  <c r="Q521" i="4"/>
  <c r="Q523" i="4"/>
  <c r="Q525" i="4"/>
  <c r="Q529" i="4"/>
  <c r="Q544" i="4"/>
  <c r="Q545" i="4"/>
  <c r="Q547" i="4"/>
  <c r="Q548" i="4"/>
  <c r="Q549" i="4"/>
  <c r="Q556" i="4"/>
  <c r="Q565" i="4"/>
  <c r="Q576" i="4"/>
  <c r="Q602" i="4"/>
  <c r="Q621" i="4"/>
  <c r="Q640" i="4"/>
  <c r="Q654" i="4"/>
  <c r="Q655" i="4"/>
  <c r="Q656" i="4"/>
  <c r="Q696" i="4"/>
  <c r="Q706" i="4"/>
  <c r="Q709" i="4"/>
  <c r="Q710" i="4"/>
  <c r="Q731" i="4"/>
  <c r="Q732" i="4"/>
  <c r="Q733" i="4"/>
  <c r="Q734" i="4"/>
  <c r="Q735" i="4"/>
  <c r="Q736" i="4"/>
  <c r="Q737" i="4"/>
  <c r="Q738" i="4"/>
  <c r="Q739" i="4"/>
  <c r="Q740" i="4"/>
  <c r="Q742" i="4"/>
  <c r="Q743" i="4"/>
  <c r="Q744" i="4"/>
  <c r="Q745" i="4"/>
  <c r="Q746" i="4"/>
  <c r="Q747" i="4"/>
  <c r="Q748" i="4"/>
  <c r="Q749" i="4"/>
  <c r="Q750" i="4"/>
  <c r="Q751" i="4"/>
  <c r="Q776" i="4"/>
  <c r="Q811" i="4"/>
  <c r="Q871" i="4"/>
  <c r="Q881" i="4"/>
  <c r="Q907" i="4"/>
  <c r="Q979" i="4"/>
  <c r="Q989" i="4"/>
  <c r="Q1008" i="4"/>
  <c r="Q1063" i="4"/>
  <c r="Q1121" i="4"/>
  <c r="Q1135" i="4"/>
  <c r="Q1140" i="4"/>
  <c r="Q1141" i="4"/>
  <c r="Q1153" i="4"/>
  <c r="Q1154" i="4"/>
  <c r="Q1166" i="4"/>
  <c r="Q1167" i="4"/>
  <c r="Q1168" i="4"/>
  <c r="Q1169" i="4"/>
  <c r="Q1192" i="4"/>
  <c r="Q1196" i="4"/>
  <c r="Q1208" i="4"/>
  <c r="Q1219" i="4"/>
  <c r="Q1226" i="4"/>
  <c r="Q1290" i="4"/>
  <c r="Q1312" i="4"/>
  <c r="Q1318" i="4"/>
  <c r="Q1329" i="4"/>
  <c r="Q1331" i="4"/>
  <c r="Q1343" i="4"/>
  <c r="Q1346" i="4"/>
  <c r="Q1363" i="4"/>
  <c r="Q1377" i="4"/>
  <c r="Q1403" i="4"/>
  <c r="Q1421" i="4"/>
  <c r="Q1437" i="4"/>
  <c r="Q1439" i="4"/>
  <c r="Q1447" i="4"/>
  <c r="Q1456" i="4"/>
  <c r="Q1457" i="4"/>
  <c r="Q1458" i="4"/>
  <c r="Q1460" i="4"/>
  <c r="Q1477" i="4"/>
  <c r="Q1480" i="4"/>
  <c r="Q1527" i="4"/>
  <c r="Q1528" i="4"/>
  <c r="Q1529" i="4"/>
  <c r="Q1531" i="4"/>
  <c r="Q1537" i="4"/>
  <c r="Q1538" i="4"/>
  <c r="Q1540" i="4"/>
  <c r="Q1547" i="4"/>
  <c r="Q1568" i="4"/>
  <c r="Q1592" i="4"/>
  <c r="Q1594" i="4"/>
  <c r="Q1614" i="4"/>
  <c r="Q1623" i="4"/>
  <c r="Q1724" i="4"/>
  <c r="Q1743" i="4"/>
  <c r="Q1744" i="4"/>
  <c r="Q1745" i="4"/>
  <c r="Q1746" i="4"/>
  <c r="Q1747" i="4"/>
  <c r="Q1748" i="4"/>
  <c r="Q1775" i="4"/>
  <c r="Q1781" i="4"/>
  <c r="Q1796" i="4"/>
  <c r="Q1798" i="4"/>
  <c r="Q1805" i="4"/>
  <c r="Q1807" i="4"/>
  <c r="Q1835" i="4"/>
  <c r="Q1839" i="4"/>
  <c r="Q1840" i="4"/>
  <c r="Q1873" i="4"/>
  <c r="Q1906" i="4"/>
  <c r="Q1914" i="4"/>
  <c r="Q1937" i="4"/>
  <c r="Q1938" i="4"/>
  <c r="Q1942" i="4"/>
  <c r="Q1943" i="4"/>
  <c r="Q1944" i="4"/>
  <c r="Q1960" i="4"/>
  <c r="Q1961" i="4"/>
  <c r="Q1998" i="4"/>
  <c r="Q1999" i="4"/>
  <c r="Q2000" i="4"/>
  <c r="Q2001" i="4"/>
  <c r="Q2012" i="4"/>
  <c r="Q2013" i="4"/>
  <c r="Q2014" i="4"/>
  <c r="Q2015" i="4"/>
  <c r="Q2016" i="4"/>
  <c r="Q2017" i="4"/>
  <c r="Q2018" i="4"/>
  <c r="Q2031" i="4"/>
  <c r="Q2051" i="4"/>
  <c r="Q2052" i="4"/>
  <c r="Q2065" i="4"/>
  <c r="Q2078" i="4"/>
  <c r="Q2096" i="4"/>
  <c r="Q2097" i="4"/>
  <c r="Q2098" i="4"/>
  <c r="Q2099" i="4"/>
  <c r="Q2104" i="4"/>
  <c r="Q2105" i="4"/>
  <c r="Q2128" i="4"/>
  <c r="Q2134" i="4"/>
  <c r="Q2158" i="4"/>
  <c r="Q2169" i="4"/>
  <c r="Q2170" i="4"/>
  <c r="Q2179" i="4"/>
  <c r="Q2180" i="4"/>
  <c r="Q2182" i="4"/>
  <c r="Q2183" i="4"/>
  <c r="Q2184" i="4"/>
  <c r="Q2186" i="4"/>
  <c r="Q2188" i="4"/>
  <c r="Q2189" i="4"/>
  <c r="Q2190" i="4"/>
  <c r="Q2216" i="4"/>
  <c r="Q2232" i="4"/>
  <c r="Q2237" i="4"/>
  <c r="Q2238" i="4"/>
  <c r="Q2257" i="4"/>
  <c r="Q2258" i="4"/>
  <c r="Q2265" i="4"/>
  <c r="Q2276" i="4"/>
  <c r="Q2277" i="4"/>
  <c r="Q2289" i="4"/>
  <c r="Q867" i="4"/>
  <c r="Q1622" i="4"/>
  <c r="K63" i="3"/>
  <c r="M6" i="3"/>
  <c r="Q32" i="4"/>
  <c r="Q93" i="4"/>
  <c r="Q118" i="4"/>
  <c r="Q138" i="4"/>
  <c r="Q175" i="4"/>
  <c r="Q270" i="4"/>
  <c r="Q276" i="4"/>
  <c r="Q306" i="4"/>
  <c r="Q308" i="4"/>
  <c r="Q378" i="4"/>
  <c r="Q410" i="4"/>
  <c r="Q466" i="4"/>
  <c r="Q487" i="4"/>
  <c r="Q505" i="4"/>
  <c r="Q671" i="4"/>
  <c r="Q685" i="4"/>
  <c r="Q859" i="4"/>
  <c r="Q880" i="4"/>
  <c r="Q968" i="4"/>
  <c r="Q1031" i="4"/>
  <c r="Q1032" i="4"/>
  <c r="Q1198" i="4"/>
  <c r="Q1271" i="4"/>
  <c r="Q1314" i="4"/>
  <c r="Q1351" i="4"/>
  <c r="Q1356" i="4"/>
  <c r="Q1428" i="4"/>
  <c r="Q1517" i="4"/>
  <c r="Q1590" i="4"/>
  <c r="Q1881" i="4"/>
  <c r="Q2033" i="4"/>
  <c r="Q2142" i="4"/>
  <c r="Q2219" i="4"/>
  <c r="Q2236" i="4"/>
  <c r="Q2263" i="4"/>
  <c r="Q2270" i="4"/>
  <c r="Q2271" i="4"/>
  <c r="Q2282" i="4"/>
  <c r="Q2293" i="4"/>
  <c r="M58" i="3"/>
  <c r="N58" i="3" s="1"/>
  <c r="L58" i="3"/>
  <c r="K8" i="10"/>
  <c r="L6" i="10"/>
  <c r="L6" i="11"/>
  <c r="L10" i="11"/>
  <c r="L14" i="11"/>
  <c r="L18" i="11"/>
  <c r="L22" i="11"/>
  <c r="L23" i="11"/>
  <c r="M23" i="11" s="1"/>
  <c r="L27" i="11"/>
  <c r="L28" i="11"/>
  <c r="M28" i="11" s="1"/>
  <c r="L32" i="11"/>
  <c r="L36" i="11"/>
  <c r="L40" i="11"/>
  <c r="L44" i="11"/>
  <c r="L48" i="11"/>
  <c r="L52" i="11"/>
  <c r="L56" i="11"/>
  <c r="L60" i="11"/>
  <c r="L64" i="11"/>
  <c r="L68" i="11"/>
  <c r="L72" i="11"/>
  <c r="M59" i="3"/>
  <c r="N59" i="3" s="1"/>
  <c r="L59" i="3"/>
  <c r="M61" i="3"/>
  <c r="N61" i="3" s="1"/>
  <c r="L61" i="3"/>
  <c r="K27" i="12"/>
  <c r="L6" i="12"/>
  <c r="K36" i="12"/>
  <c r="L36" i="12" s="1"/>
  <c r="L30" i="12"/>
  <c r="K45" i="12"/>
  <c r="L45" i="12" s="1"/>
  <c r="L39" i="12"/>
  <c r="M62" i="3"/>
  <c r="N62" i="3" s="1"/>
  <c r="L62" i="3"/>
  <c r="M53" i="3"/>
  <c r="N53" i="3" s="1"/>
  <c r="L53" i="3"/>
  <c r="M52" i="3"/>
  <c r="N52" i="3" s="1"/>
  <c r="L52" i="3"/>
  <c r="M55" i="3"/>
  <c r="N55" i="3" s="1"/>
  <c r="L55" i="3"/>
  <c r="M57" i="3"/>
  <c r="N57" i="3" s="1"/>
  <c r="L57" i="3"/>
  <c r="L63" i="3" l="1"/>
  <c r="K47" i="12"/>
  <c r="L27" i="12"/>
  <c r="L73" i="11"/>
  <c r="M73" i="11" s="1"/>
  <c r="M72" i="11"/>
  <c r="L69" i="11"/>
  <c r="M69" i="11" s="1"/>
  <c r="M68" i="11"/>
  <c r="L65" i="11"/>
  <c r="M65" i="11" s="1"/>
  <c r="M64" i="11"/>
  <c r="L61" i="11"/>
  <c r="M61" i="11" s="1"/>
  <c r="M60" i="11"/>
  <c r="L57" i="11"/>
  <c r="M57" i="11" s="1"/>
  <c r="M56" i="11"/>
  <c r="L53" i="11"/>
  <c r="M53" i="11" s="1"/>
  <c r="M52" i="11"/>
  <c r="L49" i="11"/>
  <c r="M49" i="11" s="1"/>
  <c r="M48" i="11"/>
  <c r="L45" i="11"/>
  <c r="M45" i="11" s="1"/>
  <c r="M44" i="11"/>
  <c r="L41" i="11"/>
  <c r="M41" i="11" s="1"/>
  <c r="M40" i="11"/>
  <c r="L37" i="11"/>
  <c r="M37" i="11" s="1"/>
  <c r="M36" i="11"/>
  <c r="L33" i="11"/>
  <c r="M33" i="11" s="1"/>
  <c r="M32" i="11"/>
  <c r="L29" i="11"/>
  <c r="M29" i="11" s="1"/>
  <c r="M27" i="11"/>
  <c r="L24" i="11"/>
  <c r="M24" i="11" s="1"/>
  <c r="M22" i="11"/>
  <c r="L19" i="11"/>
  <c r="M19" i="11" s="1"/>
  <c r="M18" i="11"/>
  <c r="L15" i="11"/>
  <c r="M15" i="11" s="1"/>
  <c r="M14" i="11"/>
  <c r="L11" i="11"/>
  <c r="M11" i="11" s="1"/>
  <c r="M10" i="11"/>
  <c r="L7" i="11"/>
  <c r="M7" i="11" s="1"/>
  <c r="M6" i="11"/>
  <c r="K10" i="10"/>
  <c r="L8" i="10"/>
  <c r="T2293" i="4"/>
  <c r="U2293" i="4" s="1"/>
  <c r="S2293" i="4"/>
  <c r="R2293" i="4"/>
  <c r="T2282" i="4"/>
  <c r="U2282" i="4" s="1"/>
  <c r="S2282" i="4"/>
  <c r="R2282" i="4"/>
  <c r="T2271" i="4"/>
  <c r="U2271" i="4" s="1"/>
  <c r="S2271" i="4"/>
  <c r="R2271" i="4"/>
  <c r="T2270" i="4"/>
  <c r="U2270" i="4" s="1"/>
  <c r="S2270" i="4"/>
  <c r="R2270" i="4"/>
  <c r="T2263" i="4"/>
  <c r="U2263" i="4" s="1"/>
  <c r="S2263" i="4"/>
  <c r="R2263" i="4"/>
  <c r="T2236" i="4"/>
  <c r="U2236" i="4" s="1"/>
  <c r="S2236" i="4"/>
  <c r="R2236" i="4"/>
  <c r="T2219" i="4"/>
  <c r="U2219" i="4" s="1"/>
  <c r="S2219" i="4"/>
  <c r="R2219" i="4"/>
  <c r="T2142" i="4"/>
  <c r="U2142" i="4" s="1"/>
  <c r="S2142" i="4"/>
  <c r="R2142" i="4"/>
  <c r="T2033" i="4"/>
  <c r="U2033" i="4" s="1"/>
  <c r="S2033" i="4"/>
  <c r="R2033" i="4"/>
  <c r="T1881" i="4"/>
  <c r="U1881" i="4" s="1"/>
  <c r="S1881" i="4"/>
  <c r="R1881" i="4"/>
  <c r="T1590" i="4"/>
  <c r="U1590" i="4" s="1"/>
  <c r="S1590" i="4"/>
  <c r="R1590" i="4"/>
  <c r="T1517" i="4"/>
  <c r="U1517" i="4" s="1"/>
  <c r="S1517" i="4"/>
  <c r="R1517" i="4"/>
  <c r="T1428" i="4"/>
  <c r="U1428" i="4" s="1"/>
  <c r="S1428" i="4"/>
  <c r="R1428" i="4"/>
  <c r="T1356" i="4"/>
  <c r="U1356" i="4" s="1"/>
  <c r="S1356" i="4"/>
  <c r="R1356" i="4"/>
  <c r="T1351" i="4"/>
  <c r="U1351" i="4" s="1"/>
  <c r="S1351" i="4"/>
  <c r="R1351" i="4"/>
  <c r="T1314" i="4"/>
  <c r="U1314" i="4" s="1"/>
  <c r="S1314" i="4"/>
  <c r="R1314" i="4"/>
  <c r="T1271" i="4"/>
  <c r="U1271" i="4" s="1"/>
  <c r="S1271" i="4"/>
  <c r="R1271" i="4"/>
  <c r="T1198" i="4"/>
  <c r="U1198" i="4" s="1"/>
  <c r="S1198" i="4"/>
  <c r="R1198" i="4"/>
  <c r="T1032" i="4"/>
  <c r="U1032" i="4" s="1"/>
  <c r="S1032" i="4"/>
  <c r="R1032" i="4"/>
  <c r="T1031" i="4"/>
  <c r="U1031" i="4" s="1"/>
  <c r="S1031" i="4"/>
  <c r="R1031" i="4"/>
  <c r="T968" i="4"/>
  <c r="U968" i="4" s="1"/>
  <c r="S968" i="4"/>
  <c r="R968" i="4"/>
  <c r="T880" i="4"/>
  <c r="U880" i="4" s="1"/>
  <c r="S880" i="4"/>
  <c r="R880" i="4"/>
  <c r="T859" i="4"/>
  <c r="U859" i="4" s="1"/>
  <c r="S859" i="4"/>
  <c r="R859" i="4"/>
  <c r="T685" i="4"/>
  <c r="U685" i="4" s="1"/>
  <c r="S685" i="4"/>
  <c r="R685" i="4"/>
  <c r="T671" i="4"/>
  <c r="U671" i="4" s="1"/>
  <c r="S671" i="4"/>
  <c r="R671" i="4"/>
  <c r="T505" i="4"/>
  <c r="U505" i="4" s="1"/>
  <c r="S505" i="4"/>
  <c r="R505" i="4"/>
  <c r="T487" i="4"/>
  <c r="U487" i="4" s="1"/>
  <c r="S487" i="4"/>
  <c r="R487" i="4"/>
  <c r="T466" i="4"/>
  <c r="U466" i="4" s="1"/>
  <c r="S466" i="4"/>
  <c r="R466" i="4"/>
  <c r="T410" i="4"/>
  <c r="U410" i="4" s="1"/>
  <c r="S410" i="4"/>
  <c r="R410" i="4"/>
  <c r="T378" i="4"/>
  <c r="U378" i="4" s="1"/>
  <c r="S378" i="4"/>
  <c r="R378" i="4"/>
  <c r="T308" i="4"/>
  <c r="U308" i="4" s="1"/>
  <c r="S308" i="4"/>
  <c r="R308" i="4"/>
  <c r="T306" i="4"/>
  <c r="U306" i="4" s="1"/>
  <c r="S306" i="4"/>
  <c r="R306" i="4"/>
  <c r="T276" i="4"/>
  <c r="U276" i="4" s="1"/>
  <c r="S276" i="4"/>
  <c r="R276" i="4"/>
  <c r="T270" i="4"/>
  <c r="U270" i="4" s="1"/>
  <c r="S270" i="4"/>
  <c r="R270" i="4"/>
  <c r="T175" i="4"/>
  <c r="U175" i="4" s="1"/>
  <c r="S175" i="4"/>
  <c r="R175" i="4"/>
  <c r="T138" i="4"/>
  <c r="U138" i="4" s="1"/>
  <c r="S138" i="4"/>
  <c r="R138" i="4"/>
  <c r="Q288" i="4"/>
  <c r="T118" i="4"/>
  <c r="S118" i="4"/>
  <c r="S288" i="4" s="1"/>
  <c r="R118" i="4"/>
  <c r="R288" i="4" s="1"/>
  <c r="T93" i="4"/>
  <c r="U93" i="4" s="1"/>
  <c r="S93" i="4"/>
  <c r="R93" i="4"/>
  <c r="T32" i="4"/>
  <c r="U32" i="4" s="1"/>
  <c r="S32" i="4"/>
  <c r="R32" i="4"/>
  <c r="M63" i="3"/>
  <c r="N6" i="3"/>
  <c r="N63" i="3" s="1"/>
  <c r="Q1720" i="4"/>
  <c r="T1622" i="4"/>
  <c r="S1622" i="4"/>
  <c r="S1720" i="4" s="1"/>
  <c r="R1622" i="4"/>
  <c r="R1720" i="4" s="1"/>
  <c r="T867" i="4"/>
  <c r="U867" i="4" s="1"/>
  <c r="S867" i="4"/>
  <c r="R867" i="4"/>
  <c r="T2289" i="4"/>
  <c r="U2289" i="4" s="1"/>
  <c r="S2289" i="4"/>
  <c r="R2289" i="4"/>
  <c r="T2277" i="4"/>
  <c r="U2277" i="4" s="1"/>
  <c r="S2277" i="4"/>
  <c r="R2277" i="4"/>
  <c r="T2276" i="4"/>
  <c r="U2276" i="4" s="1"/>
  <c r="S2276" i="4"/>
  <c r="R2276" i="4"/>
  <c r="T2265" i="4"/>
  <c r="U2265" i="4" s="1"/>
  <c r="S2265" i="4"/>
  <c r="R2265" i="4"/>
  <c r="T2258" i="4"/>
  <c r="U2258" i="4" s="1"/>
  <c r="S2258" i="4"/>
  <c r="R2258" i="4"/>
  <c r="T2257" i="4"/>
  <c r="U2257" i="4" s="1"/>
  <c r="S2257" i="4"/>
  <c r="R2257" i="4"/>
  <c r="T2238" i="4"/>
  <c r="U2238" i="4" s="1"/>
  <c r="S2238" i="4"/>
  <c r="R2238" i="4"/>
  <c r="T2237" i="4"/>
  <c r="U2237" i="4" s="1"/>
  <c r="S2237" i="4"/>
  <c r="R2237" i="4"/>
  <c r="T2232" i="4"/>
  <c r="U2232" i="4" s="1"/>
  <c r="S2232" i="4"/>
  <c r="R2232" i="4"/>
  <c r="T2216" i="4"/>
  <c r="U2216" i="4" s="1"/>
  <c r="S2216" i="4"/>
  <c r="R2216" i="4"/>
  <c r="T2190" i="4"/>
  <c r="U2190" i="4" s="1"/>
  <c r="S2190" i="4"/>
  <c r="R2190" i="4"/>
  <c r="T2189" i="4"/>
  <c r="U2189" i="4" s="1"/>
  <c r="S2189" i="4"/>
  <c r="R2189" i="4"/>
  <c r="T2188" i="4"/>
  <c r="U2188" i="4" s="1"/>
  <c r="S2188" i="4"/>
  <c r="R2188" i="4"/>
  <c r="T2186" i="4"/>
  <c r="U2186" i="4" s="1"/>
  <c r="S2186" i="4"/>
  <c r="R2186" i="4"/>
  <c r="T2184" i="4"/>
  <c r="U2184" i="4" s="1"/>
  <c r="S2184" i="4"/>
  <c r="R2184" i="4"/>
  <c r="T2183" i="4"/>
  <c r="U2183" i="4" s="1"/>
  <c r="S2183" i="4"/>
  <c r="R2183" i="4"/>
  <c r="T2182" i="4"/>
  <c r="U2182" i="4" s="1"/>
  <c r="S2182" i="4"/>
  <c r="R2182" i="4"/>
  <c r="T2180" i="4"/>
  <c r="U2180" i="4" s="1"/>
  <c r="S2180" i="4"/>
  <c r="R2180" i="4"/>
  <c r="T2179" i="4"/>
  <c r="U2179" i="4" s="1"/>
  <c r="S2179" i="4"/>
  <c r="R2179" i="4"/>
  <c r="T2170" i="4"/>
  <c r="U2170" i="4" s="1"/>
  <c r="S2170" i="4"/>
  <c r="R2170" i="4"/>
  <c r="T2169" i="4"/>
  <c r="U2169" i="4" s="1"/>
  <c r="S2169" i="4"/>
  <c r="R2169" i="4"/>
  <c r="T2158" i="4"/>
  <c r="U2158" i="4" s="1"/>
  <c r="S2158" i="4"/>
  <c r="R2158" i="4"/>
  <c r="T2134" i="4"/>
  <c r="U2134" i="4" s="1"/>
  <c r="S2134" i="4"/>
  <c r="R2134" i="4"/>
  <c r="T2128" i="4"/>
  <c r="U2128" i="4" s="1"/>
  <c r="S2128" i="4"/>
  <c r="R2128" i="4"/>
  <c r="T2105" i="4"/>
  <c r="U2105" i="4" s="1"/>
  <c r="S2105" i="4"/>
  <c r="R2105" i="4"/>
  <c r="T2104" i="4"/>
  <c r="U2104" i="4" s="1"/>
  <c r="S2104" i="4"/>
  <c r="R2104" i="4"/>
  <c r="T2099" i="4"/>
  <c r="U2099" i="4" s="1"/>
  <c r="S2099" i="4"/>
  <c r="R2099" i="4"/>
  <c r="T2098" i="4"/>
  <c r="U2098" i="4" s="1"/>
  <c r="S2098" i="4"/>
  <c r="R2098" i="4"/>
  <c r="T2097" i="4"/>
  <c r="U2097" i="4" s="1"/>
  <c r="S2097" i="4"/>
  <c r="R2097" i="4"/>
  <c r="T2096" i="4"/>
  <c r="U2096" i="4" s="1"/>
  <c r="S2096" i="4"/>
  <c r="R2096" i="4"/>
  <c r="T2078" i="4"/>
  <c r="U2078" i="4" s="1"/>
  <c r="S2078" i="4"/>
  <c r="R2078" i="4"/>
  <c r="T2065" i="4"/>
  <c r="U2065" i="4" s="1"/>
  <c r="S2065" i="4"/>
  <c r="R2065" i="4"/>
  <c r="T2052" i="4"/>
  <c r="U2052" i="4" s="1"/>
  <c r="S2052" i="4"/>
  <c r="R2052" i="4"/>
  <c r="T2051" i="4"/>
  <c r="U2051" i="4" s="1"/>
  <c r="S2051" i="4"/>
  <c r="R2051" i="4"/>
  <c r="T2031" i="4"/>
  <c r="U2031" i="4" s="1"/>
  <c r="S2031" i="4"/>
  <c r="R2031" i="4"/>
  <c r="T2018" i="4"/>
  <c r="U2018" i="4" s="1"/>
  <c r="S2018" i="4"/>
  <c r="R2018" i="4"/>
  <c r="T2017" i="4"/>
  <c r="U2017" i="4" s="1"/>
  <c r="S2017" i="4"/>
  <c r="R2017" i="4"/>
  <c r="T2016" i="4"/>
  <c r="U2016" i="4" s="1"/>
  <c r="S2016" i="4"/>
  <c r="R2016" i="4"/>
  <c r="T2015" i="4"/>
  <c r="U2015" i="4" s="1"/>
  <c r="S2015" i="4"/>
  <c r="R2015" i="4"/>
  <c r="T2014" i="4"/>
  <c r="U2014" i="4" s="1"/>
  <c r="S2014" i="4"/>
  <c r="R2014" i="4"/>
  <c r="T2013" i="4"/>
  <c r="U2013" i="4" s="1"/>
  <c r="S2013" i="4"/>
  <c r="R2013" i="4"/>
  <c r="T2012" i="4"/>
  <c r="U2012" i="4" s="1"/>
  <c r="S2012" i="4"/>
  <c r="R2012" i="4"/>
  <c r="T2001" i="4"/>
  <c r="U2001" i="4" s="1"/>
  <c r="S2001" i="4"/>
  <c r="R2001" i="4"/>
  <c r="T2000" i="4"/>
  <c r="U2000" i="4" s="1"/>
  <c r="S2000" i="4"/>
  <c r="R2000" i="4"/>
  <c r="T1999" i="4"/>
  <c r="U1999" i="4" s="1"/>
  <c r="S1999" i="4"/>
  <c r="R1999" i="4"/>
  <c r="T1998" i="4"/>
  <c r="U1998" i="4" s="1"/>
  <c r="S1998" i="4"/>
  <c r="R1998" i="4"/>
  <c r="T1961" i="4"/>
  <c r="U1961" i="4" s="1"/>
  <c r="S1961" i="4"/>
  <c r="R1961" i="4"/>
  <c r="T1960" i="4"/>
  <c r="U1960" i="4" s="1"/>
  <c r="S1960" i="4"/>
  <c r="R1960" i="4"/>
  <c r="T1944" i="4"/>
  <c r="U1944" i="4" s="1"/>
  <c r="S1944" i="4"/>
  <c r="R1944" i="4"/>
  <c r="T1943" i="4"/>
  <c r="U1943" i="4" s="1"/>
  <c r="S1943" i="4"/>
  <c r="R1943" i="4"/>
  <c r="T1942" i="4"/>
  <c r="U1942" i="4" s="1"/>
  <c r="S1942" i="4"/>
  <c r="R1942" i="4"/>
  <c r="T1938" i="4"/>
  <c r="U1938" i="4" s="1"/>
  <c r="S1938" i="4"/>
  <c r="R1938" i="4"/>
  <c r="T1937" i="4"/>
  <c r="U1937" i="4" s="1"/>
  <c r="S1937" i="4"/>
  <c r="R1937" i="4"/>
  <c r="T1914" i="4"/>
  <c r="U1914" i="4" s="1"/>
  <c r="S1914" i="4"/>
  <c r="R1914" i="4"/>
  <c r="T1906" i="4"/>
  <c r="U1906" i="4" s="1"/>
  <c r="S1906" i="4"/>
  <c r="R1906" i="4"/>
  <c r="T1873" i="4"/>
  <c r="U1873" i="4" s="1"/>
  <c r="S1873" i="4"/>
  <c r="R1873" i="4"/>
  <c r="T1840" i="4"/>
  <c r="U1840" i="4" s="1"/>
  <c r="S1840" i="4"/>
  <c r="R1840" i="4"/>
  <c r="T1839" i="4"/>
  <c r="U1839" i="4" s="1"/>
  <c r="S1839" i="4"/>
  <c r="R1839" i="4"/>
  <c r="T1835" i="4"/>
  <c r="U1835" i="4" s="1"/>
  <c r="S1835" i="4"/>
  <c r="R1835" i="4"/>
  <c r="T1807" i="4"/>
  <c r="U1807" i="4" s="1"/>
  <c r="S1807" i="4"/>
  <c r="R1807" i="4"/>
  <c r="T1805" i="4"/>
  <c r="U1805" i="4" s="1"/>
  <c r="S1805" i="4"/>
  <c r="R1805" i="4"/>
  <c r="T1798" i="4"/>
  <c r="U1798" i="4" s="1"/>
  <c r="S1798" i="4"/>
  <c r="R1798" i="4"/>
  <c r="T1796" i="4"/>
  <c r="U1796" i="4" s="1"/>
  <c r="S1796" i="4"/>
  <c r="R1796" i="4"/>
  <c r="T1781" i="4"/>
  <c r="U1781" i="4" s="1"/>
  <c r="S1781" i="4"/>
  <c r="R1781" i="4"/>
  <c r="T1775" i="4"/>
  <c r="U1775" i="4" s="1"/>
  <c r="S1775" i="4"/>
  <c r="R1775" i="4"/>
  <c r="T1748" i="4"/>
  <c r="U1748" i="4" s="1"/>
  <c r="S1748" i="4"/>
  <c r="R1748" i="4"/>
  <c r="T1747" i="4"/>
  <c r="U1747" i="4" s="1"/>
  <c r="S1747" i="4"/>
  <c r="R1747" i="4"/>
  <c r="T1746" i="4"/>
  <c r="U1746" i="4" s="1"/>
  <c r="S1746" i="4"/>
  <c r="R1746" i="4"/>
  <c r="T1745" i="4"/>
  <c r="U1745" i="4" s="1"/>
  <c r="S1745" i="4"/>
  <c r="R1745" i="4"/>
  <c r="T1744" i="4"/>
  <c r="U1744" i="4" s="1"/>
  <c r="S1744" i="4"/>
  <c r="R1744" i="4"/>
  <c r="T1743" i="4"/>
  <c r="U1743" i="4" s="1"/>
  <c r="S1743" i="4"/>
  <c r="R1743" i="4"/>
  <c r="T1724" i="4"/>
  <c r="U1724" i="4" s="1"/>
  <c r="S1724" i="4"/>
  <c r="R1724" i="4"/>
  <c r="T1623" i="4"/>
  <c r="U1623" i="4" s="1"/>
  <c r="S1623" i="4"/>
  <c r="R1623" i="4"/>
  <c r="T1614" i="4"/>
  <c r="U1614" i="4" s="1"/>
  <c r="S1614" i="4"/>
  <c r="R1614" i="4"/>
  <c r="T1594" i="4"/>
  <c r="U1594" i="4" s="1"/>
  <c r="S1594" i="4"/>
  <c r="R1594" i="4"/>
  <c r="T1592" i="4"/>
  <c r="U1592" i="4" s="1"/>
  <c r="S1592" i="4"/>
  <c r="R1592" i="4"/>
  <c r="T1568" i="4"/>
  <c r="U1568" i="4" s="1"/>
  <c r="S1568" i="4"/>
  <c r="R1568" i="4"/>
  <c r="T1547" i="4"/>
  <c r="U1547" i="4" s="1"/>
  <c r="S1547" i="4"/>
  <c r="R1547" i="4"/>
  <c r="T1540" i="4"/>
  <c r="U1540" i="4" s="1"/>
  <c r="S1540" i="4"/>
  <c r="R1540" i="4"/>
  <c r="T1538" i="4"/>
  <c r="U1538" i="4" s="1"/>
  <c r="S1538" i="4"/>
  <c r="R1538" i="4"/>
  <c r="T1537" i="4"/>
  <c r="U1537" i="4" s="1"/>
  <c r="S1537" i="4"/>
  <c r="R1537" i="4"/>
  <c r="T1531" i="4"/>
  <c r="U1531" i="4" s="1"/>
  <c r="S1531" i="4"/>
  <c r="R1531" i="4"/>
  <c r="T1529" i="4"/>
  <c r="U1529" i="4" s="1"/>
  <c r="S1529" i="4"/>
  <c r="R1529" i="4"/>
  <c r="T1528" i="4"/>
  <c r="U1528" i="4" s="1"/>
  <c r="S1528" i="4"/>
  <c r="R1528" i="4"/>
  <c r="T1527" i="4"/>
  <c r="U1527" i="4" s="1"/>
  <c r="S1527" i="4"/>
  <c r="R1527" i="4"/>
  <c r="T1480" i="4"/>
  <c r="U1480" i="4" s="1"/>
  <c r="S1480" i="4"/>
  <c r="R1480" i="4"/>
  <c r="T1477" i="4"/>
  <c r="U1477" i="4" s="1"/>
  <c r="S1477" i="4"/>
  <c r="R1477" i="4"/>
  <c r="T1460" i="4"/>
  <c r="U1460" i="4" s="1"/>
  <c r="S1460" i="4"/>
  <c r="R1460" i="4"/>
  <c r="T1458" i="4"/>
  <c r="U1458" i="4" s="1"/>
  <c r="S1458" i="4"/>
  <c r="R1458" i="4"/>
  <c r="T1457" i="4"/>
  <c r="U1457" i="4" s="1"/>
  <c r="S1457" i="4"/>
  <c r="R1457" i="4"/>
  <c r="T1456" i="4"/>
  <c r="U1456" i="4" s="1"/>
  <c r="S1456" i="4"/>
  <c r="R1456" i="4"/>
  <c r="T1447" i="4"/>
  <c r="U1447" i="4" s="1"/>
  <c r="S1447" i="4"/>
  <c r="R1447" i="4"/>
  <c r="T1439" i="4"/>
  <c r="U1439" i="4" s="1"/>
  <c r="S1439" i="4"/>
  <c r="R1439" i="4"/>
  <c r="T1437" i="4"/>
  <c r="U1437" i="4" s="1"/>
  <c r="S1437" i="4"/>
  <c r="R1437" i="4"/>
  <c r="T1421" i="4"/>
  <c r="U1421" i="4" s="1"/>
  <c r="S1421" i="4"/>
  <c r="R1421" i="4"/>
  <c r="T1403" i="4"/>
  <c r="U1403" i="4" s="1"/>
  <c r="S1403" i="4"/>
  <c r="R1403" i="4"/>
  <c r="T1377" i="4"/>
  <c r="U1377" i="4" s="1"/>
  <c r="S1377" i="4"/>
  <c r="R1377" i="4"/>
  <c r="T1363" i="4"/>
  <c r="U1363" i="4" s="1"/>
  <c r="S1363" i="4"/>
  <c r="R1363" i="4"/>
  <c r="T1346" i="4"/>
  <c r="U1346" i="4" s="1"/>
  <c r="S1346" i="4"/>
  <c r="R1346" i="4"/>
  <c r="Q1512" i="4"/>
  <c r="T1343" i="4"/>
  <c r="S1343" i="4"/>
  <c r="S1512" i="4" s="1"/>
  <c r="R1343" i="4"/>
  <c r="R1512" i="4" s="1"/>
  <c r="T1331" i="4"/>
  <c r="U1331" i="4" s="1"/>
  <c r="S1331" i="4"/>
  <c r="R1331" i="4"/>
  <c r="T1329" i="4"/>
  <c r="U1329" i="4" s="1"/>
  <c r="S1329" i="4"/>
  <c r="R1329" i="4"/>
  <c r="T1318" i="4"/>
  <c r="U1318" i="4" s="1"/>
  <c r="S1318" i="4"/>
  <c r="R1318" i="4"/>
  <c r="T1312" i="4"/>
  <c r="U1312" i="4" s="1"/>
  <c r="S1312" i="4"/>
  <c r="R1312" i="4"/>
  <c r="T1290" i="4"/>
  <c r="U1290" i="4" s="1"/>
  <c r="S1290" i="4"/>
  <c r="R1290" i="4"/>
  <c r="T1226" i="4"/>
  <c r="U1226" i="4" s="1"/>
  <c r="S1226" i="4"/>
  <c r="R1226" i="4"/>
  <c r="T1219" i="4"/>
  <c r="U1219" i="4" s="1"/>
  <c r="S1219" i="4"/>
  <c r="R1219" i="4"/>
  <c r="T1208" i="4"/>
  <c r="U1208" i="4" s="1"/>
  <c r="S1208" i="4"/>
  <c r="R1208" i="4"/>
  <c r="T1196" i="4"/>
  <c r="U1196" i="4" s="1"/>
  <c r="S1196" i="4"/>
  <c r="R1196" i="4"/>
  <c r="T1192" i="4"/>
  <c r="U1192" i="4" s="1"/>
  <c r="S1192" i="4"/>
  <c r="R1192" i="4"/>
  <c r="T1169" i="4"/>
  <c r="U1169" i="4" s="1"/>
  <c r="S1169" i="4"/>
  <c r="R1169" i="4"/>
  <c r="T1168" i="4"/>
  <c r="U1168" i="4" s="1"/>
  <c r="S1168" i="4"/>
  <c r="R1168" i="4"/>
  <c r="T1167" i="4"/>
  <c r="U1167" i="4" s="1"/>
  <c r="S1167" i="4"/>
  <c r="R1167" i="4"/>
  <c r="T1166" i="4"/>
  <c r="U1166" i="4" s="1"/>
  <c r="S1166" i="4"/>
  <c r="R1166" i="4"/>
  <c r="T1154" i="4"/>
  <c r="U1154" i="4" s="1"/>
  <c r="S1154" i="4"/>
  <c r="R1154" i="4"/>
  <c r="T1153" i="4"/>
  <c r="U1153" i="4" s="1"/>
  <c r="S1153" i="4"/>
  <c r="R1153" i="4"/>
  <c r="T1141" i="4"/>
  <c r="U1141" i="4" s="1"/>
  <c r="S1141" i="4"/>
  <c r="R1141" i="4"/>
  <c r="T1140" i="4"/>
  <c r="U1140" i="4" s="1"/>
  <c r="S1140" i="4"/>
  <c r="R1140" i="4"/>
  <c r="T1135" i="4"/>
  <c r="U1135" i="4" s="1"/>
  <c r="S1135" i="4"/>
  <c r="R1135" i="4"/>
  <c r="T1121" i="4"/>
  <c r="U1121" i="4" s="1"/>
  <c r="S1121" i="4"/>
  <c r="R1121" i="4"/>
  <c r="T1063" i="4"/>
  <c r="U1063" i="4" s="1"/>
  <c r="S1063" i="4"/>
  <c r="R1063" i="4"/>
  <c r="T1008" i="4"/>
  <c r="U1008" i="4" s="1"/>
  <c r="S1008" i="4"/>
  <c r="R1008" i="4"/>
  <c r="T989" i="4"/>
  <c r="U989" i="4" s="1"/>
  <c r="S989" i="4"/>
  <c r="R989" i="4"/>
  <c r="T979" i="4"/>
  <c r="U979" i="4" s="1"/>
  <c r="S979" i="4"/>
  <c r="R979" i="4"/>
  <c r="T907" i="4"/>
  <c r="U907" i="4" s="1"/>
  <c r="S907" i="4"/>
  <c r="R907" i="4"/>
  <c r="T881" i="4"/>
  <c r="U881" i="4" s="1"/>
  <c r="S881" i="4"/>
  <c r="R881" i="4"/>
  <c r="T871" i="4"/>
  <c r="U871" i="4" s="1"/>
  <c r="S871" i="4"/>
  <c r="R871" i="4"/>
  <c r="T811" i="4"/>
  <c r="U811" i="4" s="1"/>
  <c r="S811" i="4"/>
  <c r="R811" i="4"/>
  <c r="T776" i="4"/>
  <c r="U776" i="4" s="1"/>
  <c r="S776" i="4"/>
  <c r="R776" i="4"/>
  <c r="T751" i="4"/>
  <c r="U751" i="4" s="1"/>
  <c r="S751" i="4"/>
  <c r="R751" i="4"/>
  <c r="T750" i="4"/>
  <c r="U750" i="4" s="1"/>
  <c r="S750" i="4"/>
  <c r="R750" i="4"/>
  <c r="T749" i="4"/>
  <c r="U749" i="4" s="1"/>
  <c r="S749" i="4"/>
  <c r="R749" i="4"/>
  <c r="T748" i="4"/>
  <c r="U748" i="4" s="1"/>
  <c r="S748" i="4"/>
  <c r="R748" i="4"/>
  <c r="T747" i="4"/>
  <c r="U747" i="4" s="1"/>
  <c r="S747" i="4"/>
  <c r="R747" i="4"/>
  <c r="T746" i="4"/>
  <c r="U746" i="4" s="1"/>
  <c r="S746" i="4"/>
  <c r="R746" i="4"/>
  <c r="T745" i="4"/>
  <c r="U745" i="4" s="1"/>
  <c r="S745" i="4"/>
  <c r="R745" i="4"/>
  <c r="T744" i="4"/>
  <c r="U744" i="4" s="1"/>
  <c r="S744" i="4"/>
  <c r="R744" i="4"/>
  <c r="T743" i="4"/>
  <c r="U743" i="4" s="1"/>
  <c r="S743" i="4"/>
  <c r="R743" i="4"/>
  <c r="T742" i="4"/>
  <c r="U742" i="4" s="1"/>
  <c r="S742" i="4"/>
  <c r="R742" i="4"/>
  <c r="T740" i="4"/>
  <c r="U740" i="4" s="1"/>
  <c r="S740" i="4"/>
  <c r="R740" i="4"/>
  <c r="T739" i="4"/>
  <c r="U739" i="4" s="1"/>
  <c r="S739" i="4"/>
  <c r="R739" i="4"/>
  <c r="T738" i="4"/>
  <c r="U738" i="4" s="1"/>
  <c r="S738" i="4"/>
  <c r="R738" i="4"/>
  <c r="T737" i="4"/>
  <c r="U737" i="4" s="1"/>
  <c r="S737" i="4"/>
  <c r="R737" i="4"/>
  <c r="T736" i="4"/>
  <c r="U736" i="4" s="1"/>
  <c r="S736" i="4"/>
  <c r="R736" i="4"/>
  <c r="T735" i="4"/>
  <c r="U735" i="4" s="1"/>
  <c r="S735" i="4"/>
  <c r="R735" i="4"/>
  <c r="T734" i="4"/>
  <c r="U734" i="4" s="1"/>
  <c r="S734" i="4"/>
  <c r="R734" i="4"/>
  <c r="T733" i="4"/>
  <c r="U733" i="4" s="1"/>
  <c r="S733" i="4"/>
  <c r="R733" i="4"/>
  <c r="T732" i="4"/>
  <c r="U732" i="4" s="1"/>
  <c r="S732" i="4"/>
  <c r="R732" i="4"/>
  <c r="T731" i="4"/>
  <c r="U731" i="4" s="1"/>
  <c r="S731" i="4"/>
  <c r="R731" i="4"/>
  <c r="T710" i="4"/>
  <c r="U710" i="4" s="1"/>
  <c r="S710" i="4"/>
  <c r="R710" i="4"/>
  <c r="T709" i="4"/>
  <c r="U709" i="4" s="1"/>
  <c r="S709" i="4"/>
  <c r="R709" i="4"/>
  <c r="T706" i="4"/>
  <c r="U706" i="4" s="1"/>
  <c r="S706" i="4"/>
  <c r="R706" i="4"/>
  <c r="T696" i="4"/>
  <c r="U696" i="4" s="1"/>
  <c r="S696" i="4"/>
  <c r="R696" i="4"/>
  <c r="T656" i="4"/>
  <c r="U656" i="4" s="1"/>
  <c r="S656" i="4"/>
  <c r="R656" i="4"/>
  <c r="T655" i="4"/>
  <c r="U655" i="4" s="1"/>
  <c r="S655" i="4"/>
  <c r="R655" i="4"/>
  <c r="T654" i="4"/>
  <c r="U654" i="4" s="1"/>
  <c r="S654" i="4"/>
  <c r="R654" i="4"/>
  <c r="T640" i="4"/>
  <c r="U640" i="4" s="1"/>
  <c r="S640" i="4"/>
  <c r="R640" i="4"/>
  <c r="T621" i="4"/>
  <c r="U621" i="4" s="1"/>
  <c r="S621" i="4"/>
  <c r="R621" i="4"/>
  <c r="T602" i="4"/>
  <c r="U602" i="4" s="1"/>
  <c r="S602" i="4"/>
  <c r="R602" i="4"/>
  <c r="T576" i="4"/>
  <c r="U576" i="4" s="1"/>
  <c r="S576" i="4"/>
  <c r="R576" i="4"/>
  <c r="T565" i="4"/>
  <c r="U565" i="4" s="1"/>
  <c r="S565" i="4"/>
  <c r="R565" i="4"/>
  <c r="T556" i="4"/>
  <c r="U556" i="4" s="1"/>
  <c r="S556" i="4"/>
  <c r="R556" i="4"/>
  <c r="T549" i="4"/>
  <c r="U549" i="4" s="1"/>
  <c r="S549" i="4"/>
  <c r="R549" i="4"/>
  <c r="T548" i="4"/>
  <c r="U548" i="4" s="1"/>
  <c r="S548" i="4"/>
  <c r="R548" i="4"/>
  <c r="T547" i="4"/>
  <c r="U547" i="4" s="1"/>
  <c r="S547" i="4"/>
  <c r="R547" i="4"/>
  <c r="T545" i="4"/>
  <c r="U545" i="4" s="1"/>
  <c r="S545" i="4"/>
  <c r="R545" i="4"/>
  <c r="T544" i="4"/>
  <c r="U544" i="4" s="1"/>
  <c r="S544" i="4"/>
  <c r="R544" i="4"/>
  <c r="T529" i="4"/>
  <c r="U529" i="4" s="1"/>
  <c r="S529" i="4"/>
  <c r="R529" i="4"/>
  <c r="T525" i="4"/>
  <c r="U525" i="4" s="1"/>
  <c r="S525" i="4"/>
  <c r="R525" i="4"/>
  <c r="T523" i="4"/>
  <c r="U523" i="4" s="1"/>
  <c r="S523" i="4"/>
  <c r="R523" i="4"/>
  <c r="T521" i="4"/>
  <c r="U521" i="4" s="1"/>
  <c r="S521" i="4"/>
  <c r="R521" i="4"/>
  <c r="T515" i="4"/>
  <c r="U515" i="4" s="1"/>
  <c r="S515" i="4"/>
  <c r="R515" i="4"/>
  <c r="T514" i="4"/>
  <c r="U514" i="4" s="1"/>
  <c r="S514" i="4"/>
  <c r="R514" i="4"/>
  <c r="T510" i="4"/>
  <c r="U510" i="4" s="1"/>
  <c r="S510" i="4"/>
  <c r="R510" i="4"/>
  <c r="T509" i="4"/>
  <c r="U509" i="4" s="1"/>
  <c r="S509" i="4"/>
  <c r="R509" i="4"/>
  <c r="T508" i="4"/>
  <c r="U508" i="4" s="1"/>
  <c r="S508" i="4"/>
  <c r="R508" i="4"/>
  <c r="T488" i="4"/>
  <c r="U488" i="4" s="1"/>
  <c r="S488" i="4"/>
  <c r="R488" i="4"/>
  <c r="T478" i="4"/>
  <c r="U478" i="4" s="1"/>
  <c r="S478" i="4"/>
  <c r="R478" i="4"/>
  <c r="T472" i="4"/>
  <c r="U472" i="4" s="1"/>
  <c r="S472" i="4"/>
  <c r="R472" i="4"/>
  <c r="T471" i="4"/>
  <c r="U471" i="4" s="1"/>
  <c r="S471" i="4"/>
  <c r="R471" i="4"/>
  <c r="T424" i="4"/>
  <c r="U424" i="4" s="1"/>
  <c r="S424" i="4"/>
  <c r="R424" i="4"/>
  <c r="T421" i="4"/>
  <c r="U421" i="4" s="1"/>
  <c r="S421" i="4"/>
  <c r="R421" i="4"/>
  <c r="T418" i="4"/>
  <c r="U418" i="4" s="1"/>
  <c r="S418" i="4"/>
  <c r="R418" i="4"/>
  <c r="T406" i="4"/>
  <c r="U406" i="4" s="1"/>
  <c r="S406" i="4"/>
  <c r="R406" i="4"/>
  <c r="T405" i="4"/>
  <c r="U405" i="4" s="1"/>
  <c r="S405" i="4"/>
  <c r="R405" i="4"/>
  <c r="T386" i="4"/>
  <c r="U386" i="4" s="1"/>
  <c r="S386" i="4"/>
  <c r="R386" i="4"/>
  <c r="T385" i="4"/>
  <c r="U385" i="4" s="1"/>
  <c r="S385" i="4"/>
  <c r="R385" i="4"/>
  <c r="T384" i="4"/>
  <c r="U384" i="4" s="1"/>
  <c r="S384" i="4"/>
  <c r="R384" i="4"/>
  <c r="T355" i="4"/>
  <c r="U355" i="4" s="1"/>
  <c r="S355" i="4"/>
  <c r="R355" i="4"/>
  <c r="T354" i="4"/>
  <c r="U354" i="4" s="1"/>
  <c r="S354" i="4"/>
  <c r="R354" i="4"/>
  <c r="T340" i="4"/>
  <c r="U340" i="4" s="1"/>
  <c r="S340" i="4"/>
  <c r="R340" i="4"/>
  <c r="T339" i="4"/>
  <c r="U339" i="4" s="1"/>
  <c r="S339" i="4"/>
  <c r="R339" i="4"/>
  <c r="T338" i="4"/>
  <c r="U338" i="4" s="1"/>
  <c r="S338" i="4"/>
  <c r="R338" i="4"/>
  <c r="T337" i="4"/>
  <c r="U337" i="4" s="1"/>
  <c r="S337" i="4"/>
  <c r="R337" i="4"/>
  <c r="T336" i="4"/>
  <c r="U336" i="4" s="1"/>
  <c r="S336" i="4"/>
  <c r="R336" i="4"/>
  <c r="T334" i="4"/>
  <c r="U334" i="4" s="1"/>
  <c r="S334" i="4"/>
  <c r="R334" i="4"/>
  <c r="T326" i="4"/>
  <c r="U326" i="4" s="1"/>
  <c r="S326" i="4"/>
  <c r="R326" i="4"/>
  <c r="T325" i="4"/>
  <c r="U325" i="4" s="1"/>
  <c r="S325" i="4"/>
  <c r="R325" i="4"/>
  <c r="T322" i="4"/>
  <c r="U322" i="4" s="1"/>
  <c r="S322" i="4"/>
  <c r="R322" i="4"/>
  <c r="T293" i="4"/>
  <c r="U293" i="4" s="1"/>
  <c r="S293" i="4"/>
  <c r="R293" i="4"/>
  <c r="T285" i="4"/>
  <c r="U285" i="4" s="1"/>
  <c r="S285" i="4"/>
  <c r="R285" i="4"/>
  <c r="T277" i="4"/>
  <c r="U277" i="4" s="1"/>
  <c r="S277" i="4"/>
  <c r="R277" i="4"/>
  <c r="T238" i="4"/>
  <c r="U238" i="4" s="1"/>
  <c r="S238" i="4"/>
  <c r="R238" i="4"/>
  <c r="T233" i="4"/>
  <c r="U233" i="4" s="1"/>
  <c r="S233" i="4"/>
  <c r="R233" i="4"/>
  <c r="T218" i="4"/>
  <c r="U218" i="4" s="1"/>
  <c r="S218" i="4"/>
  <c r="R218" i="4"/>
  <c r="T217" i="4"/>
  <c r="U217" i="4" s="1"/>
  <c r="S217" i="4"/>
  <c r="R217" i="4"/>
  <c r="T214" i="4"/>
  <c r="U214" i="4" s="1"/>
  <c r="S214" i="4"/>
  <c r="R214" i="4"/>
  <c r="T208" i="4"/>
  <c r="U208" i="4" s="1"/>
  <c r="S208" i="4"/>
  <c r="R208" i="4"/>
  <c r="T206" i="4"/>
  <c r="U206" i="4" s="1"/>
  <c r="S206" i="4"/>
  <c r="R206" i="4"/>
  <c r="T205" i="4"/>
  <c r="U205" i="4" s="1"/>
  <c r="S205" i="4"/>
  <c r="R205" i="4"/>
  <c r="T204" i="4"/>
  <c r="U204" i="4" s="1"/>
  <c r="S204" i="4"/>
  <c r="R204" i="4"/>
  <c r="T193" i="4"/>
  <c r="U193" i="4" s="1"/>
  <c r="S193" i="4"/>
  <c r="R193" i="4"/>
  <c r="T189" i="4"/>
  <c r="U189" i="4" s="1"/>
  <c r="S189" i="4"/>
  <c r="R189" i="4"/>
  <c r="T157" i="4"/>
  <c r="U157" i="4" s="1"/>
  <c r="S157" i="4"/>
  <c r="R157" i="4"/>
  <c r="T152" i="4"/>
  <c r="U152" i="4" s="1"/>
  <c r="S152" i="4"/>
  <c r="R152" i="4"/>
  <c r="T151" i="4"/>
  <c r="U151" i="4" s="1"/>
  <c r="S151" i="4"/>
  <c r="R151" i="4"/>
  <c r="T149" i="4"/>
  <c r="U149" i="4" s="1"/>
  <c r="S149" i="4"/>
  <c r="R149" i="4"/>
  <c r="T142" i="4"/>
  <c r="U142" i="4" s="1"/>
  <c r="S142" i="4"/>
  <c r="R142" i="4"/>
  <c r="T128" i="4"/>
  <c r="U128" i="4" s="1"/>
  <c r="S128" i="4"/>
  <c r="R128" i="4"/>
  <c r="T113" i="4"/>
  <c r="U113" i="4" s="1"/>
  <c r="S113" i="4"/>
  <c r="R113" i="4"/>
  <c r="T112" i="4"/>
  <c r="U112" i="4" s="1"/>
  <c r="S112" i="4"/>
  <c r="R112" i="4"/>
  <c r="T107" i="4"/>
  <c r="U107" i="4" s="1"/>
  <c r="S107" i="4"/>
  <c r="R107" i="4"/>
  <c r="T102" i="4"/>
  <c r="U102" i="4" s="1"/>
  <c r="S102" i="4"/>
  <c r="R102" i="4"/>
  <c r="T101" i="4"/>
  <c r="U101" i="4" s="1"/>
  <c r="S101" i="4"/>
  <c r="R101" i="4"/>
  <c r="T100" i="4"/>
  <c r="U100" i="4" s="1"/>
  <c r="S100" i="4"/>
  <c r="R100" i="4"/>
  <c r="T99" i="4"/>
  <c r="U99" i="4" s="1"/>
  <c r="S99" i="4"/>
  <c r="R99" i="4"/>
  <c r="T98" i="4"/>
  <c r="U98" i="4" s="1"/>
  <c r="S98" i="4"/>
  <c r="R98" i="4"/>
  <c r="T85" i="4"/>
  <c r="U85" i="4" s="1"/>
  <c r="S85" i="4"/>
  <c r="R85" i="4"/>
  <c r="T83" i="4"/>
  <c r="U83" i="4" s="1"/>
  <c r="S83" i="4"/>
  <c r="R83" i="4"/>
  <c r="T80" i="4"/>
  <c r="U80" i="4" s="1"/>
  <c r="S80" i="4"/>
  <c r="R80" i="4"/>
  <c r="T74" i="4"/>
  <c r="U74" i="4" s="1"/>
  <c r="S74" i="4"/>
  <c r="R74" i="4"/>
  <c r="T70" i="4"/>
  <c r="U70" i="4" s="1"/>
  <c r="S70" i="4"/>
  <c r="R70" i="4"/>
  <c r="T60" i="4"/>
  <c r="U60" i="4" s="1"/>
  <c r="S60" i="4"/>
  <c r="R60" i="4"/>
  <c r="T59" i="4"/>
  <c r="U59" i="4" s="1"/>
  <c r="S59" i="4"/>
  <c r="R59" i="4"/>
  <c r="T48" i="4"/>
  <c r="U48" i="4" s="1"/>
  <c r="S48" i="4"/>
  <c r="R48" i="4"/>
  <c r="T23" i="4"/>
  <c r="U23" i="4" s="1"/>
  <c r="S23" i="4"/>
  <c r="R23" i="4"/>
  <c r="T1011" i="4"/>
  <c r="U1011" i="4" s="1"/>
  <c r="S1011" i="4"/>
  <c r="R1011" i="4"/>
  <c r="T1010" i="4"/>
  <c r="U1010" i="4" s="1"/>
  <c r="S1010" i="4"/>
  <c r="R1010" i="4"/>
  <c r="T1009" i="4"/>
  <c r="U1009" i="4" s="1"/>
  <c r="S1009" i="4"/>
  <c r="R1009" i="4"/>
  <c r="T991" i="4"/>
  <c r="U991" i="4" s="1"/>
  <c r="S991" i="4"/>
  <c r="R991" i="4"/>
  <c r="T990" i="4"/>
  <c r="U990" i="4" s="1"/>
  <c r="S990" i="4"/>
  <c r="R990" i="4"/>
  <c r="T970" i="4"/>
  <c r="U970" i="4" s="1"/>
  <c r="S970" i="4"/>
  <c r="R970" i="4"/>
  <c r="T846" i="4"/>
  <c r="U846" i="4" s="1"/>
  <c r="S846" i="4"/>
  <c r="R846" i="4"/>
  <c r="T383" i="4"/>
  <c r="U383" i="4" s="1"/>
  <c r="S383" i="4"/>
  <c r="R383" i="4"/>
  <c r="T1699" i="4"/>
  <c r="U1699" i="4" s="1"/>
  <c r="S1699" i="4"/>
  <c r="R1699" i="4"/>
  <c r="T1698" i="4"/>
  <c r="U1698" i="4" s="1"/>
  <c r="S1698" i="4"/>
  <c r="R1698" i="4"/>
  <c r="T1697" i="4"/>
  <c r="U1697" i="4" s="1"/>
  <c r="S1697" i="4"/>
  <c r="R1697" i="4"/>
  <c r="T1690" i="4"/>
  <c r="U1690" i="4" s="1"/>
  <c r="S1690" i="4"/>
  <c r="R1690" i="4"/>
  <c r="T1657" i="4"/>
  <c r="U1657" i="4" s="1"/>
  <c r="S1657" i="4"/>
  <c r="R1657" i="4"/>
  <c r="T1640" i="4"/>
  <c r="U1640" i="4" s="1"/>
  <c r="S1640" i="4"/>
  <c r="R1640" i="4"/>
  <c r="T1631" i="4"/>
  <c r="U1631" i="4" s="1"/>
  <c r="S1631" i="4"/>
  <c r="R1631" i="4"/>
  <c r="T1630" i="4"/>
  <c r="U1630" i="4" s="1"/>
  <c r="S1630" i="4"/>
  <c r="R1630" i="4"/>
  <c r="T1565" i="4"/>
  <c r="U1565" i="4" s="1"/>
  <c r="S1565" i="4"/>
  <c r="R1565" i="4"/>
  <c r="T1563" i="4"/>
  <c r="U1563" i="4" s="1"/>
  <c r="S1563" i="4"/>
  <c r="R1563" i="4"/>
  <c r="T1562" i="4"/>
  <c r="U1562" i="4" s="1"/>
  <c r="S1562" i="4"/>
  <c r="R1562" i="4"/>
  <c r="T1561" i="4"/>
  <c r="U1561" i="4" s="1"/>
  <c r="S1561" i="4"/>
  <c r="R1561" i="4"/>
  <c r="T1560" i="4"/>
  <c r="U1560" i="4" s="1"/>
  <c r="S1560" i="4"/>
  <c r="R1560" i="4"/>
  <c r="T1559" i="4"/>
  <c r="U1559" i="4" s="1"/>
  <c r="S1559" i="4"/>
  <c r="R1559" i="4"/>
  <c r="T1558" i="4"/>
  <c r="U1558" i="4" s="1"/>
  <c r="S1558" i="4"/>
  <c r="R1558" i="4"/>
  <c r="T1556" i="4"/>
  <c r="U1556" i="4" s="1"/>
  <c r="S1556" i="4"/>
  <c r="R1556" i="4"/>
  <c r="T1555" i="4"/>
  <c r="U1555" i="4" s="1"/>
  <c r="S1555" i="4"/>
  <c r="R1555" i="4"/>
  <c r="T1554" i="4"/>
  <c r="U1554" i="4" s="1"/>
  <c r="S1554" i="4"/>
  <c r="R1554" i="4"/>
  <c r="T1553" i="4"/>
  <c r="U1553" i="4" s="1"/>
  <c r="S1553" i="4"/>
  <c r="R1553" i="4"/>
  <c r="T1552" i="4"/>
  <c r="U1552" i="4" s="1"/>
  <c r="S1552" i="4"/>
  <c r="R1552" i="4"/>
  <c r="T1511" i="4"/>
  <c r="U1511" i="4" s="1"/>
  <c r="S1511" i="4"/>
  <c r="R1511" i="4"/>
  <c r="T1490" i="4"/>
  <c r="U1490" i="4" s="1"/>
  <c r="S1490" i="4"/>
  <c r="R1490" i="4"/>
  <c r="T1472" i="4"/>
  <c r="U1472" i="4" s="1"/>
  <c r="S1472" i="4"/>
  <c r="R1472" i="4"/>
  <c r="T1471" i="4"/>
  <c r="U1471" i="4" s="1"/>
  <c r="S1471" i="4"/>
  <c r="R1471" i="4"/>
  <c r="T1467" i="4"/>
  <c r="U1467" i="4" s="1"/>
  <c r="S1467" i="4"/>
  <c r="R1467" i="4"/>
  <c r="T1462" i="4"/>
  <c r="U1462" i="4" s="1"/>
  <c r="S1462" i="4"/>
  <c r="R1462" i="4"/>
  <c r="T1441" i="4"/>
  <c r="U1441" i="4" s="1"/>
  <c r="S1441" i="4"/>
  <c r="R1441" i="4"/>
  <c r="T1440" i="4"/>
  <c r="U1440" i="4" s="1"/>
  <c r="S1440" i="4"/>
  <c r="R1440" i="4"/>
  <c r="T1436" i="4"/>
  <c r="U1436" i="4" s="1"/>
  <c r="S1436" i="4"/>
  <c r="R1436" i="4"/>
  <c r="T1435" i="4"/>
  <c r="U1435" i="4" s="1"/>
  <c r="S1435" i="4"/>
  <c r="R1435" i="4"/>
  <c r="T1434" i="4"/>
  <c r="U1434" i="4" s="1"/>
  <c r="S1434" i="4"/>
  <c r="R1434" i="4"/>
  <c r="T1433" i="4"/>
  <c r="U1433" i="4" s="1"/>
  <c r="S1433" i="4"/>
  <c r="R1433" i="4"/>
  <c r="T1432" i="4"/>
  <c r="U1432" i="4" s="1"/>
  <c r="S1432" i="4"/>
  <c r="R1432" i="4"/>
  <c r="T1430" i="4"/>
  <c r="U1430" i="4" s="1"/>
  <c r="S1430" i="4"/>
  <c r="R1430" i="4"/>
  <c r="T1353" i="4"/>
  <c r="U1353" i="4" s="1"/>
  <c r="S1353" i="4"/>
  <c r="R1353" i="4"/>
  <c r="T1352" i="4"/>
  <c r="U1352" i="4" s="1"/>
  <c r="S1352" i="4"/>
  <c r="R1352" i="4"/>
  <c r="T1348" i="4"/>
  <c r="U1348" i="4" s="1"/>
  <c r="S1348" i="4"/>
  <c r="R1348" i="4"/>
  <c r="T1347" i="4"/>
  <c r="U1347" i="4" s="1"/>
  <c r="S1347" i="4"/>
  <c r="R1347" i="4"/>
  <c r="T1345" i="4"/>
  <c r="U1345" i="4" s="1"/>
  <c r="S1345" i="4"/>
  <c r="R1345" i="4"/>
  <c r="T1305" i="4"/>
  <c r="U1305" i="4" s="1"/>
  <c r="S1305" i="4"/>
  <c r="R1305" i="4"/>
  <c r="T1302" i="4"/>
  <c r="U1302" i="4" s="1"/>
  <c r="S1302" i="4"/>
  <c r="R1302" i="4"/>
  <c r="T1301" i="4"/>
  <c r="U1301" i="4" s="1"/>
  <c r="S1301" i="4"/>
  <c r="R1301" i="4"/>
  <c r="T1276" i="4"/>
  <c r="U1276" i="4" s="1"/>
  <c r="S1276" i="4"/>
  <c r="R1276" i="4"/>
  <c r="T1216" i="4"/>
  <c r="U1216" i="4" s="1"/>
  <c r="S1216" i="4"/>
  <c r="R1216" i="4"/>
  <c r="T1213" i="4"/>
  <c r="U1213" i="4" s="1"/>
  <c r="S1213" i="4"/>
  <c r="R1213" i="4"/>
  <c r="T1190" i="4"/>
  <c r="U1190" i="4" s="1"/>
  <c r="S1190" i="4"/>
  <c r="R1190" i="4"/>
  <c r="T1187" i="4"/>
  <c r="U1187" i="4" s="1"/>
  <c r="S1187" i="4"/>
  <c r="R1187" i="4"/>
  <c r="T1186" i="4"/>
  <c r="U1186" i="4" s="1"/>
  <c r="S1186" i="4"/>
  <c r="R1186" i="4"/>
  <c r="T1182" i="4"/>
  <c r="U1182" i="4" s="1"/>
  <c r="S1182" i="4"/>
  <c r="R1182" i="4"/>
  <c r="T952" i="4"/>
  <c r="U952" i="4" s="1"/>
  <c r="S952" i="4"/>
  <c r="R952" i="4"/>
  <c r="T946" i="4"/>
  <c r="U946" i="4" s="1"/>
  <c r="S946" i="4"/>
  <c r="R946" i="4"/>
  <c r="T945" i="4"/>
  <c r="U945" i="4" s="1"/>
  <c r="S945" i="4"/>
  <c r="R945" i="4"/>
  <c r="T906" i="4"/>
  <c r="U906" i="4" s="1"/>
  <c r="S906" i="4"/>
  <c r="R906" i="4"/>
  <c r="T905" i="4"/>
  <c r="U905" i="4" s="1"/>
  <c r="S905" i="4"/>
  <c r="R905" i="4"/>
  <c r="T526" i="4"/>
  <c r="U526" i="4" s="1"/>
  <c r="S526" i="4"/>
  <c r="R526" i="4"/>
  <c r="T524" i="4"/>
  <c r="U524" i="4" s="1"/>
  <c r="S524" i="4"/>
  <c r="R524" i="4"/>
  <c r="T522" i="4"/>
  <c r="U522" i="4" s="1"/>
  <c r="S522" i="4"/>
  <c r="R522" i="4"/>
  <c r="T486" i="4"/>
  <c r="U486" i="4" s="1"/>
  <c r="S486" i="4"/>
  <c r="R486" i="4"/>
  <c r="T485" i="4"/>
  <c r="U485" i="4" s="1"/>
  <c r="S485" i="4"/>
  <c r="R485" i="4"/>
  <c r="T484" i="4"/>
  <c r="U484" i="4" s="1"/>
  <c r="S484" i="4"/>
  <c r="R484" i="4"/>
  <c r="T133" i="4"/>
  <c r="U133" i="4" s="1"/>
  <c r="S133" i="4"/>
  <c r="R133" i="4"/>
  <c r="T132" i="4"/>
  <c r="U132" i="4" s="1"/>
  <c r="S132" i="4"/>
  <c r="R132" i="4"/>
  <c r="T130" i="4"/>
  <c r="U130" i="4" s="1"/>
  <c r="S130" i="4"/>
  <c r="R130" i="4"/>
  <c r="T127" i="4"/>
  <c r="U127" i="4" s="1"/>
  <c r="S127" i="4"/>
  <c r="R127" i="4"/>
  <c r="T126" i="4"/>
  <c r="U126" i="4" s="1"/>
  <c r="S126" i="4"/>
  <c r="R126" i="4"/>
  <c r="T124" i="4"/>
  <c r="U124" i="4" s="1"/>
  <c r="S124" i="4"/>
  <c r="R124" i="4"/>
  <c r="T122" i="4"/>
  <c r="U122" i="4" s="1"/>
  <c r="S122" i="4"/>
  <c r="R122" i="4"/>
  <c r="T121" i="4"/>
  <c r="U121" i="4" s="1"/>
  <c r="S121" i="4"/>
  <c r="R121" i="4"/>
  <c r="T120" i="4"/>
  <c r="U120" i="4" s="1"/>
  <c r="S120" i="4"/>
  <c r="R120" i="4"/>
  <c r="T119" i="4"/>
  <c r="U119" i="4" s="1"/>
  <c r="S119" i="4"/>
  <c r="R119" i="4"/>
  <c r="T30" i="4"/>
  <c r="U30" i="4" s="1"/>
  <c r="S30" i="4"/>
  <c r="R30" i="4"/>
  <c r="T28" i="4"/>
  <c r="U28" i="4" s="1"/>
  <c r="S28" i="4"/>
  <c r="R28" i="4"/>
  <c r="T27" i="4"/>
  <c r="U27" i="4" s="1"/>
  <c r="S27" i="4"/>
  <c r="R27" i="4"/>
  <c r="T16" i="4"/>
  <c r="U16" i="4" s="1"/>
  <c r="S16" i="4"/>
  <c r="R16" i="4"/>
  <c r="T963" i="4"/>
  <c r="U963" i="4" s="1"/>
  <c r="S963" i="4"/>
  <c r="R963" i="4"/>
  <c r="T962" i="4"/>
  <c r="U962" i="4" s="1"/>
  <c r="S962" i="4"/>
  <c r="R962" i="4"/>
  <c r="T961" i="4"/>
  <c r="U961" i="4" s="1"/>
  <c r="S961" i="4"/>
  <c r="R961" i="4"/>
  <c r="T944" i="4"/>
  <c r="U944" i="4" s="1"/>
  <c r="S944" i="4"/>
  <c r="R944" i="4"/>
  <c r="T891" i="4"/>
  <c r="U891" i="4" s="1"/>
  <c r="S891" i="4"/>
  <c r="R891" i="4"/>
  <c r="T883" i="4"/>
  <c r="U883" i="4" s="1"/>
  <c r="S883" i="4"/>
  <c r="R883" i="4"/>
  <c r="T882" i="4"/>
  <c r="U882" i="4" s="1"/>
  <c r="S882" i="4"/>
  <c r="R882" i="4"/>
  <c r="T879" i="4"/>
  <c r="U879" i="4" s="1"/>
  <c r="S879" i="4"/>
  <c r="R879" i="4"/>
  <c r="T878" i="4"/>
  <c r="U878" i="4" s="1"/>
  <c r="S878" i="4"/>
  <c r="R878" i="4"/>
  <c r="T877" i="4"/>
  <c r="U877" i="4" s="1"/>
  <c r="S877" i="4"/>
  <c r="R877" i="4"/>
  <c r="T876" i="4"/>
  <c r="U876" i="4" s="1"/>
  <c r="S876" i="4"/>
  <c r="R876" i="4"/>
  <c r="T899" i="4"/>
  <c r="U899" i="4" s="1"/>
  <c r="S899" i="4"/>
  <c r="R899" i="4"/>
  <c r="T898" i="4"/>
  <c r="U898" i="4" s="1"/>
  <c r="S898" i="4"/>
  <c r="R898" i="4"/>
  <c r="T587" i="4"/>
  <c r="U587" i="4" s="1"/>
  <c r="S587" i="4"/>
  <c r="R587" i="4"/>
  <c r="T583" i="4"/>
  <c r="U583" i="4" s="1"/>
  <c r="S583" i="4"/>
  <c r="R583" i="4"/>
  <c r="T582" i="4"/>
  <c r="U582" i="4" s="1"/>
  <c r="S582" i="4"/>
  <c r="R582" i="4"/>
  <c r="T575" i="4"/>
  <c r="U575" i="4" s="1"/>
  <c r="S575" i="4"/>
  <c r="R575" i="4"/>
  <c r="T330" i="4"/>
  <c r="U330" i="4" s="1"/>
  <c r="S330" i="4"/>
  <c r="R330" i="4"/>
  <c r="T328" i="4"/>
  <c r="U328" i="4" s="1"/>
  <c r="S328" i="4"/>
  <c r="R328" i="4"/>
  <c r="T327" i="4"/>
  <c r="U327" i="4" s="1"/>
  <c r="S327" i="4"/>
  <c r="R327" i="4"/>
  <c r="T844" i="4"/>
  <c r="U844" i="4" s="1"/>
  <c r="S844" i="4"/>
  <c r="R844" i="4"/>
  <c r="T838" i="4"/>
  <c r="U838" i="4" s="1"/>
  <c r="S838" i="4"/>
  <c r="R838" i="4"/>
  <c r="T2086" i="4"/>
  <c r="U2086" i="4" s="1"/>
  <c r="S2086" i="4"/>
  <c r="R2086" i="4"/>
  <c r="T2085" i="4"/>
  <c r="U2085" i="4" s="1"/>
  <c r="S2085" i="4"/>
  <c r="R2085" i="4"/>
  <c r="T2066" i="4"/>
  <c r="U2066" i="4" s="1"/>
  <c r="S2066" i="4"/>
  <c r="R2066" i="4"/>
  <c r="T2062" i="4"/>
  <c r="U2062" i="4" s="1"/>
  <c r="S2062" i="4"/>
  <c r="R2062" i="4"/>
  <c r="T2060" i="4"/>
  <c r="U2060" i="4" s="1"/>
  <c r="S2060" i="4"/>
  <c r="R2060" i="4"/>
  <c r="T2056" i="4"/>
  <c r="U2056" i="4" s="1"/>
  <c r="S2056" i="4"/>
  <c r="R2056" i="4"/>
  <c r="T2054" i="4"/>
  <c r="U2054" i="4" s="1"/>
  <c r="S2054" i="4"/>
  <c r="R2054" i="4"/>
  <c r="T2048" i="4"/>
  <c r="U2048" i="4" s="1"/>
  <c r="S2048" i="4"/>
  <c r="R2048" i="4"/>
  <c r="T1122" i="4"/>
  <c r="U1122" i="4" s="1"/>
  <c r="S1122" i="4"/>
  <c r="R1122" i="4"/>
  <c r="T1120" i="4"/>
  <c r="U1120" i="4" s="1"/>
  <c r="S1120" i="4"/>
  <c r="R1120" i="4"/>
  <c r="T1117" i="4"/>
  <c r="U1117" i="4" s="1"/>
  <c r="S1117" i="4"/>
  <c r="R1117" i="4"/>
  <c r="T708" i="4"/>
  <c r="U708" i="4" s="1"/>
  <c r="S708" i="4"/>
  <c r="R708" i="4"/>
  <c r="T699" i="4"/>
  <c r="U699" i="4" s="1"/>
  <c r="S699" i="4"/>
  <c r="R699" i="4"/>
  <c r="T698" i="4"/>
  <c r="U698" i="4" s="1"/>
  <c r="S698" i="4"/>
  <c r="R698" i="4"/>
  <c r="T695" i="4"/>
  <c r="U695" i="4" s="1"/>
  <c r="S695" i="4"/>
  <c r="R695" i="4"/>
  <c r="T269" i="4"/>
  <c r="U269" i="4" s="1"/>
  <c r="S269" i="4"/>
  <c r="R269" i="4"/>
  <c r="T268" i="4"/>
  <c r="U268" i="4" s="1"/>
  <c r="S268" i="4"/>
  <c r="R268" i="4"/>
  <c r="T267" i="4"/>
  <c r="U267" i="4" s="1"/>
  <c r="S267" i="4"/>
  <c r="R267" i="4"/>
  <c r="T266" i="4"/>
  <c r="U266" i="4" s="1"/>
  <c r="S266" i="4"/>
  <c r="R266" i="4"/>
  <c r="T2135" i="4"/>
  <c r="U2135" i="4" s="1"/>
  <c r="S2135" i="4"/>
  <c r="R2135" i="4"/>
  <c r="T1838" i="4"/>
  <c r="U1838" i="4" s="1"/>
  <c r="S1838" i="4"/>
  <c r="R1838" i="4"/>
  <c r="T1828" i="4"/>
  <c r="U1828" i="4" s="1"/>
  <c r="S1828" i="4"/>
  <c r="R1828" i="4"/>
  <c r="T1788" i="4"/>
  <c r="U1788" i="4" s="1"/>
  <c r="S1788" i="4"/>
  <c r="R1788" i="4"/>
  <c r="T1782" i="4"/>
  <c r="U1782" i="4" s="1"/>
  <c r="S1782" i="4"/>
  <c r="R1782" i="4"/>
  <c r="T1772" i="4"/>
  <c r="U1772" i="4" s="1"/>
  <c r="S1772" i="4"/>
  <c r="R1772" i="4"/>
  <c r="T1770" i="4"/>
  <c r="U1770" i="4" s="1"/>
  <c r="S1770" i="4"/>
  <c r="R1770" i="4"/>
  <c r="T1515" i="4"/>
  <c r="U1515" i="4" s="1"/>
  <c r="S1515" i="4"/>
  <c r="R1515" i="4"/>
  <c r="T1277" i="4"/>
  <c r="U1277" i="4" s="1"/>
  <c r="S1277" i="4"/>
  <c r="R1277" i="4"/>
  <c r="T1156" i="4"/>
  <c r="U1156" i="4" s="1"/>
  <c r="S1156" i="4"/>
  <c r="R1156" i="4"/>
  <c r="T1150" i="4"/>
  <c r="U1150" i="4" s="1"/>
  <c r="S1150" i="4"/>
  <c r="R1150" i="4"/>
  <c r="Q1179" i="4"/>
  <c r="T1128" i="4"/>
  <c r="S1128" i="4"/>
  <c r="S1179" i="4" s="1"/>
  <c r="R1128" i="4"/>
  <c r="R1179" i="4" s="1"/>
  <c r="T1114" i="4"/>
  <c r="U1114" i="4" s="1"/>
  <c r="S1114" i="4"/>
  <c r="R1114" i="4"/>
  <c r="T915" i="4"/>
  <c r="U915" i="4" s="1"/>
  <c r="S915" i="4"/>
  <c r="R915" i="4"/>
  <c r="T292" i="4"/>
  <c r="U292" i="4" s="1"/>
  <c r="S292" i="4"/>
  <c r="R292" i="4"/>
  <c r="T245" i="4"/>
  <c r="U245" i="4" s="1"/>
  <c r="S245" i="4"/>
  <c r="R245" i="4"/>
  <c r="T169" i="4"/>
  <c r="U169" i="4" s="1"/>
  <c r="S169" i="4"/>
  <c r="R169" i="4"/>
  <c r="T136" i="4"/>
  <c r="U136" i="4" s="1"/>
  <c r="S136" i="4"/>
  <c r="R136" i="4"/>
  <c r="T13" i="4"/>
  <c r="U13" i="4" s="1"/>
  <c r="S13" i="4"/>
  <c r="R13" i="4"/>
  <c r="T2140" i="4"/>
  <c r="U2140" i="4" s="1"/>
  <c r="S2140" i="4"/>
  <c r="R2140" i="4"/>
  <c r="T2037" i="4"/>
  <c r="U2037" i="4" s="1"/>
  <c r="S2037" i="4"/>
  <c r="R2037" i="4"/>
  <c r="T1610" i="4"/>
  <c r="U1610" i="4" s="1"/>
  <c r="S1610" i="4"/>
  <c r="R1610" i="4"/>
  <c r="Q1571" i="4"/>
  <c r="T1514" i="4"/>
  <c r="S1514" i="4"/>
  <c r="S1571" i="4" s="1"/>
  <c r="R1514" i="4"/>
  <c r="R1571" i="4" s="1"/>
  <c r="T1364" i="4"/>
  <c r="U1364" i="4" s="1"/>
  <c r="S1364" i="4"/>
  <c r="R1364" i="4"/>
  <c r="Q1341" i="4"/>
  <c r="T1311" i="4"/>
  <c r="S1311" i="4"/>
  <c r="S1341" i="4" s="1"/>
  <c r="R1311" i="4"/>
  <c r="R1341" i="4" s="1"/>
  <c r="T1248" i="4"/>
  <c r="U1248" i="4" s="1"/>
  <c r="S1248" i="4"/>
  <c r="R1248" i="4"/>
  <c r="T1197" i="4"/>
  <c r="U1197" i="4" s="1"/>
  <c r="S1197" i="4"/>
  <c r="R1197" i="4"/>
  <c r="Q1309" i="4"/>
  <c r="T1181" i="4"/>
  <c r="S1181" i="4"/>
  <c r="S1309" i="4" s="1"/>
  <c r="R1181" i="4"/>
  <c r="R1309" i="4" s="1"/>
  <c r="Q1016" i="4"/>
  <c r="T967" i="4"/>
  <c r="S967" i="4"/>
  <c r="S1016" i="4" s="1"/>
  <c r="R967" i="4"/>
  <c r="R1016" i="4" s="1"/>
  <c r="T872" i="4"/>
  <c r="U872" i="4" s="1"/>
  <c r="S872" i="4"/>
  <c r="R872" i="4"/>
  <c r="Q835" i="4"/>
  <c r="T670" i="4"/>
  <c r="S670" i="4"/>
  <c r="S835" i="4" s="1"/>
  <c r="R670" i="4"/>
  <c r="R835" i="4" s="1"/>
  <c r="T171" i="4"/>
  <c r="U171" i="4" s="1"/>
  <c r="S171" i="4"/>
  <c r="R171" i="4"/>
  <c r="T170" i="4"/>
  <c r="U170" i="4" s="1"/>
  <c r="S170" i="4"/>
  <c r="R170" i="4"/>
  <c r="T12" i="4"/>
  <c r="U12" i="4" s="1"/>
  <c r="S12" i="4"/>
  <c r="R12" i="4"/>
  <c r="T2087" i="4"/>
  <c r="U2087" i="4" s="1"/>
  <c r="S2087" i="4"/>
  <c r="R2087" i="4"/>
  <c r="T2070" i="4"/>
  <c r="U2070" i="4" s="1"/>
  <c r="S2070" i="4"/>
  <c r="R2070" i="4"/>
  <c r="T2068" i="4"/>
  <c r="U2068" i="4" s="1"/>
  <c r="S2068" i="4"/>
  <c r="R2068" i="4"/>
  <c r="T1803" i="4"/>
  <c r="U1803" i="4" s="1"/>
  <c r="S1803" i="4"/>
  <c r="R1803" i="4"/>
  <c r="T1408" i="4"/>
  <c r="U1408" i="4" s="1"/>
  <c r="S1408" i="4"/>
  <c r="R1408" i="4"/>
  <c r="T1407" i="4"/>
  <c r="U1407" i="4" s="1"/>
  <c r="S1407" i="4"/>
  <c r="R1407" i="4"/>
  <c r="T1406" i="4"/>
  <c r="U1406" i="4" s="1"/>
  <c r="S1406" i="4"/>
  <c r="R1406" i="4"/>
  <c r="T1405" i="4"/>
  <c r="U1405" i="4" s="1"/>
  <c r="S1405" i="4"/>
  <c r="R1405" i="4"/>
  <c r="T1382" i="4"/>
  <c r="U1382" i="4" s="1"/>
  <c r="S1382" i="4"/>
  <c r="R1382" i="4"/>
  <c r="T1381" i="4"/>
  <c r="U1381" i="4" s="1"/>
  <c r="S1381" i="4"/>
  <c r="R1381" i="4"/>
  <c r="T1380" i="4"/>
  <c r="U1380" i="4" s="1"/>
  <c r="S1380" i="4"/>
  <c r="R1380" i="4"/>
  <c r="T1379" i="4"/>
  <c r="U1379" i="4" s="1"/>
  <c r="S1379" i="4"/>
  <c r="R1379" i="4"/>
  <c r="T1241" i="4"/>
  <c r="U1241" i="4" s="1"/>
  <c r="S1241" i="4"/>
  <c r="R1241" i="4"/>
  <c r="T1125" i="4"/>
  <c r="U1125" i="4" s="1"/>
  <c r="S1125" i="4"/>
  <c r="R1125" i="4"/>
  <c r="T1124" i="4"/>
  <c r="U1124" i="4" s="1"/>
  <c r="S1124" i="4"/>
  <c r="R1124" i="4"/>
  <c r="T892" i="4"/>
  <c r="U892" i="4" s="1"/>
  <c r="S892" i="4"/>
  <c r="R892" i="4"/>
  <c r="T890" i="4"/>
  <c r="U890" i="4" s="1"/>
  <c r="S890" i="4"/>
  <c r="R890" i="4"/>
  <c r="T888" i="4"/>
  <c r="U888" i="4" s="1"/>
  <c r="S888" i="4"/>
  <c r="R888" i="4"/>
  <c r="T712" i="4"/>
  <c r="U712" i="4" s="1"/>
  <c r="S712" i="4"/>
  <c r="R712" i="4"/>
  <c r="T711" i="4"/>
  <c r="U711" i="4" s="1"/>
  <c r="S711" i="4"/>
  <c r="R711" i="4"/>
  <c r="T249" i="4"/>
  <c r="U249" i="4" s="1"/>
  <c r="S249" i="4"/>
  <c r="R249" i="4"/>
  <c r="T247" i="4"/>
  <c r="U247" i="4" s="1"/>
  <c r="S247" i="4"/>
  <c r="R247" i="4"/>
  <c r="T2073" i="4"/>
  <c r="U2073" i="4" s="1"/>
  <c r="S2073" i="4"/>
  <c r="R2073" i="4"/>
  <c r="T2072" i="4"/>
  <c r="U2072" i="4" s="1"/>
  <c r="S2072" i="4"/>
  <c r="R2072" i="4"/>
  <c r="T2071" i="4"/>
  <c r="U2071" i="4" s="1"/>
  <c r="S2071" i="4"/>
  <c r="R2071" i="4"/>
  <c r="T1801" i="4"/>
  <c r="U1801" i="4" s="1"/>
  <c r="S1801" i="4"/>
  <c r="R1801" i="4"/>
  <c r="T889" i="4"/>
  <c r="U889" i="4" s="1"/>
  <c r="S889" i="4"/>
  <c r="R889" i="4"/>
  <c r="T714" i="4"/>
  <c r="U714" i="4" s="1"/>
  <c r="S714" i="4"/>
  <c r="R714" i="4"/>
  <c r="T713" i="4"/>
  <c r="U713" i="4" s="1"/>
  <c r="S713" i="4"/>
  <c r="R713" i="4"/>
  <c r="T250" i="4"/>
  <c r="U250" i="4" s="1"/>
  <c r="S250" i="4"/>
  <c r="R250" i="4"/>
  <c r="T248" i="4"/>
  <c r="U248" i="4" s="1"/>
  <c r="S248" i="4"/>
  <c r="R248" i="4"/>
  <c r="T1139" i="4"/>
  <c r="U1139" i="4" s="1"/>
  <c r="S1139" i="4"/>
  <c r="R1139" i="4"/>
  <c r="T1138" i="4"/>
  <c r="U1138" i="4" s="1"/>
  <c r="S1138" i="4"/>
  <c r="R1138" i="4"/>
  <c r="T2178" i="4"/>
  <c r="U2178" i="4" s="1"/>
  <c r="S2178" i="4"/>
  <c r="R2178" i="4"/>
  <c r="Q2298" i="4"/>
  <c r="T2029" i="4"/>
  <c r="S2029" i="4"/>
  <c r="S2298" i="4" s="1"/>
  <c r="R2029" i="4"/>
  <c r="R2298" i="4" s="1"/>
  <c r="T1825" i="4"/>
  <c r="U1825" i="4" s="1"/>
  <c r="S1825" i="4"/>
  <c r="R1825" i="4"/>
  <c r="T1518" i="4"/>
  <c r="U1518" i="4" s="1"/>
  <c r="S1518" i="4"/>
  <c r="R1518" i="4"/>
  <c r="T1362" i="4"/>
  <c r="U1362" i="4" s="1"/>
  <c r="S1362" i="4"/>
  <c r="R1362" i="4"/>
  <c r="T1316" i="4"/>
  <c r="U1316" i="4" s="1"/>
  <c r="S1316" i="4"/>
  <c r="R1316" i="4"/>
  <c r="T1185" i="4"/>
  <c r="U1185" i="4" s="1"/>
  <c r="S1185" i="4"/>
  <c r="R1185" i="4"/>
  <c r="T1043" i="4"/>
  <c r="U1043" i="4" s="1"/>
  <c r="S1043" i="4"/>
  <c r="R1043" i="4"/>
  <c r="T971" i="4"/>
  <c r="U971" i="4" s="1"/>
  <c r="S971" i="4"/>
  <c r="R971" i="4"/>
  <c r="T684" i="4"/>
  <c r="U684" i="4" s="1"/>
  <c r="S684" i="4"/>
  <c r="R684" i="4"/>
  <c r="Q116" i="4"/>
  <c r="T5" i="4"/>
  <c r="S5" i="4"/>
  <c r="S116" i="4" s="1"/>
  <c r="R5" i="4"/>
  <c r="R116" i="4" s="1"/>
  <c r="T314" i="4"/>
  <c r="U314" i="4" s="1"/>
  <c r="S314" i="4"/>
  <c r="R314" i="4"/>
  <c r="T868" i="4"/>
  <c r="U868" i="4" s="1"/>
  <c r="S868" i="4"/>
  <c r="R868" i="4"/>
  <c r="T2084" i="4"/>
  <c r="U2084" i="4" s="1"/>
  <c r="S2084" i="4"/>
  <c r="R2084" i="4"/>
  <c r="T2083" i="4"/>
  <c r="U2083" i="4" s="1"/>
  <c r="S2083" i="4"/>
  <c r="R2083" i="4"/>
  <c r="T2061" i="4"/>
  <c r="U2061" i="4" s="1"/>
  <c r="S2061" i="4"/>
  <c r="R2061" i="4"/>
  <c r="T2059" i="4"/>
  <c r="U2059" i="4" s="1"/>
  <c r="S2059" i="4"/>
  <c r="R2059" i="4"/>
  <c r="T2055" i="4"/>
  <c r="U2055" i="4" s="1"/>
  <c r="S2055" i="4"/>
  <c r="R2055" i="4"/>
  <c r="T2053" i="4"/>
  <c r="U2053" i="4" s="1"/>
  <c r="S2053" i="4"/>
  <c r="R2053" i="4"/>
  <c r="T2049" i="4"/>
  <c r="U2049" i="4" s="1"/>
  <c r="S2049" i="4"/>
  <c r="R2049" i="4"/>
  <c r="T2047" i="4"/>
  <c r="U2047" i="4" s="1"/>
  <c r="S2047" i="4"/>
  <c r="R2047" i="4"/>
  <c r="T1404" i="4"/>
  <c r="U1404" i="4" s="1"/>
  <c r="S1404" i="4"/>
  <c r="R1404" i="4"/>
  <c r="T1401" i="4"/>
  <c r="U1401" i="4" s="1"/>
  <c r="S1401" i="4"/>
  <c r="R1401" i="4"/>
  <c r="T1378" i="4"/>
  <c r="U1378" i="4" s="1"/>
  <c r="S1378" i="4"/>
  <c r="R1378" i="4"/>
  <c r="T1376" i="4"/>
  <c r="U1376" i="4" s="1"/>
  <c r="S1376" i="4"/>
  <c r="R1376" i="4"/>
  <c r="T1118" i="4"/>
  <c r="U1118" i="4" s="1"/>
  <c r="S1118" i="4"/>
  <c r="R1118" i="4"/>
  <c r="T1115" i="4"/>
  <c r="U1115" i="4" s="1"/>
  <c r="S1115" i="4"/>
  <c r="R1115" i="4"/>
  <c r="T926" i="4"/>
  <c r="U926" i="4" s="1"/>
  <c r="S926" i="4"/>
  <c r="R926" i="4"/>
  <c r="T924" i="4"/>
  <c r="U924" i="4" s="1"/>
  <c r="S924" i="4"/>
  <c r="R924" i="4"/>
  <c r="T922" i="4"/>
  <c r="U922" i="4" s="1"/>
  <c r="S922" i="4"/>
  <c r="R922" i="4"/>
  <c r="T920" i="4"/>
  <c r="U920" i="4" s="1"/>
  <c r="S920" i="4"/>
  <c r="R920" i="4"/>
  <c r="T849" i="4"/>
  <c r="U849" i="4" s="1"/>
  <c r="S849" i="4"/>
  <c r="R849" i="4"/>
  <c r="T707" i="4"/>
  <c r="U707" i="4" s="1"/>
  <c r="S707" i="4"/>
  <c r="R707" i="4"/>
  <c r="T700" i="4"/>
  <c r="U700" i="4" s="1"/>
  <c r="S700" i="4"/>
  <c r="R700" i="4"/>
  <c r="T697" i="4"/>
  <c r="U697" i="4" s="1"/>
  <c r="S697" i="4"/>
  <c r="R697" i="4"/>
  <c r="T694" i="4"/>
  <c r="U694" i="4" s="1"/>
  <c r="S694" i="4"/>
  <c r="R694" i="4"/>
  <c r="T262" i="4"/>
  <c r="U262" i="4" s="1"/>
  <c r="S262" i="4"/>
  <c r="R262" i="4"/>
  <c r="T260" i="4"/>
  <c r="U260" i="4" s="1"/>
  <c r="S260" i="4"/>
  <c r="R260" i="4"/>
  <c r="T258" i="4"/>
  <c r="U258" i="4" s="1"/>
  <c r="S258" i="4"/>
  <c r="R258" i="4"/>
  <c r="T256" i="4"/>
  <c r="U256" i="4" s="1"/>
  <c r="S256" i="4"/>
  <c r="R256" i="4"/>
  <c r="T254" i="4"/>
  <c r="U254" i="4" s="1"/>
  <c r="S254" i="4"/>
  <c r="R254" i="4"/>
  <c r="T251" i="4"/>
  <c r="U251" i="4" s="1"/>
  <c r="S251" i="4"/>
  <c r="R251" i="4"/>
  <c r="T2292" i="4"/>
  <c r="U2292" i="4" s="1"/>
  <c r="S2292" i="4"/>
  <c r="R2292" i="4"/>
  <c r="T2291" i="4"/>
  <c r="U2291" i="4" s="1"/>
  <c r="S2291" i="4"/>
  <c r="R2291" i="4"/>
  <c r="T2290" i="4"/>
  <c r="U2290" i="4" s="1"/>
  <c r="S2290" i="4"/>
  <c r="R2290" i="4"/>
  <c r="T2287" i="4"/>
  <c r="U2287" i="4" s="1"/>
  <c r="S2287" i="4"/>
  <c r="R2287" i="4"/>
  <c r="T2281" i="4"/>
  <c r="U2281" i="4" s="1"/>
  <c r="S2281" i="4"/>
  <c r="R2281" i="4"/>
  <c r="T2280" i="4"/>
  <c r="U2280" i="4" s="1"/>
  <c r="S2280" i="4"/>
  <c r="R2280" i="4"/>
  <c r="T2279" i="4"/>
  <c r="U2279" i="4" s="1"/>
  <c r="S2279" i="4"/>
  <c r="R2279" i="4"/>
  <c r="T2278" i="4"/>
  <c r="U2278" i="4" s="1"/>
  <c r="S2278" i="4"/>
  <c r="R2278" i="4"/>
  <c r="T2262" i="4"/>
  <c r="U2262" i="4" s="1"/>
  <c r="S2262" i="4"/>
  <c r="R2262" i="4"/>
  <c r="T2256" i="4"/>
  <c r="U2256" i="4" s="1"/>
  <c r="S2256" i="4"/>
  <c r="R2256" i="4"/>
  <c r="T2255" i="4"/>
  <c r="U2255" i="4" s="1"/>
  <c r="S2255" i="4"/>
  <c r="R2255" i="4"/>
  <c r="T2254" i="4"/>
  <c r="U2254" i="4" s="1"/>
  <c r="S2254" i="4"/>
  <c r="R2254" i="4"/>
  <c r="T2253" i="4"/>
  <c r="U2253" i="4" s="1"/>
  <c r="S2253" i="4"/>
  <c r="R2253" i="4"/>
  <c r="T2252" i="4"/>
  <c r="U2252" i="4" s="1"/>
  <c r="S2252" i="4"/>
  <c r="R2252" i="4"/>
  <c r="T2251" i="4"/>
  <c r="U2251" i="4" s="1"/>
  <c r="S2251" i="4"/>
  <c r="R2251" i="4"/>
  <c r="T2244" i="4"/>
  <c r="U2244" i="4" s="1"/>
  <c r="S2244" i="4"/>
  <c r="R2244" i="4"/>
  <c r="T2243" i="4"/>
  <c r="U2243" i="4" s="1"/>
  <c r="S2243" i="4"/>
  <c r="R2243" i="4"/>
  <c r="T2242" i="4"/>
  <c r="U2242" i="4" s="1"/>
  <c r="S2242" i="4"/>
  <c r="R2242" i="4"/>
  <c r="T2241" i="4"/>
  <c r="U2241" i="4" s="1"/>
  <c r="S2241" i="4"/>
  <c r="R2241" i="4"/>
  <c r="T2240" i="4"/>
  <c r="U2240" i="4" s="1"/>
  <c r="S2240" i="4"/>
  <c r="R2240" i="4"/>
  <c r="T2239" i="4"/>
  <c r="U2239" i="4" s="1"/>
  <c r="S2239" i="4"/>
  <c r="R2239" i="4"/>
  <c r="T2231" i="4"/>
  <c r="U2231" i="4" s="1"/>
  <c r="S2231" i="4"/>
  <c r="R2231" i="4"/>
  <c r="T2230" i="4"/>
  <c r="U2230" i="4" s="1"/>
  <c r="S2230" i="4"/>
  <c r="R2230" i="4"/>
  <c r="T2229" i="4"/>
  <c r="U2229" i="4" s="1"/>
  <c r="S2229" i="4"/>
  <c r="R2229" i="4"/>
  <c r="T2228" i="4"/>
  <c r="U2228" i="4" s="1"/>
  <c r="S2228" i="4"/>
  <c r="R2228" i="4"/>
  <c r="T2227" i="4"/>
  <c r="U2227" i="4" s="1"/>
  <c r="S2227" i="4"/>
  <c r="R2227" i="4"/>
  <c r="T2226" i="4"/>
  <c r="U2226" i="4" s="1"/>
  <c r="S2226" i="4"/>
  <c r="R2226" i="4"/>
  <c r="T2225" i="4"/>
  <c r="U2225" i="4" s="1"/>
  <c r="S2225" i="4"/>
  <c r="R2225" i="4"/>
  <c r="T2215" i="4"/>
  <c r="U2215" i="4" s="1"/>
  <c r="S2215" i="4"/>
  <c r="R2215" i="4"/>
  <c r="T2214" i="4"/>
  <c r="U2214" i="4" s="1"/>
  <c r="S2214" i="4"/>
  <c r="R2214" i="4"/>
  <c r="T2213" i="4"/>
  <c r="U2213" i="4" s="1"/>
  <c r="S2213" i="4"/>
  <c r="R2213" i="4"/>
  <c r="T2212" i="4"/>
  <c r="U2212" i="4" s="1"/>
  <c r="S2212" i="4"/>
  <c r="R2212" i="4"/>
  <c r="T2211" i="4"/>
  <c r="U2211" i="4" s="1"/>
  <c r="S2211" i="4"/>
  <c r="R2211" i="4"/>
  <c r="T2210" i="4"/>
  <c r="U2210" i="4" s="1"/>
  <c r="S2210" i="4"/>
  <c r="R2210" i="4"/>
  <c r="T2209" i="4"/>
  <c r="U2209" i="4" s="1"/>
  <c r="S2209" i="4"/>
  <c r="R2209" i="4"/>
  <c r="T2199" i="4"/>
  <c r="U2199" i="4" s="1"/>
  <c r="S2199" i="4"/>
  <c r="R2199" i="4"/>
  <c r="T2198" i="4"/>
  <c r="U2198" i="4" s="1"/>
  <c r="S2198" i="4"/>
  <c r="R2198" i="4"/>
  <c r="T2197" i="4"/>
  <c r="U2197" i="4" s="1"/>
  <c r="S2197" i="4"/>
  <c r="R2197" i="4"/>
  <c r="T2187" i="4"/>
  <c r="U2187" i="4" s="1"/>
  <c r="S2187" i="4"/>
  <c r="R2187" i="4"/>
  <c r="T2185" i="4"/>
  <c r="U2185" i="4" s="1"/>
  <c r="S2185" i="4"/>
  <c r="R2185" i="4"/>
  <c r="T2174" i="4"/>
  <c r="U2174" i="4" s="1"/>
  <c r="S2174" i="4"/>
  <c r="R2174" i="4"/>
  <c r="T2168" i="4"/>
  <c r="U2168" i="4" s="1"/>
  <c r="S2168" i="4"/>
  <c r="R2168" i="4"/>
  <c r="T2167" i="4"/>
  <c r="U2167" i="4" s="1"/>
  <c r="S2167" i="4"/>
  <c r="R2167" i="4"/>
  <c r="T2166" i="4"/>
  <c r="U2166" i="4" s="1"/>
  <c r="S2166" i="4"/>
  <c r="R2166" i="4"/>
  <c r="T2165" i="4"/>
  <c r="U2165" i="4" s="1"/>
  <c r="S2165" i="4"/>
  <c r="R2165" i="4"/>
  <c r="T2164" i="4"/>
  <c r="U2164" i="4" s="1"/>
  <c r="S2164" i="4"/>
  <c r="R2164" i="4"/>
  <c r="T2163" i="4"/>
  <c r="U2163" i="4" s="1"/>
  <c r="S2163" i="4"/>
  <c r="R2163" i="4"/>
  <c r="T2162" i="4"/>
  <c r="U2162" i="4" s="1"/>
  <c r="S2162" i="4"/>
  <c r="R2162" i="4"/>
  <c r="T2157" i="4"/>
  <c r="U2157" i="4" s="1"/>
  <c r="S2157" i="4"/>
  <c r="R2157" i="4"/>
  <c r="T2156" i="4"/>
  <c r="U2156" i="4" s="1"/>
  <c r="S2156" i="4"/>
  <c r="R2156" i="4"/>
  <c r="T2155" i="4"/>
  <c r="U2155" i="4" s="1"/>
  <c r="S2155" i="4"/>
  <c r="R2155" i="4"/>
  <c r="T2154" i="4"/>
  <c r="U2154" i="4" s="1"/>
  <c r="S2154" i="4"/>
  <c r="R2154" i="4"/>
  <c r="T2153" i="4"/>
  <c r="U2153" i="4" s="1"/>
  <c r="S2153" i="4"/>
  <c r="R2153" i="4"/>
  <c r="T2152" i="4"/>
  <c r="U2152" i="4" s="1"/>
  <c r="S2152" i="4"/>
  <c r="R2152" i="4"/>
  <c r="T2151" i="4"/>
  <c r="U2151" i="4" s="1"/>
  <c r="S2151" i="4"/>
  <c r="R2151" i="4"/>
  <c r="T2150" i="4"/>
  <c r="U2150" i="4" s="1"/>
  <c r="S2150" i="4"/>
  <c r="R2150" i="4"/>
  <c r="T2123" i="4"/>
  <c r="U2123" i="4" s="1"/>
  <c r="S2123" i="4"/>
  <c r="R2123" i="4"/>
  <c r="T2122" i="4"/>
  <c r="U2122" i="4" s="1"/>
  <c r="S2122" i="4"/>
  <c r="R2122" i="4"/>
  <c r="T2121" i="4"/>
  <c r="U2121" i="4" s="1"/>
  <c r="S2121" i="4"/>
  <c r="R2121" i="4"/>
  <c r="T2120" i="4"/>
  <c r="U2120" i="4" s="1"/>
  <c r="S2120" i="4"/>
  <c r="R2120" i="4"/>
  <c r="T2119" i="4"/>
  <c r="U2119" i="4" s="1"/>
  <c r="S2119" i="4"/>
  <c r="R2119" i="4"/>
  <c r="T2118" i="4"/>
  <c r="U2118" i="4" s="1"/>
  <c r="S2118" i="4"/>
  <c r="R2118" i="4"/>
  <c r="T2100" i="4"/>
  <c r="U2100" i="4" s="1"/>
  <c r="S2100" i="4"/>
  <c r="R2100" i="4"/>
  <c r="T2095" i="4"/>
  <c r="U2095" i="4" s="1"/>
  <c r="S2095" i="4"/>
  <c r="R2095" i="4"/>
  <c r="T2009" i="4"/>
  <c r="U2009" i="4" s="1"/>
  <c r="S2009" i="4"/>
  <c r="R2009" i="4"/>
  <c r="T1997" i="4"/>
  <c r="U1997" i="4" s="1"/>
  <c r="S1997" i="4"/>
  <c r="R1997" i="4"/>
  <c r="T1994" i="4"/>
  <c r="U1994" i="4" s="1"/>
  <c r="S1994" i="4"/>
  <c r="R1994" i="4"/>
  <c r="T1986" i="4"/>
  <c r="U1986" i="4" s="1"/>
  <c r="S1986" i="4"/>
  <c r="R1986" i="4"/>
  <c r="T1981" i="4"/>
  <c r="U1981" i="4" s="1"/>
  <c r="S1981" i="4"/>
  <c r="R1981" i="4"/>
  <c r="T1977" i="4"/>
  <c r="U1977" i="4" s="1"/>
  <c r="S1977" i="4"/>
  <c r="R1977" i="4"/>
  <c r="T1974" i="4"/>
  <c r="U1974" i="4" s="1"/>
  <c r="S1974" i="4"/>
  <c r="R1974" i="4"/>
  <c r="T1971" i="4"/>
  <c r="U1971" i="4" s="1"/>
  <c r="S1971" i="4"/>
  <c r="R1971" i="4"/>
  <c r="T1964" i="4"/>
  <c r="U1964" i="4" s="1"/>
  <c r="S1964" i="4"/>
  <c r="R1964" i="4"/>
  <c r="T1958" i="4"/>
  <c r="U1958" i="4" s="1"/>
  <c r="S1958" i="4"/>
  <c r="R1958" i="4"/>
  <c r="T1956" i="4"/>
  <c r="U1956" i="4" s="1"/>
  <c r="S1956" i="4"/>
  <c r="R1956" i="4"/>
  <c r="T1952" i="4"/>
  <c r="U1952" i="4" s="1"/>
  <c r="S1952" i="4"/>
  <c r="R1952" i="4"/>
  <c r="T1950" i="4"/>
  <c r="U1950" i="4" s="1"/>
  <c r="S1950" i="4"/>
  <c r="R1950" i="4"/>
  <c r="T1948" i="4"/>
  <c r="U1948" i="4" s="1"/>
  <c r="S1948" i="4"/>
  <c r="R1948" i="4"/>
  <c r="T1940" i="4"/>
  <c r="U1940" i="4" s="1"/>
  <c r="S1940" i="4"/>
  <c r="R1940" i="4"/>
  <c r="T1934" i="4"/>
  <c r="U1934" i="4" s="1"/>
  <c r="S1934" i="4"/>
  <c r="R1934" i="4"/>
  <c r="T1932" i="4"/>
  <c r="U1932" i="4" s="1"/>
  <c r="S1932" i="4"/>
  <c r="R1932" i="4"/>
  <c r="T1925" i="4"/>
  <c r="U1925" i="4" s="1"/>
  <c r="S1925" i="4"/>
  <c r="R1925" i="4"/>
  <c r="T1923" i="4"/>
  <c r="U1923" i="4" s="1"/>
  <c r="S1923" i="4"/>
  <c r="R1923" i="4"/>
  <c r="T1921" i="4"/>
  <c r="U1921" i="4" s="1"/>
  <c r="S1921" i="4"/>
  <c r="R1921" i="4"/>
  <c r="T1919" i="4"/>
  <c r="U1919" i="4" s="1"/>
  <c r="S1919" i="4"/>
  <c r="R1919" i="4"/>
  <c r="T1917" i="4"/>
  <c r="U1917" i="4" s="1"/>
  <c r="S1917" i="4"/>
  <c r="R1917" i="4"/>
  <c r="T1905" i="4"/>
  <c r="U1905" i="4" s="1"/>
  <c r="S1905" i="4"/>
  <c r="R1905" i="4"/>
  <c r="T1903" i="4"/>
  <c r="U1903" i="4" s="1"/>
  <c r="S1903" i="4"/>
  <c r="R1903" i="4"/>
  <c r="T1901" i="4"/>
  <c r="U1901" i="4" s="1"/>
  <c r="S1901" i="4"/>
  <c r="R1901" i="4"/>
  <c r="T1899" i="4"/>
  <c r="U1899" i="4" s="1"/>
  <c r="S1899" i="4"/>
  <c r="R1899" i="4"/>
  <c r="T1893" i="4"/>
  <c r="U1893" i="4" s="1"/>
  <c r="S1893" i="4"/>
  <c r="R1893" i="4"/>
  <c r="T1891" i="4"/>
  <c r="U1891" i="4" s="1"/>
  <c r="S1891" i="4"/>
  <c r="R1891" i="4"/>
  <c r="T1872" i="4"/>
  <c r="U1872" i="4" s="1"/>
  <c r="S1872" i="4"/>
  <c r="R1872" i="4"/>
  <c r="T1867" i="4"/>
  <c r="U1867" i="4" s="1"/>
  <c r="S1867" i="4"/>
  <c r="R1867" i="4"/>
  <c r="T1864" i="4"/>
  <c r="U1864" i="4" s="1"/>
  <c r="S1864" i="4"/>
  <c r="R1864" i="4"/>
  <c r="T1862" i="4"/>
  <c r="U1862" i="4" s="1"/>
  <c r="S1862" i="4"/>
  <c r="R1862" i="4"/>
  <c r="T1859" i="4"/>
  <c r="U1859" i="4" s="1"/>
  <c r="S1859" i="4"/>
  <c r="R1859" i="4"/>
  <c r="T1856" i="4"/>
  <c r="U1856" i="4" s="1"/>
  <c r="S1856" i="4"/>
  <c r="R1856" i="4"/>
  <c r="T1851" i="4"/>
  <c r="U1851" i="4" s="1"/>
  <c r="S1851" i="4"/>
  <c r="R1851" i="4"/>
  <c r="T1849" i="4"/>
  <c r="U1849" i="4" s="1"/>
  <c r="S1849" i="4"/>
  <c r="R1849" i="4"/>
  <c r="T1834" i="4"/>
  <c r="U1834" i="4" s="1"/>
  <c r="S1834" i="4"/>
  <c r="R1834" i="4"/>
  <c r="T1813" i="4"/>
  <c r="U1813" i="4" s="1"/>
  <c r="S1813" i="4"/>
  <c r="R1813" i="4"/>
  <c r="T1811" i="4"/>
  <c r="U1811" i="4" s="1"/>
  <c r="S1811" i="4"/>
  <c r="R1811" i="4"/>
  <c r="T1809" i="4"/>
  <c r="U1809" i="4" s="1"/>
  <c r="S1809" i="4"/>
  <c r="R1809" i="4"/>
  <c r="T1785" i="4"/>
  <c r="U1785" i="4" s="1"/>
  <c r="S1785" i="4"/>
  <c r="R1785" i="4"/>
  <c r="T1769" i="4"/>
  <c r="U1769" i="4" s="1"/>
  <c r="S1769" i="4"/>
  <c r="R1769" i="4"/>
  <c r="T1767" i="4"/>
  <c r="U1767" i="4" s="1"/>
  <c r="S1767" i="4"/>
  <c r="R1767" i="4"/>
  <c r="T1765" i="4"/>
  <c r="U1765" i="4" s="1"/>
  <c r="S1765" i="4"/>
  <c r="R1765" i="4"/>
  <c r="T1763" i="4"/>
  <c r="U1763" i="4" s="1"/>
  <c r="S1763" i="4"/>
  <c r="R1763" i="4"/>
  <c r="T1761" i="4"/>
  <c r="U1761" i="4" s="1"/>
  <c r="S1761" i="4"/>
  <c r="R1761" i="4"/>
  <c r="T1759" i="4"/>
  <c r="U1759" i="4" s="1"/>
  <c r="S1759" i="4"/>
  <c r="R1759" i="4"/>
  <c r="T1757" i="4"/>
  <c r="U1757" i="4" s="1"/>
  <c r="S1757" i="4"/>
  <c r="R1757" i="4"/>
  <c r="T1755" i="4"/>
  <c r="U1755" i="4" s="1"/>
  <c r="S1755" i="4"/>
  <c r="R1755" i="4"/>
  <c r="T1753" i="4"/>
  <c r="U1753" i="4" s="1"/>
  <c r="S1753" i="4"/>
  <c r="R1753" i="4"/>
  <c r="T1751" i="4"/>
  <c r="U1751" i="4" s="1"/>
  <c r="S1751" i="4"/>
  <c r="R1751" i="4"/>
  <c r="T1742" i="4"/>
  <c r="U1742" i="4" s="1"/>
  <c r="S1742" i="4"/>
  <c r="R1742" i="4"/>
  <c r="T1738" i="4"/>
  <c r="U1738" i="4" s="1"/>
  <c r="S1738" i="4"/>
  <c r="R1738" i="4"/>
  <c r="T1736" i="4"/>
  <c r="U1736" i="4" s="1"/>
  <c r="S1736" i="4"/>
  <c r="R1736" i="4"/>
  <c r="T1734" i="4"/>
  <c r="U1734" i="4" s="1"/>
  <c r="S1734" i="4"/>
  <c r="R1734" i="4"/>
  <c r="T1732" i="4"/>
  <c r="U1732" i="4" s="1"/>
  <c r="S1732" i="4"/>
  <c r="R1732" i="4"/>
  <c r="T1730" i="4"/>
  <c r="U1730" i="4" s="1"/>
  <c r="S1730" i="4"/>
  <c r="R1730" i="4"/>
  <c r="T1728" i="4"/>
  <c r="U1728" i="4" s="1"/>
  <c r="S1728" i="4"/>
  <c r="R1728" i="4"/>
  <c r="T1726" i="4"/>
  <c r="U1726" i="4" s="1"/>
  <c r="S1726" i="4"/>
  <c r="R1726" i="4"/>
  <c r="T1723" i="4"/>
  <c r="U1723" i="4" s="1"/>
  <c r="S1723" i="4"/>
  <c r="R1723" i="4"/>
  <c r="T1619" i="4"/>
  <c r="U1619" i="4" s="1"/>
  <c r="S1619" i="4"/>
  <c r="R1619" i="4"/>
  <c r="T1618" i="4"/>
  <c r="U1618" i="4" s="1"/>
  <c r="S1618" i="4"/>
  <c r="R1618" i="4"/>
  <c r="T1617" i="4"/>
  <c r="U1617" i="4" s="1"/>
  <c r="S1617" i="4"/>
  <c r="R1617" i="4"/>
  <c r="T1613" i="4"/>
  <c r="U1613" i="4" s="1"/>
  <c r="S1613" i="4"/>
  <c r="R1613" i="4"/>
  <c r="T1608" i="4"/>
  <c r="U1608" i="4" s="1"/>
  <c r="S1608" i="4"/>
  <c r="R1608" i="4"/>
  <c r="T1603" i="4"/>
  <c r="U1603" i="4" s="1"/>
  <c r="S1603" i="4"/>
  <c r="R1603" i="4"/>
  <c r="T1601" i="4"/>
  <c r="U1601" i="4" s="1"/>
  <c r="S1601" i="4"/>
  <c r="R1601" i="4"/>
  <c r="T1599" i="4"/>
  <c r="U1599" i="4" s="1"/>
  <c r="S1599" i="4"/>
  <c r="R1599" i="4"/>
  <c r="T1598" i="4"/>
  <c r="U1598" i="4" s="1"/>
  <c r="S1598" i="4"/>
  <c r="R1598" i="4"/>
  <c r="T1595" i="4"/>
  <c r="U1595" i="4" s="1"/>
  <c r="S1595" i="4"/>
  <c r="R1595" i="4"/>
  <c r="T1574" i="4"/>
  <c r="U1574" i="4" s="1"/>
  <c r="S1574" i="4"/>
  <c r="R1574" i="4"/>
  <c r="T1548" i="4"/>
  <c r="U1548" i="4" s="1"/>
  <c r="S1548" i="4"/>
  <c r="R1548" i="4"/>
  <c r="T1546" i="4"/>
  <c r="U1546" i="4" s="1"/>
  <c r="S1546" i="4"/>
  <c r="R1546" i="4"/>
  <c r="T1545" i="4"/>
  <c r="U1545" i="4" s="1"/>
  <c r="S1545" i="4"/>
  <c r="R1545" i="4"/>
  <c r="T1541" i="4"/>
  <c r="U1541" i="4" s="1"/>
  <c r="S1541" i="4"/>
  <c r="R1541" i="4"/>
  <c r="T1539" i="4"/>
  <c r="U1539" i="4" s="1"/>
  <c r="S1539" i="4"/>
  <c r="R1539" i="4"/>
  <c r="T1536" i="4"/>
  <c r="U1536" i="4" s="1"/>
  <c r="S1536" i="4"/>
  <c r="R1536" i="4"/>
  <c r="T1535" i="4"/>
  <c r="U1535" i="4" s="1"/>
  <c r="S1535" i="4"/>
  <c r="R1535" i="4"/>
  <c r="T1534" i="4"/>
  <c r="U1534" i="4" s="1"/>
  <c r="S1534" i="4"/>
  <c r="R1534" i="4"/>
  <c r="T1530" i="4"/>
  <c r="U1530" i="4" s="1"/>
  <c r="S1530" i="4"/>
  <c r="R1530" i="4"/>
  <c r="T1526" i="4"/>
  <c r="U1526" i="4" s="1"/>
  <c r="S1526" i="4"/>
  <c r="R1526" i="4"/>
  <c r="T1525" i="4"/>
  <c r="U1525" i="4" s="1"/>
  <c r="S1525" i="4"/>
  <c r="R1525" i="4"/>
  <c r="T1524" i="4"/>
  <c r="U1524" i="4" s="1"/>
  <c r="S1524" i="4"/>
  <c r="R1524" i="4"/>
  <c r="T1523" i="4"/>
  <c r="U1523" i="4" s="1"/>
  <c r="S1523" i="4"/>
  <c r="R1523" i="4"/>
  <c r="T1509" i="4"/>
  <c r="U1509" i="4" s="1"/>
  <c r="S1509" i="4"/>
  <c r="R1509" i="4"/>
  <c r="T1508" i="4"/>
  <c r="U1508" i="4" s="1"/>
  <c r="S1508" i="4"/>
  <c r="R1508" i="4"/>
  <c r="T1505" i="4"/>
  <c r="U1505" i="4" s="1"/>
  <c r="S1505" i="4"/>
  <c r="R1505" i="4"/>
  <c r="T1504" i="4"/>
  <c r="U1504" i="4" s="1"/>
  <c r="S1504" i="4"/>
  <c r="R1504" i="4"/>
  <c r="T1503" i="4"/>
  <c r="U1503" i="4" s="1"/>
  <c r="S1503" i="4"/>
  <c r="R1503" i="4"/>
  <c r="T1502" i="4"/>
  <c r="U1502" i="4" s="1"/>
  <c r="S1502" i="4"/>
  <c r="R1502" i="4"/>
  <c r="T1500" i="4"/>
  <c r="U1500" i="4" s="1"/>
  <c r="S1500" i="4"/>
  <c r="R1500" i="4"/>
  <c r="T1499" i="4"/>
  <c r="U1499" i="4" s="1"/>
  <c r="S1499" i="4"/>
  <c r="R1499" i="4"/>
  <c r="T1497" i="4"/>
  <c r="U1497" i="4" s="1"/>
  <c r="S1497" i="4"/>
  <c r="R1497" i="4"/>
  <c r="T1494" i="4"/>
  <c r="U1494" i="4" s="1"/>
  <c r="S1494" i="4"/>
  <c r="R1494" i="4"/>
  <c r="T1493" i="4"/>
  <c r="U1493" i="4" s="1"/>
  <c r="S1493" i="4"/>
  <c r="R1493" i="4"/>
  <c r="T1492" i="4"/>
  <c r="U1492" i="4" s="1"/>
  <c r="S1492" i="4"/>
  <c r="R1492" i="4"/>
  <c r="T1489" i="4"/>
  <c r="U1489" i="4" s="1"/>
  <c r="S1489" i="4"/>
  <c r="R1489" i="4"/>
  <c r="T1488" i="4"/>
  <c r="U1488" i="4" s="1"/>
  <c r="S1488" i="4"/>
  <c r="R1488" i="4"/>
  <c r="T1487" i="4"/>
  <c r="U1487" i="4" s="1"/>
  <c r="S1487" i="4"/>
  <c r="R1487" i="4"/>
  <c r="T1486" i="4"/>
  <c r="U1486" i="4" s="1"/>
  <c r="S1486" i="4"/>
  <c r="R1486" i="4"/>
  <c r="T1485" i="4"/>
  <c r="U1485" i="4" s="1"/>
  <c r="S1485" i="4"/>
  <c r="R1485" i="4"/>
  <c r="T1484" i="4"/>
  <c r="U1484" i="4" s="1"/>
  <c r="S1484" i="4"/>
  <c r="R1484" i="4"/>
  <c r="T1481" i="4"/>
  <c r="U1481" i="4" s="1"/>
  <c r="S1481" i="4"/>
  <c r="R1481" i="4"/>
  <c r="T1479" i="4"/>
  <c r="U1479" i="4" s="1"/>
  <c r="S1479" i="4"/>
  <c r="R1479" i="4"/>
  <c r="T1478" i="4"/>
  <c r="U1478" i="4" s="1"/>
  <c r="S1478" i="4"/>
  <c r="R1478" i="4"/>
  <c r="T1475" i="4"/>
  <c r="U1475" i="4" s="1"/>
  <c r="S1475" i="4"/>
  <c r="R1475" i="4"/>
  <c r="T1474" i="4"/>
  <c r="U1474" i="4" s="1"/>
  <c r="S1474" i="4"/>
  <c r="R1474" i="4"/>
  <c r="T1469" i="4"/>
  <c r="U1469" i="4" s="1"/>
  <c r="S1469" i="4"/>
  <c r="R1469" i="4"/>
  <c r="T1468" i="4"/>
  <c r="U1468" i="4" s="1"/>
  <c r="S1468" i="4"/>
  <c r="R1468" i="4"/>
  <c r="T1465" i="4"/>
  <c r="U1465" i="4" s="1"/>
  <c r="S1465" i="4"/>
  <c r="R1465" i="4"/>
  <c r="T1464" i="4"/>
  <c r="U1464" i="4" s="1"/>
  <c r="S1464" i="4"/>
  <c r="R1464" i="4"/>
  <c r="T1455" i="4"/>
  <c r="U1455" i="4" s="1"/>
  <c r="S1455" i="4"/>
  <c r="R1455" i="4"/>
  <c r="T1450" i="4"/>
  <c r="U1450" i="4" s="1"/>
  <c r="S1450" i="4"/>
  <c r="R1450" i="4"/>
  <c r="T1426" i="4"/>
  <c r="U1426" i="4" s="1"/>
  <c r="S1426" i="4"/>
  <c r="R1426" i="4"/>
  <c r="T1424" i="4"/>
  <c r="U1424" i="4" s="1"/>
  <c r="S1424" i="4"/>
  <c r="R1424" i="4"/>
  <c r="T1422" i="4"/>
  <c r="U1422" i="4" s="1"/>
  <c r="S1422" i="4"/>
  <c r="R1422" i="4"/>
  <c r="T1420" i="4"/>
  <c r="U1420" i="4" s="1"/>
  <c r="S1420" i="4"/>
  <c r="R1420" i="4"/>
  <c r="T1418" i="4"/>
  <c r="U1418" i="4" s="1"/>
  <c r="S1418" i="4"/>
  <c r="R1418" i="4"/>
  <c r="T1417" i="4"/>
  <c r="U1417" i="4" s="1"/>
  <c r="S1417" i="4"/>
  <c r="R1417" i="4"/>
  <c r="T1412" i="4"/>
  <c r="U1412" i="4" s="1"/>
  <c r="S1412" i="4"/>
  <c r="R1412" i="4"/>
  <c r="T1400" i="4"/>
  <c r="U1400" i="4" s="1"/>
  <c r="S1400" i="4"/>
  <c r="R1400" i="4"/>
  <c r="T1398" i="4"/>
  <c r="U1398" i="4" s="1"/>
  <c r="S1398" i="4"/>
  <c r="R1398" i="4"/>
  <c r="T1393" i="4"/>
  <c r="U1393" i="4" s="1"/>
  <c r="S1393" i="4"/>
  <c r="R1393" i="4"/>
  <c r="T1392" i="4"/>
  <c r="U1392" i="4" s="1"/>
  <c r="S1392" i="4"/>
  <c r="R1392" i="4"/>
  <c r="T1391" i="4"/>
  <c r="U1391" i="4" s="1"/>
  <c r="S1391" i="4"/>
  <c r="R1391" i="4"/>
  <c r="T1389" i="4"/>
  <c r="U1389" i="4" s="1"/>
  <c r="S1389" i="4"/>
  <c r="R1389" i="4"/>
  <c r="T1388" i="4"/>
  <c r="U1388" i="4" s="1"/>
  <c r="S1388" i="4"/>
  <c r="R1388" i="4"/>
  <c r="T1387" i="4"/>
  <c r="U1387" i="4" s="1"/>
  <c r="S1387" i="4"/>
  <c r="R1387" i="4"/>
  <c r="T1386" i="4"/>
  <c r="U1386" i="4" s="1"/>
  <c r="S1386" i="4"/>
  <c r="R1386" i="4"/>
  <c r="T1373" i="4"/>
  <c r="U1373" i="4" s="1"/>
  <c r="S1373" i="4"/>
  <c r="R1373" i="4"/>
  <c r="T1372" i="4"/>
  <c r="U1372" i="4" s="1"/>
  <c r="S1372" i="4"/>
  <c r="R1372" i="4"/>
  <c r="T1371" i="4"/>
  <c r="U1371" i="4" s="1"/>
  <c r="S1371" i="4"/>
  <c r="R1371" i="4"/>
  <c r="T1370" i="4"/>
  <c r="U1370" i="4" s="1"/>
  <c r="S1370" i="4"/>
  <c r="R1370" i="4"/>
  <c r="T1369" i="4"/>
  <c r="U1369" i="4" s="1"/>
  <c r="S1369" i="4"/>
  <c r="R1369" i="4"/>
  <c r="T1354" i="4"/>
  <c r="U1354" i="4" s="1"/>
  <c r="S1354" i="4"/>
  <c r="R1354" i="4"/>
  <c r="T1339" i="4"/>
  <c r="U1339" i="4" s="1"/>
  <c r="S1339" i="4"/>
  <c r="R1339" i="4"/>
  <c r="T1338" i="4"/>
  <c r="U1338" i="4" s="1"/>
  <c r="S1338" i="4"/>
  <c r="R1338" i="4"/>
  <c r="T1337" i="4"/>
  <c r="U1337" i="4" s="1"/>
  <c r="S1337" i="4"/>
  <c r="R1337" i="4"/>
  <c r="T1333" i="4"/>
  <c r="U1333" i="4" s="1"/>
  <c r="S1333" i="4"/>
  <c r="R1333" i="4"/>
  <c r="T1330" i="4"/>
  <c r="U1330" i="4" s="1"/>
  <c r="S1330" i="4"/>
  <c r="R1330" i="4"/>
  <c r="T1324" i="4"/>
  <c r="U1324" i="4" s="1"/>
  <c r="S1324" i="4"/>
  <c r="R1324" i="4"/>
  <c r="T1321" i="4"/>
  <c r="U1321" i="4" s="1"/>
  <c r="S1321" i="4"/>
  <c r="R1321" i="4"/>
  <c r="T1320" i="4"/>
  <c r="U1320" i="4" s="1"/>
  <c r="S1320" i="4"/>
  <c r="R1320" i="4"/>
  <c r="T1319" i="4"/>
  <c r="U1319" i="4" s="1"/>
  <c r="S1319" i="4"/>
  <c r="R1319" i="4"/>
  <c r="T1294" i="4"/>
  <c r="U1294" i="4" s="1"/>
  <c r="S1294" i="4"/>
  <c r="R1294" i="4"/>
  <c r="T1293" i="4"/>
  <c r="U1293" i="4" s="1"/>
  <c r="S1293" i="4"/>
  <c r="R1293" i="4"/>
  <c r="T1292" i="4"/>
  <c r="U1292" i="4" s="1"/>
  <c r="S1292" i="4"/>
  <c r="R1292" i="4"/>
  <c r="T1283" i="4"/>
  <c r="U1283" i="4" s="1"/>
  <c r="S1283" i="4"/>
  <c r="R1283" i="4"/>
  <c r="T1282" i="4"/>
  <c r="U1282" i="4" s="1"/>
  <c r="S1282" i="4"/>
  <c r="R1282" i="4"/>
  <c r="T1281" i="4"/>
  <c r="U1281" i="4" s="1"/>
  <c r="S1281" i="4"/>
  <c r="R1281" i="4"/>
  <c r="T1280" i="4"/>
  <c r="U1280" i="4" s="1"/>
  <c r="S1280" i="4"/>
  <c r="R1280" i="4"/>
  <c r="T1270" i="4"/>
  <c r="U1270" i="4" s="1"/>
  <c r="S1270" i="4"/>
  <c r="R1270" i="4"/>
  <c r="T1267" i="4"/>
  <c r="U1267" i="4" s="1"/>
  <c r="S1267" i="4"/>
  <c r="R1267" i="4"/>
  <c r="T1266" i="4"/>
  <c r="U1266" i="4" s="1"/>
  <c r="S1266" i="4"/>
  <c r="R1266" i="4"/>
  <c r="T1265" i="4"/>
  <c r="U1265" i="4" s="1"/>
  <c r="S1265" i="4"/>
  <c r="R1265" i="4"/>
  <c r="T1259" i="4"/>
  <c r="U1259" i="4" s="1"/>
  <c r="S1259" i="4"/>
  <c r="R1259" i="4"/>
  <c r="T1253" i="4"/>
  <c r="U1253" i="4" s="1"/>
  <c r="S1253" i="4"/>
  <c r="R1253" i="4"/>
  <c r="T1252" i="4"/>
  <c r="U1252" i="4" s="1"/>
  <c r="S1252" i="4"/>
  <c r="R1252" i="4"/>
  <c r="T1249" i="4"/>
  <c r="U1249" i="4" s="1"/>
  <c r="S1249" i="4"/>
  <c r="R1249" i="4"/>
  <c r="T1247" i="4"/>
  <c r="U1247" i="4" s="1"/>
  <c r="S1247" i="4"/>
  <c r="R1247" i="4"/>
  <c r="T1246" i="4"/>
  <c r="U1246" i="4" s="1"/>
  <c r="S1246" i="4"/>
  <c r="R1246" i="4"/>
  <c r="T1245" i="4"/>
  <c r="U1245" i="4" s="1"/>
  <c r="S1245" i="4"/>
  <c r="R1245" i="4"/>
  <c r="T1242" i="4"/>
  <c r="U1242" i="4" s="1"/>
  <c r="S1242" i="4"/>
  <c r="R1242" i="4"/>
  <c r="T1240" i="4"/>
  <c r="U1240" i="4" s="1"/>
  <c r="S1240" i="4"/>
  <c r="R1240" i="4"/>
  <c r="T1237" i="4"/>
  <c r="U1237" i="4" s="1"/>
  <c r="S1237" i="4"/>
  <c r="R1237" i="4"/>
  <c r="T1236" i="4"/>
  <c r="U1236" i="4" s="1"/>
  <c r="S1236" i="4"/>
  <c r="R1236" i="4"/>
  <c r="T1233" i="4"/>
  <c r="U1233" i="4" s="1"/>
  <c r="S1233" i="4"/>
  <c r="R1233" i="4"/>
  <c r="T1231" i="4"/>
  <c r="U1231" i="4" s="1"/>
  <c r="S1231" i="4"/>
  <c r="R1231" i="4"/>
  <c r="T1230" i="4"/>
  <c r="U1230" i="4" s="1"/>
  <c r="S1230" i="4"/>
  <c r="R1230" i="4"/>
  <c r="T1229" i="4"/>
  <c r="U1229" i="4" s="1"/>
  <c r="S1229" i="4"/>
  <c r="R1229" i="4"/>
  <c r="T1218" i="4"/>
  <c r="U1218" i="4" s="1"/>
  <c r="S1218" i="4"/>
  <c r="R1218" i="4"/>
  <c r="T1217" i="4"/>
  <c r="U1217" i="4" s="1"/>
  <c r="S1217" i="4"/>
  <c r="R1217" i="4"/>
  <c r="T1212" i="4"/>
  <c r="U1212" i="4" s="1"/>
  <c r="S1212" i="4"/>
  <c r="R1212" i="4"/>
  <c r="T1209" i="4"/>
  <c r="U1209" i="4" s="1"/>
  <c r="S1209" i="4"/>
  <c r="R1209" i="4"/>
  <c r="T1207" i="4"/>
  <c r="U1207" i="4" s="1"/>
  <c r="S1207" i="4"/>
  <c r="R1207" i="4"/>
  <c r="T1204" i="4"/>
  <c r="U1204" i="4" s="1"/>
  <c r="S1204" i="4"/>
  <c r="R1204" i="4"/>
  <c r="T1203" i="4"/>
  <c r="U1203" i="4" s="1"/>
  <c r="S1203" i="4"/>
  <c r="R1203" i="4"/>
  <c r="T1200" i="4"/>
  <c r="U1200" i="4" s="1"/>
  <c r="S1200" i="4"/>
  <c r="R1200" i="4"/>
  <c r="T1178" i="4"/>
  <c r="U1178" i="4" s="1"/>
  <c r="S1178" i="4"/>
  <c r="R1178" i="4"/>
  <c r="T1176" i="4"/>
  <c r="U1176" i="4" s="1"/>
  <c r="S1176" i="4"/>
  <c r="R1176" i="4"/>
  <c r="T1174" i="4"/>
  <c r="U1174" i="4" s="1"/>
  <c r="S1174" i="4"/>
  <c r="R1174" i="4"/>
  <c r="T1172" i="4"/>
  <c r="U1172" i="4" s="1"/>
  <c r="S1172" i="4"/>
  <c r="R1172" i="4"/>
  <c r="T1165" i="4"/>
  <c r="U1165" i="4" s="1"/>
  <c r="S1165" i="4"/>
  <c r="R1165" i="4"/>
  <c r="T1164" i="4"/>
  <c r="U1164" i="4" s="1"/>
  <c r="S1164" i="4"/>
  <c r="R1164" i="4"/>
  <c r="T1162" i="4"/>
  <c r="U1162" i="4" s="1"/>
  <c r="S1162" i="4"/>
  <c r="R1162" i="4"/>
  <c r="T1161" i="4"/>
  <c r="U1161" i="4" s="1"/>
  <c r="S1161" i="4"/>
  <c r="R1161" i="4"/>
  <c r="T1159" i="4"/>
  <c r="U1159" i="4" s="1"/>
  <c r="S1159" i="4"/>
  <c r="R1159" i="4"/>
  <c r="T1149" i="4"/>
  <c r="U1149" i="4" s="1"/>
  <c r="S1149" i="4"/>
  <c r="R1149" i="4"/>
  <c r="T1145" i="4"/>
  <c r="U1145" i="4" s="1"/>
  <c r="S1145" i="4"/>
  <c r="R1145" i="4"/>
  <c r="T1144" i="4"/>
  <c r="U1144" i="4" s="1"/>
  <c r="S1144" i="4"/>
  <c r="R1144" i="4"/>
  <c r="T1142" i="4"/>
  <c r="U1142" i="4" s="1"/>
  <c r="S1142" i="4"/>
  <c r="R1142" i="4"/>
  <c r="T1134" i="4"/>
  <c r="U1134" i="4" s="1"/>
  <c r="S1134" i="4"/>
  <c r="R1134" i="4"/>
  <c r="T1132" i="4"/>
  <c r="U1132" i="4" s="1"/>
  <c r="S1132" i="4"/>
  <c r="R1132" i="4"/>
  <c r="T1131" i="4"/>
  <c r="U1131" i="4" s="1"/>
  <c r="S1131" i="4"/>
  <c r="R1131" i="4"/>
  <c r="T1129" i="4"/>
  <c r="U1129" i="4" s="1"/>
  <c r="S1129" i="4"/>
  <c r="R1129" i="4"/>
  <c r="T1100" i="4"/>
  <c r="U1100" i="4" s="1"/>
  <c r="S1100" i="4"/>
  <c r="R1100" i="4"/>
  <c r="T1099" i="4"/>
  <c r="U1099" i="4" s="1"/>
  <c r="S1099" i="4"/>
  <c r="R1099" i="4"/>
  <c r="T1098" i="4"/>
  <c r="U1098" i="4" s="1"/>
  <c r="S1098" i="4"/>
  <c r="R1098" i="4"/>
  <c r="T1097" i="4"/>
  <c r="U1097" i="4" s="1"/>
  <c r="S1097" i="4"/>
  <c r="R1097" i="4"/>
  <c r="T1096" i="4"/>
  <c r="U1096" i="4" s="1"/>
  <c r="S1096" i="4"/>
  <c r="R1096" i="4"/>
  <c r="T1095" i="4"/>
  <c r="U1095" i="4" s="1"/>
  <c r="S1095" i="4"/>
  <c r="R1095" i="4"/>
  <c r="T1094" i="4"/>
  <c r="U1094" i="4" s="1"/>
  <c r="S1094" i="4"/>
  <c r="R1094" i="4"/>
  <c r="T1092" i="4"/>
  <c r="U1092" i="4" s="1"/>
  <c r="S1092" i="4"/>
  <c r="R1092" i="4"/>
  <c r="T1091" i="4"/>
  <c r="U1091" i="4" s="1"/>
  <c r="S1091" i="4"/>
  <c r="R1091" i="4"/>
  <c r="T1090" i="4"/>
  <c r="U1090" i="4" s="1"/>
  <c r="S1090" i="4"/>
  <c r="R1090" i="4"/>
  <c r="T1089" i="4"/>
  <c r="U1089" i="4" s="1"/>
  <c r="S1089" i="4"/>
  <c r="R1089" i="4"/>
  <c r="T1088" i="4"/>
  <c r="U1088" i="4" s="1"/>
  <c r="S1088" i="4"/>
  <c r="R1088" i="4"/>
  <c r="T1086" i="4"/>
  <c r="U1086" i="4" s="1"/>
  <c r="S1086" i="4"/>
  <c r="R1086" i="4"/>
  <c r="T1085" i="4"/>
  <c r="U1085" i="4" s="1"/>
  <c r="S1085" i="4"/>
  <c r="R1085" i="4"/>
  <c r="T1068" i="4"/>
  <c r="U1068" i="4" s="1"/>
  <c r="S1068" i="4"/>
  <c r="R1068" i="4"/>
  <c r="T1067" i="4"/>
  <c r="U1067" i="4" s="1"/>
  <c r="S1067" i="4"/>
  <c r="R1067" i="4"/>
  <c r="T1066" i="4"/>
  <c r="U1066" i="4" s="1"/>
  <c r="S1066" i="4"/>
  <c r="R1066" i="4"/>
  <c r="T1065" i="4"/>
  <c r="U1065" i="4" s="1"/>
  <c r="S1065" i="4"/>
  <c r="R1065" i="4"/>
  <c r="T1064" i="4"/>
  <c r="U1064" i="4" s="1"/>
  <c r="S1064" i="4"/>
  <c r="R1064" i="4"/>
  <c r="T1062" i="4"/>
  <c r="U1062" i="4" s="1"/>
  <c r="S1062" i="4"/>
  <c r="R1062" i="4"/>
  <c r="T1061" i="4"/>
  <c r="U1061" i="4" s="1"/>
  <c r="S1061" i="4"/>
  <c r="R1061" i="4"/>
  <c r="T1060" i="4"/>
  <c r="U1060" i="4" s="1"/>
  <c r="S1060" i="4"/>
  <c r="R1060" i="4"/>
  <c r="T1059" i="4"/>
  <c r="U1059" i="4" s="1"/>
  <c r="S1059" i="4"/>
  <c r="R1059" i="4"/>
  <c r="T1058" i="4"/>
  <c r="U1058" i="4" s="1"/>
  <c r="S1058" i="4"/>
  <c r="R1058" i="4"/>
  <c r="T1057" i="4"/>
  <c r="U1057" i="4" s="1"/>
  <c r="S1057" i="4"/>
  <c r="R1057" i="4"/>
  <c r="T1056" i="4"/>
  <c r="U1056" i="4" s="1"/>
  <c r="S1056" i="4"/>
  <c r="R1056" i="4"/>
  <c r="T1055" i="4"/>
  <c r="U1055" i="4" s="1"/>
  <c r="S1055" i="4"/>
  <c r="R1055" i="4"/>
  <c r="T1054" i="4"/>
  <c r="U1054" i="4" s="1"/>
  <c r="S1054" i="4"/>
  <c r="R1054" i="4"/>
  <c r="T1053" i="4"/>
  <c r="U1053" i="4" s="1"/>
  <c r="S1053" i="4"/>
  <c r="R1053" i="4"/>
  <c r="T1029" i="4"/>
  <c r="U1029" i="4" s="1"/>
  <c r="S1029" i="4"/>
  <c r="R1029" i="4"/>
  <c r="T1027" i="4"/>
  <c r="U1027" i="4" s="1"/>
  <c r="S1027" i="4"/>
  <c r="R1027" i="4"/>
  <c r="T1007" i="4"/>
  <c r="U1007" i="4" s="1"/>
  <c r="S1007" i="4"/>
  <c r="R1007" i="4"/>
  <c r="T1006" i="4"/>
  <c r="U1006" i="4" s="1"/>
  <c r="S1006" i="4"/>
  <c r="R1006" i="4"/>
  <c r="T1005" i="4"/>
  <c r="U1005" i="4" s="1"/>
  <c r="S1005" i="4"/>
  <c r="R1005" i="4"/>
  <c r="T1004" i="4"/>
  <c r="U1004" i="4" s="1"/>
  <c r="S1004" i="4"/>
  <c r="R1004" i="4"/>
  <c r="T1003" i="4"/>
  <c r="U1003" i="4" s="1"/>
  <c r="S1003" i="4"/>
  <c r="R1003" i="4"/>
  <c r="T1000" i="4"/>
  <c r="U1000" i="4" s="1"/>
  <c r="S1000" i="4"/>
  <c r="R1000" i="4"/>
  <c r="T987" i="4"/>
  <c r="U987" i="4" s="1"/>
  <c r="S987" i="4"/>
  <c r="R987" i="4"/>
  <c r="T986" i="4"/>
  <c r="U986" i="4" s="1"/>
  <c r="S986" i="4"/>
  <c r="R986" i="4"/>
  <c r="T985" i="4"/>
  <c r="U985" i="4" s="1"/>
  <c r="S985" i="4"/>
  <c r="R985" i="4"/>
  <c r="T984" i="4"/>
  <c r="U984" i="4" s="1"/>
  <c r="S984" i="4"/>
  <c r="R984" i="4"/>
  <c r="T983" i="4"/>
  <c r="U983" i="4" s="1"/>
  <c r="S983" i="4"/>
  <c r="R983" i="4"/>
  <c r="T982" i="4"/>
  <c r="U982" i="4" s="1"/>
  <c r="S982" i="4"/>
  <c r="R982" i="4"/>
  <c r="T981" i="4"/>
  <c r="U981" i="4" s="1"/>
  <c r="S981" i="4"/>
  <c r="R981" i="4"/>
  <c r="T980" i="4"/>
  <c r="U980" i="4" s="1"/>
  <c r="S980" i="4"/>
  <c r="R980" i="4"/>
  <c r="T960" i="4"/>
  <c r="U960" i="4" s="1"/>
  <c r="S960" i="4"/>
  <c r="R960" i="4"/>
  <c r="T897" i="4"/>
  <c r="U897" i="4" s="1"/>
  <c r="S897" i="4"/>
  <c r="R897" i="4"/>
  <c r="T896" i="4"/>
  <c r="U896" i="4" s="1"/>
  <c r="S896" i="4"/>
  <c r="R896" i="4"/>
  <c r="T875" i="4"/>
  <c r="U875" i="4" s="1"/>
  <c r="S875" i="4"/>
  <c r="R875" i="4"/>
  <c r="T874" i="4"/>
  <c r="U874" i="4" s="1"/>
  <c r="S874" i="4"/>
  <c r="R874" i="4"/>
  <c r="T873" i="4"/>
  <c r="U873" i="4" s="1"/>
  <c r="S873" i="4"/>
  <c r="R873" i="4"/>
  <c r="T860" i="4"/>
  <c r="U860" i="4" s="1"/>
  <c r="S860" i="4"/>
  <c r="R860" i="4"/>
  <c r="T857" i="4"/>
  <c r="U857" i="4" s="1"/>
  <c r="S857" i="4"/>
  <c r="R857" i="4"/>
  <c r="T855" i="4"/>
  <c r="U855" i="4" s="1"/>
  <c r="S855" i="4"/>
  <c r="R855" i="4"/>
  <c r="T854" i="4"/>
  <c r="U854" i="4" s="1"/>
  <c r="S854" i="4"/>
  <c r="R854" i="4"/>
  <c r="T851" i="4"/>
  <c r="U851" i="4" s="1"/>
  <c r="S851" i="4"/>
  <c r="R851" i="4"/>
  <c r="T850" i="4"/>
  <c r="U850" i="4" s="1"/>
  <c r="S850" i="4"/>
  <c r="R850" i="4"/>
  <c r="T833" i="4"/>
  <c r="U833" i="4" s="1"/>
  <c r="S833" i="4"/>
  <c r="R833" i="4"/>
  <c r="T832" i="4"/>
  <c r="U832" i="4" s="1"/>
  <c r="S832" i="4"/>
  <c r="R832" i="4"/>
  <c r="T831" i="4"/>
  <c r="U831" i="4" s="1"/>
  <c r="S831" i="4"/>
  <c r="R831" i="4"/>
  <c r="T824" i="4"/>
  <c r="U824" i="4" s="1"/>
  <c r="S824" i="4"/>
  <c r="R824" i="4"/>
  <c r="T823" i="4"/>
  <c r="U823" i="4" s="1"/>
  <c r="S823" i="4"/>
  <c r="R823" i="4"/>
  <c r="T822" i="4"/>
  <c r="U822" i="4" s="1"/>
  <c r="S822" i="4"/>
  <c r="R822" i="4"/>
  <c r="T820" i="4"/>
  <c r="U820" i="4" s="1"/>
  <c r="S820" i="4"/>
  <c r="R820" i="4"/>
  <c r="T819" i="4"/>
  <c r="U819" i="4" s="1"/>
  <c r="S819" i="4"/>
  <c r="R819" i="4"/>
  <c r="T818" i="4"/>
  <c r="U818" i="4" s="1"/>
  <c r="S818" i="4"/>
  <c r="R818" i="4"/>
  <c r="T817" i="4"/>
  <c r="U817" i="4" s="1"/>
  <c r="S817" i="4"/>
  <c r="R817" i="4"/>
  <c r="T816" i="4"/>
  <c r="U816" i="4" s="1"/>
  <c r="S816" i="4"/>
  <c r="R816" i="4"/>
  <c r="T815" i="4"/>
  <c r="U815" i="4" s="1"/>
  <c r="S815" i="4"/>
  <c r="R815" i="4"/>
  <c r="T814" i="4"/>
  <c r="U814" i="4" s="1"/>
  <c r="S814" i="4"/>
  <c r="R814" i="4"/>
  <c r="T813" i="4"/>
  <c r="U813" i="4" s="1"/>
  <c r="S813" i="4"/>
  <c r="R813" i="4"/>
  <c r="T812" i="4"/>
  <c r="U812" i="4" s="1"/>
  <c r="S812" i="4"/>
  <c r="R812" i="4"/>
  <c r="T810" i="4"/>
  <c r="U810" i="4" s="1"/>
  <c r="S810" i="4"/>
  <c r="R810" i="4"/>
  <c r="T809" i="4"/>
  <c r="U809" i="4" s="1"/>
  <c r="S809" i="4"/>
  <c r="R809" i="4"/>
  <c r="T808" i="4"/>
  <c r="U808" i="4" s="1"/>
  <c r="S808" i="4"/>
  <c r="R808" i="4"/>
  <c r="T807" i="4"/>
  <c r="U807" i="4" s="1"/>
  <c r="S807" i="4"/>
  <c r="R807" i="4"/>
  <c r="T805" i="4"/>
  <c r="U805" i="4" s="1"/>
  <c r="S805" i="4"/>
  <c r="R805" i="4"/>
  <c r="T803" i="4"/>
  <c r="U803" i="4" s="1"/>
  <c r="S803" i="4"/>
  <c r="R803" i="4"/>
  <c r="T801" i="4"/>
  <c r="U801" i="4" s="1"/>
  <c r="S801" i="4"/>
  <c r="R801" i="4"/>
  <c r="T800" i="4"/>
  <c r="U800" i="4" s="1"/>
  <c r="S800" i="4"/>
  <c r="R800" i="4"/>
  <c r="T799" i="4"/>
  <c r="U799" i="4" s="1"/>
  <c r="S799" i="4"/>
  <c r="R799" i="4"/>
  <c r="T798" i="4"/>
  <c r="U798" i="4" s="1"/>
  <c r="S798" i="4"/>
  <c r="R798" i="4"/>
  <c r="T797" i="4"/>
  <c r="U797" i="4" s="1"/>
  <c r="S797" i="4"/>
  <c r="R797" i="4"/>
  <c r="T796" i="4"/>
  <c r="U796" i="4" s="1"/>
  <c r="S796" i="4"/>
  <c r="R796" i="4"/>
  <c r="T786" i="4"/>
  <c r="U786" i="4" s="1"/>
  <c r="S786" i="4"/>
  <c r="R786" i="4"/>
  <c r="T785" i="4"/>
  <c r="U785" i="4" s="1"/>
  <c r="S785" i="4"/>
  <c r="R785" i="4"/>
  <c r="T784" i="4"/>
  <c r="U784" i="4" s="1"/>
  <c r="S784" i="4"/>
  <c r="R784" i="4"/>
  <c r="T783" i="4"/>
  <c r="U783" i="4" s="1"/>
  <c r="S783" i="4"/>
  <c r="R783" i="4"/>
  <c r="T782" i="4"/>
  <c r="U782" i="4" s="1"/>
  <c r="S782" i="4"/>
  <c r="R782" i="4"/>
  <c r="T781" i="4"/>
  <c r="U781" i="4" s="1"/>
  <c r="S781" i="4"/>
  <c r="R781" i="4"/>
  <c r="T780" i="4"/>
  <c r="U780" i="4" s="1"/>
  <c r="S780" i="4"/>
  <c r="R780" i="4"/>
  <c r="T779" i="4"/>
  <c r="U779" i="4" s="1"/>
  <c r="S779" i="4"/>
  <c r="R779" i="4"/>
  <c r="T778" i="4"/>
  <c r="U778" i="4" s="1"/>
  <c r="S778" i="4"/>
  <c r="R778" i="4"/>
  <c r="T777" i="4"/>
  <c r="U777" i="4" s="1"/>
  <c r="S777" i="4"/>
  <c r="R777" i="4"/>
  <c r="T775" i="4"/>
  <c r="U775" i="4" s="1"/>
  <c r="S775" i="4"/>
  <c r="R775" i="4"/>
  <c r="T774" i="4"/>
  <c r="U774" i="4" s="1"/>
  <c r="S774" i="4"/>
  <c r="R774" i="4"/>
  <c r="T773" i="4"/>
  <c r="U773" i="4" s="1"/>
  <c r="S773" i="4"/>
  <c r="R773" i="4"/>
  <c r="T771" i="4"/>
  <c r="U771" i="4" s="1"/>
  <c r="S771" i="4"/>
  <c r="R771" i="4"/>
  <c r="T768" i="4"/>
  <c r="U768" i="4" s="1"/>
  <c r="S768" i="4"/>
  <c r="R768" i="4"/>
  <c r="T728" i="4"/>
  <c r="U728" i="4" s="1"/>
  <c r="S728" i="4"/>
  <c r="R728" i="4"/>
  <c r="T661" i="4"/>
  <c r="U661" i="4" s="1"/>
  <c r="S661" i="4"/>
  <c r="R661" i="4"/>
  <c r="T660" i="4"/>
  <c r="U660" i="4" s="1"/>
  <c r="S660" i="4"/>
  <c r="R660" i="4"/>
  <c r="T658" i="4"/>
  <c r="U658" i="4" s="1"/>
  <c r="S658" i="4"/>
  <c r="R658" i="4"/>
  <c r="T657" i="4"/>
  <c r="U657" i="4" s="1"/>
  <c r="S657" i="4"/>
  <c r="R657" i="4"/>
  <c r="T652" i="4"/>
  <c r="U652" i="4" s="1"/>
  <c r="S652" i="4"/>
  <c r="R652" i="4"/>
  <c r="T651" i="4"/>
  <c r="U651" i="4" s="1"/>
  <c r="S651" i="4"/>
  <c r="R651" i="4"/>
  <c r="T650" i="4"/>
  <c r="U650" i="4" s="1"/>
  <c r="S650" i="4"/>
  <c r="R650" i="4"/>
  <c r="T649" i="4"/>
  <c r="U649" i="4" s="1"/>
  <c r="S649" i="4"/>
  <c r="R649" i="4"/>
  <c r="T635" i="4"/>
  <c r="U635" i="4" s="1"/>
  <c r="S635" i="4"/>
  <c r="R635" i="4"/>
  <c r="T631" i="4"/>
  <c r="U631" i="4" s="1"/>
  <c r="S631" i="4"/>
  <c r="R631" i="4"/>
  <c r="T630" i="4"/>
  <c r="U630" i="4" s="1"/>
  <c r="S630" i="4"/>
  <c r="R630" i="4"/>
  <c r="T628" i="4"/>
  <c r="U628" i="4" s="1"/>
  <c r="S628" i="4"/>
  <c r="R628" i="4"/>
  <c r="T627" i="4"/>
  <c r="U627" i="4" s="1"/>
  <c r="S627" i="4"/>
  <c r="R627" i="4"/>
  <c r="T623" i="4"/>
  <c r="U623" i="4" s="1"/>
  <c r="S623" i="4"/>
  <c r="R623" i="4"/>
  <c r="T614" i="4"/>
  <c r="U614" i="4" s="1"/>
  <c r="S614" i="4"/>
  <c r="R614" i="4"/>
  <c r="T611" i="4"/>
  <c r="U611" i="4" s="1"/>
  <c r="S611" i="4"/>
  <c r="R611" i="4"/>
  <c r="T610" i="4"/>
  <c r="U610" i="4" s="1"/>
  <c r="S610" i="4"/>
  <c r="R610" i="4"/>
  <c r="T609" i="4"/>
  <c r="U609" i="4" s="1"/>
  <c r="S609" i="4"/>
  <c r="R609" i="4"/>
  <c r="T608" i="4"/>
  <c r="U608" i="4" s="1"/>
  <c r="S608" i="4"/>
  <c r="R608" i="4"/>
  <c r="T607" i="4"/>
  <c r="U607" i="4" s="1"/>
  <c r="S607" i="4"/>
  <c r="R607" i="4"/>
  <c r="T606" i="4"/>
  <c r="U606" i="4" s="1"/>
  <c r="S606" i="4"/>
  <c r="R606" i="4"/>
  <c r="T605" i="4"/>
  <c r="U605" i="4" s="1"/>
  <c r="S605" i="4"/>
  <c r="R605" i="4"/>
  <c r="T604" i="4"/>
  <c r="U604" i="4" s="1"/>
  <c r="S604" i="4"/>
  <c r="R604" i="4"/>
  <c r="T600" i="4"/>
  <c r="U600" i="4" s="1"/>
  <c r="S600" i="4"/>
  <c r="R600" i="4"/>
  <c r="T599" i="4"/>
  <c r="U599" i="4" s="1"/>
  <c r="S599" i="4"/>
  <c r="R599" i="4"/>
  <c r="T598" i="4"/>
  <c r="U598" i="4" s="1"/>
  <c r="S598" i="4"/>
  <c r="R598" i="4"/>
  <c r="T597" i="4"/>
  <c r="U597" i="4" s="1"/>
  <c r="S597" i="4"/>
  <c r="R597" i="4"/>
  <c r="T594" i="4"/>
  <c r="U594" i="4" s="1"/>
  <c r="S594" i="4"/>
  <c r="R594" i="4"/>
  <c r="T580" i="4"/>
  <c r="U580" i="4" s="1"/>
  <c r="S580" i="4"/>
  <c r="R580" i="4"/>
  <c r="T579" i="4"/>
  <c r="U579" i="4" s="1"/>
  <c r="S579" i="4"/>
  <c r="R579" i="4"/>
  <c r="T578" i="4"/>
  <c r="U578" i="4" s="1"/>
  <c r="S578" i="4"/>
  <c r="R578" i="4"/>
  <c r="T577" i="4"/>
  <c r="U577" i="4" s="1"/>
  <c r="S577" i="4"/>
  <c r="R577" i="4"/>
  <c r="T574" i="4"/>
  <c r="U574" i="4" s="1"/>
  <c r="S574" i="4"/>
  <c r="R574" i="4"/>
  <c r="T573" i="4"/>
  <c r="U573" i="4" s="1"/>
  <c r="S573" i="4"/>
  <c r="R573" i="4"/>
  <c r="T572" i="4"/>
  <c r="U572" i="4" s="1"/>
  <c r="S572" i="4"/>
  <c r="R572" i="4"/>
  <c r="T571" i="4"/>
  <c r="U571" i="4" s="1"/>
  <c r="S571" i="4"/>
  <c r="R571" i="4"/>
  <c r="T570" i="4"/>
  <c r="U570" i="4" s="1"/>
  <c r="S570" i="4"/>
  <c r="R570" i="4"/>
  <c r="T567" i="4"/>
  <c r="U567" i="4" s="1"/>
  <c r="S567" i="4"/>
  <c r="R567" i="4"/>
  <c r="T559" i="4"/>
  <c r="U559" i="4" s="1"/>
  <c r="S559" i="4"/>
  <c r="R559" i="4"/>
  <c r="T558" i="4"/>
  <c r="U558" i="4" s="1"/>
  <c r="S558" i="4"/>
  <c r="R558" i="4"/>
  <c r="T557" i="4"/>
  <c r="U557" i="4" s="1"/>
  <c r="S557" i="4"/>
  <c r="R557" i="4"/>
  <c r="T555" i="4"/>
  <c r="U555" i="4" s="1"/>
  <c r="S555" i="4"/>
  <c r="R555" i="4"/>
  <c r="T554" i="4"/>
  <c r="U554" i="4" s="1"/>
  <c r="S554" i="4"/>
  <c r="R554" i="4"/>
  <c r="T553" i="4"/>
  <c r="U553" i="4" s="1"/>
  <c r="S553" i="4"/>
  <c r="R553" i="4"/>
  <c r="T552" i="4"/>
  <c r="U552" i="4" s="1"/>
  <c r="S552" i="4"/>
  <c r="R552" i="4"/>
  <c r="T551" i="4"/>
  <c r="U551" i="4" s="1"/>
  <c r="S551" i="4"/>
  <c r="R551" i="4"/>
  <c r="T546" i="4"/>
  <c r="U546" i="4" s="1"/>
  <c r="S546" i="4"/>
  <c r="R546" i="4"/>
  <c r="T543" i="4"/>
  <c r="U543" i="4" s="1"/>
  <c r="S543" i="4"/>
  <c r="R543" i="4"/>
  <c r="T531" i="4"/>
  <c r="U531" i="4" s="1"/>
  <c r="S531" i="4"/>
  <c r="R531" i="4"/>
  <c r="T519" i="4"/>
  <c r="U519" i="4" s="1"/>
  <c r="S519" i="4"/>
  <c r="R519" i="4"/>
  <c r="T518" i="4"/>
  <c r="U518" i="4" s="1"/>
  <c r="S518" i="4"/>
  <c r="R518" i="4"/>
  <c r="T517" i="4"/>
  <c r="U517" i="4" s="1"/>
  <c r="S517" i="4"/>
  <c r="R517" i="4"/>
  <c r="T516" i="4"/>
  <c r="U516" i="4" s="1"/>
  <c r="S516" i="4"/>
  <c r="R516" i="4"/>
  <c r="T507" i="4"/>
  <c r="U507" i="4" s="1"/>
  <c r="S507" i="4"/>
  <c r="R507" i="4"/>
  <c r="T506" i="4"/>
  <c r="U506" i="4" s="1"/>
  <c r="S506" i="4"/>
  <c r="R506" i="4"/>
  <c r="T504" i="4"/>
  <c r="U504" i="4" s="1"/>
  <c r="S504" i="4"/>
  <c r="R504" i="4"/>
  <c r="T502" i="4"/>
  <c r="U502" i="4" s="1"/>
  <c r="S502" i="4"/>
  <c r="R502" i="4"/>
  <c r="T493" i="4"/>
  <c r="U493" i="4" s="1"/>
  <c r="S493" i="4"/>
  <c r="R493" i="4"/>
  <c r="T492" i="4"/>
  <c r="U492" i="4" s="1"/>
  <c r="S492" i="4"/>
  <c r="R492" i="4"/>
  <c r="T491" i="4"/>
  <c r="U491" i="4" s="1"/>
  <c r="S491" i="4"/>
  <c r="R491" i="4"/>
  <c r="T490" i="4"/>
  <c r="U490" i="4" s="1"/>
  <c r="S490" i="4"/>
  <c r="R490" i="4"/>
  <c r="T489" i="4"/>
  <c r="U489" i="4" s="1"/>
  <c r="S489" i="4"/>
  <c r="R489" i="4"/>
  <c r="T481" i="4"/>
  <c r="U481" i="4" s="1"/>
  <c r="S481" i="4"/>
  <c r="R481" i="4"/>
  <c r="T457" i="4"/>
  <c r="U457" i="4" s="1"/>
  <c r="S457" i="4"/>
  <c r="R457" i="4"/>
  <c r="T454" i="4"/>
  <c r="U454" i="4" s="1"/>
  <c r="S454" i="4"/>
  <c r="R454" i="4"/>
  <c r="T446" i="4"/>
  <c r="U446" i="4" s="1"/>
  <c r="S446" i="4"/>
  <c r="R446" i="4"/>
  <c r="T445" i="4"/>
  <c r="U445" i="4" s="1"/>
  <c r="S445" i="4"/>
  <c r="R445" i="4"/>
  <c r="T423" i="4"/>
  <c r="U423" i="4" s="1"/>
  <c r="S423" i="4"/>
  <c r="R423" i="4"/>
  <c r="T422" i="4"/>
  <c r="U422" i="4" s="1"/>
  <c r="S422" i="4"/>
  <c r="R422" i="4"/>
  <c r="T420" i="4"/>
  <c r="U420" i="4" s="1"/>
  <c r="S420" i="4"/>
  <c r="R420" i="4"/>
  <c r="T419" i="4"/>
  <c r="U419" i="4" s="1"/>
  <c r="S419" i="4"/>
  <c r="R419" i="4"/>
  <c r="T412" i="4"/>
  <c r="U412" i="4" s="1"/>
  <c r="S412" i="4"/>
  <c r="R412" i="4"/>
  <c r="T409" i="4"/>
  <c r="U409" i="4" s="1"/>
  <c r="S409" i="4"/>
  <c r="R409" i="4"/>
  <c r="T408" i="4"/>
  <c r="U408" i="4" s="1"/>
  <c r="S408" i="4"/>
  <c r="R408" i="4"/>
  <c r="T407" i="4"/>
  <c r="U407" i="4" s="1"/>
  <c r="S407" i="4"/>
  <c r="R407" i="4"/>
  <c r="T404" i="4"/>
  <c r="U404" i="4" s="1"/>
  <c r="S404" i="4"/>
  <c r="R404" i="4"/>
  <c r="T403" i="4"/>
  <c r="U403" i="4" s="1"/>
  <c r="S403" i="4"/>
  <c r="R403" i="4"/>
  <c r="T402" i="4"/>
  <c r="U402" i="4" s="1"/>
  <c r="S402" i="4"/>
  <c r="R402" i="4"/>
  <c r="T394" i="4"/>
  <c r="U394" i="4" s="1"/>
  <c r="S394" i="4"/>
  <c r="R394" i="4"/>
  <c r="T393" i="4"/>
  <c r="U393" i="4" s="1"/>
  <c r="S393" i="4"/>
  <c r="R393" i="4"/>
  <c r="T362" i="4"/>
  <c r="U362" i="4" s="1"/>
  <c r="S362" i="4"/>
  <c r="R362" i="4"/>
  <c r="T361" i="4"/>
  <c r="U361" i="4" s="1"/>
  <c r="S361" i="4"/>
  <c r="R361" i="4"/>
  <c r="T359" i="4"/>
  <c r="U359" i="4" s="1"/>
  <c r="S359" i="4"/>
  <c r="R359" i="4"/>
  <c r="T358" i="4"/>
  <c r="U358" i="4" s="1"/>
  <c r="S358" i="4"/>
  <c r="R358" i="4"/>
  <c r="T357" i="4"/>
  <c r="U357" i="4" s="1"/>
  <c r="S357" i="4"/>
  <c r="R357" i="4"/>
  <c r="T356" i="4"/>
  <c r="U356" i="4" s="1"/>
  <c r="S356" i="4"/>
  <c r="R356" i="4"/>
  <c r="T335" i="4"/>
  <c r="U335" i="4" s="1"/>
  <c r="S335" i="4"/>
  <c r="R335" i="4"/>
  <c r="T332" i="4"/>
  <c r="U332" i="4" s="1"/>
  <c r="S332" i="4"/>
  <c r="R332" i="4"/>
  <c r="T331" i="4"/>
  <c r="U331" i="4" s="1"/>
  <c r="S331" i="4"/>
  <c r="R331" i="4"/>
  <c r="T329" i="4"/>
  <c r="U329" i="4" s="1"/>
  <c r="S329" i="4"/>
  <c r="R329" i="4"/>
  <c r="T320" i="4"/>
  <c r="U320" i="4" s="1"/>
  <c r="S320" i="4"/>
  <c r="R320" i="4"/>
  <c r="T318" i="4"/>
  <c r="U318" i="4" s="1"/>
  <c r="S318" i="4"/>
  <c r="R318" i="4"/>
  <c r="T317" i="4"/>
  <c r="U317" i="4" s="1"/>
  <c r="S317" i="4"/>
  <c r="R317" i="4"/>
  <c r="T296" i="4"/>
  <c r="U296" i="4" s="1"/>
  <c r="S296" i="4"/>
  <c r="R296" i="4"/>
  <c r="T295" i="4"/>
  <c r="U295" i="4" s="1"/>
  <c r="S295" i="4"/>
  <c r="R295" i="4"/>
  <c r="T294" i="4"/>
  <c r="U294" i="4" s="1"/>
  <c r="S294" i="4"/>
  <c r="R294" i="4"/>
  <c r="T287" i="4"/>
  <c r="U287" i="4" s="1"/>
  <c r="S287" i="4"/>
  <c r="R287" i="4"/>
  <c r="T286" i="4"/>
  <c r="U286" i="4" s="1"/>
  <c r="S286" i="4"/>
  <c r="R286" i="4"/>
  <c r="T279" i="4"/>
  <c r="U279" i="4" s="1"/>
  <c r="S279" i="4"/>
  <c r="R279" i="4"/>
  <c r="T278" i="4"/>
  <c r="U278" i="4" s="1"/>
  <c r="S278" i="4"/>
  <c r="R278" i="4"/>
  <c r="T237" i="4"/>
  <c r="U237" i="4" s="1"/>
  <c r="S237" i="4"/>
  <c r="R237" i="4"/>
  <c r="T236" i="4"/>
  <c r="U236" i="4" s="1"/>
  <c r="S236" i="4"/>
  <c r="R236" i="4"/>
  <c r="T235" i="4"/>
  <c r="U235" i="4" s="1"/>
  <c r="S235" i="4"/>
  <c r="R235" i="4"/>
  <c r="T232" i="4"/>
  <c r="U232" i="4" s="1"/>
  <c r="S232" i="4"/>
  <c r="R232" i="4"/>
  <c r="T231" i="4"/>
  <c r="U231" i="4" s="1"/>
  <c r="S231" i="4"/>
  <c r="R231" i="4"/>
  <c r="T230" i="4"/>
  <c r="U230" i="4" s="1"/>
  <c r="S230" i="4"/>
  <c r="R230" i="4"/>
  <c r="T229" i="4"/>
  <c r="U229" i="4" s="1"/>
  <c r="S229" i="4"/>
  <c r="R229" i="4"/>
  <c r="T228" i="4"/>
  <c r="U228" i="4" s="1"/>
  <c r="S228" i="4"/>
  <c r="R228" i="4"/>
  <c r="T227" i="4"/>
  <c r="U227" i="4" s="1"/>
  <c r="S227" i="4"/>
  <c r="R227" i="4"/>
  <c r="T226" i="4"/>
  <c r="U226" i="4" s="1"/>
  <c r="S226" i="4"/>
  <c r="R226" i="4"/>
  <c r="T216" i="4"/>
  <c r="U216" i="4" s="1"/>
  <c r="S216" i="4"/>
  <c r="R216" i="4"/>
  <c r="T215" i="4"/>
  <c r="U215" i="4" s="1"/>
  <c r="S215" i="4"/>
  <c r="R215" i="4"/>
  <c r="T213" i="4"/>
  <c r="U213" i="4" s="1"/>
  <c r="S213" i="4"/>
  <c r="R213" i="4"/>
  <c r="T212" i="4"/>
  <c r="U212" i="4" s="1"/>
  <c r="S212" i="4"/>
  <c r="R212" i="4"/>
  <c r="T211" i="4"/>
  <c r="U211" i="4" s="1"/>
  <c r="S211" i="4"/>
  <c r="R211" i="4"/>
  <c r="T210" i="4"/>
  <c r="U210" i="4" s="1"/>
  <c r="S210" i="4"/>
  <c r="R210" i="4"/>
  <c r="T209" i="4"/>
  <c r="U209" i="4" s="1"/>
  <c r="S209" i="4"/>
  <c r="R209" i="4"/>
  <c r="T195" i="4"/>
  <c r="U195" i="4" s="1"/>
  <c r="S195" i="4"/>
  <c r="R195" i="4"/>
  <c r="T194" i="4"/>
  <c r="U194" i="4" s="1"/>
  <c r="S194" i="4"/>
  <c r="R194" i="4"/>
  <c r="T192" i="4"/>
  <c r="U192" i="4" s="1"/>
  <c r="S192" i="4"/>
  <c r="R192" i="4"/>
  <c r="T191" i="4"/>
  <c r="U191" i="4" s="1"/>
  <c r="S191" i="4"/>
  <c r="R191" i="4"/>
  <c r="T187" i="4"/>
  <c r="U187" i="4" s="1"/>
  <c r="S187" i="4"/>
  <c r="R187" i="4"/>
  <c r="T186" i="4"/>
  <c r="U186" i="4" s="1"/>
  <c r="S186" i="4"/>
  <c r="R186" i="4"/>
  <c r="T185" i="4"/>
  <c r="U185" i="4" s="1"/>
  <c r="S185" i="4"/>
  <c r="R185" i="4"/>
  <c r="T184" i="4"/>
  <c r="U184" i="4" s="1"/>
  <c r="S184" i="4"/>
  <c r="R184" i="4"/>
  <c r="T174" i="4"/>
  <c r="U174" i="4" s="1"/>
  <c r="S174" i="4"/>
  <c r="R174" i="4"/>
  <c r="T173" i="4"/>
  <c r="U173" i="4" s="1"/>
  <c r="S173" i="4"/>
  <c r="R173" i="4"/>
  <c r="T172" i="4"/>
  <c r="U172" i="4" s="1"/>
  <c r="S172" i="4"/>
  <c r="R172" i="4"/>
  <c r="T153" i="4"/>
  <c r="U153" i="4" s="1"/>
  <c r="S153" i="4"/>
  <c r="R153" i="4"/>
  <c r="T144" i="4"/>
  <c r="U144" i="4" s="1"/>
  <c r="S144" i="4"/>
  <c r="R144" i="4"/>
  <c r="T114" i="4"/>
  <c r="U114" i="4" s="1"/>
  <c r="S114" i="4"/>
  <c r="R114" i="4"/>
  <c r="T106" i="4"/>
  <c r="U106" i="4" s="1"/>
  <c r="S106" i="4"/>
  <c r="R106" i="4"/>
  <c r="T91" i="4"/>
  <c r="U91" i="4" s="1"/>
  <c r="S91" i="4"/>
  <c r="R91" i="4"/>
  <c r="T90" i="4"/>
  <c r="U90" i="4" s="1"/>
  <c r="S90" i="4"/>
  <c r="R90" i="4"/>
  <c r="T82" i="4"/>
  <c r="U82" i="4" s="1"/>
  <c r="S82" i="4"/>
  <c r="R82" i="4"/>
  <c r="T81" i="4"/>
  <c r="U81" i="4" s="1"/>
  <c r="S81" i="4"/>
  <c r="R81" i="4"/>
  <c r="T73" i="4"/>
  <c r="U73" i="4" s="1"/>
  <c r="S73" i="4"/>
  <c r="R73" i="4"/>
  <c r="T57" i="4"/>
  <c r="U57" i="4" s="1"/>
  <c r="S57" i="4"/>
  <c r="R57" i="4"/>
  <c r="T55" i="4"/>
  <c r="U55" i="4" s="1"/>
  <c r="S55" i="4"/>
  <c r="R55" i="4"/>
  <c r="T54" i="4"/>
  <c r="U54" i="4" s="1"/>
  <c r="S54" i="4"/>
  <c r="R54" i="4"/>
  <c r="T53" i="4"/>
  <c r="U53" i="4" s="1"/>
  <c r="S53" i="4"/>
  <c r="R53" i="4"/>
  <c r="T52" i="4"/>
  <c r="U52" i="4" s="1"/>
  <c r="S52" i="4"/>
  <c r="R52" i="4"/>
  <c r="T51" i="4"/>
  <c r="U51" i="4" s="1"/>
  <c r="S51" i="4"/>
  <c r="R51" i="4"/>
  <c r="T1696" i="4"/>
  <c r="U1696" i="4" s="1"/>
  <c r="S1696" i="4"/>
  <c r="R1696" i="4"/>
  <c r="T1695" i="4"/>
  <c r="U1695" i="4" s="1"/>
  <c r="S1695" i="4"/>
  <c r="R1695" i="4"/>
  <c r="T1694" i="4"/>
  <c r="U1694" i="4" s="1"/>
  <c r="S1694" i="4"/>
  <c r="R1694" i="4"/>
  <c r="T1693" i="4"/>
  <c r="U1693" i="4" s="1"/>
  <c r="S1693" i="4"/>
  <c r="R1693" i="4"/>
  <c r="T1692" i="4"/>
  <c r="U1692" i="4" s="1"/>
  <c r="S1692" i="4"/>
  <c r="R1692" i="4"/>
  <c r="T1677" i="4"/>
  <c r="U1677" i="4" s="1"/>
  <c r="S1677" i="4"/>
  <c r="R1677" i="4"/>
  <c r="T1676" i="4"/>
  <c r="U1676" i="4" s="1"/>
  <c r="S1676" i="4"/>
  <c r="R1676" i="4"/>
  <c r="T1675" i="4"/>
  <c r="U1675" i="4" s="1"/>
  <c r="S1675" i="4"/>
  <c r="R1675" i="4"/>
  <c r="T1674" i="4"/>
  <c r="U1674" i="4" s="1"/>
  <c r="S1674" i="4"/>
  <c r="R1674" i="4"/>
  <c r="T1673" i="4"/>
  <c r="U1673" i="4" s="1"/>
  <c r="S1673" i="4"/>
  <c r="R1673" i="4"/>
  <c r="T1672" i="4"/>
  <c r="U1672" i="4" s="1"/>
  <c r="S1672" i="4"/>
  <c r="R1672" i="4"/>
  <c r="T1671" i="4"/>
  <c r="U1671" i="4" s="1"/>
  <c r="S1671" i="4"/>
  <c r="R1671" i="4"/>
  <c r="T1647" i="4"/>
  <c r="U1647" i="4" s="1"/>
  <c r="S1647" i="4"/>
  <c r="R1647" i="4"/>
  <c r="T1646" i="4"/>
  <c r="U1646" i="4" s="1"/>
  <c r="S1646" i="4"/>
  <c r="R1646" i="4"/>
  <c r="T1645" i="4"/>
  <c r="U1645" i="4" s="1"/>
  <c r="S1645" i="4"/>
  <c r="R1645" i="4"/>
  <c r="T1644" i="4"/>
  <c r="U1644" i="4" s="1"/>
  <c r="S1644" i="4"/>
  <c r="R1644" i="4"/>
  <c r="T1643" i="4"/>
  <c r="U1643" i="4" s="1"/>
  <c r="S1643" i="4"/>
  <c r="R1643" i="4"/>
  <c r="T1642" i="4"/>
  <c r="U1642" i="4" s="1"/>
  <c r="S1642" i="4"/>
  <c r="R1642" i="4"/>
  <c r="T1629" i="4"/>
  <c r="U1629" i="4" s="1"/>
  <c r="S1629" i="4"/>
  <c r="R1629" i="4"/>
  <c r="T1628" i="4"/>
  <c r="U1628" i="4" s="1"/>
  <c r="S1628" i="4"/>
  <c r="R1628" i="4"/>
  <c r="T1627" i="4"/>
  <c r="U1627" i="4" s="1"/>
  <c r="S1627" i="4"/>
  <c r="R1627" i="4"/>
  <c r="T1626" i="4"/>
  <c r="U1626" i="4" s="1"/>
  <c r="S1626" i="4"/>
  <c r="R1626" i="4"/>
  <c r="T1625" i="4"/>
  <c r="U1625" i="4" s="1"/>
  <c r="S1625" i="4"/>
  <c r="R1625" i="4"/>
  <c r="T1624" i="4"/>
  <c r="U1624" i="4" s="1"/>
  <c r="S1624" i="4"/>
  <c r="R1624" i="4"/>
  <c r="T1507" i="4"/>
  <c r="U1507" i="4" s="1"/>
  <c r="S1507" i="4"/>
  <c r="R1507" i="4"/>
  <c r="T1506" i="4"/>
  <c r="U1506" i="4" s="1"/>
  <c r="S1506" i="4"/>
  <c r="R1506" i="4"/>
  <c r="T1445" i="4"/>
  <c r="U1445" i="4" s="1"/>
  <c r="S1445" i="4"/>
  <c r="R1445" i="4"/>
  <c r="T1308" i="4"/>
  <c r="U1308" i="4" s="1"/>
  <c r="S1308" i="4"/>
  <c r="R1308" i="4"/>
  <c r="T1307" i="4"/>
  <c r="U1307" i="4" s="1"/>
  <c r="S1307" i="4"/>
  <c r="R1307" i="4"/>
  <c r="T1306" i="4"/>
  <c r="U1306" i="4" s="1"/>
  <c r="S1306" i="4"/>
  <c r="R1306" i="4"/>
  <c r="T1303" i="4"/>
  <c r="U1303" i="4" s="1"/>
  <c r="S1303" i="4"/>
  <c r="R1303" i="4"/>
  <c r="T959" i="4"/>
  <c r="U959" i="4" s="1"/>
  <c r="S959" i="4"/>
  <c r="R959" i="4"/>
  <c r="T958" i="4"/>
  <c r="U958" i="4" s="1"/>
  <c r="S958" i="4"/>
  <c r="R958" i="4"/>
  <c r="T957" i="4"/>
  <c r="U957" i="4" s="1"/>
  <c r="S957" i="4"/>
  <c r="R957" i="4"/>
  <c r="T953" i="4"/>
  <c r="U953" i="4" s="1"/>
  <c r="S953" i="4"/>
  <c r="R953" i="4"/>
  <c r="T943" i="4"/>
  <c r="U943" i="4" s="1"/>
  <c r="S943" i="4"/>
  <c r="R943" i="4"/>
  <c r="T942" i="4"/>
  <c r="U942" i="4" s="1"/>
  <c r="S942" i="4"/>
  <c r="R942" i="4"/>
  <c r="T941" i="4"/>
  <c r="U941" i="4" s="1"/>
  <c r="S941" i="4"/>
  <c r="R941" i="4"/>
  <c r="T940" i="4"/>
  <c r="U940" i="4" s="1"/>
  <c r="S940" i="4"/>
  <c r="R940" i="4"/>
  <c r="T939" i="4"/>
  <c r="U939" i="4" s="1"/>
  <c r="S939" i="4"/>
  <c r="R939" i="4"/>
  <c r="T938" i="4"/>
  <c r="U938" i="4" s="1"/>
  <c r="S938" i="4"/>
  <c r="R938" i="4"/>
  <c r="T901" i="4"/>
  <c r="U901" i="4" s="1"/>
  <c r="S901" i="4"/>
  <c r="R901" i="4"/>
  <c r="T900" i="4"/>
  <c r="U900" i="4" s="1"/>
  <c r="S900" i="4"/>
  <c r="R900" i="4"/>
  <c r="T864" i="4"/>
  <c r="U864" i="4" s="1"/>
  <c r="S864" i="4"/>
  <c r="R864" i="4"/>
  <c r="T1868" i="4"/>
  <c r="U1868" i="4" s="1"/>
  <c r="S1868" i="4"/>
  <c r="R1868" i="4"/>
  <c r="T1787" i="4"/>
  <c r="U1787" i="4" s="1"/>
  <c r="S1787" i="4"/>
  <c r="R1787" i="4"/>
  <c r="T1195" i="4"/>
  <c r="U1195" i="4" s="1"/>
  <c r="S1195" i="4"/>
  <c r="R1195" i="4"/>
  <c r="T1152" i="4"/>
  <c r="U1152" i="4" s="1"/>
  <c r="S1152" i="4"/>
  <c r="R1152" i="4"/>
  <c r="T1113" i="4"/>
  <c r="U1113" i="4" s="1"/>
  <c r="S1113" i="4"/>
  <c r="R1113" i="4"/>
  <c r="T239" i="4"/>
  <c r="U239" i="4" s="1"/>
  <c r="S239" i="4"/>
  <c r="R239" i="4"/>
  <c r="T904" i="4"/>
  <c r="U904" i="4" s="1"/>
  <c r="S904" i="4"/>
  <c r="R904" i="4"/>
  <c r="T2024" i="4"/>
  <c r="U2024" i="4" s="1"/>
  <c r="S2024" i="4"/>
  <c r="R2024" i="4"/>
  <c r="T2019" i="4"/>
  <c r="U2019" i="4" s="1"/>
  <c r="S2019" i="4"/>
  <c r="R2019" i="4"/>
  <c r="T2011" i="4"/>
  <c r="U2011" i="4" s="1"/>
  <c r="S2011" i="4"/>
  <c r="R2011" i="4"/>
  <c r="T2006" i="4"/>
  <c r="U2006" i="4" s="1"/>
  <c r="S2006" i="4"/>
  <c r="R2006" i="4"/>
  <c r="T2003" i="4"/>
  <c r="U2003" i="4" s="1"/>
  <c r="S2003" i="4"/>
  <c r="R2003" i="4"/>
  <c r="T2002" i="4"/>
  <c r="U2002" i="4" s="1"/>
  <c r="S2002" i="4"/>
  <c r="R2002" i="4"/>
  <c r="T1995" i="4"/>
  <c r="U1995" i="4" s="1"/>
  <c r="S1995" i="4"/>
  <c r="R1995" i="4"/>
  <c r="T1989" i="4"/>
  <c r="U1989" i="4" s="1"/>
  <c r="S1989" i="4"/>
  <c r="R1989" i="4"/>
  <c r="T1975" i="4"/>
  <c r="U1975" i="4" s="1"/>
  <c r="S1975" i="4"/>
  <c r="R1975" i="4"/>
  <c r="T1965" i="4"/>
  <c r="U1965" i="4" s="1"/>
  <c r="S1965" i="4"/>
  <c r="R1965" i="4"/>
  <c r="T1962" i="4"/>
  <c r="U1962" i="4" s="1"/>
  <c r="S1962" i="4"/>
  <c r="R1962" i="4"/>
  <c r="T1959" i="4"/>
  <c r="U1959" i="4" s="1"/>
  <c r="S1959" i="4"/>
  <c r="R1959" i="4"/>
  <c r="T1945" i="4"/>
  <c r="U1945" i="4" s="1"/>
  <c r="S1945" i="4"/>
  <c r="R1945" i="4"/>
  <c r="T1936" i="4"/>
  <c r="U1936" i="4" s="1"/>
  <c r="S1936" i="4"/>
  <c r="R1936" i="4"/>
  <c r="T1915" i="4"/>
  <c r="U1915" i="4" s="1"/>
  <c r="S1915" i="4"/>
  <c r="R1915" i="4"/>
  <c r="T1907" i="4"/>
  <c r="U1907" i="4" s="1"/>
  <c r="S1907" i="4"/>
  <c r="R1907" i="4"/>
  <c r="T1889" i="4"/>
  <c r="U1889" i="4" s="1"/>
  <c r="S1889" i="4"/>
  <c r="R1889" i="4"/>
  <c r="T1888" i="4"/>
  <c r="U1888" i="4" s="1"/>
  <c r="S1888" i="4"/>
  <c r="R1888" i="4"/>
  <c r="T1870" i="4"/>
  <c r="U1870" i="4" s="1"/>
  <c r="S1870" i="4"/>
  <c r="R1870" i="4"/>
  <c r="T1865" i="4"/>
  <c r="U1865" i="4" s="1"/>
  <c r="S1865" i="4"/>
  <c r="R1865" i="4"/>
  <c r="T1860" i="4"/>
  <c r="U1860" i="4" s="1"/>
  <c r="S1860" i="4"/>
  <c r="R1860" i="4"/>
  <c r="T1857" i="4"/>
  <c r="U1857" i="4" s="1"/>
  <c r="S1857" i="4"/>
  <c r="R1857" i="4"/>
  <c r="T1837" i="4"/>
  <c r="U1837" i="4" s="1"/>
  <c r="S1837" i="4"/>
  <c r="R1837" i="4"/>
  <c r="T1836" i="4"/>
  <c r="U1836" i="4" s="1"/>
  <c r="S1836" i="4"/>
  <c r="R1836" i="4"/>
  <c r="T1831" i="4"/>
  <c r="U1831" i="4" s="1"/>
  <c r="S1831" i="4"/>
  <c r="R1831" i="4"/>
  <c r="T1830" i="4"/>
  <c r="U1830" i="4" s="1"/>
  <c r="S1830" i="4"/>
  <c r="R1830" i="4"/>
  <c r="T1820" i="4"/>
  <c r="U1820" i="4" s="1"/>
  <c r="S1820" i="4"/>
  <c r="R1820" i="4"/>
  <c r="T1819" i="4"/>
  <c r="U1819" i="4" s="1"/>
  <c r="S1819" i="4"/>
  <c r="R1819" i="4"/>
  <c r="T1795" i="4"/>
  <c r="U1795" i="4" s="1"/>
  <c r="S1795" i="4"/>
  <c r="R1795" i="4"/>
  <c r="T1794" i="4"/>
  <c r="U1794" i="4" s="1"/>
  <c r="S1794" i="4"/>
  <c r="R1794" i="4"/>
  <c r="T1774" i="4"/>
  <c r="U1774" i="4" s="1"/>
  <c r="S1774" i="4"/>
  <c r="R1774" i="4"/>
  <c r="T1749" i="4"/>
  <c r="U1749" i="4" s="1"/>
  <c r="S1749" i="4"/>
  <c r="R1749" i="4"/>
  <c r="T413" i="4"/>
  <c r="U413" i="4" s="1"/>
  <c r="S413" i="4"/>
  <c r="R413" i="4"/>
  <c r="T253" i="4"/>
  <c r="U253" i="4" s="1"/>
  <c r="S253" i="4"/>
  <c r="R253" i="4"/>
  <c r="T243" i="4"/>
  <c r="U243" i="4" s="1"/>
  <c r="S243" i="4"/>
  <c r="R243" i="4"/>
  <c r="T207" i="4"/>
  <c r="U207" i="4" s="1"/>
  <c r="S207" i="4"/>
  <c r="R207" i="4"/>
  <c r="T177" i="4"/>
  <c r="U177" i="4" s="1"/>
  <c r="S177" i="4"/>
  <c r="R177" i="4"/>
  <c r="T150" i="4"/>
  <c r="U150" i="4" s="1"/>
  <c r="S150" i="4"/>
  <c r="R150" i="4"/>
  <c r="T135" i="4"/>
  <c r="U135" i="4" s="1"/>
  <c r="S135" i="4"/>
  <c r="R135" i="4"/>
  <c r="T134" i="4"/>
  <c r="U134" i="4" s="1"/>
  <c r="S134" i="4"/>
  <c r="R134" i="4"/>
  <c r="T104" i="4"/>
  <c r="U104" i="4" s="1"/>
  <c r="S104" i="4"/>
  <c r="R104" i="4"/>
  <c r="T39" i="4"/>
  <c r="U39" i="4" s="1"/>
  <c r="S39" i="4"/>
  <c r="R39" i="4"/>
  <c r="T33" i="4"/>
  <c r="U33" i="4" s="1"/>
  <c r="S33" i="4"/>
  <c r="R33" i="4"/>
  <c r="T29" i="4"/>
  <c r="U29" i="4" s="1"/>
  <c r="S29" i="4"/>
  <c r="R29" i="4"/>
  <c r="T25" i="4"/>
  <c r="U25" i="4" s="1"/>
  <c r="S25" i="4"/>
  <c r="R25" i="4"/>
  <c r="T758" i="4"/>
  <c r="U758" i="4" s="1"/>
  <c r="S758" i="4"/>
  <c r="R758" i="4"/>
  <c r="T392" i="4"/>
  <c r="U392" i="4" s="1"/>
  <c r="S392" i="4"/>
  <c r="R392" i="4"/>
  <c r="T391" i="4"/>
  <c r="U391" i="4" s="1"/>
  <c r="S391" i="4"/>
  <c r="R391" i="4"/>
  <c r="T2288" i="4"/>
  <c r="U2288" i="4" s="1"/>
  <c r="S2288" i="4"/>
  <c r="R2288" i="4"/>
  <c r="T2275" i="4"/>
  <c r="U2275" i="4" s="1"/>
  <c r="S2275" i="4"/>
  <c r="R2275" i="4"/>
  <c r="T2223" i="4"/>
  <c r="U2223" i="4" s="1"/>
  <c r="S2223" i="4"/>
  <c r="R2223" i="4"/>
  <c r="T2208" i="4"/>
  <c r="U2208" i="4" s="1"/>
  <c r="S2208" i="4"/>
  <c r="R2208" i="4"/>
  <c r="T2202" i="4"/>
  <c r="U2202" i="4" s="1"/>
  <c r="S2202" i="4"/>
  <c r="R2202" i="4"/>
  <c r="T2196" i="4"/>
  <c r="U2196" i="4" s="1"/>
  <c r="S2196" i="4"/>
  <c r="R2196" i="4"/>
  <c r="T2195" i="4"/>
  <c r="U2195" i="4" s="1"/>
  <c r="S2195" i="4"/>
  <c r="R2195" i="4"/>
  <c r="T2194" i="4"/>
  <c r="U2194" i="4" s="1"/>
  <c r="S2194" i="4"/>
  <c r="R2194" i="4"/>
  <c r="T2193" i="4"/>
  <c r="U2193" i="4" s="1"/>
  <c r="S2193" i="4"/>
  <c r="R2193" i="4"/>
  <c r="T2161" i="4"/>
  <c r="U2161" i="4" s="1"/>
  <c r="S2161" i="4"/>
  <c r="R2161" i="4"/>
  <c r="T2125" i="4"/>
  <c r="U2125" i="4" s="1"/>
  <c r="S2125" i="4"/>
  <c r="R2125" i="4"/>
  <c r="T2124" i="4"/>
  <c r="U2124" i="4" s="1"/>
  <c r="S2124" i="4"/>
  <c r="R2124" i="4"/>
  <c r="T2103" i="4"/>
  <c r="U2103" i="4" s="1"/>
  <c r="S2103" i="4"/>
  <c r="R2103" i="4"/>
  <c r="T2094" i="4"/>
  <c r="U2094" i="4" s="1"/>
  <c r="S2094" i="4"/>
  <c r="R2094" i="4"/>
  <c r="T1979" i="4"/>
  <c r="U1979" i="4" s="1"/>
  <c r="S1979" i="4"/>
  <c r="R1979" i="4"/>
  <c r="T1449" i="4"/>
  <c r="U1449" i="4" s="1"/>
  <c r="S1449" i="4"/>
  <c r="R1449" i="4"/>
  <c r="T1028" i="4"/>
  <c r="U1028" i="4" s="1"/>
  <c r="S1028" i="4"/>
  <c r="R1028" i="4"/>
  <c r="T954" i="4"/>
  <c r="U954" i="4" s="1"/>
  <c r="S954" i="4"/>
  <c r="R954" i="4"/>
  <c r="T596" i="4"/>
  <c r="U596" i="4" s="1"/>
  <c r="S596" i="4"/>
  <c r="R596" i="4"/>
  <c r="T542" i="4"/>
  <c r="U542" i="4" s="1"/>
  <c r="S542" i="4"/>
  <c r="R542" i="4"/>
  <c r="T436" i="4"/>
  <c r="U436" i="4" s="1"/>
  <c r="S436" i="4"/>
  <c r="R436" i="4"/>
  <c r="T431" i="4"/>
  <c r="U431" i="4" s="1"/>
  <c r="S431" i="4"/>
  <c r="R431" i="4"/>
  <c r="T430" i="4"/>
  <c r="U430" i="4" s="1"/>
  <c r="S430" i="4"/>
  <c r="R430" i="4"/>
  <c r="T411" i="4"/>
  <c r="U411" i="4" s="1"/>
  <c r="S411" i="4"/>
  <c r="R411" i="4"/>
  <c r="T364" i="4"/>
  <c r="U364" i="4" s="1"/>
  <c r="S364" i="4"/>
  <c r="R364" i="4"/>
  <c r="T316" i="4"/>
  <c r="U316" i="4" s="1"/>
  <c r="S316" i="4"/>
  <c r="R316" i="4"/>
  <c r="T297" i="4"/>
  <c r="U297" i="4" s="1"/>
  <c r="S297" i="4"/>
  <c r="R297" i="4"/>
  <c r="T87" i="4"/>
  <c r="U87" i="4" s="1"/>
  <c r="S87" i="4"/>
  <c r="R87" i="4"/>
  <c r="T84" i="4"/>
  <c r="U84" i="4" s="1"/>
  <c r="S84" i="4"/>
  <c r="R84" i="4"/>
  <c r="T78" i="4"/>
  <c r="U78" i="4" s="1"/>
  <c r="S78" i="4"/>
  <c r="R78" i="4"/>
  <c r="T77" i="4"/>
  <c r="U77" i="4" s="1"/>
  <c r="S77" i="4"/>
  <c r="R77" i="4"/>
  <c r="T76" i="4"/>
  <c r="U76" i="4" s="1"/>
  <c r="S76" i="4"/>
  <c r="R76" i="4"/>
  <c r="T75" i="4"/>
  <c r="U75" i="4" s="1"/>
  <c r="S75" i="4"/>
  <c r="R75" i="4"/>
  <c r="T68" i="4"/>
  <c r="U68" i="4" s="1"/>
  <c r="S68" i="4"/>
  <c r="R68" i="4"/>
  <c r="T67" i="4"/>
  <c r="U67" i="4" s="1"/>
  <c r="S67" i="4"/>
  <c r="R67" i="4"/>
  <c r="T66" i="4"/>
  <c r="U66" i="4" s="1"/>
  <c r="S66" i="4"/>
  <c r="R66" i="4"/>
  <c r="T65" i="4"/>
  <c r="U65" i="4" s="1"/>
  <c r="S65" i="4"/>
  <c r="R65" i="4"/>
  <c r="T64" i="4"/>
  <c r="U64" i="4" s="1"/>
  <c r="S64" i="4"/>
  <c r="R64" i="4"/>
  <c r="T63" i="4"/>
  <c r="U63" i="4" s="1"/>
  <c r="S63" i="4"/>
  <c r="R63" i="4"/>
  <c r="T62" i="4"/>
  <c r="U62" i="4" s="1"/>
  <c r="S62" i="4"/>
  <c r="R62" i="4"/>
  <c r="T58" i="4"/>
  <c r="U58" i="4" s="1"/>
  <c r="S58" i="4"/>
  <c r="R58" i="4"/>
  <c r="T46" i="4"/>
  <c r="U46" i="4" s="1"/>
  <c r="S46" i="4"/>
  <c r="R46" i="4"/>
  <c r="T45" i="4"/>
  <c r="U45" i="4" s="1"/>
  <c r="S45" i="4"/>
  <c r="R45" i="4"/>
  <c r="T44" i="4"/>
  <c r="U44" i="4" s="1"/>
  <c r="S44" i="4"/>
  <c r="R44" i="4"/>
  <c r="T2264" i="4"/>
  <c r="U2264" i="4" s="1"/>
  <c r="S2264" i="4"/>
  <c r="R2264" i="4"/>
  <c r="T1829" i="4"/>
  <c r="U1829" i="4" s="1"/>
  <c r="S1829" i="4"/>
  <c r="R1829" i="4"/>
  <c r="T1689" i="4"/>
  <c r="U1689" i="4" s="1"/>
  <c r="S1689" i="4"/>
  <c r="R1689" i="4"/>
  <c r="T1641" i="4"/>
  <c r="U1641" i="4" s="1"/>
  <c r="S1641" i="4"/>
  <c r="R1641" i="4"/>
  <c r="T1607" i="4"/>
  <c r="U1607" i="4" s="1"/>
  <c r="S1607" i="4"/>
  <c r="R1607" i="4"/>
  <c r="T1589" i="4"/>
  <c r="U1589" i="4" s="1"/>
  <c r="S1589" i="4"/>
  <c r="R1589" i="4"/>
  <c r="T1315" i="4"/>
  <c r="U1315" i="4" s="1"/>
  <c r="S1315" i="4"/>
  <c r="R1315" i="4"/>
  <c r="T1191" i="4"/>
  <c r="U1191" i="4" s="1"/>
  <c r="S1191" i="4"/>
  <c r="R1191" i="4"/>
  <c r="T1137" i="4"/>
  <c r="U1137" i="4" s="1"/>
  <c r="S1137" i="4"/>
  <c r="R1137" i="4"/>
  <c r="T992" i="4"/>
  <c r="U992" i="4" s="1"/>
  <c r="S992" i="4"/>
  <c r="R992" i="4"/>
  <c r="T686" i="4"/>
  <c r="U686" i="4" s="1"/>
  <c r="S686" i="4"/>
  <c r="R686" i="4"/>
  <c r="T95" i="4"/>
  <c r="U95" i="4" s="1"/>
  <c r="S95" i="4"/>
  <c r="R95" i="4"/>
  <c r="T22" i="4"/>
  <c r="U22" i="4" s="1"/>
  <c r="S22" i="4"/>
  <c r="R22" i="4"/>
  <c r="T1988" i="4"/>
  <c r="U1988" i="4" s="1"/>
  <c r="S1988" i="4"/>
  <c r="R1988" i="4"/>
  <c r="T1987" i="4"/>
  <c r="U1987" i="4" s="1"/>
  <c r="S1987" i="4"/>
  <c r="R1987" i="4"/>
  <c r="T1935" i="4"/>
  <c r="U1935" i="4" s="1"/>
  <c r="S1935" i="4"/>
  <c r="R1935" i="4"/>
  <c r="T1323" i="4"/>
  <c r="U1323" i="4" s="1"/>
  <c r="S1323" i="4"/>
  <c r="R1323" i="4"/>
  <c r="T1279" i="4"/>
  <c r="U1279" i="4" s="1"/>
  <c r="S1279" i="4"/>
  <c r="R1279" i="4"/>
  <c r="T1275" i="4"/>
  <c r="U1275" i="4" s="1"/>
  <c r="S1275" i="4"/>
  <c r="R1275" i="4"/>
  <c r="T1257" i="4"/>
  <c r="U1257" i="4" s="1"/>
  <c r="S1257" i="4"/>
  <c r="R1257" i="4"/>
  <c r="T1256" i="4"/>
  <c r="U1256" i="4" s="1"/>
  <c r="S1256" i="4"/>
  <c r="R1256" i="4"/>
  <c r="T1223" i="4"/>
  <c r="U1223" i="4" s="1"/>
  <c r="S1223" i="4"/>
  <c r="R1223" i="4"/>
  <c r="T1093" i="4"/>
  <c r="U1093" i="4" s="1"/>
  <c r="S1093" i="4"/>
  <c r="R1093" i="4"/>
  <c r="T1087" i="4"/>
  <c r="U1087" i="4" s="1"/>
  <c r="S1087" i="4"/>
  <c r="R1087" i="4"/>
  <c r="T1052" i="4"/>
  <c r="U1052" i="4" s="1"/>
  <c r="S1052" i="4"/>
  <c r="R1052" i="4"/>
  <c r="T1030" i="4"/>
  <c r="U1030" i="4" s="1"/>
  <c r="S1030" i="4"/>
  <c r="R1030" i="4"/>
  <c r="T1024" i="4"/>
  <c r="U1024" i="4" s="1"/>
  <c r="S1024" i="4"/>
  <c r="R1024" i="4"/>
  <c r="T1023" i="4"/>
  <c r="U1023" i="4" s="1"/>
  <c r="S1023" i="4"/>
  <c r="R1023" i="4"/>
  <c r="T1019" i="4"/>
  <c r="U1019" i="4" s="1"/>
  <c r="S1019" i="4"/>
  <c r="R1019" i="4"/>
  <c r="Q1126" i="4"/>
  <c r="T1018" i="4"/>
  <c r="S1018" i="4"/>
  <c r="S1126" i="4" s="1"/>
  <c r="R1018" i="4"/>
  <c r="R1126" i="4" s="1"/>
  <c r="T1002" i="4"/>
  <c r="U1002" i="4" s="1"/>
  <c r="S1002" i="4"/>
  <c r="R1002" i="4"/>
  <c r="T1001" i="4"/>
  <c r="U1001" i="4" s="1"/>
  <c r="S1001" i="4"/>
  <c r="R1001" i="4"/>
  <c r="T956" i="4"/>
  <c r="U956" i="4" s="1"/>
  <c r="S956" i="4"/>
  <c r="R956" i="4"/>
  <c r="T937" i="4"/>
  <c r="U937" i="4" s="1"/>
  <c r="S937" i="4"/>
  <c r="R937" i="4"/>
  <c r="T863" i="4"/>
  <c r="U863" i="4" s="1"/>
  <c r="S863" i="4"/>
  <c r="R863" i="4"/>
  <c r="T862" i="4"/>
  <c r="U862" i="4" s="1"/>
  <c r="S862" i="4"/>
  <c r="R862" i="4"/>
  <c r="T861" i="4"/>
  <c r="U861" i="4" s="1"/>
  <c r="S861" i="4"/>
  <c r="R861" i="4"/>
  <c r="T806" i="4"/>
  <c r="U806" i="4" s="1"/>
  <c r="S806" i="4"/>
  <c r="R806" i="4"/>
  <c r="T804" i="4"/>
  <c r="U804" i="4" s="1"/>
  <c r="S804" i="4"/>
  <c r="R804" i="4"/>
  <c r="T769" i="4"/>
  <c r="U769" i="4" s="1"/>
  <c r="S769" i="4"/>
  <c r="R769" i="4"/>
  <c r="T767" i="4"/>
  <c r="U767" i="4" s="1"/>
  <c r="S767" i="4"/>
  <c r="R767" i="4"/>
  <c r="T674" i="4"/>
  <c r="U674" i="4" s="1"/>
  <c r="S674" i="4"/>
  <c r="R674" i="4"/>
  <c r="T203" i="4"/>
  <c r="U203" i="4" s="1"/>
  <c r="S203" i="4"/>
  <c r="R203" i="4"/>
  <c r="T178" i="4"/>
  <c r="U178" i="4" s="1"/>
  <c r="S178" i="4"/>
  <c r="R178" i="4"/>
  <c r="T176" i="4"/>
  <c r="U176" i="4" s="1"/>
  <c r="S176" i="4"/>
  <c r="R176" i="4"/>
  <c r="T36" i="4"/>
  <c r="U36" i="4" s="1"/>
  <c r="S36" i="4"/>
  <c r="R36" i="4"/>
  <c r="T35" i="4"/>
  <c r="U35" i="4" s="1"/>
  <c r="S35" i="4"/>
  <c r="R35" i="4"/>
  <c r="T34" i="4"/>
  <c r="U34" i="4" s="1"/>
  <c r="S34" i="4"/>
  <c r="R34" i="4"/>
  <c r="T26" i="4"/>
  <c r="U26" i="4" s="1"/>
  <c r="S26" i="4"/>
  <c r="R26" i="4"/>
  <c r="T451" i="4"/>
  <c r="U451" i="4" s="1"/>
  <c r="S451" i="4"/>
  <c r="R451" i="4"/>
  <c r="T363" i="4"/>
  <c r="U363" i="4" s="1"/>
  <c r="S363" i="4"/>
  <c r="R363" i="4"/>
  <c r="T1913" i="4"/>
  <c r="U1913" i="4" s="1"/>
  <c r="S1913" i="4"/>
  <c r="R1913" i="4"/>
  <c r="T1896" i="4"/>
  <c r="U1896" i="4" s="1"/>
  <c r="S1896" i="4"/>
  <c r="R1896" i="4"/>
  <c r="T1708" i="4"/>
  <c r="U1708" i="4" s="1"/>
  <c r="S1708" i="4"/>
  <c r="R1708" i="4"/>
  <c r="T1691" i="4"/>
  <c r="U1691" i="4" s="1"/>
  <c r="S1691" i="4"/>
  <c r="R1691" i="4"/>
  <c r="T1688" i="4"/>
  <c r="U1688" i="4" s="1"/>
  <c r="S1688" i="4"/>
  <c r="R1688" i="4"/>
  <c r="T1670" i="4"/>
  <c r="U1670" i="4" s="1"/>
  <c r="S1670" i="4"/>
  <c r="R1670" i="4"/>
  <c r="T1322" i="4"/>
  <c r="U1322" i="4" s="1"/>
  <c r="S1322" i="4"/>
  <c r="R1322" i="4"/>
  <c r="T1953" i="4"/>
  <c r="U1953" i="4" s="1"/>
  <c r="S1953" i="4"/>
  <c r="R1953" i="4"/>
  <c r="T1946" i="4"/>
  <c r="U1946" i="4" s="1"/>
  <c r="S1946" i="4"/>
  <c r="R1946" i="4"/>
  <c r="T1413" i="4"/>
  <c r="U1413" i="4" s="1"/>
  <c r="S1413" i="4"/>
  <c r="R1413" i="4"/>
  <c r="T1397" i="4"/>
  <c r="U1397" i="4" s="1"/>
  <c r="S1397" i="4"/>
  <c r="R1397" i="4"/>
  <c r="T1332" i="4"/>
  <c r="U1332" i="4" s="1"/>
  <c r="S1332" i="4"/>
  <c r="R1332" i="4"/>
  <c r="T1291" i="4"/>
  <c r="U1291" i="4" s="1"/>
  <c r="S1291" i="4"/>
  <c r="R1291" i="4"/>
  <c r="T1026" i="4"/>
  <c r="U1026" i="4" s="1"/>
  <c r="S1026" i="4"/>
  <c r="R1026" i="4"/>
  <c r="T1025" i="4"/>
  <c r="U1025" i="4" s="1"/>
  <c r="S1025" i="4"/>
  <c r="R1025" i="4"/>
  <c r="T902" i="4"/>
  <c r="U902" i="4" s="1"/>
  <c r="S902" i="4"/>
  <c r="R902" i="4"/>
  <c r="T729" i="4"/>
  <c r="U729" i="4" s="1"/>
  <c r="S729" i="4"/>
  <c r="R729" i="4"/>
  <c r="T727" i="4"/>
  <c r="U727" i="4" s="1"/>
  <c r="S727" i="4"/>
  <c r="R727" i="4"/>
  <c r="T723" i="4"/>
  <c r="U723" i="4" s="1"/>
  <c r="S723" i="4"/>
  <c r="R723" i="4"/>
  <c r="T722" i="4"/>
  <c r="U722" i="4" s="1"/>
  <c r="S722" i="4"/>
  <c r="R722" i="4"/>
  <c r="T721" i="4"/>
  <c r="U721" i="4" s="1"/>
  <c r="S721" i="4"/>
  <c r="R721" i="4"/>
  <c r="T720" i="4"/>
  <c r="U720" i="4" s="1"/>
  <c r="S720" i="4"/>
  <c r="R720" i="4"/>
  <c r="T719" i="4"/>
  <c r="U719" i="4" s="1"/>
  <c r="S719" i="4"/>
  <c r="R719" i="4"/>
  <c r="T675" i="4"/>
  <c r="U675" i="4" s="1"/>
  <c r="S675" i="4"/>
  <c r="R675" i="4"/>
  <c r="T673" i="4"/>
  <c r="U673" i="4" s="1"/>
  <c r="S673" i="4"/>
  <c r="R673" i="4"/>
  <c r="T415" i="4"/>
  <c r="U415" i="4" s="1"/>
  <c r="S415" i="4"/>
  <c r="R415" i="4"/>
  <c r="T300" i="4"/>
  <c r="U300" i="4" s="1"/>
  <c r="S300" i="4"/>
  <c r="R300" i="4"/>
  <c r="T299" i="4"/>
  <c r="U299" i="4" s="1"/>
  <c r="S299" i="4"/>
  <c r="R299" i="4"/>
  <c r="T1972" i="4"/>
  <c r="U1972" i="4" s="1"/>
  <c r="S1972" i="4"/>
  <c r="R1972" i="4"/>
  <c r="T1966" i="4"/>
  <c r="U1966" i="4" s="1"/>
  <c r="S1966" i="4"/>
  <c r="R1966" i="4"/>
  <c r="T1222" i="4"/>
  <c r="U1222" i="4" s="1"/>
  <c r="S1222" i="4"/>
  <c r="R1222" i="4"/>
  <c r="T1022" i="4"/>
  <c r="U1022" i="4" s="1"/>
  <c r="S1022" i="4"/>
  <c r="R1022" i="4"/>
  <c r="T1021" i="4"/>
  <c r="U1021" i="4" s="1"/>
  <c r="S1021" i="4"/>
  <c r="R1021" i="4"/>
  <c r="T1020" i="4"/>
  <c r="U1020" i="4" s="1"/>
  <c r="S1020" i="4"/>
  <c r="R1020" i="4"/>
  <c r="T858" i="4"/>
  <c r="U858" i="4" s="1"/>
  <c r="S858" i="4"/>
  <c r="R858" i="4"/>
  <c r="T856" i="4"/>
  <c r="U856" i="4" s="1"/>
  <c r="S856" i="4"/>
  <c r="R856" i="4"/>
  <c r="T853" i="4"/>
  <c r="U853" i="4" s="1"/>
  <c r="S853" i="4"/>
  <c r="R853" i="4"/>
  <c r="T852" i="4"/>
  <c r="U852" i="4" s="1"/>
  <c r="S852" i="4"/>
  <c r="R852" i="4"/>
  <c r="T845" i="4"/>
  <c r="U845" i="4" s="1"/>
  <c r="S845" i="4"/>
  <c r="R845" i="4"/>
  <c r="T842" i="4"/>
  <c r="U842" i="4" s="1"/>
  <c r="S842" i="4"/>
  <c r="R842" i="4"/>
  <c r="T841" i="4"/>
  <c r="U841" i="4" s="1"/>
  <c r="S841" i="4"/>
  <c r="R841" i="4"/>
  <c r="T840" i="4"/>
  <c r="U840" i="4" s="1"/>
  <c r="S840" i="4"/>
  <c r="R840" i="4"/>
  <c r="Q965" i="4"/>
  <c r="T837" i="4"/>
  <c r="S837" i="4"/>
  <c r="S965" i="4" s="1"/>
  <c r="R837" i="4"/>
  <c r="R965" i="4" s="1"/>
  <c r="T772" i="4"/>
  <c r="U772" i="4" s="1"/>
  <c r="S772" i="4"/>
  <c r="R772" i="4"/>
  <c r="T770" i="4"/>
  <c r="U770" i="4" s="1"/>
  <c r="S770" i="4"/>
  <c r="R770" i="4"/>
  <c r="T681" i="4"/>
  <c r="U681" i="4" s="1"/>
  <c r="S681" i="4"/>
  <c r="R681" i="4"/>
  <c r="T680" i="4"/>
  <c r="U680" i="4" s="1"/>
  <c r="S680" i="4"/>
  <c r="R680" i="4"/>
  <c r="T679" i="4"/>
  <c r="U679" i="4" s="1"/>
  <c r="S679" i="4"/>
  <c r="R679" i="4"/>
  <c r="T678" i="4"/>
  <c r="U678" i="4" s="1"/>
  <c r="S678" i="4"/>
  <c r="R678" i="4"/>
  <c r="T444" i="4"/>
  <c r="U444" i="4" s="1"/>
  <c r="S444" i="4"/>
  <c r="R444" i="4"/>
  <c r="T345" i="4"/>
  <c r="U345" i="4" s="1"/>
  <c r="S345" i="4"/>
  <c r="R345" i="4"/>
  <c r="T344" i="4"/>
  <c r="U344" i="4" s="1"/>
  <c r="S344" i="4"/>
  <c r="R344" i="4"/>
  <c r="T321" i="4"/>
  <c r="U321" i="4" s="1"/>
  <c r="S321" i="4"/>
  <c r="R321" i="4"/>
  <c r="T315" i="4"/>
  <c r="U315" i="4" s="1"/>
  <c r="S315" i="4"/>
  <c r="R315" i="4"/>
  <c r="T275" i="4"/>
  <c r="U275" i="4" s="1"/>
  <c r="S275" i="4"/>
  <c r="R275" i="4"/>
  <c r="T1399" i="4"/>
  <c r="U1399" i="4" s="1"/>
  <c r="S1399" i="4"/>
  <c r="R1399" i="4"/>
  <c r="T1395" i="4"/>
  <c r="U1395" i="4" s="1"/>
  <c r="S1395" i="4"/>
  <c r="R1395" i="4"/>
  <c r="T988" i="4"/>
  <c r="U988" i="4" s="1"/>
  <c r="S988" i="4"/>
  <c r="R988" i="4"/>
  <c r="T978" i="4"/>
  <c r="U978" i="4" s="1"/>
  <c r="S978" i="4"/>
  <c r="R978" i="4"/>
  <c r="T848" i="4"/>
  <c r="U848" i="4" s="1"/>
  <c r="S848" i="4"/>
  <c r="R848" i="4"/>
  <c r="T847" i="4"/>
  <c r="U847" i="4" s="1"/>
  <c r="S847" i="4"/>
  <c r="R847" i="4"/>
  <c r="T765" i="4"/>
  <c r="U765" i="4" s="1"/>
  <c r="S765" i="4"/>
  <c r="R765" i="4"/>
  <c r="T763" i="4"/>
  <c r="U763" i="4" s="1"/>
  <c r="S763" i="4"/>
  <c r="R763" i="4"/>
  <c r="T726" i="4"/>
  <c r="U726" i="4" s="1"/>
  <c r="S726" i="4"/>
  <c r="R726" i="4"/>
  <c r="T718" i="4"/>
  <c r="U718" i="4" s="1"/>
  <c r="S718" i="4"/>
  <c r="R718" i="4"/>
  <c r="T717" i="4"/>
  <c r="U717" i="4" s="1"/>
  <c r="S717" i="4"/>
  <c r="R717" i="4"/>
  <c r="T716" i="4"/>
  <c r="U716" i="4" s="1"/>
  <c r="S716" i="4"/>
  <c r="R716" i="4"/>
  <c r="T715" i="4"/>
  <c r="U715" i="4" s="1"/>
  <c r="S715" i="4"/>
  <c r="R715" i="4"/>
  <c r="T639" i="4"/>
  <c r="U639" i="4" s="1"/>
  <c r="S639" i="4"/>
  <c r="R639" i="4"/>
  <c r="T634" i="4"/>
  <c r="U634" i="4" s="1"/>
  <c r="S634" i="4"/>
  <c r="R634" i="4"/>
  <c r="T632" i="4"/>
  <c r="U632" i="4" s="1"/>
  <c r="S632" i="4"/>
  <c r="R632" i="4"/>
  <c r="T625" i="4"/>
  <c r="U625" i="4" s="1"/>
  <c r="S625" i="4"/>
  <c r="R625" i="4"/>
  <c r="T455" i="4"/>
  <c r="U455" i="4" s="1"/>
  <c r="S455" i="4"/>
  <c r="R455" i="4"/>
  <c r="T453" i="4"/>
  <c r="U453" i="4" s="1"/>
  <c r="S453" i="4"/>
  <c r="R453" i="4"/>
  <c r="T452" i="4"/>
  <c r="U452" i="4" s="1"/>
  <c r="S452" i="4"/>
  <c r="R452" i="4"/>
  <c r="T447" i="4"/>
  <c r="U447" i="4" s="1"/>
  <c r="S447" i="4"/>
  <c r="R447" i="4"/>
  <c r="T416" i="4"/>
  <c r="U416" i="4" s="1"/>
  <c r="S416" i="4"/>
  <c r="R416" i="4"/>
  <c r="T414" i="4"/>
  <c r="U414" i="4" s="1"/>
  <c r="S414" i="4"/>
  <c r="R414" i="4"/>
  <c r="T401" i="4"/>
  <c r="U401" i="4" s="1"/>
  <c r="S401" i="4"/>
  <c r="R401" i="4"/>
  <c r="T381" i="4"/>
  <c r="U381" i="4" s="1"/>
  <c r="S381" i="4"/>
  <c r="R381" i="4"/>
  <c r="T380" i="4"/>
  <c r="U380" i="4" s="1"/>
  <c r="S380" i="4"/>
  <c r="R380" i="4"/>
  <c r="T379" i="4"/>
  <c r="U379" i="4" s="1"/>
  <c r="S379" i="4"/>
  <c r="R379" i="4"/>
  <c r="T377" i="4"/>
  <c r="U377" i="4" s="1"/>
  <c r="S377" i="4"/>
  <c r="R377" i="4"/>
  <c r="T298" i="4"/>
  <c r="U298" i="4" s="1"/>
  <c r="S298" i="4"/>
  <c r="R298" i="4"/>
  <c r="T156" i="4"/>
  <c r="U156" i="4" s="1"/>
  <c r="S156" i="4"/>
  <c r="R156" i="4"/>
  <c r="T155" i="4"/>
  <c r="U155" i="4" s="1"/>
  <c r="S155" i="4"/>
  <c r="R155" i="4"/>
  <c r="T154" i="4"/>
  <c r="U154" i="4" s="1"/>
  <c r="S154" i="4"/>
  <c r="R154" i="4"/>
  <c r="T147" i="4"/>
  <c r="U147" i="4" s="1"/>
  <c r="S147" i="4"/>
  <c r="R147" i="4"/>
  <c r="T146" i="4"/>
  <c r="U146" i="4" s="1"/>
  <c r="S146" i="4"/>
  <c r="R146" i="4"/>
  <c r="T145" i="4"/>
  <c r="U145" i="4" s="1"/>
  <c r="S145" i="4"/>
  <c r="R145" i="4"/>
  <c r="T143" i="4"/>
  <c r="U143" i="4" s="1"/>
  <c r="S143" i="4"/>
  <c r="R143" i="4"/>
  <c r="T40" i="4"/>
  <c r="U40" i="4" s="1"/>
  <c r="S40" i="4"/>
  <c r="R40" i="4"/>
  <c r="T38" i="4"/>
  <c r="U38" i="4" s="1"/>
  <c r="S38" i="4"/>
  <c r="R38" i="4"/>
  <c r="T31" i="4"/>
  <c r="U31" i="4" s="1"/>
  <c r="S31" i="4"/>
  <c r="R31" i="4"/>
  <c r="T1566" i="4"/>
  <c r="U1566" i="4" s="1"/>
  <c r="S1566" i="4"/>
  <c r="R1566" i="4"/>
  <c r="T2297" i="4"/>
  <c r="U2297" i="4" s="1"/>
  <c r="S2297" i="4"/>
  <c r="R2297" i="4"/>
  <c r="T2296" i="4"/>
  <c r="U2296" i="4" s="1"/>
  <c r="S2296" i="4"/>
  <c r="R2296" i="4"/>
  <c r="T2286" i="4"/>
  <c r="U2286" i="4" s="1"/>
  <c r="S2286" i="4"/>
  <c r="R2286" i="4"/>
  <c r="T2285" i="4"/>
  <c r="U2285" i="4" s="1"/>
  <c r="S2285" i="4"/>
  <c r="R2285" i="4"/>
  <c r="T2268" i="4"/>
  <c r="U2268" i="4" s="1"/>
  <c r="S2268" i="4"/>
  <c r="R2268" i="4"/>
  <c r="T2267" i="4"/>
  <c r="U2267" i="4" s="1"/>
  <c r="S2267" i="4"/>
  <c r="R2267" i="4"/>
  <c r="T2261" i="4"/>
  <c r="U2261" i="4" s="1"/>
  <c r="S2261" i="4"/>
  <c r="R2261" i="4"/>
  <c r="T2260" i="4"/>
  <c r="U2260" i="4" s="1"/>
  <c r="S2260" i="4"/>
  <c r="R2260" i="4"/>
  <c r="T2249" i="4"/>
  <c r="U2249" i="4" s="1"/>
  <c r="S2249" i="4"/>
  <c r="R2249" i="4"/>
  <c r="T2248" i="4"/>
  <c r="U2248" i="4" s="1"/>
  <c r="S2248" i="4"/>
  <c r="R2248" i="4"/>
  <c r="T2235" i="4"/>
  <c r="U2235" i="4" s="1"/>
  <c r="S2235" i="4"/>
  <c r="R2235" i="4"/>
  <c r="T2234" i="4"/>
  <c r="U2234" i="4" s="1"/>
  <c r="S2234" i="4"/>
  <c r="R2234" i="4"/>
  <c r="T2218" i="4"/>
  <c r="U2218" i="4" s="1"/>
  <c r="S2218" i="4"/>
  <c r="R2218" i="4"/>
  <c r="T2217" i="4"/>
  <c r="U2217" i="4" s="1"/>
  <c r="S2217" i="4"/>
  <c r="R2217" i="4"/>
  <c r="T2201" i="4"/>
  <c r="U2201" i="4" s="1"/>
  <c r="S2201" i="4"/>
  <c r="R2201" i="4"/>
  <c r="T2200" i="4"/>
  <c r="U2200" i="4" s="1"/>
  <c r="S2200" i="4"/>
  <c r="R2200" i="4"/>
  <c r="T2192" i="4"/>
  <c r="U2192" i="4" s="1"/>
  <c r="S2192" i="4"/>
  <c r="R2192" i="4"/>
  <c r="T2191" i="4"/>
  <c r="U2191" i="4" s="1"/>
  <c r="S2191" i="4"/>
  <c r="R2191" i="4"/>
  <c r="T2173" i="4"/>
  <c r="U2173" i="4" s="1"/>
  <c r="S2173" i="4"/>
  <c r="R2173" i="4"/>
  <c r="T2172" i="4"/>
  <c r="U2172" i="4" s="1"/>
  <c r="S2172" i="4"/>
  <c r="R2172" i="4"/>
  <c r="T2160" i="4"/>
  <c r="U2160" i="4" s="1"/>
  <c r="S2160" i="4"/>
  <c r="R2160" i="4"/>
  <c r="T2159" i="4"/>
  <c r="U2159" i="4" s="1"/>
  <c r="S2159" i="4"/>
  <c r="R2159" i="4"/>
  <c r="T2139" i="4"/>
  <c r="U2139" i="4" s="1"/>
  <c r="S2139" i="4"/>
  <c r="R2139" i="4"/>
  <c r="T2138" i="4"/>
  <c r="U2138" i="4" s="1"/>
  <c r="S2138" i="4"/>
  <c r="R2138" i="4"/>
  <c r="T2137" i="4"/>
  <c r="U2137" i="4" s="1"/>
  <c r="S2137" i="4"/>
  <c r="R2137" i="4"/>
  <c r="T2136" i="4"/>
  <c r="U2136" i="4" s="1"/>
  <c r="S2136" i="4"/>
  <c r="R2136" i="4"/>
  <c r="T2131" i="4"/>
  <c r="U2131" i="4" s="1"/>
  <c r="S2131" i="4"/>
  <c r="R2131" i="4"/>
  <c r="T2129" i="4"/>
  <c r="U2129" i="4" s="1"/>
  <c r="S2129" i="4"/>
  <c r="R2129" i="4"/>
  <c r="T2127" i="4"/>
  <c r="U2127" i="4" s="1"/>
  <c r="S2127" i="4"/>
  <c r="R2127" i="4"/>
  <c r="T2126" i="4"/>
  <c r="U2126" i="4" s="1"/>
  <c r="S2126" i="4"/>
  <c r="R2126" i="4"/>
  <c r="T2107" i="4"/>
  <c r="U2107" i="4" s="1"/>
  <c r="S2107" i="4"/>
  <c r="R2107" i="4"/>
  <c r="T2106" i="4"/>
  <c r="U2106" i="4" s="1"/>
  <c r="S2106" i="4"/>
  <c r="R2106" i="4"/>
  <c r="T2089" i="4"/>
  <c r="U2089" i="4" s="1"/>
  <c r="S2089" i="4"/>
  <c r="R2089" i="4"/>
  <c r="T2088" i="4"/>
  <c r="U2088" i="4" s="1"/>
  <c r="S2088" i="4"/>
  <c r="R2088" i="4"/>
  <c r="T2067" i="4"/>
  <c r="U2067" i="4" s="1"/>
  <c r="S2067" i="4"/>
  <c r="R2067" i="4"/>
  <c r="T2064" i="4"/>
  <c r="U2064" i="4" s="1"/>
  <c r="S2064" i="4"/>
  <c r="R2064" i="4"/>
  <c r="T2063" i="4"/>
  <c r="U2063" i="4" s="1"/>
  <c r="S2063" i="4"/>
  <c r="R2063" i="4"/>
  <c r="T2058" i="4"/>
  <c r="U2058" i="4" s="1"/>
  <c r="S2058" i="4"/>
  <c r="R2058" i="4"/>
  <c r="T2057" i="4"/>
  <c r="U2057" i="4" s="1"/>
  <c r="S2057" i="4"/>
  <c r="R2057" i="4"/>
  <c r="T2050" i="4"/>
  <c r="U2050" i="4" s="1"/>
  <c r="S2050" i="4"/>
  <c r="R2050" i="4"/>
  <c r="T2036" i="4"/>
  <c r="U2036" i="4" s="1"/>
  <c r="S2036" i="4"/>
  <c r="R2036" i="4"/>
  <c r="T2035" i="4"/>
  <c r="U2035" i="4" s="1"/>
  <c r="S2035" i="4"/>
  <c r="R2035" i="4"/>
  <c r="T2034" i="4"/>
  <c r="U2034" i="4" s="1"/>
  <c r="S2034" i="4"/>
  <c r="R2034" i="4"/>
  <c r="T2022" i="4"/>
  <c r="U2022" i="4" s="1"/>
  <c r="S2022" i="4"/>
  <c r="R2022" i="4"/>
  <c r="T2020" i="4"/>
  <c r="U2020" i="4" s="1"/>
  <c r="S2020" i="4"/>
  <c r="R2020" i="4"/>
  <c r="T2004" i="4"/>
  <c r="U2004" i="4" s="1"/>
  <c r="S2004" i="4"/>
  <c r="R2004" i="4"/>
  <c r="T1991" i="4"/>
  <c r="U1991" i="4" s="1"/>
  <c r="S1991" i="4"/>
  <c r="R1991" i="4"/>
  <c r="T1983" i="4"/>
  <c r="U1983" i="4" s="1"/>
  <c r="S1983" i="4"/>
  <c r="R1983" i="4"/>
  <c r="T1968" i="4"/>
  <c r="U1968" i="4" s="1"/>
  <c r="S1968" i="4"/>
  <c r="R1968" i="4"/>
  <c r="T1929" i="4"/>
  <c r="U1929" i="4" s="1"/>
  <c r="S1929" i="4"/>
  <c r="R1929" i="4"/>
  <c r="T1927" i="4"/>
  <c r="U1927" i="4" s="1"/>
  <c r="S1927" i="4"/>
  <c r="R1927" i="4"/>
  <c r="T1911" i="4"/>
  <c r="U1911" i="4" s="1"/>
  <c r="S1911" i="4"/>
  <c r="R1911" i="4"/>
  <c r="T1909" i="4"/>
  <c r="U1909" i="4" s="1"/>
  <c r="S1909" i="4"/>
  <c r="R1909" i="4"/>
  <c r="T1894" i="4"/>
  <c r="U1894" i="4" s="1"/>
  <c r="S1894" i="4"/>
  <c r="R1894" i="4"/>
  <c r="T1877" i="4"/>
  <c r="U1877" i="4" s="1"/>
  <c r="S1877" i="4"/>
  <c r="R1877" i="4"/>
  <c r="T1875" i="4"/>
  <c r="U1875" i="4" s="1"/>
  <c r="S1875" i="4"/>
  <c r="R1875" i="4"/>
  <c r="T1852" i="4"/>
  <c r="U1852" i="4" s="1"/>
  <c r="S1852" i="4"/>
  <c r="R1852" i="4"/>
  <c r="T1846" i="4"/>
  <c r="U1846" i="4" s="1"/>
  <c r="S1846" i="4"/>
  <c r="R1846" i="4"/>
  <c r="T1844" i="4"/>
  <c r="U1844" i="4" s="1"/>
  <c r="S1844" i="4"/>
  <c r="R1844" i="4"/>
  <c r="T1842" i="4"/>
  <c r="U1842" i="4" s="1"/>
  <c r="S1842" i="4"/>
  <c r="R1842" i="4"/>
  <c r="T1826" i="4"/>
  <c r="U1826" i="4" s="1"/>
  <c r="S1826" i="4"/>
  <c r="R1826" i="4"/>
  <c r="T1823" i="4"/>
  <c r="U1823" i="4" s="1"/>
  <c r="S1823" i="4"/>
  <c r="R1823" i="4"/>
  <c r="T1821" i="4"/>
  <c r="U1821" i="4" s="1"/>
  <c r="S1821" i="4"/>
  <c r="R1821" i="4"/>
  <c r="T1816" i="4"/>
  <c r="U1816" i="4" s="1"/>
  <c r="S1816" i="4"/>
  <c r="R1816" i="4"/>
  <c r="T1814" i="4"/>
  <c r="U1814" i="4" s="1"/>
  <c r="S1814" i="4"/>
  <c r="R1814" i="4"/>
  <c r="T1799" i="4"/>
  <c r="U1799" i="4" s="1"/>
  <c r="S1799" i="4"/>
  <c r="R1799" i="4"/>
  <c r="T1792" i="4"/>
  <c r="U1792" i="4" s="1"/>
  <c r="S1792" i="4"/>
  <c r="R1792" i="4"/>
  <c r="T1790" i="4"/>
  <c r="U1790" i="4" s="1"/>
  <c r="S1790" i="4"/>
  <c r="R1790" i="4"/>
  <c r="T1778" i="4"/>
  <c r="U1778" i="4" s="1"/>
  <c r="S1778" i="4"/>
  <c r="R1778" i="4"/>
  <c r="T1776" i="4"/>
  <c r="U1776" i="4" s="1"/>
  <c r="S1776" i="4"/>
  <c r="R1776" i="4"/>
  <c r="T1739" i="4"/>
  <c r="U1739" i="4" s="1"/>
  <c r="S1739" i="4"/>
  <c r="R1739" i="4"/>
  <c r="T1706" i="4"/>
  <c r="U1706" i="4" s="1"/>
  <c r="S1706" i="4"/>
  <c r="R1706" i="4"/>
  <c r="T1704" i="4"/>
  <c r="U1704" i="4" s="1"/>
  <c r="S1704" i="4"/>
  <c r="R1704" i="4"/>
  <c r="T1702" i="4"/>
  <c r="U1702" i="4" s="1"/>
  <c r="S1702" i="4"/>
  <c r="R1702" i="4"/>
  <c r="T1700" i="4"/>
  <c r="U1700" i="4" s="1"/>
  <c r="S1700" i="4"/>
  <c r="R1700" i="4"/>
  <c r="T1686" i="4"/>
  <c r="U1686" i="4" s="1"/>
  <c r="S1686" i="4"/>
  <c r="R1686" i="4"/>
  <c r="T1684" i="4"/>
  <c r="U1684" i="4" s="1"/>
  <c r="S1684" i="4"/>
  <c r="R1684" i="4"/>
  <c r="T1682" i="4"/>
  <c r="U1682" i="4" s="1"/>
  <c r="S1682" i="4"/>
  <c r="R1682" i="4"/>
  <c r="T1680" i="4"/>
  <c r="U1680" i="4" s="1"/>
  <c r="S1680" i="4"/>
  <c r="R1680" i="4"/>
  <c r="T1655" i="4"/>
  <c r="U1655" i="4" s="1"/>
  <c r="S1655" i="4"/>
  <c r="R1655" i="4"/>
  <c r="T1653" i="4"/>
  <c r="U1653" i="4" s="1"/>
  <c r="S1653" i="4"/>
  <c r="R1653" i="4"/>
  <c r="T1651" i="4"/>
  <c r="U1651" i="4" s="1"/>
  <c r="S1651" i="4"/>
  <c r="R1651" i="4"/>
  <c r="T1649" i="4"/>
  <c r="U1649" i="4" s="1"/>
  <c r="S1649" i="4"/>
  <c r="R1649" i="4"/>
  <c r="T1638" i="4"/>
  <c r="U1638" i="4" s="1"/>
  <c r="S1638" i="4"/>
  <c r="R1638" i="4"/>
  <c r="T1636" i="4"/>
  <c r="U1636" i="4" s="1"/>
  <c r="S1636" i="4"/>
  <c r="R1636" i="4"/>
  <c r="T1634" i="4"/>
  <c r="U1634" i="4" s="1"/>
  <c r="S1634" i="4"/>
  <c r="R1634" i="4"/>
  <c r="T1632" i="4"/>
  <c r="U1632" i="4" s="1"/>
  <c r="S1632" i="4"/>
  <c r="R1632" i="4"/>
  <c r="T1606" i="4"/>
  <c r="U1606" i="4" s="1"/>
  <c r="S1606" i="4"/>
  <c r="R1606" i="4"/>
  <c r="T1605" i="4"/>
  <c r="U1605" i="4" s="1"/>
  <c r="S1605" i="4"/>
  <c r="R1605" i="4"/>
  <c r="T1604" i="4"/>
  <c r="U1604" i="4" s="1"/>
  <c r="S1604" i="4"/>
  <c r="R1604" i="4"/>
  <c r="T1587" i="4"/>
  <c r="U1587" i="4" s="1"/>
  <c r="S1587" i="4"/>
  <c r="R1587" i="4"/>
  <c r="T1581" i="4"/>
  <c r="U1581" i="4" s="1"/>
  <c r="S1581" i="4"/>
  <c r="R1581" i="4"/>
  <c r="T1579" i="4"/>
  <c r="U1579" i="4" s="1"/>
  <c r="S1579" i="4"/>
  <c r="R1579" i="4"/>
  <c r="T1576" i="4"/>
  <c r="U1576" i="4" s="1"/>
  <c r="S1576" i="4"/>
  <c r="R1576" i="4"/>
  <c r="T1569" i="4"/>
  <c r="U1569" i="4" s="1"/>
  <c r="S1569" i="4"/>
  <c r="R1569" i="4"/>
  <c r="T1567" i="4"/>
  <c r="U1567" i="4" s="1"/>
  <c r="S1567" i="4"/>
  <c r="R1567" i="4"/>
  <c r="T1544" i="4"/>
  <c r="U1544" i="4" s="1"/>
  <c r="S1544" i="4"/>
  <c r="R1544" i="4"/>
  <c r="T1543" i="4"/>
  <c r="U1543" i="4" s="1"/>
  <c r="S1543" i="4"/>
  <c r="R1543" i="4"/>
  <c r="T1542" i="4"/>
  <c r="U1542" i="4" s="1"/>
  <c r="S1542" i="4"/>
  <c r="R1542" i="4"/>
  <c r="T1522" i="4"/>
  <c r="U1522" i="4" s="1"/>
  <c r="S1522" i="4"/>
  <c r="R1522" i="4"/>
  <c r="T1521" i="4"/>
  <c r="U1521" i="4" s="1"/>
  <c r="S1521" i="4"/>
  <c r="R1521" i="4"/>
  <c r="T1496" i="4"/>
  <c r="U1496" i="4" s="1"/>
  <c r="S1496" i="4"/>
  <c r="R1496" i="4"/>
  <c r="T1495" i="4"/>
  <c r="U1495" i="4" s="1"/>
  <c r="S1495" i="4"/>
  <c r="R1495" i="4"/>
  <c r="T1482" i="4"/>
  <c r="U1482" i="4" s="1"/>
  <c r="S1482" i="4"/>
  <c r="R1482" i="4"/>
  <c r="T1454" i="4"/>
  <c r="U1454" i="4" s="1"/>
  <c r="S1454" i="4"/>
  <c r="R1454" i="4"/>
  <c r="T1453" i="4"/>
  <c r="U1453" i="4" s="1"/>
  <c r="S1453" i="4"/>
  <c r="R1453" i="4"/>
  <c r="T1452" i="4"/>
  <c r="U1452" i="4" s="1"/>
  <c r="S1452" i="4"/>
  <c r="R1452" i="4"/>
  <c r="T1444" i="4"/>
  <c r="U1444" i="4" s="1"/>
  <c r="S1444" i="4"/>
  <c r="R1444" i="4"/>
  <c r="T1443" i="4"/>
  <c r="U1443" i="4" s="1"/>
  <c r="S1443" i="4"/>
  <c r="R1443" i="4"/>
  <c r="T1415" i="4"/>
  <c r="U1415" i="4" s="1"/>
  <c r="S1415" i="4"/>
  <c r="R1415" i="4"/>
  <c r="T1414" i="4"/>
  <c r="U1414" i="4" s="1"/>
  <c r="S1414" i="4"/>
  <c r="R1414" i="4"/>
  <c r="T1396" i="4"/>
  <c r="U1396" i="4" s="1"/>
  <c r="S1396" i="4"/>
  <c r="R1396" i="4"/>
  <c r="T1366" i="4"/>
  <c r="U1366" i="4" s="1"/>
  <c r="S1366" i="4"/>
  <c r="R1366" i="4"/>
  <c r="T1359" i="4"/>
  <c r="U1359" i="4" s="1"/>
  <c r="S1359" i="4"/>
  <c r="R1359" i="4"/>
  <c r="T1358" i="4"/>
  <c r="U1358" i="4" s="1"/>
  <c r="S1358" i="4"/>
  <c r="R1358" i="4"/>
  <c r="T1357" i="4"/>
  <c r="U1357" i="4" s="1"/>
  <c r="S1357" i="4"/>
  <c r="R1357" i="4"/>
  <c r="T1350" i="4"/>
  <c r="U1350" i="4" s="1"/>
  <c r="S1350" i="4"/>
  <c r="R1350" i="4"/>
  <c r="T1336" i="4"/>
  <c r="U1336" i="4" s="1"/>
  <c r="S1336" i="4"/>
  <c r="R1336" i="4"/>
  <c r="T1335" i="4"/>
  <c r="U1335" i="4" s="1"/>
  <c r="S1335" i="4"/>
  <c r="R1335" i="4"/>
  <c r="T1334" i="4"/>
  <c r="U1334" i="4" s="1"/>
  <c r="S1334" i="4"/>
  <c r="R1334" i="4"/>
  <c r="T1328" i="4"/>
  <c r="U1328" i="4" s="1"/>
  <c r="S1328" i="4"/>
  <c r="R1328" i="4"/>
  <c r="T1327" i="4"/>
  <c r="U1327" i="4" s="1"/>
  <c r="S1327" i="4"/>
  <c r="R1327" i="4"/>
  <c r="T1326" i="4"/>
  <c r="U1326" i="4" s="1"/>
  <c r="S1326" i="4"/>
  <c r="R1326" i="4"/>
  <c r="T1299" i="4"/>
  <c r="U1299" i="4" s="1"/>
  <c r="S1299" i="4"/>
  <c r="R1299" i="4"/>
  <c r="T1297" i="4"/>
  <c r="U1297" i="4" s="1"/>
  <c r="S1297" i="4"/>
  <c r="R1297" i="4"/>
  <c r="T1295" i="4"/>
  <c r="U1295" i="4" s="1"/>
  <c r="S1295" i="4"/>
  <c r="R1295" i="4"/>
  <c r="T1286" i="4"/>
  <c r="U1286" i="4" s="1"/>
  <c r="S1286" i="4"/>
  <c r="R1286" i="4"/>
  <c r="T1284" i="4"/>
  <c r="U1284" i="4" s="1"/>
  <c r="S1284" i="4"/>
  <c r="R1284" i="4"/>
  <c r="T1273" i="4"/>
  <c r="U1273" i="4" s="1"/>
  <c r="S1273" i="4"/>
  <c r="R1273" i="4"/>
  <c r="T1268" i="4"/>
  <c r="U1268" i="4" s="1"/>
  <c r="S1268" i="4"/>
  <c r="R1268" i="4"/>
  <c r="T1263" i="4"/>
  <c r="U1263" i="4" s="1"/>
  <c r="S1263" i="4"/>
  <c r="R1263" i="4"/>
  <c r="T1258" i="4"/>
  <c r="U1258" i="4" s="1"/>
  <c r="S1258" i="4"/>
  <c r="R1258" i="4"/>
  <c r="T1250" i="4"/>
  <c r="U1250" i="4" s="1"/>
  <c r="S1250" i="4"/>
  <c r="R1250" i="4"/>
  <c r="T1243" i="4"/>
  <c r="U1243" i="4" s="1"/>
  <c r="S1243" i="4"/>
  <c r="R1243" i="4"/>
  <c r="T1238" i="4"/>
  <c r="U1238" i="4" s="1"/>
  <c r="S1238" i="4"/>
  <c r="R1238" i="4"/>
  <c r="T1234" i="4"/>
  <c r="U1234" i="4" s="1"/>
  <c r="S1234" i="4"/>
  <c r="R1234" i="4"/>
  <c r="T1227" i="4"/>
  <c r="U1227" i="4" s="1"/>
  <c r="S1227" i="4"/>
  <c r="R1227" i="4"/>
  <c r="T1220" i="4"/>
  <c r="U1220" i="4" s="1"/>
  <c r="S1220" i="4"/>
  <c r="R1220" i="4"/>
  <c r="T1214" i="4"/>
  <c r="U1214" i="4" s="1"/>
  <c r="S1214" i="4"/>
  <c r="R1214" i="4"/>
  <c r="T1210" i="4"/>
  <c r="U1210" i="4" s="1"/>
  <c r="S1210" i="4"/>
  <c r="R1210" i="4"/>
  <c r="T1205" i="4"/>
  <c r="U1205" i="4" s="1"/>
  <c r="S1205" i="4"/>
  <c r="R1205" i="4"/>
  <c r="T1201" i="4"/>
  <c r="U1201" i="4" s="1"/>
  <c r="S1201" i="4"/>
  <c r="R1201" i="4"/>
  <c r="T1193" i="4"/>
  <c r="U1193" i="4" s="1"/>
  <c r="S1193" i="4"/>
  <c r="R1193" i="4"/>
  <c r="T1188" i="4"/>
  <c r="U1188" i="4" s="1"/>
  <c r="S1188" i="4"/>
  <c r="R1188" i="4"/>
  <c r="T1183" i="4"/>
  <c r="U1183" i="4" s="1"/>
  <c r="S1183" i="4"/>
  <c r="R1183" i="4"/>
  <c r="T1177" i="4"/>
  <c r="U1177" i="4" s="1"/>
  <c r="S1177" i="4"/>
  <c r="R1177" i="4"/>
  <c r="T1173" i="4"/>
  <c r="U1173" i="4" s="1"/>
  <c r="S1173" i="4"/>
  <c r="R1173" i="4"/>
  <c r="T1171" i="4"/>
  <c r="U1171" i="4" s="1"/>
  <c r="S1171" i="4"/>
  <c r="R1171" i="4"/>
  <c r="T1170" i="4"/>
  <c r="U1170" i="4" s="1"/>
  <c r="S1170" i="4"/>
  <c r="R1170" i="4"/>
  <c r="T1163" i="4"/>
  <c r="U1163" i="4" s="1"/>
  <c r="S1163" i="4"/>
  <c r="R1163" i="4"/>
  <c r="T1160" i="4"/>
  <c r="U1160" i="4" s="1"/>
  <c r="S1160" i="4"/>
  <c r="R1160" i="4"/>
  <c r="T1151" i="4"/>
  <c r="U1151" i="4" s="1"/>
  <c r="S1151" i="4"/>
  <c r="R1151" i="4"/>
  <c r="T1143" i="4"/>
  <c r="U1143" i="4" s="1"/>
  <c r="S1143" i="4"/>
  <c r="R1143" i="4"/>
  <c r="T1136" i="4"/>
  <c r="U1136" i="4" s="1"/>
  <c r="S1136" i="4"/>
  <c r="R1136" i="4"/>
  <c r="T1133" i="4"/>
  <c r="U1133" i="4" s="1"/>
  <c r="S1133" i="4"/>
  <c r="R1133" i="4"/>
  <c r="T1130" i="4"/>
  <c r="U1130" i="4" s="1"/>
  <c r="S1130" i="4"/>
  <c r="R1130" i="4"/>
  <c r="T1119" i="4"/>
  <c r="U1119" i="4" s="1"/>
  <c r="S1119" i="4"/>
  <c r="R1119" i="4"/>
  <c r="T1116" i="4"/>
  <c r="U1116" i="4" s="1"/>
  <c r="S1116" i="4"/>
  <c r="R1116" i="4"/>
  <c r="T1112" i="4"/>
  <c r="U1112" i="4" s="1"/>
  <c r="S1112" i="4"/>
  <c r="R1112" i="4"/>
  <c r="T1111" i="4"/>
  <c r="U1111" i="4" s="1"/>
  <c r="S1111" i="4"/>
  <c r="R1111" i="4"/>
  <c r="T1084" i="4"/>
  <c r="U1084" i="4" s="1"/>
  <c r="S1084" i="4"/>
  <c r="R1084" i="4"/>
  <c r="T1083" i="4"/>
  <c r="U1083" i="4" s="1"/>
  <c r="S1083" i="4"/>
  <c r="R1083" i="4"/>
  <c r="T1082" i="4"/>
  <c r="U1082" i="4" s="1"/>
  <c r="S1082" i="4"/>
  <c r="R1082" i="4"/>
  <c r="T1081" i="4"/>
  <c r="U1081" i="4" s="1"/>
  <c r="S1081" i="4"/>
  <c r="R1081" i="4"/>
  <c r="T1080" i="4"/>
  <c r="U1080" i="4" s="1"/>
  <c r="S1080" i="4"/>
  <c r="R1080" i="4"/>
  <c r="T1050" i="4"/>
  <c r="U1050" i="4" s="1"/>
  <c r="S1050" i="4"/>
  <c r="R1050" i="4"/>
  <c r="T1049" i="4"/>
  <c r="U1049" i="4" s="1"/>
  <c r="S1049" i="4"/>
  <c r="R1049" i="4"/>
  <c r="T1048" i="4"/>
  <c r="U1048" i="4" s="1"/>
  <c r="S1048" i="4"/>
  <c r="R1048" i="4"/>
  <c r="T1047" i="4"/>
  <c r="U1047" i="4" s="1"/>
  <c r="S1047" i="4"/>
  <c r="R1047" i="4"/>
  <c r="T1046" i="4"/>
  <c r="U1046" i="4" s="1"/>
  <c r="S1046" i="4"/>
  <c r="R1046" i="4"/>
  <c r="T1045" i="4"/>
  <c r="U1045" i="4" s="1"/>
  <c r="S1045" i="4"/>
  <c r="R1045" i="4"/>
  <c r="T1044" i="4"/>
  <c r="U1044" i="4" s="1"/>
  <c r="S1044" i="4"/>
  <c r="R1044" i="4"/>
  <c r="T1015" i="4"/>
  <c r="U1015" i="4" s="1"/>
  <c r="S1015" i="4"/>
  <c r="R1015" i="4"/>
  <c r="T1014" i="4"/>
  <c r="U1014" i="4" s="1"/>
  <c r="S1014" i="4"/>
  <c r="R1014" i="4"/>
  <c r="T1013" i="4"/>
  <c r="U1013" i="4" s="1"/>
  <c r="S1013" i="4"/>
  <c r="R1013" i="4"/>
  <c r="T996" i="4"/>
  <c r="U996" i="4" s="1"/>
  <c r="S996" i="4"/>
  <c r="R996" i="4"/>
  <c r="T995" i="4"/>
  <c r="U995" i="4" s="1"/>
  <c r="S995" i="4"/>
  <c r="R995" i="4"/>
  <c r="T993" i="4"/>
  <c r="U993" i="4" s="1"/>
  <c r="S993" i="4"/>
  <c r="R993" i="4"/>
  <c r="T955" i="4"/>
  <c r="U955" i="4" s="1"/>
  <c r="S955" i="4"/>
  <c r="R955" i="4"/>
  <c r="T947" i="4"/>
  <c r="U947" i="4" s="1"/>
  <c r="S947" i="4"/>
  <c r="R947" i="4"/>
  <c r="T932" i="4"/>
  <c r="U932" i="4" s="1"/>
  <c r="S932" i="4"/>
  <c r="R932" i="4"/>
  <c r="T931" i="4"/>
  <c r="U931" i="4" s="1"/>
  <c r="S931" i="4"/>
  <c r="R931" i="4"/>
  <c r="T930" i="4"/>
  <c r="U930" i="4" s="1"/>
  <c r="S930" i="4"/>
  <c r="R930" i="4"/>
  <c r="T929" i="4"/>
  <c r="U929" i="4" s="1"/>
  <c r="S929" i="4"/>
  <c r="R929" i="4"/>
  <c r="T927" i="4"/>
  <c r="U927" i="4" s="1"/>
  <c r="S927" i="4"/>
  <c r="R927" i="4"/>
  <c r="T925" i="4"/>
  <c r="U925" i="4" s="1"/>
  <c r="S925" i="4"/>
  <c r="R925" i="4"/>
  <c r="T923" i="4"/>
  <c r="U923" i="4" s="1"/>
  <c r="S923" i="4"/>
  <c r="R923" i="4"/>
  <c r="T921" i="4"/>
  <c r="U921" i="4" s="1"/>
  <c r="S921" i="4"/>
  <c r="R921" i="4"/>
  <c r="T919" i="4"/>
  <c r="U919" i="4" s="1"/>
  <c r="S919" i="4"/>
  <c r="R919" i="4"/>
  <c r="T918" i="4"/>
  <c r="U918" i="4" s="1"/>
  <c r="S918" i="4"/>
  <c r="R918" i="4"/>
  <c r="T917" i="4"/>
  <c r="U917" i="4" s="1"/>
  <c r="S917" i="4"/>
  <c r="R917" i="4"/>
  <c r="T895" i="4"/>
  <c r="U895" i="4" s="1"/>
  <c r="S895" i="4"/>
  <c r="R895" i="4"/>
  <c r="T893" i="4"/>
  <c r="U893" i="4" s="1"/>
  <c r="S893" i="4"/>
  <c r="R893" i="4"/>
  <c r="T887" i="4"/>
  <c r="U887" i="4" s="1"/>
  <c r="S887" i="4"/>
  <c r="R887" i="4"/>
  <c r="T886" i="4"/>
  <c r="U886" i="4" s="1"/>
  <c r="S886" i="4"/>
  <c r="R886" i="4"/>
  <c r="T885" i="4"/>
  <c r="U885" i="4" s="1"/>
  <c r="S885" i="4"/>
  <c r="R885" i="4"/>
  <c r="T870" i="4"/>
  <c r="U870" i="4" s="1"/>
  <c r="S870" i="4"/>
  <c r="R870" i="4"/>
  <c r="T869" i="4"/>
  <c r="U869" i="4" s="1"/>
  <c r="S869" i="4"/>
  <c r="R869" i="4"/>
  <c r="T843" i="4"/>
  <c r="U843" i="4" s="1"/>
  <c r="S843" i="4"/>
  <c r="R843" i="4"/>
  <c r="T827" i="4"/>
  <c r="U827" i="4" s="1"/>
  <c r="S827" i="4"/>
  <c r="R827" i="4"/>
  <c r="T825" i="4"/>
  <c r="U825" i="4" s="1"/>
  <c r="S825" i="4"/>
  <c r="R825" i="4"/>
  <c r="T793" i="4"/>
  <c r="U793" i="4" s="1"/>
  <c r="S793" i="4"/>
  <c r="R793" i="4"/>
  <c r="T791" i="4"/>
  <c r="U791" i="4" s="1"/>
  <c r="S791" i="4"/>
  <c r="R791" i="4"/>
  <c r="T756" i="4"/>
  <c r="U756" i="4" s="1"/>
  <c r="S756" i="4"/>
  <c r="R756" i="4"/>
  <c r="T754" i="4"/>
  <c r="U754" i="4" s="1"/>
  <c r="S754" i="4"/>
  <c r="R754" i="4"/>
  <c r="T752" i="4"/>
  <c r="U752" i="4" s="1"/>
  <c r="S752" i="4"/>
  <c r="R752" i="4"/>
  <c r="T724" i="4"/>
  <c r="U724" i="4" s="1"/>
  <c r="S724" i="4"/>
  <c r="R724" i="4"/>
  <c r="T703" i="4"/>
  <c r="U703" i="4" s="1"/>
  <c r="S703" i="4"/>
  <c r="R703" i="4"/>
  <c r="T701" i="4"/>
  <c r="U701" i="4" s="1"/>
  <c r="S701" i="4"/>
  <c r="R701" i="4"/>
  <c r="T692" i="4"/>
  <c r="U692" i="4" s="1"/>
  <c r="S692" i="4"/>
  <c r="R692" i="4"/>
  <c r="T690" i="4"/>
  <c r="U690" i="4" s="1"/>
  <c r="S690" i="4"/>
  <c r="R690" i="4"/>
  <c r="T676" i="4"/>
  <c r="U676" i="4" s="1"/>
  <c r="S676" i="4"/>
  <c r="R676" i="4"/>
  <c r="T665" i="4"/>
  <c r="U665" i="4" s="1"/>
  <c r="S665" i="4"/>
  <c r="R665" i="4"/>
  <c r="T664" i="4"/>
  <c r="U664" i="4" s="1"/>
  <c r="S664" i="4"/>
  <c r="R664" i="4"/>
  <c r="T663" i="4"/>
  <c r="U663" i="4" s="1"/>
  <c r="S663" i="4"/>
  <c r="R663" i="4"/>
  <c r="T646" i="4"/>
  <c r="U646" i="4" s="1"/>
  <c r="S646" i="4"/>
  <c r="R646" i="4"/>
  <c r="T645" i="4"/>
  <c r="U645" i="4" s="1"/>
  <c r="S645" i="4"/>
  <c r="R645" i="4"/>
  <c r="T644" i="4"/>
  <c r="U644" i="4" s="1"/>
  <c r="S644" i="4"/>
  <c r="R644" i="4"/>
  <c r="T636" i="4"/>
  <c r="U636" i="4" s="1"/>
  <c r="S636" i="4"/>
  <c r="R636" i="4"/>
  <c r="T622" i="4"/>
  <c r="U622" i="4" s="1"/>
  <c r="S622" i="4"/>
  <c r="R622" i="4"/>
  <c r="T619" i="4"/>
  <c r="U619" i="4" s="1"/>
  <c r="S619" i="4"/>
  <c r="R619" i="4"/>
  <c r="T618" i="4"/>
  <c r="U618" i="4" s="1"/>
  <c r="S618" i="4"/>
  <c r="R618" i="4"/>
  <c r="T617" i="4"/>
  <c r="U617" i="4" s="1"/>
  <c r="S617" i="4"/>
  <c r="R617" i="4"/>
  <c r="T615" i="4"/>
  <c r="U615" i="4" s="1"/>
  <c r="S615" i="4"/>
  <c r="R615" i="4"/>
  <c r="T593" i="4"/>
  <c r="U593" i="4" s="1"/>
  <c r="S593" i="4"/>
  <c r="R593" i="4"/>
  <c r="T592" i="4"/>
  <c r="U592" i="4" s="1"/>
  <c r="S592" i="4"/>
  <c r="R592" i="4"/>
  <c r="T591" i="4"/>
  <c r="U591" i="4" s="1"/>
  <c r="S591" i="4"/>
  <c r="R591" i="4"/>
  <c r="T584" i="4"/>
  <c r="U584" i="4" s="1"/>
  <c r="S584" i="4"/>
  <c r="R584" i="4"/>
  <c r="T566" i="4"/>
  <c r="U566" i="4" s="1"/>
  <c r="S566" i="4"/>
  <c r="R566" i="4"/>
  <c r="T563" i="4"/>
  <c r="U563" i="4" s="1"/>
  <c r="S563" i="4"/>
  <c r="R563" i="4"/>
  <c r="T562" i="4"/>
  <c r="U562" i="4" s="1"/>
  <c r="S562" i="4"/>
  <c r="R562" i="4"/>
  <c r="T561" i="4"/>
  <c r="U561" i="4" s="1"/>
  <c r="S561" i="4"/>
  <c r="R561" i="4"/>
  <c r="T540" i="4"/>
  <c r="U540" i="4" s="1"/>
  <c r="S540" i="4"/>
  <c r="R540" i="4"/>
  <c r="T539" i="4"/>
  <c r="U539" i="4" s="1"/>
  <c r="S539" i="4"/>
  <c r="R539" i="4"/>
  <c r="T538" i="4"/>
  <c r="U538" i="4" s="1"/>
  <c r="S538" i="4"/>
  <c r="R538" i="4"/>
  <c r="T530" i="4"/>
  <c r="U530" i="4" s="1"/>
  <c r="S530" i="4"/>
  <c r="R530" i="4"/>
  <c r="T528" i="4"/>
  <c r="U528" i="4" s="1"/>
  <c r="S528" i="4"/>
  <c r="R528" i="4"/>
  <c r="T527" i="4"/>
  <c r="U527" i="4" s="1"/>
  <c r="S527" i="4"/>
  <c r="R527" i="4"/>
  <c r="T501" i="4"/>
  <c r="U501" i="4" s="1"/>
  <c r="S501" i="4"/>
  <c r="R501" i="4"/>
  <c r="T499" i="4"/>
  <c r="U499" i="4" s="1"/>
  <c r="S499" i="4"/>
  <c r="R499" i="4"/>
  <c r="T498" i="4"/>
  <c r="U498" i="4" s="1"/>
  <c r="S498" i="4"/>
  <c r="R498" i="4"/>
  <c r="T497" i="4"/>
  <c r="U497" i="4" s="1"/>
  <c r="S497" i="4"/>
  <c r="R497" i="4"/>
  <c r="T477" i="4"/>
  <c r="U477" i="4" s="1"/>
  <c r="S477" i="4"/>
  <c r="R477" i="4"/>
  <c r="T476" i="4"/>
  <c r="U476" i="4" s="1"/>
  <c r="S476" i="4"/>
  <c r="R476" i="4"/>
  <c r="T475" i="4"/>
  <c r="U475" i="4" s="1"/>
  <c r="S475" i="4"/>
  <c r="R475" i="4"/>
  <c r="T474" i="4"/>
  <c r="U474" i="4" s="1"/>
  <c r="S474" i="4"/>
  <c r="R474" i="4"/>
  <c r="T462" i="4"/>
  <c r="U462" i="4" s="1"/>
  <c r="S462" i="4"/>
  <c r="R462" i="4"/>
  <c r="T461" i="4"/>
  <c r="U461" i="4" s="1"/>
  <c r="S461" i="4"/>
  <c r="R461" i="4"/>
  <c r="T460" i="4"/>
  <c r="U460" i="4" s="1"/>
  <c r="S460" i="4"/>
  <c r="R460" i="4"/>
  <c r="T459" i="4"/>
  <c r="U459" i="4" s="1"/>
  <c r="S459" i="4"/>
  <c r="R459" i="4"/>
  <c r="T449" i="4"/>
  <c r="U449" i="4" s="1"/>
  <c r="S449" i="4"/>
  <c r="R449" i="4"/>
  <c r="T448" i="4"/>
  <c r="U448" i="4" s="1"/>
  <c r="S448" i="4"/>
  <c r="R448" i="4"/>
  <c r="T442" i="4"/>
  <c r="U442" i="4" s="1"/>
  <c r="S442" i="4"/>
  <c r="R442" i="4"/>
  <c r="T434" i="4"/>
  <c r="U434" i="4" s="1"/>
  <c r="S434" i="4"/>
  <c r="R434" i="4"/>
  <c r="T432" i="4"/>
  <c r="U432" i="4" s="1"/>
  <c r="S432" i="4"/>
  <c r="R432" i="4"/>
  <c r="T427" i="4"/>
  <c r="U427" i="4" s="1"/>
  <c r="S427" i="4"/>
  <c r="R427" i="4"/>
  <c r="T425" i="4"/>
  <c r="U425" i="4" s="1"/>
  <c r="S425" i="4"/>
  <c r="R425" i="4"/>
  <c r="T397" i="4"/>
  <c r="U397" i="4" s="1"/>
  <c r="S397" i="4"/>
  <c r="R397" i="4"/>
  <c r="T395" i="4"/>
  <c r="U395" i="4" s="1"/>
  <c r="S395" i="4"/>
  <c r="R395" i="4"/>
  <c r="T374" i="4"/>
  <c r="U374" i="4" s="1"/>
  <c r="S374" i="4"/>
  <c r="R374" i="4"/>
  <c r="T372" i="4"/>
  <c r="U372" i="4" s="1"/>
  <c r="S372" i="4"/>
  <c r="R372" i="4"/>
  <c r="T370" i="4"/>
  <c r="U370" i="4" s="1"/>
  <c r="S370" i="4"/>
  <c r="R370" i="4"/>
  <c r="T368" i="4"/>
  <c r="U368" i="4" s="1"/>
  <c r="S368" i="4"/>
  <c r="R368" i="4"/>
  <c r="T366" i="4"/>
  <c r="U366" i="4" s="1"/>
  <c r="S366" i="4"/>
  <c r="R366" i="4"/>
  <c r="T352" i="4"/>
  <c r="U352" i="4" s="1"/>
  <c r="S352" i="4"/>
  <c r="R352" i="4"/>
  <c r="T350" i="4"/>
  <c r="U350" i="4" s="1"/>
  <c r="S350" i="4"/>
  <c r="R350" i="4"/>
  <c r="T348" i="4"/>
  <c r="U348" i="4" s="1"/>
  <c r="S348" i="4"/>
  <c r="R348" i="4"/>
  <c r="T346" i="4"/>
  <c r="U346" i="4" s="1"/>
  <c r="S346" i="4"/>
  <c r="R346" i="4"/>
  <c r="T323" i="4"/>
  <c r="U323" i="4" s="1"/>
  <c r="S323" i="4"/>
  <c r="R323" i="4"/>
  <c r="T312" i="4"/>
  <c r="U312" i="4" s="1"/>
  <c r="S312" i="4"/>
  <c r="R312" i="4"/>
  <c r="T310" i="4"/>
  <c r="U310" i="4" s="1"/>
  <c r="S310" i="4"/>
  <c r="R310" i="4"/>
  <c r="T304" i="4"/>
  <c r="U304" i="4" s="1"/>
  <c r="S304" i="4"/>
  <c r="R304" i="4"/>
  <c r="T302" i="4"/>
  <c r="U302" i="4" s="1"/>
  <c r="S302" i="4"/>
  <c r="R302" i="4"/>
  <c r="T284" i="4"/>
  <c r="U284" i="4" s="1"/>
  <c r="S284" i="4"/>
  <c r="R284" i="4"/>
  <c r="T274" i="4"/>
  <c r="U274" i="4" s="1"/>
  <c r="S274" i="4"/>
  <c r="R274" i="4"/>
  <c r="T273" i="4"/>
  <c r="U273" i="4" s="1"/>
  <c r="S273" i="4"/>
  <c r="R273" i="4"/>
  <c r="T263" i="4"/>
  <c r="U263" i="4" s="1"/>
  <c r="S263" i="4"/>
  <c r="R263" i="4"/>
  <c r="T261" i="4"/>
  <c r="U261" i="4" s="1"/>
  <c r="S261" i="4"/>
  <c r="R261" i="4"/>
  <c r="T259" i="4"/>
  <c r="U259" i="4" s="1"/>
  <c r="S259" i="4"/>
  <c r="R259" i="4"/>
  <c r="T257" i="4"/>
  <c r="U257" i="4" s="1"/>
  <c r="S257" i="4"/>
  <c r="R257" i="4"/>
  <c r="T255" i="4"/>
  <c r="U255" i="4" s="1"/>
  <c r="S255" i="4"/>
  <c r="R255" i="4"/>
  <c r="T252" i="4"/>
  <c r="U252" i="4" s="1"/>
  <c r="S252" i="4"/>
  <c r="R252" i="4"/>
  <c r="T241" i="4"/>
  <c r="U241" i="4" s="1"/>
  <c r="S241" i="4"/>
  <c r="R241" i="4"/>
  <c r="T240" i="4"/>
  <c r="U240" i="4" s="1"/>
  <c r="S240" i="4"/>
  <c r="R240" i="4"/>
  <c r="T225" i="4"/>
  <c r="U225" i="4" s="1"/>
  <c r="S225" i="4"/>
  <c r="R225" i="4"/>
  <c r="T224" i="4"/>
  <c r="U224" i="4" s="1"/>
  <c r="S224" i="4"/>
  <c r="R224" i="4"/>
  <c r="T223" i="4"/>
  <c r="U223" i="4" s="1"/>
  <c r="S223" i="4"/>
  <c r="R223" i="4"/>
  <c r="T222" i="4"/>
  <c r="U222" i="4" s="1"/>
  <c r="S222" i="4"/>
  <c r="R222" i="4"/>
  <c r="T201" i="4"/>
  <c r="U201" i="4" s="1"/>
  <c r="S201" i="4"/>
  <c r="R201" i="4"/>
  <c r="T200" i="4"/>
  <c r="U200" i="4" s="1"/>
  <c r="S200" i="4"/>
  <c r="R200" i="4"/>
  <c r="T199" i="4"/>
  <c r="U199" i="4" s="1"/>
  <c r="S199" i="4"/>
  <c r="R199" i="4"/>
  <c r="T198" i="4"/>
  <c r="U198" i="4" s="1"/>
  <c r="S198" i="4"/>
  <c r="R198" i="4"/>
  <c r="T197" i="4"/>
  <c r="U197" i="4" s="1"/>
  <c r="S197" i="4"/>
  <c r="R197" i="4"/>
  <c r="T181" i="4"/>
  <c r="U181" i="4" s="1"/>
  <c r="S181" i="4"/>
  <c r="R181" i="4"/>
  <c r="T180" i="4"/>
  <c r="U180" i="4" s="1"/>
  <c r="S180" i="4"/>
  <c r="R180" i="4"/>
  <c r="T179" i="4"/>
  <c r="U179" i="4" s="1"/>
  <c r="S179" i="4"/>
  <c r="R179" i="4"/>
  <c r="T159" i="4"/>
  <c r="U159" i="4" s="1"/>
  <c r="S159" i="4"/>
  <c r="R159" i="4"/>
  <c r="T158" i="4"/>
  <c r="U158" i="4" s="1"/>
  <c r="S158" i="4"/>
  <c r="R158" i="4"/>
  <c r="T140" i="4"/>
  <c r="U140" i="4" s="1"/>
  <c r="S140" i="4"/>
  <c r="R140" i="4"/>
  <c r="T139" i="4"/>
  <c r="U139" i="4" s="1"/>
  <c r="S139" i="4"/>
  <c r="R139" i="4"/>
  <c r="T111" i="4"/>
  <c r="U111" i="4" s="1"/>
  <c r="S111" i="4"/>
  <c r="R111" i="4"/>
  <c r="T110" i="4"/>
  <c r="U110" i="4" s="1"/>
  <c r="S110" i="4"/>
  <c r="R110" i="4"/>
  <c r="T97" i="4"/>
  <c r="U97" i="4" s="1"/>
  <c r="S97" i="4"/>
  <c r="R97" i="4"/>
  <c r="T96" i="4"/>
  <c r="U96" i="4" s="1"/>
  <c r="S96" i="4"/>
  <c r="R96" i="4"/>
  <c r="T72" i="4"/>
  <c r="U72" i="4" s="1"/>
  <c r="S72" i="4"/>
  <c r="R72" i="4"/>
  <c r="T71" i="4"/>
  <c r="U71" i="4" s="1"/>
  <c r="S71" i="4"/>
  <c r="R71" i="4"/>
  <c r="T50" i="4"/>
  <c r="U50" i="4" s="1"/>
  <c r="S50" i="4"/>
  <c r="R50" i="4"/>
  <c r="T49" i="4"/>
  <c r="U49" i="4" s="1"/>
  <c r="S49" i="4"/>
  <c r="R49" i="4"/>
  <c r="T21" i="4"/>
  <c r="U21" i="4" s="1"/>
  <c r="S21" i="4"/>
  <c r="R21" i="4"/>
  <c r="T20" i="4"/>
  <c r="U20" i="4" s="1"/>
  <c r="S20" i="4"/>
  <c r="R20" i="4"/>
  <c r="T19" i="4"/>
  <c r="U19" i="4" s="1"/>
  <c r="S19" i="4"/>
  <c r="R19" i="4"/>
  <c r="T17" i="4"/>
  <c r="U17" i="4" s="1"/>
  <c r="S17" i="4"/>
  <c r="R17" i="4"/>
  <c r="T2023" i="4"/>
  <c r="U2023" i="4" s="1"/>
  <c r="S2023" i="4"/>
  <c r="R2023" i="4"/>
  <c r="T2021" i="4"/>
  <c r="U2021" i="4" s="1"/>
  <c r="S2021" i="4"/>
  <c r="R2021" i="4"/>
  <c r="T2005" i="4"/>
  <c r="U2005" i="4" s="1"/>
  <c r="S2005" i="4"/>
  <c r="R2005" i="4"/>
  <c r="T1992" i="4"/>
  <c r="U1992" i="4" s="1"/>
  <c r="S1992" i="4"/>
  <c r="R1992" i="4"/>
  <c r="T1984" i="4"/>
  <c r="U1984" i="4" s="1"/>
  <c r="S1984" i="4"/>
  <c r="R1984" i="4"/>
  <c r="T1969" i="4"/>
  <c r="U1969" i="4" s="1"/>
  <c r="S1969" i="4"/>
  <c r="R1969" i="4"/>
  <c r="T1930" i="4"/>
  <c r="U1930" i="4" s="1"/>
  <c r="S1930" i="4"/>
  <c r="R1930" i="4"/>
  <c r="T1928" i="4"/>
  <c r="U1928" i="4" s="1"/>
  <c r="S1928" i="4"/>
  <c r="R1928" i="4"/>
  <c r="T1912" i="4"/>
  <c r="U1912" i="4" s="1"/>
  <c r="S1912" i="4"/>
  <c r="R1912" i="4"/>
  <c r="T1910" i="4"/>
  <c r="U1910" i="4" s="1"/>
  <c r="S1910" i="4"/>
  <c r="R1910" i="4"/>
  <c r="T1895" i="4"/>
  <c r="U1895" i="4" s="1"/>
  <c r="S1895" i="4"/>
  <c r="R1895" i="4"/>
  <c r="T1878" i="4"/>
  <c r="U1878" i="4" s="1"/>
  <c r="S1878" i="4"/>
  <c r="R1878" i="4"/>
  <c r="T1876" i="4"/>
  <c r="U1876" i="4" s="1"/>
  <c r="S1876" i="4"/>
  <c r="R1876" i="4"/>
  <c r="T1853" i="4"/>
  <c r="U1853" i="4" s="1"/>
  <c r="S1853" i="4"/>
  <c r="R1853" i="4"/>
  <c r="T1847" i="4"/>
  <c r="U1847" i="4" s="1"/>
  <c r="S1847" i="4"/>
  <c r="R1847" i="4"/>
  <c r="T1845" i="4"/>
  <c r="U1845" i="4" s="1"/>
  <c r="S1845" i="4"/>
  <c r="R1845" i="4"/>
  <c r="T1843" i="4"/>
  <c r="U1843" i="4" s="1"/>
  <c r="S1843" i="4"/>
  <c r="R1843" i="4"/>
  <c r="T1827" i="4"/>
  <c r="U1827" i="4" s="1"/>
  <c r="S1827" i="4"/>
  <c r="R1827" i="4"/>
  <c r="T1824" i="4"/>
  <c r="U1824" i="4" s="1"/>
  <c r="S1824" i="4"/>
  <c r="R1824" i="4"/>
  <c r="T1822" i="4"/>
  <c r="U1822" i="4" s="1"/>
  <c r="S1822" i="4"/>
  <c r="R1822" i="4"/>
  <c r="T1817" i="4"/>
  <c r="U1817" i="4" s="1"/>
  <c r="S1817" i="4"/>
  <c r="R1817" i="4"/>
  <c r="T1815" i="4"/>
  <c r="U1815" i="4" s="1"/>
  <c r="S1815" i="4"/>
  <c r="R1815" i="4"/>
  <c r="T1800" i="4"/>
  <c r="U1800" i="4" s="1"/>
  <c r="S1800" i="4"/>
  <c r="R1800" i="4"/>
  <c r="T1793" i="4"/>
  <c r="U1793" i="4" s="1"/>
  <c r="S1793" i="4"/>
  <c r="R1793" i="4"/>
  <c r="T1791" i="4"/>
  <c r="U1791" i="4" s="1"/>
  <c r="S1791" i="4"/>
  <c r="R1791" i="4"/>
  <c r="T1779" i="4"/>
  <c r="U1779" i="4" s="1"/>
  <c r="S1779" i="4"/>
  <c r="R1779" i="4"/>
  <c r="T1777" i="4"/>
  <c r="U1777" i="4" s="1"/>
  <c r="S1777" i="4"/>
  <c r="R1777" i="4"/>
  <c r="T1740" i="4"/>
  <c r="U1740" i="4" s="1"/>
  <c r="S1740" i="4"/>
  <c r="R1740" i="4"/>
  <c r="T1707" i="4"/>
  <c r="U1707" i="4" s="1"/>
  <c r="S1707" i="4"/>
  <c r="R1707" i="4"/>
  <c r="T1705" i="4"/>
  <c r="U1705" i="4" s="1"/>
  <c r="S1705" i="4"/>
  <c r="R1705" i="4"/>
  <c r="T1703" i="4"/>
  <c r="U1703" i="4" s="1"/>
  <c r="S1703" i="4"/>
  <c r="R1703" i="4"/>
  <c r="T1701" i="4"/>
  <c r="U1701" i="4" s="1"/>
  <c r="S1701" i="4"/>
  <c r="R1701" i="4"/>
  <c r="T1687" i="4"/>
  <c r="U1687" i="4" s="1"/>
  <c r="S1687" i="4"/>
  <c r="R1687" i="4"/>
  <c r="T1685" i="4"/>
  <c r="U1685" i="4" s="1"/>
  <c r="S1685" i="4"/>
  <c r="R1685" i="4"/>
  <c r="T1683" i="4"/>
  <c r="U1683" i="4" s="1"/>
  <c r="S1683" i="4"/>
  <c r="R1683" i="4"/>
  <c r="T1681" i="4"/>
  <c r="U1681" i="4" s="1"/>
  <c r="S1681" i="4"/>
  <c r="R1681" i="4"/>
  <c r="T1656" i="4"/>
  <c r="U1656" i="4" s="1"/>
  <c r="S1656" i="4"/>
  <c r="R1656" i="4"/>
  <c r="T1654" i="4"/>
  <c r="U1654" i="4" s="1"/>
  <c r="S1654" i="4"/>
  <c r="R1654" i="4"/>
  <c r="T1652" i="4"/>
  <c r="U1652" i="4" s="1"/>
  <c r="S1652" i="4"/>
  <c r="R1652" i="4"/>
  <c r="T1650" i="4"/>
  <c r="U1650" i="4" s="1"/>
  <c r="S1650" i="4"/>
  <c r="R1650" i="4"/>
  <c r="T1639" i="4"/>
  <c r="U1639" i="4" s="1"/>
  <c r="S1639" i="4"/>
  <c r="R1639" i="4"/>
  <c r="T1637" i="4"/>
  <c r="U1637" i="4" s="1"/>
  <c r="S1637" i="4"/>
  <c r="R1637" i="4"/>
  <c r="T1635" i="4"/>
  <c r="U1635" i="4" s="1"/>
  <c r="S1635" i="4"/>
  <c r="R1635" i="4"/>
  <c r="T1633" i="4"/>
  <c r="U1633" i="4" s="1"/>
  <c r="S1633" i="4"/>
  <c r="R1633" i="4"/>
  <c r="T1300" i="4"/>
  <c r="U1300" i="4" s="1"/>
  <c r="S1300" i="4"/>
  <c r="R1300" i="4"/>
  <c r="T1298" i="4"/>
  <c r="U1298" i="4" s="1"/>
  <c r="S1298" i="4"/>
  <c r="R1298" i="4"/>
  <c r="T1296" i="4"/>
  <c r="U1296" i="4" s="1"/>
  <c r="S1296" i="4"/>
  <c r="R1296" i="4"/>
  <c r="T1287" i="4"/>
  <c r="U1287" i="4" s="1"/>
  <c r="S1287" i="4"/>
  <c r="R1287" i="4"/>
  <c r="T1285" i="4"/>
  <c r="U1285" i="4" s="1"/>
  <c r="S1285" i="4"/>
  <c r="R1285" i="4"/>
  <c r="T1274" i="4"/>
  <c r="U1274" i="4" s="1"/>
  <c r="S1274" i="4"/>
  <c r="R1274" i="4"/>
  <c r="T1269" i="4"/>
  <c r="U1269" i="4" s="1"/>
  <c r="S1269" i="4"/>
  <c r="R1269" i="4"/>
  <c r="T1264" i="4"/>
  <c r="U1264" i="4" s="1"/>
  <c r="S1264" i="4"/>
  <c r="R1264" i="4"/>
  <c r="T1251" i="4"/>
  <c r="U1251" i="4" s="1"/>
  <c r="S1251" i="4"/>
  <c r="R1251" i="4"/>
  <c r="T1244" i="4"/>
  <c r="U1244" i="4" s="1"/>
  <c r="S1244" i="4"/>
  <c r="R1244" i="4"/>
  <c r="T1239" i="4"/>
  <c r="U1239" i="4" s="1"/>
  <c r="S1239" i="4"/>
  <c r="R1239" i="4"/>
  <c r="T1235" i="4"/>
  <c r="U1235" i="4" s="1"/>
  <c r="S1235" i="4"/>
  <c r="R1235" i="4"/>
  <c r="T1228" i="4"/>
  <c r="U1228" i="4" s="1"/>
  <c r="S1228" i="4"/>
  <c r="R1228" i="4"/>
  <c r="T1221" i="4"/>
  <c r="U1221" i="4" s="1"/>
  <c r="S1221" i="4"/>
  <c r="R1221" i="4"/>
  <c r="T1215" i="4"/>
  <c r="U1215" i="4" s="1"/>
  <c r="S1215" i="4"/>
  <c r="R1215" i="4"/>
  <c r="T1211" i="4"/>
  <c r="U1211" i="4" s="1"/>
  <c r="S1211" i="4"/>
  <c r="R1211" i="4"/>
  <c r="T1206" i="4"/>
  <c r="U1206" i="4" s="1"/>
  <c r="S1206" i="4"/>
  <c r="R1206" i="4"/>
  <c r="T1202" i="4"/>
  <c r="U1202" i="4" s="1"/>
  <c r="S1202" i="4"/>
  <c r="R1202" i="4"/>
  <c r="T1194" i="4"/>
  <c r="U1194" i="4" s="1"/>
  <c r="S1194" i="4"/>
  <c r="R1194" i="4"/>
  <c r="T1189" i="4"/>
  <c r="U1189" i="4" s="1"/>
  <c r="S1189" i="4"/>
  <c r="R1189" i="4"/>
  <c r="T1184" i="4"/>
  <c r="U1184" i="4" s="1"/>
  <c r="S1184" i="4"/>
  <c r="R1184" i="4"/>
  <c r="T828" i="4"/>
  <c r="U828" i="4" s="1"/>
  <c r="S828" i="4"/>
  <c r="R828" i="4"/>
  <c r="T826" i="4"/>
  <c r="U826" i="4" s="1"/>
  <c r="S826" i="4"/>
  <c r="R826" i="4"/>
  <c r="T794" i="4"/>
  <c r="U794" i="4" s="1"/>
  <c r="S794" i="4"/>
  <c r="R794" i="4"/>
  <c r="T792" i="4"/>
  <c r="U792" i="4" s="1"/>
  <c r="S792" i="4"/>
  <c r="R792" i="4"/>
  <c r="T757" i="4"/>
  <c r="U757" i="4" s="1"/>
  <c r="S757" i="4"/>
  <c r="R757" i="4"/>
  <c r="T755" i="4"/>
  <c r="U755" i="4" s="1"/>
  <c r="S755" i="4"/>
  <c r="R755" i="4"/>
  <c r="T725" i="4"/>
  <c r="U725" i="4" s="1"/>
  <c r="S725" i="4"/>
  <c r="R725" i="4"/>
  <c r="T704" i="4"/>
  <c r="U704" i="4" s="1"/>
  <c r="S704" i="4"/>
  <c r="R704" i="4"/>
  <c r="T702" i="4"/>
  <c r="U702" i="4" s="1"/>
  <c r="S702" i="4"/>
  <c r="R702" i="4"/>
  <c r="T693" i="4"/>
  <c r="U693" i="4" s="1"/>
  <c r="S693" i="4"/>
  <c r="R693" i="4"/>
  <c r="T691" i="4"/>
  <c r="U691" i="4" s="1"/>
  <c r="S691" i="4"/>
  <c r="R691" i="4"/>
  <c r="T677" i="4"/>
  <c r="U677" i="4" s="1"/>
  <c r="S677" i="4"/>
  <c r="R677" i="4"/>
  <c r="T435" i="4"/>
  <c r="U435" i="4" s="1"/>
  <c r="S435" i="4"/>
  <c r="R435" i="4"/>
  <c r="T433" i="4"/>
  <c r="U433" i="4" s="1"/>
  <c r="S433" i="4"/>
  <c r="R433" i="4"/>
  <c r="T428" i="4"/>
  <c r="U428" i="4" s="1"/>
  <c r="S428" i="4"/>
  <c r="R428" i="4"/>
  <c r="T426" i="4"/>
  <c r="U426" i="4" s="1"/>
  <c r="S426" i="4"/>
  <c r="R426" i="4"/>
  <c r="T398" i="4"/>
  <c r="U398" i="4" s="1"/>
  <c r="S398" i="4"/>
  <c r="R398" i="4"/>
  <c r="T396" i="4"/>
  <c r="U396" i="4" s="1"/>
  <c r="S396" i="4"/>
  <c r="R396" i="4"/>
  <c r="T375" i="4"/>
  <c r="U375" i="4" s="1"/>
  <c r="S375" i="4"/>
  <c r="R375" i="4"/>
  <c r="T373" i="4"/>
  <c r="U373" i="4" s="1"/>
  <c r="S373" i="4"/>
  <c r="R373" i="4"/>
  <c r="T371" i="4"/>
  <c r="U371" i="4" s="1"/>
  <c r="S371" i="4"/>
  <c r="R371" i="4"/>
  <c r="T369" i="4"/>
  <c r="U369" i="4" s="1"/>
  <c r="S369" i="4"/>
  <c r="R369" i="4"/>
  <c r="T367" i="4"/>
  <c r="U367" i="4" s="1"/>
  <c r="S367" i="4"/>
  <c r="R367" i="4"/>
  <c r="T353" i="4"/>
  <c r="U353" i="4" s="1"/>
  <c r="S353" i="4"/>
  <c r="R353" i="4"/>
  <c r="T351" i="4"/>
  <c r="U351" i="4" s="1"/>
  <c r="S351" i="4"/>
  <c r="R351" i="4"/>
  <c r="T349" i="4"/>
  <c r="U349" i="4" s="1"/>
  <c r="S349" i="4"/>
  <c r="R349" i="4"/>
  <c r="T347" i="4"/>
  <c r="U347" i="4" s="1"/>
  <c r="S347" i="4"/>
  <c r="R347" i="4"/>
  <c r="T324" i="4"/>
  <c r="U324" i="4" s="1"/>
  <c r="S324" i="4"/>
  <c r="R324" i="4"/>
  <c r="T313" i="4"/>
  <c r="U313" i="4" s="1"/>
  <c r="S313" i="4"/>
  <c r="R313" i="4"/>
  <c r="T311" i="4"/>
  <c r="U311" i="4" s="1"/>
  <c r="S311" i="4"/>
  <c r="R311" i="4"/>
  <c r="T305" i="4"/>
  <c r="U305" i="4" s="1"/>
  <c r="S305" i="4"/>
  <c r="R305" i="4"/>
  <c r="T303" i="4"/>
  <c r="U303" i="4" s="1"/>
  <c r="S303" i="4"/>
  <c r="R303" i="4"/>
  <c r="T1313" i="4"/>
  <c r="U1313" i="4" s="1"/>
  <c r="S1313" i="4"/>
  <c r="R1313" i="4"/>
  <c r="T89" i="4"/>
  <c r="U89" i="4" s="1"/>
  <c r="S89" i="4"/>
  <c r="R89" i="4"/>
  <c r="T88" i="4"/>
  <c r="U88" i="4" s="1"/>
  <c r="S88" i="4"/>
  <c r="R88" i="4"/>
  <c r="T1669" i="4"/>
  <c r="U1669" i="4" s="1"/>
  <c r="S1669" i="4"/>
  <c r="R1669" i="4"/>
  <c r="T1648" i="4"/>
  <c r="U1648" i="4" s="1"/>
  <c r="S1648" i="4"/>
  <c r="R1648" i="4"/>
  <c r="T2274" i="4"/>
  <c r="U2274" i="4" s="1"/>
  <c r="S2274" i="4"/>
  <c r="R2274" i="4"/>
  <c r="T2273" i="4"/>
  <c r="U2273" i="4" s="1"/>
  <c r="S2273" i="4"/>
  <c r="R2273" i="4"/>
  <c r="T2272" i="4"/>
  <c r="U2272" i="4" s="1"/>
  <c r="S2272" i="4"/>
  <c r="R2272" i="4"/>
  <c r="T2222" i="4"/>
  <c r="U2222" i="4" s="1"/>
  <c r="S2222" i="4"/>
  <c r="R2222" i="4"/>
  <c r="T2221" i="4"/>
  <c r="U2221" i="4" s="1"/>
  <c r="S2221" i="4"/>
  <c r="R2221" i="4"/>
  <c r="T2220" i="4"/>
  <c r="U2220" i="4" s="1"/>
  <c r="S2220" i="4"/>
  <c r="R2220" i="4"/>
  <c r="T2207" i="4"/>
  <c r="U2207" i="4" s="1"/>
  <c r="S2207" i="4"/>
  <c r="R2207" i="4"/>
  <c r="T2206" i="4"/>
  <c r="U2206" i="4" s="1"/>
  <c r="S2206" i="4"/>
  <c r="R2206" i="4"/>
  <c r="T2205" i="4"/>
  <c r="U2205" i="4" s="1"/>
  <c r="S2205" i="4"/>
  <c r="R2205" i="4"/>
  <c r="T2204" i="4"/>
  <c r="U2204" i="4" s="1"/>
  <c r="S2204" i="4"/>
  <c r="R2204" i="4"/>
  <c r="T2203" i="4"/>
  <c r="U2203" i="4" s="1"/>
  <c r="S2203" i="4"/>
  <c r="R2203" i="4"/>
  <c r="T2149" i="4"/>
  <c r="U2149" i="4" s="1"/>
  <c r="S2149" i="4"/>
  <c r="R2149" i="4"/>
  <c r="T2148" i="4"/>
  <c r="U2148" i="4" s="1"/>
  <c r="S2148" i="4"/>
  <c r="R2148" i="4"/>
  <c r="T2147" i="4"/>
  <c r="U2147" i="4" s="1"/>
  <c r="S2147" i="4"/>
  <c r="R2147" i="4"/>
  <c r="T2146" i="4"/>
  <c r="U2146" i="4" s="1"/>
  <c r="S2146" i="4"/>
  <c r="R2146" i="4"/>
  <c r="T2145" i="4"/>
  <c r="U2145" i="4" s="1"/>
  <c r="S2145" i="4"/>
  <c r="R2145" i="4"/>
  <c r="T2144" i="4"/>
  <c r="U2144" i="4" s="1"/>
  <c r="S2144" i="4"/>
  <c r="R2144" i="4"/>
  <c r="T2132" i="4"/>
  <c r="U2132" i="4" s="1"/>
  <c r="S2132" i="4"/>
  <c r="R2132" i="4"/>
  <c r="T2117" i="4"/>
  <c r="U2117" i="4" s="1"/>
  <c r="S2117" i="4"/>
  <c r="R2117" i="4"/>
  <c r="T2116" i="4"/>
  <c r="U2116" i="4" s="1"/>
  <c r="S2116" i="4"/>
  <c r="R2116" i="4"/>
  <c r="T2115" i="4"/>
  <c r="U2115" i="4" s="1"/>
  <c r="S2115" i="4"/>
  <c r="R2115" i="4"/>
  <c r="T2114" i="4"/>
  <c r="U2114" i="4" s="1"/>
  <c r="S2114" i="4"/>
  <c r="R2114" i="4"/>
  <c r="T2113" i="4"/>
  <c r="U2113" i="4" s="1"/>
  <c r="S2113" i="4"/>
  <c r="R2113" i="4"/>
  <c r="T2112" i="4"/>
  <c r="U2112" i="4" s="1"/>
  <c r="S2112" i="4"/>
  <c r="R2112" i="4"/>
  <c r="T2111" i="4"/>
  <c r="U2111" i="4" s="1"/>
  <c r="S2111" i="4"/>
  <c r="R2111" i="4"/>
  <c r="T2110" i="4"/>
  <c r="U2110" i="4" s="1"/>
  <c r="S2110" i="4"/>
  <c r="R2110" i="4"/>
  <c r="T2109" i="4"/>
  <c r="U2109" i="4" s="1"/>
  <c r="S2109" i="4"/>
  <c r="R2109" i="4"/>
  <c r="T2077" i="4"/>
  <c r="U2077" i="4" s="1"/>
  <c r="S2077" i="4"/>
  <c r="R2077" i="4"/>
  <c r="T2076" i="4"/>
  <c r="U2076" i="4" s="1"/>
  <c r="S2076" i="4"/>
  <c r="R2076" i="4"/>
  <c r="T2075" i="4"/>
  <c r="U2075" i="4" s="1"/>
  <c r="S2075" i="4"/>
  <c r="R2075" i="4"/>
  <c r="T2074" i="4"/>
  <c r="U2074" i="4" s="1"/>
  <c r="S2074" i="4"/>
  <c r="R2074" i="4"/>
  <c r="T2069" i="4"/>
  <c r="U2069" i="4" s="1"/>
  <c r="S2069" i="4"/>
  <c r="R2069" i="4"/>
  <c r="T2043" i="4"/>
  <c r="U2043" i="4" s="1"/>
  <c r="S2043" i="4"/>
  <c r="R2043" i="4"/>
  <c r="T2042" i="4"/>
  <c r="U2042" i="4" s="1"/>
  <c r="S2042" i="4"/>
  <c r="R2042" i="4"/>
  <c r="T2041" i="4"/>
  <c r="U2041" i="4" s="1"/>
  <c r="S2041" i="4"/>
  <c r="R2041" i="4"/>
  <c r="T2040" i="4"/>
  <c r="U2040" i="4" s="1"/>
  <c r="S2040" i="4"/>
  <c r="R2040" i="4"/>
  <c r="T2039" i="4"/>
  <c r="U2039" i="4" s="1"/>
  <c r="S2039" i="4"/>
  <c r="R2039" i="4"/>
  <c r="T2038" i="4"/>
  <c r="U2038" i="4" s="1"/>
  <c r="S2038" i="4"/>
  <c r="R2038" i="4"/>
  <c r="T1887" i="4"/>
  <c r="U1887" i="4" s="1"/>
  <c r="S1887" i="4"/>
  <c r="R1887" i="4"/>
  <c r="T1886" i="4"/>
  <c r="U1886" i="4" s="1"/>
  <c r="S1886" i="4"/>
  <c r="R1886" i="4"/>
  <c r="T1885" i="4"/>
  <c r="U1885" i="4" s="1"/>
  <c r="S1885" i="4"/>
  <c r="R1885" i="4"/>
  <c r="T1884" i="4"/>
  <c r="U1884" i="4" s="1"/>
  <c r="S1884" i="4"/>
  <c r="R1884" i="4"/>
  <c r="T1883" i="4"/>
  <c r="U1883" i="4" s="1"/>
  <c r="S1883" i="4"/>
  <c r="R1883" i="4"/>
  <c r="T1882" i="4"/>
  <c r="U1882" i="4" s="1"/>
  <c r="S1882" i="4"/>
  <c r="R1882" i="4"/>
  <c r="T1609" i="4"/>
  <c r="U1609" i="4" s="1"/>
  <c r="S1609" i="4"/>
  <c r="R1609" i="4"/>
  <c r="T1596" i="4"/>
  <c r="U1596" i="4" s="1"/>
  <c r="S1596" i="4"/>
  <c r="R1596" i="4"/>
  <c r="T1575" i="4"/>
  <c r="U1575" i="4" s="1"/>
  <c r="S1575" i="4"/>
  <c r="R1575" i="4"/>
  <c r="T1519" i="4"/>
  <c r="U1519" i="4" s="1"/>
  <c r="S1519" i="4"/>
  <c r="R1519" i="4"/>
  <c r="T1501" i="4"/>
  <c r="U1501" i="4" s="1"/>
  <c r="S1501" i="4"/>
  <c r="R1501" i="4"/>
  <c r="T1470" i="4"/>
  <c r="U1470" i="4" s="1"/>
  <c r="S1470" i="4"/>
  <c r="R1470" i="4"/>
  <c r="T1427" i="4"/>
  <c r="U1427" i="4" s="1"/>
  <c r="S1427" i="4"/>
  <c r="R1427" i="4"/>
  <c r="T1419" i="4"/>
  <c r="U1419" i="4" s="1"/>
  <c r="S1419" i="4"/>
  <c r="R1419" i="4"/>
  <c r="T1410" i="4"/>
  <c r="U1410" i="4" s="1"/>
  <c r="S1410" i="4"/>
  <c r="R1410" i="4"/>
  <c r="T1384" i="4"/>
  <c r="U1384" i="4" s="1"/>
  <c r="S1384" i="4"/>
  <c r="R1384" i="4"/>
  <c r="T1374" i="4"/>
  <c r="U1374" i="4" s="1"/>
  <c r="S1374" i="4"/>
  <c r="R1374" i="4"/>
  <c r="T1317" i="4"/>
  <c r="U1317" i="4" s="1"/>
  <c r="S1317" i="4"/>
  <c r="R1317" i="4"/>
  <c r="T1288" i="4"/>
  <c r="U1288" i="4" s="1"/>
  <c r="S1288" i="4"/>
  <c r="R1288" i="4"/>
  <c r="T1255" i="4"/>
  <c r="U1255" i="4" s="1"/>
  <c r="S1255" i="4"/>
  <c r="R1255" i="4"/>
  <c r="T1199" i="4"/>
  <c r="U1199" i="4" s="1"/>
  <c r="S1199" i="4"/>
  <c r="R1199" i="4"/>
  <c r="T1110" i="4"/>
  <c r="U1110" i="4" s="1"/>
  <c r="S1110" i="4"/>
  <c r="R1110" i="4"/>
  <c r="T1109" i="4"/>
  <c r="U1109" i="4" s="1"/>
  <c r="S1109" i="4"/>
  <c r="R1109" i="4"/>
  <c r="T1108" i="4"/>
  <c r="U1108" i="4" s="1"/>
  <c r="S1108" i="4"/>
  <c r="R1108" i="4"/>
  <c r="T1107" i="4"/>
  <c r="U1107" i="4" s="1"/>
  <c r="S1107" i="4"/>
  <c r="R1107" i="4"/>
  <c r="T1079" i="4"/>
  <c r="U1079" i="4" s="1"/>
  <c r="S1079" i="4"/>
  <c r="R1079" i="4"/>
  <c r="T1078" i="4"/>
  <c r="U1078" i="4" s="1"/>
  <c r="S1078" i="4"/>
  <c r="R1078" i="4"/>
  <c r="T1077" i="4"/>
  <c r="U1077" i="4" s="1"/>
  <c r="S1077" i="4"/>
  <c r="R1077" i="4"/>
  <c r="T1076" i="4"/>
  <c r="U1076" i="4" s="1"/>
  <c r="S1076" i="4"/>
  <c r="R1076" i="4"/>
  <c r="T1070" i="4"/>
  <c r="U1070" i="4" s="1"/>
  <c r="S1070" i="4"/>
  <c r="R1070" i="4"/>
  <c r="T1069" i="4"/>
  <c r="U1069" i="4" s="1"/>
  <c r="S1069" i="4"/>
  <c r="R1069" i="4"/>
  <c r="T1042" i="4"/>
  <c r="U1042" i="4" s="1"/>
  <c r="S1042" i="4"/>
  <c r="R1042" i="4"/>
  <c r="T1041" i="4"/>
  <c r="U1041" i="4" s="1"/>
  <c r="S1041" i="4"/>
  <c r="R1041" i="4"/>
  <c r="T1040" i="4"/>
  <c r="U1040" i="4" s="1"/>
  <c r="S1040" i="4"/>
  <c r="R1040" i="4"/>
  <c r="T1039" i="4"/>
  <c r="U1039" i="4" s="1"/>
  <c r="S1039" i="4"/>
  <c r="R1039" i="4"/>
  <c r="T1035" i="4"/>
  <c r="U1035" i="4" s="1"/>
  <c r="S1035" i="4"/>
  <c r="R1035" i="4"/>
  <c r="T976" i="4"/>
  <c r="U976" i="4" s="1"/>
  <c r="S976" i="4"/>
  <c r="R976" i="4"/>
  <c r="T964" i="4"/>
  <c r="U964" i="4" s="1"/>
  <c r="S964" i="4"/>
  <c r="R964" i="4"/>
  <c r="T936" i="4"/>
  <c r="U936" i="4" s="1"/>
  <c r="S936" i="4"/>
  <c r="R936" i="4"/>
  <c r="T935" i="4"/>
  <c r="U935" i="4" s="1"/>
  <c r="S935" i="4"/>
  <c r="R935" i="4"/>
  <c r="T934" i="4"/>
  <c r="U934" i="4" s="1"/>
  <c r="S934" i="4"/>
  <c r="R934" i="4"/>
  <c r="T933" i="4"/>
  <c r="U933" i="4" s="1"/>
  <c r="S933" i="4"/>
  <c r="R933" i="4"/>
  <c r="T829" i="4"/>
  <c r="U829" i="4" s="1"/>
  <c r="S829" i="4"/>
  <c r="R829" i="4"/>
  <c r="T821" i="4"/>
  <c r="U821" i="4" s="1"/>
  <c r="S821" i="4"/>
  <c r="R821" i="4"/>
  <c r="T795" i="4"/>
  <c r="U795" i="4" s="1"/>
  <c r="S795" i="4"/>
  <c r="R795" i="4"/>
  <c r="T789" i="4"/>
  <c r="U789" i="4" s="1"/>
  <c r="S789" i="4"/>
  <c r="R789" i="4"/>
  <c r="T787" i="4"/>
  <c r="U787" i="4" s="1"/>
  <c r="S787" i="4"/>
  <c r="R787" i="4"/>
  <c r="T762" i="4"/>
  <c r="U762" i="4" s="1"/>
  <c r="S762" i="4"/>
  <c r="R762" i="4"/>
  <c r="T761" i="4"/>
  <c r="U761" i="4" s="1"/>
  <c r="S761" i="4"/>
  <c r="R761" i="4"/>
  <c r="T759" i="4"/>
  <c r="U759" i="4" s="1"/>
  <c r="S759" i="4"/>
  <c r="R759" i="4"/>
  <c r="T730" i="4"/>
  <c r="U730" i="4" s="1"/>
  <c r="S730" i="4"/>
  <c r="R730" i="4"/>
  <c r="T688" i="4"/>
  <c r="U688" i="4" s="1"/>
  <c r="S688" i="4"/>
  <c r="R688" i="4"/>
  <c r="T682" i="4"/>
  <c r="U682" i="4" s="1"/>
  <c r="S682" i="4"/>
  <c r="R682" i="4"/>
  <c r="T672" i="4"/>
  <c r="U672" i="4" s="1"/>
  <c r="S672" i="4"/>
  <c r="R672" i="4"/>
  <c r="T417" i="4"/>
  <c r="U417" i="4" s="1"/>
  <c r="S417" i="4"/>
  <c r="R417" i="4"/>
  <c r="T399" i="4"/>
  <c r="U399" i="4" s="1"/>
  <c r="S399" i="4"/>
  <c r="R399" i="4"/>
  <c r="T382" i="4"/>
  <c r="U382" i="4" s="1"/>
  <c r="S382" i="4"/>
  <c r="R382" i="4"/>
  <c r="T319" i="4"/>
  <c r="U319" i="4" s="1"/>
  <c r="S319" i="4"/>
  <c r="R319" i="4"/>
  <c r="T307" i="4"/>
  <c r="U307" i="4" s="1"/>
  <c r="S307" i="4"/>
  <c r="R307" i="4"/>
  <c r="T283" i="4"/>
  <c r="U283" i="4" s="1"/>
  <c r="S283" i="4"/>
  <c r="R283" i="4"/>
  <c r="T271" i="4"/>
  <c r="U271" i="4" s="1"/>
  <c r="S271" i="4"/>
  <c r="R271" i="4"/>
  <c r="T244" i="4"/>
  <c r="U244" i="4" s="1"/>
  <c r="S244" i="4"/>
  <c r="R244" i="4"/>
  <c r="T242" i="4"/>
  <c r="U242" i="4" s="1"/>
  <c r="S242" i="4"/>
  <c r="R242" i="4"/>
  <c r="T202" i="4"/>
  <c r="U202" i="4" s="1"/>
  <c r="S202" i="4"/>
  <c r="R202" i="4"/>
  <c r="T160" i="4"/>
  <c r="U160" i="4" s="1"/>
  <c r="S160" i="4"/>
  <c r="R160" i="4"/>
  <c r="T148" i="4"/>
  <c r="U148" i="4" s="1"/>
  <c r="S148" i="4"/>
  <c r="R148" i="4"/>
  <c r="T137" i="4"/>
  <c r="U137" i="4" s="1"/>
  <c r="S137" i="4"/>
  <c r="R137" i="4"/>
  <c r="T108" i="4"/>
  <c r="U108" i="4" s="1"/>
  <c r="S108" i="4"/>
  <c r="R108" i="4"/>
  <c r="T92" i="4"/>
  <c r="U92" i="4" s="1"/>
  <c r="S92" i="4"/>
  <c r="R92" i="4"/>
  <c r="T79" i="4"/>
  <c r="U79" i="4" s="1"/>
  <c r="S79" i="4"/>
  <c r="R79" i="4"/>
  <c r="T69" i="4"/>
  <c r="U69" i="4" s="1"/>
  <c r="S69" i="4"/>
  <c r="R69" i="4"/>
  <c r="T56" i="4"/>
  <c r="U56" i="4" s="1"/>
  <c r="S56" i="4"/>
  <c r="R56" i="4"/>
  <c r="T47" i="4"/>
  <c r="U47" i="4" s="1"/>
  <c r="S47" i="4"/>
  <c r="R47" i="4"/>
  <c r="T37" i="4"/>
  <c r="U37" i="4" s="1"/>
  <c r="S37" i="4"/>
  <c r="R37" i="4"/>
  <c r="T24" i="4"/>
  <c r="U24" i="4" s="1"/>
  <c r="S24" i="4"/>
  <c r="R24" i="4"/>
  <c r="T10" i="4"/>
  <c r="U10" i="4" s="1"/>
  <c r="S10" i="4"/>
  <c r="R10" i="4"/>
  <c r="T8" i="4"/>
  <c r="U8" i="4" s="1"/>
  <c r="S8" i="4"/>
  <c r="R8" i="4"/>
  <c r="T1602" i="4"/>
  <c r="U1602" i="4" s="1"/>
  <c r="S1602" i="4"/>
  <c r="R1602" i="4"/>
  <c r="T1591" i="4"/>
  <c r="U1591" i="4" s="1"/>
  <c r="S1591" i="4"/>
  <c r="R1591" i="4"/>
  <c r="T1549" i="4"/>
  <c r="U1549" i="4" s="1"/>
  <c r="S1549" i="4"/>
  <c r="R1549" i="4"/>
  <c r="T1532" i="4"/>
  <c r="U1532" i="4" s="1"/>
  <c r="S1532" i="4"/>
  <c r="R1532" i="4"/>
  <c r="T948" i="4"/>
  <c r="U948" i="4" s="1"/>
  <c r="S948" i="4"/>
  <c r="R948" i="4"/>
  <c r="T913" i="4"/>
  <c r="U913" i="4" s="1"/>
  <c r="S913" i="4"/>
  <c r="R913" i="4"/>
  <c r="T2295" i="4"/>
  <c r="U2295" i="4" s="1"/>
  <c r="S2295" i="4"/>
  <c r="R2295" i="4"/>
  <c r="T2294" i="4"/>
  <c r="U2294" i="4" s="1"/>
  <c r="S2294" i="4"/>
  <c r="R2294" i="4"/>
  <c r="T2284" i="4"/>
  <c r="U2284" i="4" s="1"/>
  <c r="S2284" i="4"/>
  <c r="R2284" i="4"/>
  <c r="T2283" i="4"/>
  <c r="U2283" i="4" s="1"/>
  <c r="S2283" i="4"/>
  <c r="R2283" i="4"/>
  <c r="T2269" i="4"/>
  <c r="U2269" i="4" s="1"/>
  <c r="S2269" i="4"/>
  <c r="R2269" i="4"/>
  <c r="T2266" i="4"/>
  <c r="U2266" i="4" s="1"/>
  <c r="S2266" i="4"/>
  <c r="R2266" i="4"/>
  <c r="T2259" i="4"/>
  <c r="U2259" i="4" s="1"/>
  <c r="S2259" i="4"/>
  <c r="R2259" i="4"/>
  <c r="T2250" i="4"/>
  <c r="U2250" i="4" s="1"/>
  <c r="S2250" i="4"/>
  <c r="R2250" i="4"/>
  <c r="T2247" i="4"/>
  <c r="U2247" i="4" s="1"/>
  <c r="S2247" i="4"/>
  <c r="R2247" i="4"/>
  <c r="T2246" i="4"/>
  <c r="U2246" i="4" s="1"/>
  <c r="S2246" i="4"/>
  <c r="R2246" i="4"/>
  <c r="T2245" i="4"/>
  <c r="U2245" i="4" s="1"/>
  <c r="S2245" i="4"/>
  <c r="R2245" i="4"/>
  <c r="T2233" i="4"/>
  <c r="U2233" i="4" s="1"/>
  <c r="S2233" i="4"/>
  <c r="R2233" i="4"/>
  <c r="T2224" i="4"/>
  <c r="U2224" i="4" s="1"/>
  <c r="S2224" i="4"/>
  <c r="R2224" i="4"/>
  <c r="T2181" i="4"/>
  <c r="U2181" i="4" s="1"/>
  <c r="S2181" i="4"/>
  <c r="R2181" i="4"/>
  <c r="T2177" i="4"/>
  <c r="U2177" i="4" s="1"/>
  <c r="S2177" i="4"/>
  <c r="R2177" i="4"/>
  <c r="T2176" i="4"/>
  <c r="U2176" i="4" s="1"/>
  <c r="S2176" i="4"/>
  <c r="R2176" i="4"/>
  <c r="T2175" i="4"/>
  <c r="U2175" i="4" s="1"/>
  <c r="S2175" i="4"/>
  <c r="R2175" i="4"/>
  <c r="T2171" i="4"/>
  <c r="U2171" i="4" s="1"/>
  <c r="S2171" i="4"/>
  <c r="R2171" i="4"/>
  <c r="T2143" i="4"/>
  <c r="U2143" i="4" s="1"/>
  <c r="S2143" i="4"/>
  <c r="R2143" i="4"/>
  <c r="T2141" i="4"/>
  <c r="U2141" i="4" s="1"/>
  <c r="S2141" i="4"/>
  <c r="R2141" i="4"/>
  <c r="T2133" i="4"/>
  <c r="U2133" i="4" s="1"/>
  <c r="S2133" i="4"/>
  <c r="R2133" i="4"/>
  <c r="T2130" i="4"/>
  <c r="U2130" i="4" s="1"/>
  <c r="S2130" i="4"/>
  <c r="R2130" i="4"/>
  <c r="T2108" i="4"/>
  <c r="U2108" i="4" s="1"/>
  <c r="S2108" i="4"/>
  <c r="R2108" i="4"/>
  <c r="T2093" i="4"/>
  <c r="U2093" i="4" s="1"/>
  <c r="S2093" i="4"/>
  <c r="R2093" i="4"/>
  <c r="T2092" i="4"/>
  <c r="U2092" i="4" s="1"/>
  <c r="S2092" i="4"/>
  <c r="R2092" i="4"/>
  <c r="T2091" i="4"/>
  <c r="U2091" i="4" s="1"/>
  <c r="S2091" i="4"/>
  <c r="R2091" i="4"/>
  <c r="T2090" i="4"/>
  <c r="U2090" i="4" s="1"/>
  <c r="S2090" i="4"/>
  <c r="R2090" i="4"/>
  <c r="T2082" i="4"/>
  <c r="U2082" i="4" s="1"/>
  <c r="S2082" i="4"/>
  <c r="R2082" i="4"/>
  <c r="T2081" i="4"/>
  <c r="U2081" i="4" s="1"/>
  <c r="S2081" i="4"/>
  <c r="R2081" i="4"/>
  <c r="T2080" i="4"/>
  <c r="U2080" i="4" s="1"/>
  <c r="S2080" i="4"/>
  <c r="R2080" i="4"/>
  <c r="T2046" i="4"/>
  <c r="U2046" i="4" s="1"/>
  <c r="S2046" i="4"/>
  <c r="R2046" i="4"/>
  <c r="T2045" i="4"/>
  <c r="U2045" i="4" s="1"/>
  <c r="S2045" i="4"/>
  <c r="R2045" i="4"/>
  <c r="T2044" i="4"/>
  <c r="U2044" i="4" s="1"/>
  <c r="S2044" i="4"/>
  <c r="R2044" i="4"/>
  <c r="T2032" i="4"/>
  <c r="U2032" i="4" s="1"/>
  <c r="S2032" i="4"/>
  <c r="R2032" i="4"/>
  <c r="T2030" i="4"/>
  <c r="U2030" i="4" s="1"/>
  <c r="S2030" i="4"/>
  <c r="R2030" i="4"/>
  <c r="T2010" i="4"/>
  <c r="U2010" i="4" s="1"/>
  <c r="S2010" i="4"/>
  <c r="R2010" i="4"/>
  <c r="T2007" i="4"/>
  <c r="U2007" i="4" s="1"/>
  <c r="S2007" i="4"/>
  <c r="R2007" i="4"/>
  <c r="T1990" i="4"/>
  <c r="U1990" i="4" s="1"/>
  <c r="S1990" i="4"/>
  <c r="R1990" i="4"/>
  <c r="T1982" i="4"/>
  <c r="U1982" i="4" s="1"/>
  <c r="S1982" i="4"/>
  <c r="R1982" i="4"/>
  <c r="T1967" i="4"/>
  <c r="U1967" i="4" s="1"/>
  <c r="S1967" i="4"/>
  <c r="R1967" i="4"/>
  <c r="T1954" i="4"/>
  <c r="U1954" i="4" s="1"/>
  <c r="S1954" i="4"/>
  <c r="R1954" i="4"/>
  <c r="T1941" i="4"/>
  <c r="U1941" i="4" s="1"/>
  <c r="S1941" i="4"/>
  <c r="R1941" i="4"/>
  <c r="T1926" i="4"/>
  <c r="U1926" i="4" s="1"/>
  <c r="S1926" i="4"/>
  <c r="R1926" i="4"/>
  <c r="T1908" i="4"/>
  <c r="U1908" i="4" s="1"/>
  <c r="S1908" i="4"/>
  <c r="R1908" i="4"/>
  <c r="T1897" i="4"/>
  <c r="U1897" i="4" s="1"/>
  <c r="S1897" i="4"/>
  <c r="R1897" i="4"/>
  <c r="T1879" i="4"/>
  <c r="U1879" i="4" s="1"/>
  <c r="S1879" i="4"/>
  <c r="R1879" i="4"/>
  <c r="T1874" i="4"/>
  <c r="U1874" i="4" s="1"/>
  <c r="S1874" i="4"/>
  <c r="R1874" i="4"/>
  <c r="T1869" i="4"/>
  <c r="U1869" i="4" s="1"/>
  <c r="S1869" i="4"/>
  <c r="R1869" i="4"/>
  <c r="T1854" i="4"/>
  <c r="U1854" i="4" s="1"/>
  <c r="S1854" i="4"/>
  <c r="R1854" i="4"/>
  <c r="T1841" i="4"/>
  <c r="U1841" i="4" s="1"/>
  <c r="S1841" i="4"/>
  <c r="R1841" i="4"/>
  <c r="T1832" i="4"/>
  <c r="U1832" i="4" s="1"/>
  <c r="S1832" i="4"/>
  <c r="R1832" i="4"/>
  <c r="T1818" i="4"/>
  <c r="U1818" i="4" s="1"/>
  <c r="S1818" i="4"/>
  <c r="R1818" i="4"/>
  <c r="T1806" i="4"/>
  <c r="U1806" i="4" s="1"/>
  <c r="S1806" i="4"/>
  <c r="R1806" i="4"/>
  <c r="T1804" i="4"/>
  <c r="U1804" i="4" s="1"/>
  <c r="S1804" i="4"/>
  <c r="R1804" i="4"/>
  <c r="T1797" i="4"/>
  <c r="U1797" i="4" s="1"/>
  <c r="S1797" i="4"/>
  <c r="R1797" i="4"/>
  <c r="T1780" i="4"/>
  <c r="U1780" i="4" s="1"/>
  <c r="S1780" i="4"/>
  <c r="R1780" i="4"/>
  <c r="T1719" i="4"/>
  <c r="U1719" i="4" s="1"/>
  <c r="S1719" i="4"/>
  <c r="R1719" i="4"/>
  <c r="T1718" i="4"/>
  <c r="U1718" i="4" s="1"/>
  <c r="S1718" i="4"/>
  <c r="R1718" i="4"/>
  <c r="T1717" i="4"/>
  <c r="U1717" i="4" s="1"/>
  <c r="S1717" i="4"/>
  <c r="R1717" i="4"/>
  <c r="T1716" i="4"/>
  <c r="U1716" i="4" s="1"/>
  <c r="S1716" i="4"/>
  <c r="R1716" i="4"/>
  <c r="T1715" i="4"/>
  <c r="U1715" i="4" s="1"/>
  <c r="S1715" i="4"/>
  <c r="R1715" i="4"/>
  <c r="T1714" i="4"/>
  <c r="U1714" i="4" s="1"/>
  <c r="S1714" i="4"/>
  <c r="R1714" i="4"/>
  <c r="T1713" i="4"/>
  <c r="U1713" i="4" s="1"/>
  <c r="S1713" i="4"/>
  <c r="R1713" i="4"/>
  <c r="T1712" i="4"/>
  <c r="U1712" i="4" s="1"/>
  <c r="S1712" i="4"/>
  <c r="R1712" i="4"/>
  <c r="T1711" i="4"/>
  <c r="U1711" i="4" s="1"/>
  <c r="S1711" i="4"/>
  <c r="R1711" i="4"/>
  <c r="T1710" i="4"/>
  <c r="U1710" i="4" s="1"/>
  <c r="S1710" i="4"/>
  <c r="R1710" i="4"/>
  <c r="T1709" i="4"/>
  <c r="U1709" i="4" s="1"/>
  <c r="S1709" i="4"/>
  <c r="R1709" i="4"/>
  <c r="T1668" i="4"/>
  <c r="U1668" i="4" s="1"/>
  <c r="S1668" i="4"/>
  <c r="R1668" i="4"/>
  <c r="T1667" i="4"/>
  <c r="U1667" i="4" s="1"/>
  <c r="S1667" i="4"/>
  <c r="R1667" i="4"/>
  <c r="T1666" i="4"/>
  <c r="U1666" i="4" s="1"/>
  <c r="S1666" i="4"/>
  <c r="R1666" i="4"/>
  <c r="T1665" i="4"/>
  <c r="U1665" i="4" s="1"/>
  <c r="S1665" i="4"/>
  <c r="R1665" i="4"/>
  <c r="T1664" i="4"/>
  <c r="U1664" i="4" s="1"/>
  <c r="S1664" i="4"/>
  <c r="R1664" i="4"/>
  <c r="T1663" i="4"/>
  <c r="U1663" i="4" s="1"/>
  <c r="S1663" i="4"/>
  <c r="R1663" i="4"/>
  <c r="T1662" i="4"/>
  <c r="U1662" i="4" s="1"/>
  <c r="S1662" i="4"/>
  <c r="R1662" i="4"/>
  <c r="T1661" i="4"/>
  <c r="U1661" i="4" s="1"/>
  <c r="S1661" i="4"/>
  <c r="R1661" i="4"/>
  <c r="T1660" i="4"/>
  <c r="U1660" i="4" s="1"/>
  <c r="S1660" i="4"/>
  <c r="R1660" i="4"/>
  <c r="T1659" i="4"/>
  <c r="U1659" i="4" s="1"/>
  <c r="S1659" i="4"/>
  <c r="R1659" i="4"/>
  <c r="T1658" i="4"/>
  <c r="U1658" i="4" s="1"/>
  <c r="S1658" i="4"/>
  <c r="R1658" i="4"/>
  <c r="T1616" i="4"/>
  <c r="U1616" i="4" s="1"/>
  <c r="S1616" i="4"/>
  <c r="R1616" i="4"/>
  <c r="T1615" i="4"/>
  <c r="U1615" i="4" s="1"/>
  <c r="S1615" i="4"/>
  <c r="R1615" i="4"/>
  <c r="T1612" i="4"/>
  <c r="U1612" i="4" s="1"/>
  <c r="S1612" i="4"/>
  <c r="R1612" i="4"/>
  <c r="T1611" i="4"/>
  <c r="U1611" i="4" s="1"/>
  <c r="S1611" i="4"/>
  <c r="R1611" i="4"/>
  <c r="T1600" i="4"/>
  <c r="U1600" i="4" s="1"/>
  <c r="S1600" i="4"/>
  <c r="R1600" i="4"/>
  <c r="T1597" i="4"/>
  <c r="U1597" i="4" s="1"/>
  <c r="S1597" i="4"/>
  <c r="R1597" i="4"/>
  <c r="T1593" i="4"/>
  <c r="U1593" i="4" s="1"/>
  <c r="S1593" i="4"/>
  <c r="R1593" i="4"/>
  <c r="T1588" i="4"/>
  <c r="U1588" i="4" s="1"/>
  <c r="S1588" i="4"/>
  <c r="R1588" i="4"/>
  <c r="T1586" i="4"/>
  <c r="U1586" i="4" s="1"/>
  <c r="S1586" i="4"/>
  <c r="R1586" i="4"/>
  <c r="T1584" i="4"/>
  <c r="U1584" i="4" s="1"/>
  <c r="S1584" i="4"/>
  <c r="R1584" i="4"/>
  <c r="T1583" i="4"/>
  <c r="U1583" i="4" s="1"/>
  <c r="S1583" i="4"/>
  <c r="R1583" i="4"/>
  <c r="T1582" i="4"/>
  <c r="U1582" i="4" s="1"/>
  <c r="S1582" i="4"/>
  <c r="R1582" i="4"/>
  <c r="T1580" i="4"/>
  <c r="U1580" i="4" s="1"/>
  <c r="S1580" i="4"/>
  <c r="R1580" i="4"/>
  <c r="T1578" i="4"/>
  <c r="U1578" i="4" s="1"/>
  <c r="S1578" i="4"/>
  <c r="R1578" i="4"/>
  <c r="T1577" i="4"/>
  <c r="U1577" i="4" s="1"/>
  <c r="S1577" i="4"/>
  <c r="R1577" i="4"/>
  <c r="Q1620" i="4"/>
  <c r="T1573" i="4"/>
  <c r="S1573" i="4"/>
  <c r="S1620" i="4" s="1"/>
  <c r="R1573" i="4"/>
  <c r="R1620" i="4" s="1"/>
  <c r="T1520" i="4"/>
  <c r="U1520" i="4" s="1"/>
  <c r="S1520" i="4"/>
  <c r="R1520" i="4"/>
  <c r="T1516" i="4"/>
  <c r="U1516" i="4" s="1"/>
  <c r="S1516" i="4"/>
  <c r="R1516" i="4"/>
  <c r="T1510" i="4"/>
  <c r="U1510" i="4" s="1"/>
  <c r="S1510" i="4"/>
  <c r="R1510" i="4"/>
  <c r="T1498" i="4"/>
  <c r="U1498" i="4" s="1"/>
  <c r="S1498" i="4"/>
  <c r="R1498" i="4"/>
  <c r="T1491" i="4"/>
  <c r="U1491" i="4" s="1"/>
  <c r="S1491" i="4"/>
  <c r="R1491" i="4"/>
  <c r="T1483" i="4"/>
  <c r="U1483" i="4" s="1"/>
  <c r="S1483" i="4"/>
  <c r="R1483" i="4"/>
  <c r="T1476" i="4"/>
  <c r="U1476" i="4" s="1"/>
  <c r="S1476" i="4"/>
  <c r="R1476" i="4"/>
  <c r="T1473" i="4"/>
  <c r="U1473" i="4" s="1"/>
  <c r="S1473" i="4"/>
  <c r="R1473" i="4"/>
  <c r="T1466" i="4"/>
  <c r="U1466" i="4" s="1"/>
  <c r="S1466" i="4"/>
  <c r="R1466" i="4"/>
  <c r="T1463" i="4"/>
  <c r="U1463" i="4" s="1"/>
  <c r="S1463" i="4"/>
  <c r="R1463" i="4"/>
  <c r="T1461" i="4"/>
  <c r="U1461" i="4" s="1"/>
  <c r="S1461" i="4"/>
  <c r="R1461" i="4"/>
  <c r="T1459" i="4"/>
  <c r="U1459" i="4" s="1"/>
  <c r="S1459" i="4"/>
  <c r="R1459" i="4"/>
  <c r="T1451" i="4"/>
  <c r="U1451" i="4" s="1"/>
  <c r="S1451" i="4"/>
  <c r="R1451" i="4"/>
  <c r="T1448" i="4"/>
  <c r="U1448" i="4" s="1"/>
  <c r="S1448" i="4"/>
  <c r="R1448" i="4"/>
  <c r="T1446" i="4"/>
  <c r="U1446" i="4" s="1"/>
  <c r="S1446" i="4"/>
  <c r="R1446" i="4"/>
  <c r="T1442" i="4"/>
  <c r="U1442" i="4" s="1"/>
  <c r="S1442" i="4"/>
  <c r="R1442" i="4"/>
  <c r="T1438" i="4"/>
  <c r="U1438" i="4" s="1"/>
  <c r="S1438" i="4"/>
  <c r="R1438" i="4"/>
  <c r="T1431" i="4"/>
  <c r="U1431" i="4" s="1"/>
  <c r="S1431" i="4"/>
  <c r="R1431" i="4"/>
  <c r="T1429" i="4"/>
  <c r="U1429" i="4" s="1"/>
  <c r="S1429" i="4"/>
  <c r="R1429" i="4"/>
  <c r="T1425" i="4"/>
  <c r="U1425" i="4" s="1"/>
  <c r="S1425" i="4"/>
  <c r="R1425" i="4"/>
  <c r="T1423" i="4"/>
  <c r="U1423" i="4" s="1"/>
  <c r="S1423" i="4"/>
  <c r="R1423" i="4"/>
  <c r="T1416" i="4"/>
  <c r="U1416" i="4" s="1"/>
  <c r="S1416" i="4"/>
  <c r="R1416" i="4"/>
  <c r="T1411" i="4"/>
  <c r="U1411" i="4" s="1"/>
  <c r="S1411" i="4"/>
  <c r="R1411" i="4"/>
  <c r="T1409" i="4"/>
  <c r="U1409" i="4" s="1"/>
  <c r="S1409" i="4"/>
  <c r="R1409" i="4"/>
  <c r="T1402" i="4"/>
  <c r="U1402" i="4" s="1"/>
  <c r="S1402" i="4"/>
  <c r="R1402" i="4"/>
  <c r="T1394" i="4"/>
  <c r="U1394" i="4" s="1"/>
  <c r="S1394" i="4"/>
  <c r="R1394" i="4"/>
  <c r="T1390" i="4"/>
  <c r="U1390" i="4" s="1"/>
  <c r="S1390" i="4"/>
  <c r="R1390" i="4"/>
  <c r="T1385" i="4"/>
  <c r="U1385" i="4" s="1"/>
  <c r="S1385" i="4"/>
  <c r="R1385" i="4"/>
  <c r="T1383" i="4"/>
  <c r="U1383" i="4" s="1"/>
  <c r="S1383" i="4"/>
  <c r="R1383" i="4"/>
  <c r="T1375" i="4"/>
  <c r="U1375" i="4" s="1"/>
  <c r="S1375" i="4"/>
  <c r="R1375" i="4"/>
  <c r="T1368" i="4"/>
  <c r="U1368" i="4" s="1"/>
  <c r="S1368" i="4"/>
  <c r="R1368" i="4"/>
  <c r="T1367" i="4"/>
  <c r="U1367" i="4" s="1"/>
  <c r="S1367" i="4"/>
  <c r="R1367" i="4"/>
  <c r="T1365" i="4"/>
  <c r="U1365" i="4" s="1"/>
  <c r="S1365" i="4"/>
  <c r="R1365" i="4"/>
  <c r="T1361" i="4"/>
  <c r="U1361" i="4" s="1"/>
  <c r="S1361" i="4"/>
  <c r="R1361" i="4"/>
  <c r="T1360" i="4"/>
  <c r="U1360" i="4" s="1"/>
  <c r="S1360" i="4"/>
  <c r="R1360" i="4"/>
  <c r="T1349" i="4"/>
  <c r="U1349" i="4" s="1"/>
  <c r="S1349" i="4"/>
  <c r="R1349" i="4"/>
  <c r="T1344" i="4"/>
  <c r="U1344" i="4" s="1"/>
  <c r="S1344" i="4"/>
  <c r="R1344" i="4"/>
  <c r="T1340" i="4"/>
  <c r="U1340" i="4" s="1"/>
  <c r="S1340" i="4"/>
  <c r="R1340" i="4"/>
  <c r="T1325" i="4"/>
  <c r="U1325" i="4" s="1"/>
  <c r="S1325" i="4"/>
  <c r="R1325" i="4"/>
  <c r="T1289" i="4"/>
  <c r="U1289" i="4" s="1"/>
  <c r="S1289" i="4"/>
  <c r="R1289" i="4"/>
  <c r="T1278" i="4"/>
  <c r="U1278" i="4" s="1"/>
  <c r="S1278" i="4"/>
  <c r="R1278" i="4"/>
  <c r="T1272" i="4"/>
  <c r="U1272" i="4" s="1"/>
  <c r="S1272" i="4"/>
  <c r="R1272" i="4"/>
  <c r="T1262" i="4"/>
  <c r="U1262" i="4" s="1"/>
  <c r="S1262" i="4"/>
  <c r="R1262" i="4"/>
  <c r="T1261" i="4"/>
  <c r="U1261" i="4" s="1"/>
  <c r="S1261" i="4"/>
  <c r="R1261" i="4"/>
  <c r="T1260" i="4"/>
  <c r="U1260" i="4" s="1"/>
  <c r="S1260" i="4"/>
  <c r="R1260" i="4"/>
  <c r="T1232" i="4"/>
  <c r="U1232" i="4" s="1"/>
  <c r="S1232" i="4"/>
  <c r="R1232" i="4"/>
  <c r="T1225" i="4"/>
  <c r="U1225" i="4" s="1"/>
  <c r="S1225" i="4"/>
  <c r="R1225" i="4"/>
  <c r="T1224" i="4"/>
  <c r="U1224" i="4" s="1"/>
  <c r="S1224" i="4"/>
  <c r="R1224" i="4"/>
  <c r="T1158" i="4"/>
  <c r="U1158" i="4" s="1"/>
  <c r="S1158" i="4"/>
  <c r="R1158" i="4"/>
  <c r="T1155" i="4"/>
  <c r="U1155" i="4" s="1"/>
  <c r="S1155" i="4"/>
  <c r="R1155" i="4"/>
  <c r="T1148" i="4"/>
  <c r="U1148" i="4" s="1"/>
  <c r="S1148" i="4"/>
  <c r="R1148" i="4"/>
  <c r="T1147" i="4"/>
  <c r="U1147" i="4" s="1"/>
  <c r="S1147" i="4"/>
  <c r="R1147" i="4"/>
  <c r="T1146" i="4"/>
  <c r="U1146" i="4" s="1"/>
  <c r="S1146" i="4"/>
  <c r="R1146" i="4"/>
  <c r="T1123" i="4"/>
  <c r="U1123" i="4" s="1"/>
  <c r="S1123" i="4"/>
  <c r="R1123" i="4"/>
  <c r="T1106" i="4"/>
  <c r="U1106" i="4" s="1"/>
  <c r="S1106" i="4"/>
  <c r="R1106" i="4"/>
  <c r="T1105" i="4"/>
  <c r="U1105" i="4" s="1"/>
  <c r="S1105" i="4"/>
  <c r="R1105" i="4"/>
  <c r="T1104" i="4"/>
  <c r="U1104" i="4" s="1"/>
  <c r="S1104" i="4"/>
  <c r="R1104" i="4"/>
  <c r="T1103" i="4"/>
  <c r="U1103" i="4" s="1"/>
  <c r="S1103" i="4"/>
  <c r="R1103" i="4"/>
  <c r="T1102" i="4"/>
  <c r="U1102" i="4" s="1"/>
  <c r="S1102" i="4"/>
  <c r="R1102" i="4"/>
  <c r="T1101" i="4"/>
  <c r="U1101" i="4" s="1"/>
  <c r="S1101" i="4"/>
  <c r="R1101" i="4"/>
  <c r="T1075" i="4"/>
  <c r="U1075" i="4" s="1"/>
  <c r="S1075" i="4"/>
  <c r="R1075" i="4"/>
  <c r="T1074" i="4"/>
  <c r="U1074" i="4" s="1"/>
  <c r="S1074" i="4"/>
  <c r="R1074" i="4"/>
  <c r="T1073" i="4"/>
  <c r="U1073" i="4" s="1"/>
  <c r="S1073" i="4"/>
  <c r="R1073" i="4"/>
  <c r="T1072" i="4"/>
  <c r="U1072" i="4" s="1"/>
  <c r="S1072" i="4"/>
  <c r="R1072" i="4"/>
  <c r="T1071" i="4"/>
  <c r="U1071" i="4" s="1"/>
  <c r="S1071" i="4"/>
  <c r="R1071" i="4"/>
  <c r="T1051" i="4"/>
  <c r="U1051" i="4" s="1"/>
  <c r="S1051" i="4"/>
  <c r="R1051" i="4"/>
  <c r="T1038" i="4"/>
  <c r="U1038" i="4" s="1"/>
  <c r="S1038" i="4"/>
  <c r="R1038" i="4"/>
  <c r="T1037" i="4"/>
  <c r="U1037" i="4" s="1"/>
  <c r="S1037" i="4"/>
  <c r="R1037" i="4"/>
  <c r="T1036" i="4"/>
  <c r="U1036" i="4" s="1"/>
  <c r="S1036" i="4"/>
  <c r="R1036" i="4"/>
  <c r="T1034" i="4"/>
  <c r="U1034" i="4" s="1"/>
  <c r="S1034" i="4"/>
  <c r="R1034" i="4"/>
  <c r="T1033" i="4"/>
  <c r="U1033" i="4" s="1"/>
  <c r="S1033" i="4"/>
  <c r="R1033" i="4"/>
  <c r="T1012" i="4"/>
  <c r="U1012" i="4" s="1"/>
  <c r="S1012" i="4"/>
  <c r="R1012" i="4"/>
  <c r="T999" i="4"/>
  <c r="U999" i="4" s="1"/>
  <c r="S999" i="4"/>
  <c r="R999" i="4"/>
  <c r="T998" i="4"/>
  <c r="U998" i="4" s="1"/>
  <c r="S998" i="4"/>
  <c r="R998" i="4"/>
  <c r="T997" i="4"/>
  <c r="U997" i="4" s="1"/>
  <c r="S997" i="4"/>
  <c r="R997" i="4"/>
  <c r="T994" i="4"/>
  <c r="U994" i="4" s="1"/>
  <c r="S994" i="4"/>
  <c r="R994" i="4"/>
  <c r="T977" i="4"/>
  <c r="U977" i="4" s="1"/>
  <c r="S977" i="4"/>
  <c r="R977" i="4"/>
  <c r="T975" i="4"/>
  <c r="U975" i="4" s="1"/>
  <c r="S975" i="4"/>
  <c r="R975" i="4"/>
  <c r="T974" i="4"/>
  <c r="U974" i="4" s="1"/>
  <c r="S974" i="4"/>
  <c r="R974" i="4"/>
  <c r="T973" i="4"/>
  <c r="U973" i="4" s="1"/>
  <c r="S973" i="4"/>
  <c r="R973" i="4"/>
  <c r="T972" i="4"/>
  <c r="U972" i="4" s="1"/>
  <c r="S972" i="4"/>
  <c r="R972" i="4"/>
  <c r="T969" i="4"/>
  <c r="U969" i="4" s="1"/>
  <c r="S969" i="4"/>
  <c r="R969" i="4"/>
  <c r="T951" i="4"/>
  <c r="U951" i="4" s="1"/>
  <c r="S951" i="4"/>
  <c r="R951" i="4"/>
  <c r="T950" i="4"/>
  <c r="U950" i="4" s="1"/>
  <c r="S950" i="4"/>
  <c r="R950" i="4"/>
  <c r="T949" i="4"/>
  <c r="U949" i="4" s="1"/>
  <c r="S949" i="4"/>
  <c r="R949" i="4"/>
  <c r="T916" i="4"/>
  <c r="U916" i="4" s="1"/>
  <c r="S916" i="4"/>
  <c r="R916" i="4"/>
  <c r="T909" i="4"/>
  <c r="U909" i="4" s="1"/>
  <c r="S909" i="4"/>
  <c r="R909" i="4"/>
  <c r="T908" i="4"/>
  <c r="U908" i="4" s="1"/>
  <c r="S908" i="4"/>
  <c r="R908" i="4"/>
  <c r="T903" i="4"/>
  <c r="U903" i="4" s="1"/>
  <c r="S903" i="4"/>
  <c r="R903" i="4"/>
  <c r="T894" i="4"/>
  <c r="U894" i="4" s="1"/>
  <c r="S894" i="4"/>
  <c r="R894" i="4"/>
  <c r="T839" i="4"/>
  <c r="U839" i="4" s="1"/>
  <c r="S839" i="4"/>
  <c r="R839" i="4"/>
  <c r="T834" i="4"/>
  <c r="U834" i="4" s="1"/>
  <c r="S834" i="4"/>
  <c r="R834" i="4"/>
  <c r="T830" i="4"/>
  <c r="U830" i="4" s="1"/>
  <c r="S830" i="4"/>
  <c r="R830" i="4"/>
  <c r="T802" i="4"/>
  <c r="U802" i="4" s="1"/>
  <c r="S802" i="4"/>
  <c r="R802" i="4"/>
  <c r="T790" i="4"/>
  <c r="U790" i="4" s="1"/>
  <c r="S790" i="4"/>
  <c r="R790" i="4"/>
  <c r="T788" i="4"/>
  <c r="U788" i="4" s="1"/>
  <c r="S788" i="4"/>
  <c r="R788" i="4"/>
  <c r="T766" i="4"/>
  <c r="U766" i="4" s="1"/>
  <c r="S766" i="4"/>
  <c r="R766" i="4"/>
  <c r="T764" i="4"/>
  <c r="U764" i="4" s="1"/>
  <c r="S764" i="4"/>
  <c r="R764" i="4"/>
  <c r="T760" i="4"/>
  <c r="U760" i="4" s="1"/>
  <c r="S760" i="4"/>
  <c r="R760" i="4"/>
  <c r="T753" i="4"/>
  <c r="U753" i="4" s="1"/>
  <c r="S753" i="4"/>
  <c r="R753" i="4"/>
  <c r="T741" i="4"/>
  <c r="U741" i="4" s="1"/>
  <c r="S741" i="4"/>
  <c r="R741" i="4"/>
  <c r="T705" i="4"/>
  <c r="U705" i="4" s="1"/>
  <c r="S705" i="4"/>
  <c r="R705" i="4"/>
  <c r="T689" i="4"/>
  <c r="U689" i="4" s="1"/>
  <c r="S689" i="4"/>
  <c r="R689" i="4"/>
  <c r="T687" i="4"/>
  <c r="U687" i="4" s="1"/>
  <c r="S687" i="4"/>
  <c r="R687" i="4"/>
  <c r="T683" i="4"/>
  <c r="U683" i="4" s="1"/>
  <c r="S683" i="4"/>
  <c r="R683" i="4"/>
  <c r="T666" i="4"/>
  <c r="U666" i="4" s="1"/>
  <c r="S666" i="4"/>
  <c r="R666" i="4"/>
  <c r="T662" i="4"/>
  <c r="U662" i="4" s="1"/>
  <c r="S662" i="4"/>
  <c r="R662" i="4"/>
  <c r="T659" i="4"/>
  <c r="U659" i="4" s="1"/>
  <c r="S659" i="4"/>
  <c r="R659" i="4"/>
  <c r="T653" i="4"/>
  <c r="U653" i="4" s="1"/>
  <c r="S653" i="4"/>
  <c r="R653" i="4"/>
  <c r="T648" i="4"/>
  <c r="U648" i="4" s="1"/>
  <c r="S648" i="4"/>
  <c r="R648" i="4"/>
  <c r="T647" i="4"/>
  <c r="U647" i="4" s="1"/>
  <c r="S647" i="4"/>
  <c r="R647" i="4"/>
  <c r="T643" i="4"/>
  <c r="U643" i="4" s="1"/>
  <c r="S643" i="4"/>
  <c r="R643" i="4"/>
  <c r="T642" i="4"/>
  <c r="U642" i="4" s="1"/>
  <c r="S642" i="4"/>
  <c r="R642" i="4"/>
  <c r="T641" i="4"/>
  <c r="U641" i="4" s="1"/>
  <c r="S641" i="4"/>
  <c r="R641" i="4"/>
  <c r="T638" i="4"/>
  <c r="U638" i="4" s="1"/>
  <c r="S638" i="4"/>
  <c r="R638" i="4"/>
  <c r="T637" i="4"/>
  <c r="U637" i="4" s="1"/>
  <c r="S637" i="4"/>
  <c r="R637" i="4"/>
  <c r="T633" i="4"/>
  <c r="U633" i="4" s="1"/>
  <c r="S633" i="4"/>
  <c r="R633" i="4"/>
  <c r="T629" i="4"/>
  <c r="U629" i="4" s="1"/>
  <c r="S629" i="4"/>
  <c r="R629" i="4"/>
  <c r="T626" i="4"/>
  <c r="U626" i="4" s="1"/>
  <c r="S626" i="4"/>
  <c r="R626" i="4"/>
  <c r="T624" i="4"/>
  <c r="U624" i="4" s="1"/>
  <c r="S624" i="4"/>
  <c r="R624" i="4"/>
  <c r="T620" i="4"/>
  <c r="U620" i="4" s="1"/>
  <c r="S620" i="4"/>
  <c r="R620" i="4"/>
  <c r="T616" i="4"/>
  <c r="U616" i="4" s="1"/>
  <c r="S616" i="4"/>
  <c r="R616" i="4"/>
  <c r="T612" i="4"/>
  <c r="U612" i="4" s="1"/>
  <c r="S612" i="4"/>
  <c r="R612" i="4"/>
  <c r="T603" i="4"/>
  <c r="U603" i="4" s="1"/>
  <c r="S603" i="4"/>
  <c r="R603" i="4"/>
  <c r="T601" i="4"/>
  <c r="U601" i="4" s="1"/>
  <c r="S601" i="4"/>
  <c r="R601" i="4"/>
  <c r="T595" i="4"/>
  <c r="U595" i="4" s="1"/>
  <c r="S595" i="4"/>
  <c r="R595" i="4"/>
  <c r="T590" i="4"/>
  <c r="U590" i="4" s="1"/>
  <c r="S590" i="4"/>
  <c r="R590" i="4"/>
  <c r="T589" i="4"/>
  <c r="U589" i="4" s="1"/>
  <c r="S589" i="4"/>
  <c r="R589" i="4"/>
  <c r="T588" i="4"/>
  <c r="U588" i="4" s="1"/>
  <c r="S588" i="4"/>
  <c r="R588" i="4"/>
  <c r="T586" i="4"/>
  <c r="U586" i="4" s="1"/>
  <c r="S586" i="4"/>
  <c r="R586" i="4"/>
  <c r="T585" i="4"/>
  <c r="U585" i="4" s="1"/>
  <c r="S585" i="4"/>
  <c r="R585" i="4"/>
  <c r="T581" i="4"/>
  <c r="U581" i="4" s="1"/>
  <c r="S581" i="4"/>
  <c r="R581" i="4"/>
  <c r="T569" i="4"/>
  <c r="U569" i="4" s="1"/>
  <c r="S569" i="4"/>
  <c r="R569" i="4"/>
  <c r="T568" i="4"/>
  <c r="U568" i="4" s="1"/>
  <c r="S568" i="4"/>
  <c r="R568" i="4"/>
  <c r="T564" i="4"/>
  <c r="U564" i="4" s="1"/>
  <c r="S564" i="4"/>
  <c r="R564" i="4"/>
  <c r="T560" i="4"/>
  <c r="U560" i="4" s="1"/>
  <c r="S560" i="4"/>
  <c r="R560" i="4"/>
  <c r="T550" i="4"/>
  <c r="U550" i="4" s="1"/>
  <c r="S550" i="4"/>
  <c r="R550" i="4"/>
  <c r="T541" i="4"/>
  <c r="U541" i="4" s="1"/>
  <c r="S541" i="4"/>
  <c r="R541" i="4"/>
  <c r="T537" i="4"/>
  <c r="U537" i="4" s="1"/>
  <c r="S537" i="4"/>
  <c r="R537" i="4"/>
  <c r="T536" i="4"/>
  <c r="U536" i="4" s="1"/>
  <c r="S536" i="4"/>
  <c r="R536" i="4"/>
  <c r="T535" i="4"/>
  <c r="U535" i="4" s="1"/>
  <c r="S535" i="4"/>
  <c r="R535" i="4"/>
  <c r="T534" i="4"/>
  <c r="U534" i="4" s="1"/>
  <c r="S534" i="4"/>
  <c r="R534" i="4"/>
  <c r="T533" i="4"/>
  <c r="U533" i="4" s="1"/>
  <c r="S533" i="4"/>
  <c r="R533" i="4"/>
  <c r="T532" i="4"/>
  <c r="U532" i="4" s="1"/>
  <c r="S532" i="4"/>
  <c r="R532" i="4"/>
  <c r="T520" i="4"/>
  <c r="U520" i="4" s="1"/>
  <c r="S520" i="4"/>
  <c r="R520" i="4"/>
  <c r="T513" i="4"/>
  <c r="U513" i="4" s="1"/>
  <c r="S513" i="4"/>
  <c r="R513" i="4"/>
  <c r="T512" i="4"/>
  <c r="U512" i="4" s="1"/>
  <c r="S512" i="4"/>
  <c r="R512" i="4"/>
  <c r="T511" i="4"/>
  <c r="U511" i="4" s="1"/>
  <c r="S511" i="4"/>
  <c r="R511" i="4"/>
  <c r="T503" i="4"/>
  <c r="U503" i="4" s="1"/>
  <c r="S503" i="4"/>
  <c r="R503" i="4"/>
  <c r="T500" i="4"/>
  <c r="U500" i="4" s="1"/>
  <c r="S500" i="4"/>
  <c r="R500" i="4"/>
  <c r="T496" i="4"/>
  <c r="U496" i="4" s="1"/>
  <c r="S496" i="4"/>
  <c r="R496" i="4"/>
  <c r="T495" i="4"/>
  <c r="U495" i="4" s="1"/>
  <c r="S495" i="4"/>
  <c r="R495" i="4"/>
  <c r="T494" i="4"/>
  <c r="U494" i="4" s="1"/>
  <c r="S494" i="4"/>
  <c r="R494" i="4"/>
  <c r="T483" i="4"/>
  <c r="U483" i="4" s="1"/>
  <c r="S483" i="4"/>
  <c r="R483" i="4"/>
  <c r="T482" i="4"/>
  <c r="U482" i="4" s="1"/>
  <c r="S482" i="4"/>
  <c r="R482" i="4"/>
  <c r="T480" i="4"/>
  <c r="U480" i="4" s="1"/>
  <c r="S480" i="4"/>
  <c r="R480" i="4"/>
  <c r="T479" i="4"/>
  <c r="U479" i="4" s="1"/>
  <c r="S479" i="4"/>
  <c r="R479" i="4"/>
  <c r="T470" i="4"/>
  <c r="U470" i="4" s="1"/>
  <c r="S470" i="4"/>
  <c r="R470" i="4"/>
  <c r="T469" i="4"/>
  <c r="U469" i="4" s="1"/>
  <c r="S469" i="4"/>
  <c r="R469" i="4"/>
  <c r="T468" i="4"/>
  <c r="U468" i="4" s="1"/>
  <c r="S468" i="4"/>
  <c r="R468" i="4"/>
  <c r="T467" i="4"/>
  <c r="U467" i="4" s="1"/>
  <c r="S467" i="4"/>
  <c r="R467" i="4"/>
  <c r="T465" i="4"/>
  <c r="U465" i="4" s="1"/>
  <c r="S465" i="4"/>
  <c r="R465" i="4"/>
  <c r="T464" i="4"/>
  <c r="U464" i="4" s="1"/>
  <c r="S464" i="4"/>
  <c r="R464" i="4"/>
  <c r="T463" i="4"/>
  <c r="U463" i="4" s="1"/>
  <c r="S463" i="4"/>
  <c r="R463" i="4"/>
  <c r="T458" i="4"/>
  <c r="U458" i="4" s="1"/>
  <c r="S458" i="4"/>
  <c r="R458" i="4"/>
  <c r="T456" i="4"/>
  <c r="U456" i="4" s="1"/>
  <c r="S456" i="4"/>
  <c r="R456" i="4"/>
  <c r="T450" i="4"/>
  <c r="U450" i="4" s="1"/>
  <c r="S450" i="4"/>
  <c r="R450" i="4"/>
  <c r="T443" i="4"/>
  <c r="U443" i="4" s="1"/>
  <c r="S443" i="4"/>
  <c r="R443" i="4"/>
  <c r="T437" i="4"/>
  <c r="U437" i="4" s="1"/>
  <c r="S437" i="4"/>
  <c r="R437" i="4"/>
  <c r="T429" i="4"/>
  <c r="U429" i="4" s="1"/>
  <c r="S429" i="4"/>
  <c r="R429" i="4"/>
  <c r="T400" i="4"/>
  <c r="U400" i="4" s="1"/>
  <c r="S400" i="4"/>
  <c r="R400" i="4"/>
  <c r="T390" i="4"/>
  <c r="U390" i="4" s="1"/>
  <c r="S390" i="4"/>
  <c r="R390" i="4"/>
  <c r="T389" i="4"/>
  <c r="U389" i="4" s="1"/>
  <c r="S389" i="4"/>
  <c r="R389" i="4"/>
  <c r="T388" i="4"/>
  <c r="U388" i="4" s="1"/>
  <c r="S388" i="4"/>
  <c r="R388" i="4"/>
  <c r="T387" i="4"/>
  <c r="U387" i="4" s="1"/>
  <c r="S387" i="4"/>
  <c r="R387" i="4"/>
  <c r="T376" i="4"/>
  <c r="U376" i="4" s="1"/>
  <c r="S376" i="4"/>
  <c r="R376" i="4"/>
  <c r="T365" i="4"/>
  <c r="U365" i="4" s="1"/>
  <c r="S365" i="4"/>
  <c r="R365" i="4"/>
  <c r="T360" i="4"/>
  <c r="U360" i="4" s="1"/>
  <c r="S360" i="4"/>
  <c r="R360" i="4"/>
  <c r="T343" i="4"/>
  <c r="U343" i="4" s="1"/>
  <c r="S343" i="4"/>
  <c r="R343" i="4"/>
  <c r="T342" i="4"/>
  <c r="U342" i="4" s="1"/>
  <c r="S342" i="4"/>
  <c r="R342" i="4"/>
  <c r="T341" i="4"/>
  <c r="U341" i="4" s="1"/>
  <c r="S341" i="4"/>
  <c r="R341" i="4"/>
  <c r="T333" i="4"/>
  <c r="U333" i="4" s="1"/>
  <c r="S333" i="4"/>
  <c r="R333" i="4"/>
  <c r="T309" i="4"/>
  <c r="U309" i="4" s="1"/>
  <c r="S309" i="4"/>
  <c r="R309" i="4"/>
  <c r="T301" i="4"/>
  <c r="U301" i="4" s="1"/>
  <c r="S301" i="4"/>
  <c r="R301" i="4"/>
  <c r="T282" i="4"/>
  <c r="U282" i="4" s="1"/>
  <c r="S282" i="4"/>
  <c r="R282" i="4"/>
  <c r="T281" i="4"/>
  <c r="U281" i="4" s="1"/>
  <c r="S281" i="4"/>
  <c r="R281" i="4"/>
  <c r="T280" i="4"/>
  <c r="U280" i="4" s="1"/>
  <c r="S280" i="4"/>
  <c r="R280" i="4"/>
  <c r="T272" i="4"/>
  <c r="U272" i="4" s="1"/>
  <c r="S272" i="4"/>
  <c r="R272" i="4"/>
  <c r="T265" i="4"/>
  <c r="U265" i="4" s="1"/>
  <c r="S265" i="4"/>
  <c r="R265" i="4"/>
  <c r="T264" i="4"/>
  <c r="U264" i="4" s="1"/>
  <c r="S264" i="4"/>
  <c r="R264" i="4"/>
  <c r="T246" i="4"/>
  <c r="U246" i="4" s="1"/>
  <c r="S246" i="4"/>
  <c r="R246" i="4"/>
  <c r="T234" i="4"/>
  <c r="U234" i="4" s="1"/>
  <c r="S234" i="4"/>
  <c r="R234" i="4"/>
  <c r="T221" i="4"/>
  <c r="U221" i="4" s="1"/>
  <c r="S221" i="4"/>
  <c r="R221" i="4"/>
  <c r="T220" i="4"/>
  <c r="U220" i="4" s="1"/>
  <c r="S220" i="4"/>
  <c r="R220" i="4"/>
  <c r="T219" i="4"/>
  <c r="U219" i="4" s="1"/>
  <c r="S219" i="4"/>
  <c r="R219" i="4"/>
  <c r="T196" i="4"/>
  <c r="U196" i="4" s="1"/>
  <c r="S196" i="4"/>
  <c r="R196" i="4"/>
  <c r="T190" i="4"/>
  <c r="U190" i="4" s="1"/>
  <c r="S190" i="4"/>
  <c r="R190" i="4"/>
  <c r="T188" i="4"/>
  <c r="U188" i="4" s="1"/>
  <c r="S188" i="4"/>
  <c r="R188" i="4"/>
  <c r="T183" i="4"/>
  <c r="U183" i="4" s="1"/>
  <c r="S183" i="4"/>
  <c r="R183" i="4"/>
  <c r="T182" i="4"/>
  <c r="U182" i="4" s="1"/>
  <c r="S182" i="4"/>
  <c r="R182" i="4"/>
  <c r="T141" i="4"/>
  <c r="U141" i="4" s="1"/>
  <c r="S141" i="4"/>
  <c r="R141" i="4"/>
  <c r="T109" i="4"/>
  <c r="U109" i="4" s="1"/>
  <c r="S109" i="4"/>
  <c r="R109" i="4"/>
  <c r="T105" i="4"/>
  <c r="U105" i="4" s="1"/>
  <c r="S105" i="4"/>
  <c r="R105" i="4"/>
  <c r="T94" i="4"/>
  <c r="U94" i="4" s="1"/>
  <c r="S94" i="4"/>
  <c r="R94" i="4"/>
  <c r="T86" i="4"/>
  <c r="U86" i="4" s="1"/>
  <c r="S86" i="4"/>
  <c r="R86" i="4"/>
  <c r="T61" i="4"/>
  <c r="U61" i="4" s="1"/>
  <c r="S61" i="4"/>
  <c r="R61" i="4"/>
  <c r="T43" i="4"/>
  <c r="U43" i="4" s="1"/>
  <c r="S43" i="4"/>
  <c r="R43" i="4"/>
  <c r="T42" i="4"/>
  <c r="U42" i="4" s="1"/>
  <c r="S42" i="4"/>
  <c r="R42" i="4"/>
  <c r="T41" i="4"/>
  <c r="U41" i="4" s="1"/>
  <c r="S41" i="4"/>
  <c r="R41" i="4"/>
  <c r="T18" i="4"/>
  <c r="U18" i="4" s="1"/>
  <c r="S18" i="4"/>
  <c r="R18" i="4"/>
  <c r="T15" i="4"/>
  <c r="U15" i="4" s="1"/>
  <c r="S15" i="4"/>
  <c r="R15" i="4"/>
  <c r="T14" i="4"/>
  <c r="U14" i="4" s="1"/>
  <c r="S14" i="4"/>
  <c r="R14" i="4"/>
  <c r="T613" i="4"/>
  <c r="U613" i="4" s="1"/>
  <c r="S613" i="4"/>
  <c r="R613" i="4"/>
  <c r="T473" i="4"/>
  <c r="U473" i="4" s="1"/>
  <c r="S473" i="4"/>
  <c r="R473" i="4"/>
  <c r="T441" i="4"/>
  <c r="U441" i="4" s="1"/>
  <c r="S441" i="4"/>
  <c r="R441" i="4"/>
  <c r="Q668" i="4"/>
  <c r="T440" i="4"/>
  <c r="S440" i="4"/>
  <c r="S668" i="4" s="1"/>
  <c r="R440" i="4"/>
  <c r="R668" i="4" s="1"/>
  <c r="T9" i="4"/>
  <c r="U9" i="4" s="1"/>
  <c r="S9" i="4"/>
  <c r="R9" i="4"/>
  <c r="T7" i="4"/>
  <c r="U7" i="4" s="1"/>
  <c r="S7" i="4"/>
  <c r="R7" i="4"/>
  <c r="T1679" i="4"/>
  <c r="U1679" i="4" s="1"/>
  <c r="S1679" i="4"/>
  <c r="R1679" i="4"/>
  <c r="T1678" i="4"/>
  <c r="U1678" i="4" s="1"/>
  <c r="S1678" i="4"/>
  <c r="R1678" i="4"/>
  <c r="T1585" i="4"/>
  <c r="U1585" i="4" s="1"/>
  <c r="S1585" i="4"/>
  <c r="R1585" i="4"/>
  <c r="T1570" i="4"/>
  <c r="U1570" i="4" s="1"/>
  <c r="S1570" i="4"/>
  <c r="R1570" i="4"/>
  <c r="T1564" i="4"/>
  <c r="U1564" i="4" s="1"/>
  <c r="S1564" i="4"/>
  <c r="R1564" i="4"/>
  <c r="T1557" i="4"/>
  <c r="U1557" i="4" s="1"/>
  <c r="S1557" i="4"/>
  <c r="R1557" i="4"/>
  <c r="T1551" i="4"/>
  <c r="U1551" i="4" s="1"/>
  <c r="S1551" i="4"/>
  <c r="R1551" i="4"/>
  <c r="T1550" i="4"/>
  <c r="U1550" i="4" s="1"/>
  <c r="S1550" i="4"/>
  <c r="R1550" i="4"/>
  <c r="T1533" i="4"/>
  <c r="U1533" i="4" s="1"/>
  <c r="S1533" i="4"/>
  <c r="R1533" i="4"/>
  <c r="T1355" i="4"/>
  <c r="U1355" i="4" s="1"/>
  <c r="S1355" i="4"/>
  <c r="R1355" i="4"/>
  <c r="T1304" i="4"/>
  <c r="U1304" i="4" s="1"/>
  <c r="S1304" i="4"/>
  <c r="R1304" i="4"/>
  <c r="T1254" i="4"/>
  <c r="U1254" i="4" s="1"/>
  <c r="S1254" i="4"/>
  <c r="R1254" i="4"/>
  <c r="T928" i="4"/>
  <c r="U928" i="4" s="1"/>
  <c r="S928" i="4"/>
  <c r="R928" i="4"/>
  <c r="T914" i="4"/>
  <c r="U914" i="4" s="1"/>
  <c r="S914" i="4"/>
  <c r="R914" i="4"/>
  <c r="T912" i="4"/>
  <c r="U912" i="4" s="1"/>
  <c r="S912" i="4"/>
  <c r="R912" i="4"/>
  <c r="T911" i="4"/>
  <c r="U911" i="4" s="1"/>
  <c r="S911" i="4"/>
  <c r="R911" i="4"/>
  <c r="T910" i="4"/>
  <c r="U910" i="4" s="1"/>
  <c r="S910" i="4"/>
  <c r="R910" i="4"/>
  <c r="T884" i="4"/>
  <c r="U884" i="4" s="1"/>
  <c r="S884" i="4"/>
  <c r="R884" i="4"/>
  <c r="T866" i="4"/>
  <c r="U866" i="4" s="1"/>
  <c r="S866" i="4"/>
  <c r="R866" i="4"/>
  <c r="T865" i="4"/>
  <c r="U865" i="4" s="1"/>
  <c r="S865" i="4"/>
  <c r="R865" i="4"/>
  <c r="T131" i="4"/>
  <c r="U131" i="4" s="1"/>
  <c r="S131" i="4"/>
  <c r="R131" i="4"/>
  <c r="T129" i="4"/>
  <c r="U129" i="4" s="1"/>
  <c r="S129" i="4"/>
  <c r="R129" i="4"/>
  <c r="T125" i="4"/>
  <c r="U125" i="4" s="1"/>
  <c r="S125" i="4"/>
  <c r="R125" i="4"/>
  <c r="T123" i="4"/>
  <c r="U123" i="4" s="1"/>
  <c r="S123" i="4"/>
  <c r="R123" i="4"/>
  <c r="T103" i="4"/>
  <c r="U103" i="4" s="1"/>
  <c r="S103" i="4"/>
  <c r="R103" i="4"/>
  <c r="T2102" i="4"/>
  <c r="U2102" i="4" s="1"/>
  <c r="S2102" i="4"/>
  <c r="R2102" i="4"/>
  <c r="T2101" i="4"/>
  <c r="U2101" i="4" s="1"/>
  <c r="S2101" i="4"/>
  <c r="R2101" i="4"/>
  <c r="T2079" i="4"/>
  <c r="U2079" i="4" s="1"/>
  <c r="S2079" i="4"/>
  <c r="R2079" i="4"/>
  <c r="T104" i="5"/>
  <c r="U104" i="5" s="1"/>
  <c r="S104" i="5"/>
  <c r="R104" i="5"/>
  <c r="T103" i="5"/>
  <c r="U103" i="5" s="1"/>
  <c r="S103" i="5"/>
  <c r="R103" i="5"/>
  <c r="T102" i="5"/>
  <c r="U102" i="5" s="1"/>
  <c r="S102" i="5"/>
  <c r="R102" i="5"/>
  <c r="T101" i="5"/>
  <c r="U101" i="5" s="1"/>
  <c r="S101" i="5"/>
  <c r="R101" i="5"/>
  <c r="T95" i="5"/>
  <c r="U95" i="5" s="1"/>
  <c r="S95" i="5"/>
  <c r="R95" i="5"/>
  <c r="T94" i="5"/>
  <c r="U94" i="5" s="1"/>
  <c r="S94" i="5"/>
  <c r="R94" i="5"/>
  <c r="T92" i="5"/>
  <c r="U92" i="5" s="1"/>
  <c r="S92" i="5"/>
  <c r="R92" i="5"/>
  <c r="T91" i="5"/>
  <c r="U91" i="5" s="1"/>
  <c r="S91" i="5"/>
  <c r="R91" i="5"/>
  <c r="T90" i="5"/>
  <c r="U90" i="5" s="1"/>
  <c r="S90" i="5"/>
  <c r="R90" i="5"/>
  <c r="T88" i="5"/>
  <c r="U88" i="5" s="1"/>
  <c r="S88" i="5"/>
  <c r="R88" i="5"/>
  <c r="T87" i="5"/>
  <c r="U87" i="5" s="1"/>
  <c r="S87" i="5"/>
  <c r="R87" i="5"/>
  <c r="T83" i="5"/>
  <c r="U83" i="5" s="1"/>
  <c r="S83" i="5"/>
  <c r="R83" i="5"/>
  <c r="T79" i="5"/>
  <c r="U79" i="5" s="1"/>
  <c r="S79" i="5"/>
  <c r="R79" i="5"/>
  <c r="T68" i="5"/>
  <c r="U68" i="5" s="1"/>
  <c r="S68" i="5"/>
  <c r="R68" i="5"/>
  <c r="T60" i="5"/>
  <c r="U60" i="5" s="1"/>
  <c r="S60" i="5"/>
  <c r="R60" i="5"/>
  <c r="T59" i="5"/>
  <c r="U59" i="5" s="1"/>
  <c r="S59" i="5"/>
  <c r="R59" i="5"/>
  <c r="T57" i="5"/>
  <c r="U57" i="5" s="1"/>
  <c r="S57" i="5"/>
  <c r="R57" i="5"/>
  <c r="T48" i="5"/>
  <c r="U48" i="5" s="1"/>
  <c r="S48" i="5"/>
  <c r="R48" i="5"/>
  <c r="T46" i="5"/>
  <c r="U46" i="5" s="1"/>
  <c r="S46" i="5"/>
  <c r="R46" i="5"/>
  <c r="T43" i="5"/>
  <c r="U43" i="5" s="1"/>
  <c r="S43" i="5"/>
  <c r="R43" i="5"/>
  <c r="T41" i="5"/>
  <c r="U41" i="5" s="1"/>
  <c r="S41" i="5"/>
  <c r="R41" i="5"/>
  <c r="T36" i="5"/>
  <c r="U36" i="5" s="1"/>
  <c r="S36" i="5"/>
  <c r="R36" i="5"/>
  <c r="T34" i="5"/>
  <c r="U34" i="5" s="1"/>
  <c r="S34" i="5"/>
  <c r="R34" i="5"/>
  <c r="T31" i="5"/>
  <c r="U31" i="5" s="1"/>
  <c r="S31" i="5"/>
  <c r="R31" i="5"/>
  <c r="T30" i="5"/>
  <c r="U30" i="5" s="1"/>
  <c r="S30" i="5"/>
  <c r="R30" i="5"/>
  <c r="T29" i="5"/>
  <c r="U29" i="5" s="1"/>
  <c r="S29" i="5"/>
  <c r="R29" i="5"/>
  <c r="T28" i="5"/>
  <c r="U28" i="5" s="1"/>
  <c r="S28" i="5"/>
  <c r="R28" i="5"/>
  <c r="T27" i="5"/>
  <c r="U27" i="5" s="1"/>
  <c r="S27" i="5"/>
  <c r="R27" i="5"/>
  <c r="T26" i="5"/>
  <c r="U26" i="5" s="1"/>
  <c r="S26" i="5"/>
  <c r="R26" i="5"/>
  <c r="Q110" i="5"/>
  <c r="T24" i="5"/>
  <c r="S24" i="5"/>
  <c r="S110" i="5" s="1"/>
  <c r="R24" i="5"/>
  <c r="R110" i="5" s="1"/>
  <c r="T14" i="5"/>
  <c r="U14" i="5" s="1"/>
  <c r="S14" i="5"/>
  <c r="R14" i="5"/>
  <c r="M76" i="3"/>
  <c r="J78" i="3" s="1"/>
  <c r="N69" i="3"/>
  <c r="N76" i="3" s="1"/>
  <c r="T19" i="5"/>
  <c r="U19" i="5" s="1"/>
  <c r="S19" i="5"/>
  <c r="R19" i="5"/>
  <c r="T18" i="5"/>
  <c r="U18" i="5" s="1"/>
  <c r="S18" i="5"/>
  <c r="R18" i="5"/>
  <c r="T16" i="5"/>
  <c r="U16" i="5" s="1"/>
  <c r="S16" i="5"/>
  <c r="R16" i="5"/>
  <c r="T13" i="5"/>
  <c r="U13" i="5" s="1"/>
  <c r="S13" i="5"/>
  <c r="R13" i="5"/>
  <c r="T12" i="5"/>
  <c r="U12" i="5" s="1"/>
  <c r="S12" i="5"/>
  <c r="R12" i="5"/>
  <c r="T10" i="5"/>
  <c r="U10" i="5" s="1"/>
  <c r="S10" i="5"/>
  <c r="R10" i="5"/>
  <c r="T8" i="5"/>
  <c r="U8" i="5" s="1"/>
  <c r="S8" i="5"/>
  <c r="R8" i="5"/>
  <c r="T7" i="5"/>
  <c r="U7" i="5" s="1"/>
  <c r="S7" i="5"/>
  <c r="R7" i="5"/>
  <c r="T6" i="5"/>
  <c r="U6" i="5" s="1"/>
  <c r="S6" i="5"/>
  <c r="R6" i="5"/>
  <c r="Q22" i="5"/>
  <c r="T5" i="5"/>
  <c r="S5" i="5"/>
  <c r="S22" i="5" s="1"/>
  <c r="R5" i="5"/>
  <c r="R22" i="5" s="1"/>
  <c r="T58" i="5"/>
  <c r="U58" i="5" s="1"/>
  <c r="S58" i="5"/>
  <c r="R58" i="5"/>
  <c r="T55" i="5"/>
  <c r="U55" i="5" s="1"/>
  <c r="S55" i="5"/>
  <c r="R55" i="5"/>
  <c r="T38" i="5"/>
  <c r="U38" i="5" s="1"/>
  <c r="S38" i="5"/>
  <c r="R38" i="5"/>
  <c r="T37" i="5"/>
  <c r="U37" i="5" s="1"/>
  <c r="S37" i="5"/>
  <c r="R37" i="5"/>
  <c r="T33" i="5"/>
  <c r="U33" i="5" s="1"/>
  <c r="S33" i="5"/>
  <c r="R33" i="5"/>
  <c r="T32" i="5"/>
  <c r="U32" i="5" s="1"/>
  <c r="S32" i="5"/>
  <c r="R32" i="5"/>
  <c r="T109" i="5"/>
  <c r="U109" i="5" s="1"/>
  <c r="S109" i="5"/>
  <c r="R109" i="5"/>
  <c r="T108" i="5"/>
  <c r="U108" i="5" s="1"/>
  <c r="S108" i="5"/>
  <c r="R108" i="5"/>
  <c r="T105" i="5"/>
  <c r="U105" i="5" s="1"/>
  <c r="S105" i="5"/>
  <c r="R105" i="5"/>
  <c r="T100" i="5"/>
  <c r="U100" i="5" s="1"/>
  <c r="S100" i="5"/>
  <c r="R100" i="5"/>
  <c r="T97" i="5"/>
  <c r="U97" i="5" s="1"/>
  <c r="S97" i="5"/>
  <c r="R97" i="5"/>
  <c r="T86" i="5"/>
  <c r="U86" i="5" s="1"/>
  <c r="S86" i="5"/>
  <c r="R86" i="5"/>
  <c r="T85" i="5"/>
  <c r="U85" i="5" s="1"/>
  <c r="S85" i="5"/>
  <c r="R85" i="5"/>
  <c r="T82" i="5"/>
  <c r="U82" i="5" s="1"/>
  <c r="S82" i="5"/>
  <c r="R82" i="5"/>
  <c r="T81" i="5"/>
  <c r="U81" i="5" s="1"/>
  <c r="S81" i="5"/>
  <c r="R81" i="5"/>
  <c r="T70" i="5"/>
  <c r="U70" i="5" s="1"/>
  <c r="S70" i="5"/>
  <c r="R70" i="5"/>
  <c r="T69" i="5"/>
  <c r="U69" i="5" s="1"/>
  <c r="S69" i="5"/>
  <c r="R69" i="5"/>
  <c r="T65" i="5"/>
  <c r="U65" i="5" s="1"/>
  <c r="S65" i="5"/>
  <c r="R65" i="5"/>
  <c r="T64" i="5"/>
  <c r="U64" i="5" s="1"/>
  <c r="S64" i="5"/>
  <c r="R64" i="5"/>
  <c r="T63" i="5"/>
  <c r="U63" i="5" s="1"/>
  <c r="S63" i="5"/>
  <c r="R63" i="5"/>
  <c r="T62" i="5"/>
  <c r="U62" i="5" s="1"/>
  <c r="S62" i="5"/>
  <c r="R62" i="5"/>
  <c r="T54" i="5"/>
  <c r="U54" i="5" s="1"/>
  <c r="S54" i="5"/>
  <c r="R54" i="5"/>
  <c r="T53" i="5"/>
  <c r="U53" i="5" s="1"/>
  <c r="S53" i="5"/>
  <c r="R53" i="5"/>
  <c r="T52" i="5"/>
  <c r="U52" i="5" s="1"/>
  <c r="S52" i="5"/>
  <c r="R52" i="5"/>
  <c r="T50" i="5"/>
  <c r="U50" i="5" s="1"/>
  <c r="S50" i="5"/>
  <c r="R50" i="5"/>
  <c r="T49" i="5"/>
  <c r="U49" i="5" s="1"/>
  <c r="S49" i="5"/>
  <c r="R49" i="5"/>
  <c r="T44" i="5"/>
  <c r="U44" i="5" s="1"/>
  <c r="S44" i="5"/>
  <c r="R44" i="5"/>
  <c r="T40" i="5"/>
  <c r="U40" i="5" s="1"/>
  <c r="S40" i="5"/>
  <c r="R40" i="5"/>
  <c r="T39" i="5"/>
  <c r="U39" i="5" s="1"/>
  <c r="S39" i="5"/>
  <c r="R39" i="5"/>
  <c r="T25" i="5"/>
  <c r="U25" i="5" s="1"/>
  <c r="S25" i="5"/>
  <c r="R25" i="5"/>
  <c r="T21" i="5"/>
  <c r="U21" i="5" s="1"/>
  <c r="S21" i="5"/>
  <c r="R21" i="5"/>
  <c r="T20" i="5"/>
  <c r="U20" i="5" s="1"/>
  <c r="S20" i="5"/>
  <c r="R20" i="5"/>
  <c r="T77" i="5"/>
  <c r="U77" i="5" s="1"/>
  <c r="S77" i="5"/>
  <c r="R77" i="5"/>
  <c r="T76" i="5"/>
  <c r="U76" i="5" s="1"/>
  <c r="S76" i="5"/>
  <c r="R76" i="5"/>
  <c r="T75" i="5"/>
  <c r="U75" i="5" s="1"/>
  <c r="S75" i="5"/>
  <c r="R75" i="5"/>
  <c r="T74" i="5"/>
  <c r="U74" i="5" s="1"/>
  <c r="S74" i="5"/>
  <c r="R74" i="5"/>
  <c r="T73" i="5"/>
  <c r="U73" i="5" s="1"/>
  <c r="S73" i="5"/>
  <c r="R73" i="5"/>
  <c r="T72" i="5"/>
  <c r="U72" i="5" s="1"/>
  <c r="S72" i="5"/>
  <c r="R72" i="5"/>
  <c r="T107" i="5"/>
  <c r="U107" i="5" s="1"/>
  <c r="S107" i="5"/>
  <c r="R107" i="5"/>
  <c r="T106" i="5"/>
  <c r="U106" i="5" s="1"/>
  <c r="S106" i="5"/>
  <c r="R106" i="5"/>
  <c r="T99" i="5"/>
  <c r="U99" i="5" s="1"/>
  <c r="S99" i="5"/>
  <c r="R99" i="5"/>
  <c r="T98" i="5"/>
  <c r="U98" i="5" s="1"/>
  <c r="S98" i="5"/>
  <c r="R98" i="5"/>
  <c r="T96" i="5"/>
  <c r="U96" i="5" s="1"/>
  <c r="S96" i="5"/>
  <c r="R96" i="5"/>
  <c r="T93" i="5"/>
  <c r="U93" i="5" s="1"/>
  <c r="S93" i="5"/>
  <c r="R93" i="5"/>
  <c r="T89" i="5"/>
  <c r="U89" i="5" s="1"/>
  <c r="S89" i="5"/>
  <c r="R89" i="5"/>
  <c r="T84" i="5"/>
  <c r="U84" i="5" s="1"/>
  <c r="S84" i="5"/>
  <c r="R84" i="5"/>
  <c r="T80" i="5"/>
  <c r="U80" i="5" s="1"/>
  <c r="S80" i="5"/>
  <c r="R80" i="5"/>
  <c r="T78" i="5"/>
  <c r="U78" i="5" s="1"/>
  <c r="S78" i="5"/>
  <c r="R78" i="5"/>
  <c r="T71" i="5"/>
  <c r="U71" i="5" s="1"/>
  <c r="S71" i="5"/>
  <c r="R71" i="5"/>
  <c r="T67" i="5"/>
  <c r="U67" i="5" s="1"/>
  <c r="S67" i="5"/>
  <c r="R67" i="5"/>
  <c r="T66" i="5"/>
  <c r="U66" i="5" s="1"/>
  <c r="S66" i="5"/>
  <c r="R66" i="5"/>
  <c r="T61" i="5"/>
  <c r="U61" i="5" s="1"/>
  <c r="S61" i="5"/>
  <c r="R61" i="5"/>
  <c r="T56" i="5"/>
  <c r="U56" i="5" s="1"/>
  <c r="S56" i="5"/>
  <c r="R56" i="5"/>
  <c r="T51" i="5"/>
  <c r="U51" i="5" s="1"/>
  <c r="S51" i="5"/>
  <c r="R51" i="5"/>
  <c r="T47" i="5"/>
  <c r="U47" i="5" s="1"/>
  <c r="S47" i="5"/>
  <c r="R47" i="5"/>
  <c r="T45" i="5"/>
  <c r="U45" i="5" s="1"/>
  <c r="S45" i="5"/>
  <c r="R45" i="5"/>
  <c r="T42" i="5"/>
  <c r="U42" i="5" s="1"/>
  <c r="S42" i="5"/>
  <c r="R42" i="5"/>
  <c r="T35" i="5"/>
  <c r="U35" i="5" s="1"/>
  <c r="S35" i="5"/>
  <c r="R35" i="5"/>
  <c r="T17" i="5"/>
  <c r="U17" i="5" s="1"/>
  <c r="S17" i="5"/>
  <c r="R17" i="5"/>
  <c r="T15" i="5"/>
  <c r="U15" i="5" s="1"/>
  <c r="S15" i="5"/>
  <c r="R15" i="5"/>
  <c r="T11" i="5"/>
  <c r="U11" i="5" s="1"/>
  <c r="S11" i="5"/>
  <c r="R11" i="5"/>
  <c r="T9" i="5"/>
  <c r="U9" i="5" s="1"/>
  <c r="S9" i="5"/>
  <c r="R9" i="5"/>
  <c r="T438" i="4"/>
  <c r="P438" i="4" s="1"/>
  <c r="U290" i="4"/>
  <c r="U438" i="4" s="1"/>
  <c r="T2027" i="4"/>
  <c r="P2027" i="4" s="1"/>
  <c r="U1722" i="4"/>
  <c r="U2027" i="4" s="1"/>
  <c r="E5" i="14"/>
  <c r="F5" i="14" s="1"/>
  <c r="J195" i="8"/>
  <c r="T22" i="5" l="1"/>
  <c r="P22" i="5" s="1"/>
  <c r="U5" i="5"/>
  <c r="U22" i="5" s="1"/>
  <c r="F29" i="7"/>
  <c r="M29" i="7" s="1"/>
  <c r="F28" i="7"/>
  <c r="M28" i="7" s="1"/>
  <c r="F27" i="7"/>
  <c r="M27" i="7" s="1"/>
  <c r="T110" i="5"/>
  <c r="P110" i="5" s="1"/>
  <c r="U24" i="5"/>
  <c r="U110" i="5" s="1"/>
  <c r="T668" i="4"/>
  <c r="P668" i="4" s="1"/>
  <c r="U440" i="4"/>
  <c r="U668" i="4" s="1"/>
  <c r="T1620" i="4"/>
  <c r="P1620" i="4" s="1"/>
  <c r="U1573" i="4"/>
  <c r="U1620" i="4" s="1"/>
  <c r="T965" i="4"/>
  <c r="P965" i="4" s="1"/>
  <c r="U837" i="4"/>
  <c r="U965" i="4" s="1"/>
  <c r="T1126" i="4"/>
  <c r="P1126" i="4" s="1"/>
  <c r="U1018" i="4"/>
  <c r="U1126" i="4" s="1"/>
  <c r="T116" i="4"/>
  <c r="P116" i="4" s="1"/>
  <c r="U5" i="4"/>
  <c r="U116" i="4" s="1"/>
  <c r="T2298" i="4"/>
  <c r="P2298" i="4" s="1"/>
  <c r="U2029" i="4"/>
  <c r="U2298" i="4" s="1"/>
  <c r="T835" i="4"/>
  <c r="P835" i="4" s="1"/>
  <c r="U670" i="4"/>
  <c r="U835" i="4" s="1"/>
  <c r="T1016" i="4"/>
  <c r="P1016" i="4" s="1"/>
  <c r="U967" i="4"/>
  <c r="U1016" i="4" s="1"/>
  <c r="T1309" i="4"/>
  <c r="P1309" i="4" s="1"/>
  <c r="U1181" i="4"/>
  <c r="U1309" i="4" s="1"/>
  <c r="T1341" i="4"/>
  <c r="P1341" i="4" s="1"/>
  <c r="U1311" i="4"/>
  <c r="U1341" i="4" s="1"/>
  <c r="T1571" i="4"/>
  <c r="P1571" i="4" s="1"/>
  <c r="U1514" i="4"/>
  <c r="U1571" i="4" s="1"/>
  <c r="T1179" i="4"/>
  <c r="P1179" i="4" s="1"/>
  <c r="U1128" i="4"/>
  <c r="U1179" i="4" s="1"/>
  <c r="T1512" i="4"/>
  <c r="P1512" i="4" s="1"/>
  <c r="U1343" i="4"/>
  <c r="U1512" i="4" s="1"/>
  <c r="T1720" i="4"/>
  <c r="P1720" i="4" s="1"/>
  <c r="U1622" i="4"/>
  <c r="U1720" i="4" s="1"/>
  <c r="N81" i="3"/>
  <c r="M81" i="3"/>
  <c r="J65" i="3"/>
  <c r="T288" i="4"/>
  <c r="P288" i="4" s="1"/>
  <c r="U118" i="4"/>
  <c r="U288" i="4" s="1"/>
  <c r="E6" i="14"/>
  <c r="F6" i="14" s="1"/>
  <c r="L10" i="10"/>
  <c r="E7" i="14"/>
  <c r="F7" i="14" s="1"/>
  <c r="L47" i="12"/>
  <c r="F22" i="7" l="1"/>
  <c r="M22" i="7" s="1"/>
  <c r="F21" i="7"/>
  <c r="M21" i="7" s="1"/>
  <c r="F20" i="7"/>
  <c r="M20" i="7" s="1"/>
  <c r="F19" i="7"/>
  <c r="M19" i="7" s="1"/>
  <c r="F18" i="7"/>
  <c r="M18" i="7" s="1"/>
  <c r="F17" i="7"/>
  <c r="M17" i="7" s="1"/>
  <c r="F16" i="7"/>
  <c r="M16" i="7" s="1"/>
  <c r="F15" i="7"/>
  <c r="M15" i="7" s="1"/>
  <c r="F14" i="7"/>
  <c r="M14" i="7" s="1"/>
  <c r="F13" i="7"/>
  <c r="M13" i="7" s="1"/>
  <c r="F12" i="7"/>
  <c r="M12" i="7" s="1"/>
  <c r="F11" i="7"/>
  <c r="M11" i="7" s="1"/>
  <c r="F10" i="7"/>
  <c r="M10" i="7" s="1"/>
  <c r="F9" i="7"/>
  <c r="M9" i="7" s="1"/>
  <c r="F8" i="7"/>
  <c r="M8" i="7" s="1"/>
  <c r="F7" i="7"/>
  <c r="M7" i="7" s="1"/>
  <c r="F6" i="7"/>
  <c r="M6" i="7" s="1"/>
  <c r="L29" i="7"/>
  <c r="N29" i="7"/>
  <c r="Q29" i="7"/>
  <c r="R29" i="7"/>
  <c r="H29" i="7"/>
  <c r="J29" i="7"/>
  <c r="O29" i="7"/>
  <c r="G29" i="7"/>
  <c r="K29" i="7"/>
  <c r="P29" i="7"/>
  <c r="L28" i="7"/>
  <c r="N28" i="7"/>
  <c r="Q28" i="7"/>
  <c r="R28" i="7"/>
  <c r="H28" i="7"/>
  <c r="J28" i="7"/>
  <c r="O28" i="7"/>
  <c r="G28" i="7"/>
  <c r="K28" i="7"/>
  <c r="P28" i="7"/>
  <c r="L27" i="7"/>
  <c r="N27" i="7"/>
  <c r="Q27" i="7"/>
  <c r="R27" i="7"/>
  <c r="R30" i="7"/>
  <c r="Q30" i="7"/>
  <c r="H27" i="7"/>
  <c r="J27" i="7"/>
  <c r="O27" i="7"/>
  <c r="O30" i="7"/>
  <c r="G27" i="7"/>
  <c r="K27" i="7"/>
  <c r="P27" i="7"/>
  <c r="P30" i="7"/>
  <c r="L22" i="7"/>
  <c r="N22" i="7"/>
  <c r="Q22" i="7"/>
  <c r="R22" i="7"/>
  <c r="G20" i="9"/>
  <c r="J20" i="9"/>
  <c r="K20" i="9"/>
  <c r="L20" i="9"/>
  <c r="H22" i="7"/>
  <c r="J22" i="7"/>
  <c r="O22" i="7"/>
  <c r="E20" i="9"/>
  <c r="G22" i="7"/>
  <c r="K22" i="7"/>
  <c r="P22" i="7"/>
  <c r="F20" i="9"/>
  <c r="L21" i="7"/>
  <c r="N21" i="7"/>
  <c r="Q21" i="7"/>
  <c r="R21" i="7"/>
  <c r="G19" i="9"/>
  <c r="J19" i="9"/>
  <c r="K19" i="9"/>
  <c r="L19" i="9"/>
  <c r="H21" i="7"/>
  <c r="J21" i="7"/>
  <c r="O21" i="7"/>
  <c r="E19" i="9"/>
  <c r="G21" i="7"/>
  <c r="K21" i="7"/>
  <c r="P21" i="7"/>
  <c r="F19" i="9"/>
  <c r="L20" i="7"/>
  <c r="N20" i="7"/>
  <c r="Q20" i="7"/>
  <c r="R20" i="7"/>
  <c r="G18" i="9"/>
  <c r="J18" i="9"/>
  <c r="K18" i="9"/>
  <c r="L18" i="9"/>
  <c r="H20" i="7"/>
  <c r="J20" i="7"/>
  <c r="O20" i="7"/>
  <c r="E18" i="9"/>
  <c r="G20" i="7"/>
  <c r="K20" i="7"/>
  <c r="P20" i="7"/>
  <c r="F18" i="9"/>
  <c r="L19" i="7"/>
  <c r="N19" i="7"/>
  <c r="Q19" i="7"/>
  <c r="R19" i="7"/>
  <c r="G17" i="9"/>
  <c r="J17" i="9"/>
  <c r="K17" i="9"/>
  <c r="L17" i="9"/>
  <c r="H19" i="7"/>
  <c r="J19" i="7"/>
  <c r="O19" i="7"/>
  <c r="E17" i="9"/>
  <c r="G19" i="7"/>
  <c r="K19" i="7"/>
  <c r="P19" i="7"/>
  <c r="F17" i="9"/>
  <c r="L18" i="7"/>
  <c r="N18" i="7"/>
  <c r="Q18" i="7"/>
  <c r="R18" i="7"/>
  <c r="G16" i="9"/>
  <c r="J16" i="9"/>
  <c r="K16" i="9"/>
  <c r="L16" i="9"/>
  <c r="H18" i="7"/>
  <c r="J18" i="7"/>
  <c r="O18" i="7"/>
  <c r="E16" i="9"/>
  <c r="G18" i="7"/>
  <c r="K18" i="7"/>
  <c r="P18" i="7"/>
  <c r="F16" i="9"/>
  <c r="L17" i="7"/>
  <c r="N17" i="7"/>
  <c r="Q17" i="7"/>
  <c r="R17" i="7"/>
  <c r="G15" i="9"/>
  <c r="J15" i="9"/>
  <c r="K15" i="9"/>
  <c r="L15" i="9"/>
  <c r="H17" i="7"/>
  <c r="J17" i="7"/>
  <c r="O17" i="7"/>
  <c r="E15" i="9"/>
  <c r="G17" i="7"/>
  <c r="K17" i="7"/>
  <c r="P17" i="7"/>
  <c r="F15" i="9"/>
  <c r="L16" i="7"/>
  <c r="N16" i="7"/>
  <c r="Q16" i="7"/>
  <c r="R16" i="7"/>
  <c r="G14" i="9"/>
  <c r="J14" i="9"/>
  <c r="K14" i="9"/>
  <c r="L14" i="9"/>
  <c r="H16" i="7"/>
  <c r="J16" i="7"/>
  <c r="O16" i="7"/>
  <c r="E14" i="9"/>
  <c r="G16" i="7"/>
  <c r="K16" i="7"/>
  <c r="P16" i="7"/>
  <c r="F14" i="9"/>
  <c r="L15" i="7"/>
  <c r="N15" i="7"/>
  <c r="Q15" i="7"/>
  <c r="R15" i="7"/>
  <c r="G13" i="9"/>
  <c r="J13" i="9"/>
  <c r="K13" i="9"/>
  <c r="L13" i="9"/>
  <c r="H15" i="7"/>
  <c r="J15" i="7"/>
  <c r="O15" i="7"/>
  <c r="E13" i="9"/>
  <c r="G15" i="7"/>
  <c r="K15" i="7"/>
  <c r="P15" i="7"/>
  <c r="F13" i="9"/>
  <c r="L14" i="7"/>
  <c r="N14" i="7"/>
  <c r="Q14" i="7"/>
  <c r="R14" i="7"/>
  <c r="G12" i="9"/>
  <c r="J12" i="9"/>
  <c r="K12" i="9"/>
  <c r="L12" i="9"/>
  <c r="H14" i="7"/>
  <c r="J14" i="7"/>
  <c r="O14" i="7"/>
  <c r="E12" i="9"/>
  <c r="G14" i="7"/>
  <c r="K14" i="7"/>
  <c r="P14" i="7"/>
  <c r="F12" i="9"/>
  <c r="L13" i="7"/>
  <c r="N13" i="7"/>
  <c r="Q13" i="7"/>
  <c r="R13" i="7"/>
  <c r="G11" i="9"/>
  <c r="J11" i="9"/>
  <c r="K11" i="9"/>
  <c r="L11" i="9"/>
  <c r="H13" i="7"/>
  <c r="J13" i="7"/>
  <c r="O13" i="7"/>
  <c r="E11" i="9"/>
  <c r="G13" i="7"/>
  <c r="K13" i="7"/>
  <c r="P13" i="7"/>
  <c r="F11" i="9"/>
  <c r="L12" i="7"/>
  <c r="N12" i="7"/>
  <c r="Q12" i="7"/>
  <c r="R12" i="7"/>
  <c r="G10" i="9"/>
  <c r="J10" i="9"/>
  <c r="K10" i="9"/>
  <c r="L10" i="9"/>
  <c r="H12" i="7"/>
  <c r="J12" i="7"/>
  <c r="O12" i="7"/>
  <c r="E10" i="9"/>
  <c r="G12" i="7"/>
  <c r="K12" i="7"/>
  <c r="P12" i="7"/>
  <c r="F10" i="9"/>
  <c r="L11" i="7"/>
  <c r="N11" i="7"/>
  <c r="Q11" i="7"/>
  <c r="R11" i="7"/>
  <c r="G9" i="9"/>
  <c r="J9" i="9"/>
  <c r="K9" i="9"/>
  <c r="L9" i="9"/>
  <c r="H11" i="7"/>
  <c r="J11" i="7"/>
  <c r="O11" i="7"/>
  <c r="E9" i="9"/>
  <c r="G11" i="7"/>
  <c r="K11" i="7"/>
  <c r="P11" i="7"/>
  <c r="F9" i="9"/>
  <c r="L10" i="7"/>
  <c r="N10" i="7"/>
  <c r="Q10" i="7"/>
  <c r="R10" i="7"/>
  <c r="G8" i="9"/>
  <c r="J8" i="9"/>
  <c r="K8" i="9"/>
  <c r="L8" i="9"/>
  <c r="H10" i="7"/>
  <c r="J10" i="7"/>
  <c r="O10" i="7"/>
  <c r="E8" i="9"/>
  <c r="G10" i="7"/>
  <c r="K10" i="7"/>
  <c r="P10" i="7"/>
  <c r="F8" i="9"/>
  <c r="L9" i="7"/>
  <c r="N9" i="7"/>
  <c r="Q9" i="7"/>
  <c r="R9" i="7"/>
  <c r="G7" i="9"/>
  <c r="J7" i="9"/>
  <c r="K7" i="9"/>
  <c r="L7" i="9"/>
  <c r="H9" i="7"/>
  <c r="J9" i="7"/>
  <c r="O9" i="7"/>
  <c r="E7" i="9"/>
  <c r="G9" i="7"/>
  <c r="K9" i="7"/>
  <c r="P9" i="7"/>
  <c r="F7" i="9"/>
  <c r="L8" i="7"/>
  <c r="N8" i="7"/>
  <c r="Q8" i="7"/>
  <c r="R8" i="7"/>
  <c r="G6" i="9"/>
  <c r="J6" i="9"/>
  <c r="K6" i="9"/>
  <c r="L6" i="9"/>
  <c r="H8" i="7"/>
  <c r="J8" i="7"/>
  <c r="O8" i="7"/>
  <c r="E6" i="9"/>
  <c r="G8" i="7"/>
  <c r="K8" i="7"/>
  <c r="P8" i="7"/>
  <c r="F6" i="9"/>
  <c r="L7" i="7"/>
  <c r="N7" i="7"/>
  <c r="Q7" i="7"/>
  <c r="R7" i="7"/>
  <c r="G5" i="9"/>
  <c r="J5" i="9"/>
  <c r="K5" i="9"/>
  <c r="L5" i="9"/>
  <c r="H7" i="7"/>
  <c r="J7" i="7"/>
  <c r="O7" i="7"/>
  <c r="E5" i="9"/>
  <c r="G7" i="7"/>
  <c r="K7" i="7"/>
  <c r="P7" i="7"/>
  <c r="F5" i="9"/>
  <c r="L6" i="7"/>
  <c r="N6" i="7"/>
  <c r="Q6" i="7"/>
  <c r="R6" i="7"/>
  <c r="R23" i="7"/>
  <c r="R33" i="7"/>
  <c r="R35" i="7"/>
  <c r="Q23" i="7"/>
  <c r="Q33" i="7"/>
  <c r="Q35" i="7"/>
  <c r="G4" i="9"/>
  <c r="J4" i="9"/>
  <c r="K4" i="9"/>
  <c r="L4" i="9"/>
  <c r="L22" i="9"/>
  <c r="K22" i="9"/>
  <c r="J22" i="9"/>
  <c r="G22" i="9"/>
  <c r="E4" i="14"/>
  <c r="F4" i="14"/>
  <c r="E9" i="14"/>
  <c r="F9" i="14"/>
  <c r="H6" i="7"/>
  <c r="J6" i="7"/>
  <c r="O6" i="7"/>
  <c r="O23" i="7"/>
  <c r="O33" i="7"/>
  <c r="E4" i="9"/>
  <c r="E22" i="9"/>
  <c r="C4" i="14"/>
  <c r="C9" i="14"/>
  <c r="G6" i="7"/>
  <c r="K6" i="7"/>
  <c r="P6" i="7"/>
  <c r="P23" i="7"/>
  <c r="P33" i="7"/>
  <c r="F4" i="9"/>
  <c r="F22" i="9"/>
  <c r="B4" i="14"/>
  <c r="B9" i="14"/>
  <c r="B11" i="14"/>
</calcChain>
</file>

<file path=xl/sharedStrings.xml><?xml version="1.0" encoding="utf-8"?>
<sst xmlns="http://schemas.openxmlformats.org/spreadsheetml/2006/main" count="28161" uniqueCount="3143">
  <si>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</si>
  <si>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</si>
  <si>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</si>
  <si>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</si>
  <si>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</si>
  <si>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</si>
  <si>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</si>
  <si>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</si>
  <si>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</si>
  <si>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</si>
  <si>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200J</t>
  </si>
  <si>
    <t>4W</t>
  </si>
  <si>
    <t>3W</t>
  </si>
  <si>
    <t>2W</t>
  </si>
  <si>
    <t>80J</t>
  </si>
  <si>
    <t>1W</t>
  </si>
  <si>
    <t>40J</t>
  </si>
  <si>
    <t>26J</t>
  </si>
  <si>
    <t>12J</t>
  </si>
  <si>
    <t>10J</t>
  </si>
  <si>
    <t>6J</t>
  </si>
  <si>
    <t>5J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</si>
  <si>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</si>
  <si>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</si>
  <si>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</si>
  <si>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</si>
  <si>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</si>
  <si>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</si>
  <si>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</si>
  <si>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</si>
  <si>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</si>
  <si>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</si>
  <si>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</si>
  <si>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</si>
  <si>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</si>
  <si>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</si>
  <si>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</si>
  <si>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Kantoor-/personeels-/vergaderruimte - harde vloeren (basis)</t>
  </si>
  <si>
    <t>m²/uur</t>
  </si>
  <si>
    <t>BHV</t>
  </si>
  <si>
    <t>Kantoor-/personeels-/vergaderruimte - harde vloeren (volledig)</t>
  </si>
  <si>
    <t>BZB</t>
  </si>
  <si>
    <t>Kantoor-/personeels-/vergaderruimte - zachte vloeren (basis)</t>
  </si>
  <si>
    <t>BZV</t>
  </si>
  <si>
    <t>Kantoor-/personeels-/vergaderruimte - zachte vloeren (volledig)</t>
  </si>
  <si>
    <t>CHB</t>
  </si>
  <si>
    <t>Computerlokaal - harde vloeren (basis)</t>
  </si>
  <si>
    <t>CHV</t>
  </si>
  <si>
    <t>Computerlokaal - harde vloeren (volledig)</t>
  </si>
  <si>
    <t>CZB</t>
  </si>
  <si>
    <t>Computerlokaal - zachte vloeren (basis)</t>
  </si>
  <si>
    <t>CZV</t>
  </si>
  <si>
    <t>Computerlokaal - zachte vloeren (volledig)</t>
  </si>
  <si>
    <t>LHB</t>
  </si>
  <si>
    <t>Leslokalen/studieruimte - harde vloeren (basis)</t>
  </si>
  <si>
    <t>LHV</t>
  </si>
  <si>
    <t>Leslokalen/studieruimte - harde vloeren (volledig)</t>
  </si>
  <si>
    <t>LZB</t>
  </si>
  <si>
    <t>Leslokalen/studieruimte - zachte vloeren (basis)</t>
  </si>
  <si>
    <t>LZV</t>
  </si>
  <si>
    <t>Leslokalen/studieruimte - zachte vloeren (volledig)</t>
  </si>
  <si>
    <t>MHB</t>
  </si>
  <si>
    <t>Mediatheek/bibliotheek - harde vloeren (basis)</t>
  </si>
  <si>
    <t>MHV</t>
  </si>
  <si>
    <t>Mediatheek/bibliotheek - harde vloeren (volledig)</t>
  </si>
  <si>
    <t>MZB</t>
  </si>
  <si>
    <t>Mediatheek/bibliotheek - zachte vloeren (basis)</t>
  </si>
  <si>
    <t>MZV</t>
  </si>
  <si>
    <t>Mediatheek/bibliotheek - zachte vloeren (volledig)</t>
  </si>
  <si>
    <t>OLHB</t>
  </si>
  <si>
    <t>Open studieruimte - harde vloeren (basis)</t>
  </si>
  <si>
    <t>OLHV</t>
  </si>
  <si>
    <t>Open studieruimte - harde vloeren (volledig)</t>
  </si>
  <si>
    <t>STHB</t>
  </si>
  <si>
    <t>Zelfstudie ruimte - harde vloeren (basis)</t>
  </si>
  <si>
    <t>STHV</t>
  </si>
  <si>
    <t>Zelfstudie ruimte - harde vloeren (volledig)</t>
  </si>
  <si>
    <t>STZB</t>
  </si>
  <si>
    <t>Zelfstudie ruimte - zachte vloeren (basis)</t>
  </si>
  <si>
    <t>STZV</t>
  </si>
  <si>
    <t>Zelfstudie ruimte - zachte vloeren (volledig)</t>
  </si>
  <si>
    <t>WPHB</t>
  </si>
  <si>
    <t>Werkplaats - harde vloeren (basis)</t>
  </si>
  <si>
    <t>WPHV</t>
  </si>
  <si>
    <t>Werkplaats - harde vloeren (volledig)</t>
  </si>
  <si>
    <t>PMHB</t>
  </si>
  <si>
    <t xml:space="preserve">PM   </t>
  </si>
  <si>
    <t>Praktijklokaal minimaal - harde vloeren (basis)</t>
  </si>
  <si>
    <t>PMHV</t>
  </si>
  <si>
    <t>Praktijklokaal minimaal - harde vloeren (volledig)</t>
  </si>
  <si>
    <t>PMZB</t>
  </si>
  <si>
    <t>Praktijklokaal minimaal - zachte vloeren (basis)</t>
  </si>
  <si>
    <t>PMZV</t>
  </si>
  <si>
    <t>Praktijklokaal minimaal - zachte vloeren (volledig)</t>
  </si>
  <si>
    <t>PSHB</t>
  </si>
  <si>
    <t xml:space="preserve">PS   </t>
  </si>
  <si>
    <t>Praktijklokaal specialistisch - harde vloeren (basis)</t>
  </si>
  <si>
    <t>PSHV</t>
  </si>
  <si>
    <t>Praktijklokaal specialistisch - harde vloeren (volledig)</t>
  </si>
  <si>
    <t>PTHB</t>
  </si>
  <si>
    <t xml:space="preserve">PT   </t>
  </si>
  <si>
    <t>Praktijklokaal techniek - harde vloeren (basis)</t>
  </si>
  <si>
    <t>PTHV</t>
  </si>
  <si>
    <t>Praktijklokaal techniek - harde vloeren (volledig)</t>
  </si>
  <si>
    <t>PUHB</t>
  </si>
  <si>
    <t xml:space="preserve">PU   </t>
  </si>
  <si>
    <t>Praktijklokaal uitgebreid - harde vloeren (basis)</t>
  </si>
  <si>
    <t>PUHV</t>
  </si>
  <si>
    <t>Praktijklokaal uitgebreid - harde vloeren (volledig)</t>
  </si>
  <si>
    <t>DHB</t>
  </si>
  <si>
    <t xml:space="preserve">S    </t>
  </si>
  <si>
    <t>Douche/wasruimte - harde vloeren (basis)</t>
  </si>
  <si>
    <t>DHV</t>
  </si>
  <si>
    <t>Douche/wasruimte - harde vloeren (volledig)</t>
  </si>
  <si>
    <t>KHB</t>
  </si>
  <si>
    <t>Kleedruimte - harde vloeren (basis)</t>
  </si>
  <si>
    <t>KHV</t>
  </si>
  <si>
    <t>Kleedruimte - harde vloeren (volledig)</t>
  </si>
  <si>
    <t>SHB</t>
  </si>
  <si>
    <t>Sanitaire ruimte/toiletgroep - harde vloeren (basis)</t>
  </si>
  <si>
    <t>SHV</t>
  </si>
  <si>
    <t>Sanitaire ruimte/toiletgroep - harde vloeren (volledig)</t>
  </si>
  <si>
    <t>AHB</t>
  </si>
  <si>
    <t xml:space="preserve">V    </t>
  </si>
  <si>
    <t>Aula/pauzeruimte - harde vloeren (basis)</t>
  </si>
  <si>
    <t>AHV</t>
  </si>
  <si>
    <t>Aula/pauzeruimte - harde vloeren (volledig)</t>
  </si>
  <si>
    <t>AZB</t>
  </si>
  <si>
    <t>Aula/pauzeruimte - zachte vloeren (basis)</t>
  </si>
  <si>
    <t>AZV</t>
  </si>
  <si>
    <t>Aula/pauzeruimte - zachte vloeren (volledig)</t>
  </si>
  <si>
    <t>EHB</t>
  </si>
  <si>
    <t>Entree - harde vloeren (basis)</t>
  </si>
  <si>
    <t>EHV</t>
  </si>
  <si>
    <t>Entree - harde vloeren (volledig)</t>
  </si>
  <si>
    <t>EZB</t>
  </si>
  <si>
    <t>Entree - zachte vloeren (basis)</t>
  </si>
  <si>
    <t>EZV</t>
  </si>
  <si>
    <t>Entree - zachte vloeren (volledig)</t>
  </si>
  <si>
    <t>GHB</t>
  </si>
  <si>
    <t>Gym-/speelzaal/multifunc ruimte - harde vloeren (basis)</t>
  </si>
  <si>
    <t>GHV</t>
  </si>
  <si>
    <t>Gym-/speelzaal/multifunc ruimte - harde vloeren (volledig)</t>
  </si>
  <si>
    <t>GZB</t>
  </si>
  <si>
    <t>Gym-/speelzaal/multifunc ruimte - zachte vloeren (basis)</t>
  </si>
  <si>
    <t>GZV</t>
  </si>
  <si>
    <t>Gym-/speelzaal/multifunc ruimte - zachte vloeren (volledig)</t>
  </si>
  <si>
    <t>IHB</t>
  </si>
  <si>
    <t>Lift - harde vloeren (basis)</t>
  </si>
  <si>
    <t>IHV</t>
  </si>
  <si>
    <t>Lift - harde vloeren (volledig)</t>
  </si>
  <si>
    <t>IZB</t>
  </si>
  <si>
    <t>Lift - zachte vloeren (basis)</t>
  </si>
  <si>
    <t>IZV</t>
  </si>
  <si>
    <t>Lift - zachte vloeren (volledig)</t>
  </si>
  <si>
    <t>OHB</t>
  </si>
  <si>
    <t>Archief/bergruimte/magazijn - harde vloeren (basis)</t>
  </si>
  <si>
    <t>OHV</t>
  </si>
  <si>
    <t>Archief/bergruimte/magazijn - harde vloeren (volledig)</t>
  </si>
  <si>
    <t>PHB</t>
  </si>
  <si>
    <t>Pantry/keuken - harde vloeren (basis)</t>
  </si>
  <si>
    <t>PHV</t>
  </si>
  <si>
    <t>Pantry/keuken - harde vloeren (volledig)</t>
  </si>
  <si>
    <t>PZB</t>
  </si>
  <si>
    <t>Pantry/keuken - zachte vloeren (basis)</t>
  </si>
  <si>
    <t>PZV</t>
  </si>
  <si>
    <t>Pantry/keuken - zachte vloeren (volledig)</t>
  </si>
  <si>
    <t>THB</t>
  </si>
  <si>
    <t>Trap - harde vloeren (basis)</t>
  </si>
  <si>
    <t>THV</t>
  </si>
  <si>
    <t>Trap - harde vloeren (volledig)</t>
  </si>
  <si>
    <t>TZB</t>
  </si>
  <si>
    <t>Trap - zachte vloeren (basis)</t>
  </si>
  <si>
    <t>TZV</t>
  </si>
  <si>
    <t>Trap - zachte vloeren (volledig)</t>
  </si>
  <si>
    <t>VHB</t>
  </si>
  <si>
    <t>Verkeersruimte/garderobe/reprografie - harde vloeren (basis)</t>
  </si>
  <si>
    <t>VHV</t>
  </si>
  <si>
    <t>Verkeersruimte/garderobe/reprografie - harde vloeren (volledig)</t>
  </si>
  <si>
    <t>VZB</t>
  </si>
  <si>
    <t>Verkeersruimte/garderobe/reprografie - zachte vloeren (basis)</t>
  </si>
  <si>
    <t>VZV</t>
  </si>
  <si>
    <t>Verkeersruimte/garderobe/reprografie - zachte vloeren (volledig)</t>
  </si>
  <si>
    <t xml:space="preserve">WERKDAG VAKANTIE    </t>
  </si>
  <si>
    <t>VBHB</t>
  </si>
  <si>
    <t>VBZB</t>
  </si>
  <si>
    <t>VSHB</t>
  </si>
  <si>
    <t>VEHB</t>
  </si>
  <si>
    <t>VTHB</t>
  </si>
  <si>
    <t>Trappenhuis - harde vloeren (basis)</t>
  </si>
  <si>
    <t>VVHB</t>
  </si>
  <si>
    <t>VVZB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</si>
  <si>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</si>
  <si>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</si>
  <si>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</si>
  <si>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</si>
  <si>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</si>
  <si>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</si>
  <si>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</si>
  <si>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</si>
  <si>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</si>
  <si>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</si>
  <si>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- harde vloeren</t>
  </si>
  <si>
    <t>AZ</t>
  </si>
  <si>
    <t>Aula/pauzeruimte - zachte vloeren</t>
  </si>
  <si>
    <t>BH</t>
  </si>
  <si>
    <t>Kantoor/personeels-/vergaderrruimte - harde vloeren</t>
  </si>
  <si>
    <t>BZ</t>
  </si>
  <si>
    <t>Kantoor/personeels-/vergaderrruimte - zachte vloeren</t>
  </si>
  <si>
    <t>CH</t>
  </si>
  <si>
    <t>Computerlokaal - harde vloeren</t>
  </si>
  <si>
    <t>CZ</t>
  </si>
  <si>
    <t>Computerlokaal - zachte vloeren</t>
  </si>
  <si>
    <t>DH</t>
  </si>
  <si>
    <t>Douche/wasruimte - harde vloeren</t>
  </si>
  <si>
    <t>EH</t>
  </si>
  <si>
    <t>Entree - harde vloeren</t>
  </si>
  <si>
    <t>EZ</t>
  </si>
  <si>
    <t>Entree - zachte vloeren</t>
  </si>
  <si>
    <t>GH</t>
  </si>
  <si>
    <t>Gymzaal/sportruimte/toestelberging - harde vloeren</t>
  </si>
  <si>
    <t>GZ</t>
  </si>
  <si>
    <t>Gymzaal/sportruimte/toestelberging - zachte vloeren</t>
  </si>
  <si>
    <t>IH</t>
  </si>
  <si>
    <t>Lift - harde vloeren</t>
  </si>
  <si>
    <t>IZ</t>
  </si>
  <si>
    <t>Lift - zachte vloeren</t>
  </si>
  <si>
    <t>KLH</t>
  </si>
  <si>
    <t>Kleedruimte - harde vloeren</t>
  </si>
  <si>
    <t>LH</t>
  </si>
  <si>
    <t>Leslokaal/studieruimte - harde vloeren</t>
  </si>
  <si>
    <t>LZ</t>
  </si>
  <si>
    <t>Leslokaal/studieruimte - zachte vloeren</t>
  </si>
  <si>
    <t>MH</t>
  </si>
  <si>
    <t>Mediatheek - harde vloeren</t>
  </si>
  <si>
    <t>MZ</t>
  </si>
  <si>
    <t>Mediatheek - zachte vloeren</t>
  </si>
  <si>
    <t>OH</t>
  </si>
  <si>
    <t>Archief/magazijn/opslag - harde vloeren</t>
  </si>
  <si>
    <t>OLH</t>
  </si>
  <si>
    <t>Open lesruimte - harde vloeren</t>
  </si>
  <si>
    <t>PH</t>
  </si>
  <si>
    <t>Pantry/keuken - harde vloeren</t>
  </si>
  <si>
    <t>PMH</t>
  </si>
  <si>
    <t>Praktijklokaal minimaal - harde vloeren</t>
  </si>
  <si>
    <t>PMZ</t>
  </si>
  <si>
    <t>Praktijklokaal minimaal - zachte vloeren</t>
  </si>
  <si>
    <t>PSH</t>
  </si>
  <si>
    <t>Praktijklokaal specialistisch - harde vloeren</t>
  </si>
  <si>
    <t>PTH</t>
  </si>
  <si>
    <t>Praktijklokaal techniek - harde vloeren</t>
  </si>
  <si>
    <t>PUH</t>
  </si>
  <si>
    <t>Praktijklokaal uitgebreid - harde vloeren</t>
  </si>
  <si>
    <t>PZ</t>
  </si>
  <si>
    <t>Pantry/keuken - zachte vloeren</t>
  </si>
  <si>
    <t>SH</t>
  </si>
  <si>
    <t>Sanitaire ruimte/toiletten - harde vloeren</t>
  </si>
  <si>
    <t>SHN</t>
  </si>
  <si>
    <t>Sanitaire ruimte/toiletten - harde vloeren - naloop</t>
  </si>
  <si>
    <t>STH</t>
  </si>
  <si>
    <t>Zelfstudieruimte - harde vloeren</t>
  </si>
  <si>
    <t>STZ</t>
  </si>
  <si>
    <t>Zelfstudieruimte - zachte vloeren</t>
  </si>
  <si>
    <t>TH</t>
  </si>
  <si>
    <t>Trap - harde vloeren</t>
  </si>
  <si>
    <t>TZ</t>
  </si>
  <si>
    <t>Trap - zachte vloeren</t>
  </si>
  <si>
    <t>VH</t>
  </si>
  <si>
    <t>Verkeersruimte/garderobe/reprografie - harde vloeren</t>
  </si>
  <si>
    <t>VZ</t>
  </si>
  <si>
    <t>Verkeersruimte/garderobe/reprografie - zachte vloeren</t>
  </si>
  <si>
    <t>WPH</t>
  </si>
  <si>
    <t>Werkplaats - harde vloeren</t>
  </si>
  <si>
    <t>Z001</t>
  </si>
  <si>
    <t>extra</t>
  </si>
  <si>
    <t>Nat reinigen vloeren</t>
  </si>
  <si>
    <t>Z002</t>
  </si>
  <si>
    <t>Stofzuigen bovenkant vloerkleden</t>
  </si>
  <si>
    <t>min./stuk</t>
  </si>
  <si>
    <t>Z003</t>
  </si>
  <si>
    <t>Stofzuigen onderkant vloerkleden en nat reinigen vloer</t>
  </si>
  <si>
    <t>Z004</t>
  </si>
  <si>
    <t>Buitenentree vegen/roosters ledigen</t>
  </si>
  <si>
    <t>Z005</t>
  </si>
  <si>
    <t>Dagkracht</t>
  </si>
  <si>
    <t>uur</t>
  </si>
  <si>
    <t>Z006</t>
  </si>
  <si>
    <t>Fietsenstalling vegen</t>
  </si>
  <si>
    <t>Z007</t>
  </si>
  <si>
    <t>Buitenentree afvalbakken op schoolplein legen</t>
  </si>
  <si>
    <t>Z008</t>
  </si>
  <si>
    <t>Lampen reinigen</t>
  </si>
  <si>
    <t>Z009</t>
  </si>
  <si>
    <t>(Golfstructuur) wanden/randen afnemen</t>
  </si>
  <si>
    <t>Z010</t>
  </si>
  <si>
    <t>Spiegels bewassen</t>
  </si>
  <si>
    <t>Z011</t>
  </si>
  <si>
    <t>Inzet hoogwerker USG</t>
  </si>
  <si>
    <t>Z012</t>
  </si>
  <si>
    <t>Periodieke reinigen van de inloopmat</t>
  </si>
  <si>
    <t xml:space="preserve">Totaal werkdag             </t>
  </si>
  <si>
    <t xml:space="preserve">Gemiddeld uurtarief werkdag             </t>
  </si>
  <si>
    <t>VBH</t>
  </si>
  <si>
    <t>VBZ</t>
  </si>
  <si>
    <t>VEH</t>
  </si>
  <si>
    <t>VSH</t>
  </si>
  <si>
    <t>VTH</t>
  </si>
  <si>
    <t>Trappenhuis - harde vloeren</t>
  </si>
  <si>
    <t>VVH</t>
  </si>
  <si>
    <t>VVZ</t>
  </si>
  <si>
    <t xml:space="preserve">Totaal werkdag vakantie    </t>
  </si>
  <si>
    <t xml:space="preserve">Gemiddeld uurtarief werkdag vakantie    </t>
  </si>
  <si>
    <t>Totaal regulier werk excl. BTW</t>
  </si>
  <si>
    <t>OBJECT</t>
  </si>
  <si>
    <t>BOUW-DEEL</t>
  </si>
  <si>
    <t>ETAGE</t>
  </si>
  <si>
    <t>RUIMTENR</t>
  </si>
  <si>
    <t>HOTELNR</t>
  </si>
  <si>
    <t>RUIMTENAAM</t>
  </si>
  <si>
    <t>VLOER</t>
  </si>
  <si>
    <t>WERK-SOORT</t>
  </si>
  <si>
    <t>UREN HOOG-FREQUENT/ DAG</t>
  </si>
  <si>
    <t>01 - UniC, Van Bijnkershoeklaan 2, Utrecht</t>
  </si>
  <si>
    <t>01</t>
  </si>
  <si>
    <t/>
  </si>
  <si>
    <t>-1</t>
  </si>
  <si>
    <t>-1.00</t>
  </si>
  <si>
    <t>Lift</t>
  </si>
  <si>
    <t>linoleum</t>
  </si>
  <si>
    <t>-1.01</t>
  </si>
  <si>
    <t>-1.06.07</t>
  </si>
  <si>
    <t>Fietsenstalling</t>
  </si>
  <si>
    <t>bestrating</t>
  </si>
  <si>
    <t>-1.02</t>
  </si>
  <si>
    <t>-1.01.01</t>
  </si>
  <si>
    <t>Gang</t>
  </si>
  <si>
    <t>-1.03</t>
  </si>
  <si>
    <t>-1.01.02</t>
  </si>
  <si>
    <t>Trappenhuis 1</t>
  </si>
  <si>
    <t>beton</t>
  </si>
  <si>
    <t>-1.08</t>
  </si>
  <si>
    <t>-1.01.06</t>
  </si>
  <si>
    <t>-1.09</t>
  </si>
  <si>
    <t>-1.01.04</t>
  </si>
  <si>
    <t>Trappenhuis 2</t>
  </si>
  <si>
    <t>00</t>
  </si>
  <si>
    <t>0.00</t>
  </si>
  <si>
    <t>Buitenentree</t>
  </si>
  <si>
    <t>0.01</t>
  </si>
  <si>
    <t>00.01.00</t>
  </si>
  <si>
    <t>Entree/tochtsluis</t>
  </si>
  <si>
    <t>tapijt</t>
  </si>
  <si>
    <t>0.02</t>
  </si>
  <si>
    <t>00.01.01</t>
  </si>
  <si>
    <t>Entree</t>
  </si>
  <si>
    <t>0.02A</t>
  </si>
  <si>
    <t>00.01.01a</t>
  </si>
  <si>
    <t>0.02B</t>
  </si>
  <si>
    <t>00.01.01b</t>
  </si>
  <si>
    <t>0.03</t>
  </si>
  <si>
    <t>00.02.13</t>
  </si>
  <si>
    <t>Kantoor concierge</t>
  </si>
  <si>
    <t>0.05</t>
  </si>
  <si>
    <t>00.04.09</t>
  </si>
  <si>
    <t>Toilet miva</t>
  </si>
  <si>
    <t>gietvloer</t>
  </si>
  <si>
    <t>0.06</t>
  </si>
  <si>
    <t>00.01.01c</t>
  </si>
  <si>
    <t>0.07</t>
  </si>
  <si>
    <t>00.04.07</t>
  </si>
  <si>
    <t>Toilet dames</t>
  </si>
  <si>
    <t>0.08</t>
  </si>
  <si>
    <t>00.04.08</t>
  </si>
  <si>
    <t>Toilet heren</t>
  </si>
  <si>
    <t>0.09</t>
  </si>
  <si>
    <t>00.04.11</t>
  </si>
  <si>
    <t>Toilet docenten</t>
  </si>
  <si>
    <t>0.10</t>
  </si>
  <si>
    <t>00.06.12</t>
  </si>
  <si>
    <t>Pantry en printerruimte</t>
  </si>
  <si>
    <t>0.10A</t>
  </si>
  <si>
    <t>Kantoor</t>
  </si>
  <si>
    <t>0.11</t>
  </si>
  <si>
    <t>00.01.02</t>
  </si>
  <si>
    <t>0.12A</t>
  </si>
  <si>
    <t>00.06.27</t>
  </si>
  <si>
    <t>Berging</t>
  </si>
  <si>
    <t>0.14</t>
  </si>
  <si>
    <t>00.02.25</t>
  </si>
  <si>
    <t>Praktijklokaal cultuur/drama</t>
  </si>
  <si>
    <t>0.14A</t>
  </si>
  <si>
    <t>00.02.26</t>
  </si>
  <si>
    <t>Studio 1</t>
  </si>
  <si>
    <t>0.14B</t>
  </si>
  <si>
    <t>Studio 2</t>
  </si>
  <si>
    <t>0.14C</t>
  </si>
  <si>
    <t>00.06.24</t>
  </si>
  <si>
    <t>Berging cultuur</t>
  </si>
  <si>
    <t>0.14D</t>
  </si>
  <si>
    <t>Studio 3</t>
  </si>
  <si>
    <t>0.16</t>
  </si>
  <si>
    <t>00.02.23a</t>
  </si>
  <si>
    <t>0.17</t>
  </si>
  <si>
    <t>00.09.21</t>
  </si>
  <si>
    <t>Ontmoetingsruimte</t>
  </si>
  <si>
    <t>0.17A</t>
  </si>
  <si>
    <t>00.06.22</t>
  </si>
  <si>
    <t>0.18A</t>
  </si>
  <si>
    <t>00.02.18</t>
  </si>
  <si>
    <t>Lokaal cultuur atelier 1</t>
  </si>
  <si>
    <t>0.18B</t>
  </si>
  <si>
    <t>00.02.19</t>
  </si>
  <si>
    <t>Lokaal cultuur atelier 2</t>
  </si>
  <si>
    <t>0.18C</t>
  </si>
  <si>
    <t>00.02.20</t>
  </si>
  <si>
    <t>Lokaal cultuur atelier 3</t>
  </si>
  <si>
    <t>0.19</t>
  </si>
  <si>
    <t>00.01.04</t>
  </si>
  <si>
    <t>0.21</t>
  </si>
  <si>
    <t>00.08.14</t>
  </si>
  <si>
    <t>Lokaal natuur</t>
  </si>
  <si>
    <t>0.21A</t>
  </si>
  <si>
    <t>00.06.17</t>
  </si>
  <si>
    <t>0.22</t>
  </si>
  <si>
    <t>00.03.15</t>
  </si>
  <si>
    <t>TOA ruimte</t>
  </si>
  <si>
    <t>1.01</t>
  </si>
  <si>
    <t>01.01.01</t>
  </si>
  <si>
    <t>Gang/ podium</t>
  </si>
  <si>
    <t>1.01A</t>
  </si>
  <si>
    <t>01.01.02</t>
  </si>
  <si>
    <t>1.01B</t>
  </si>
  <si>
    <t>01.01.30</t>
  </si>
  <si>
    <t>1.01C</t>
  </si>
  <si>
    <t>01.03.22</t>
  </si>
  <si>
    <t>Huiskamer middenbouw</t>
  </si>
  <si>
    <t>1.01D</t>
  </si>
  <si>
    <t>01.03.23</t>
  </si>
  <si>
    <t>1.02</t>
  </si>
  <si>
    <t>01.02.13</t>
  </si>
  <si>
    <t>Open werkomgeving middenbouw</t>
  </si>
  <si>
    <t>1.03</t>
  </si>
  <si>
    <t>1.05</t>
  </si>
  <si>
    <t>01.03.11</t>
  </si>
  <si>
    <t>1.07</t>
  </si>
  <si>
    <t>01.04.07</t>
  </si>
  <si>
    <t>1.08</t>
  </si>
  <si>
    <t>01.04.08</t>
  </si>
  <si>
    <t>1.10</t>
  </si>
  <si>
    <t>01.02.33</t>
  </si>
  <si>
    <t>Workshop talenhoek middenbouw</t>
  </si>
  <si>
    <t>1.11</t>
  </si>
  <si>
    <t>01.02.32</t>
  </si>
  <si>
    <t>1.12</t>
  </si>
  <si>
    <t>01.02.31</t>
  </si>
  <si>
    <t>1.13</t>
  </si>
  <si>
    <t>01.03.29</t>
  </si>
  <si>
    <t>Lokaal</t>
  </si>
  <si>
    <t>topshield2-2017</t>
  </si>
  <si>
    <t>1.14</t>
  </si>
  <si>
    <t>01.03.28</t>
  </si>
  <si>
    <t>1.15</t>
  </si>
  <si>
    <t>01.01.04</t>
  </si>
  <si>
    <t>1.16</t>
  </si>
  <si>
    <t>01.02.24</t>
  </si>
  <si>
    <t>1.23</t>
  </si>
  <si>
    <t>01.02.16</t>
  </si>
  <si>
    <t>1.24</t>
  </si>
  <si>
    <t>01.03.20</t>
  </si>
  <si>
    <t>Stilteruimte middenbouw</t>
  </si>
  <si>
    <t>1.25</t>
  </si>
  <si>
    <t>01.03.21</t>
  </si>
  <si>
    <t>02</t>
  </si>
  <si>
    <t>2.01</t>
  </si>
  <si>
    <t>02.01.01</t>
  </si>
  <si>
    <t>2.01A</t>
  </si>
  <si>
    <t>02.03.01a</t>
  </si>
  <si>
    <t>Studieplekken</t>
  </si>
  <si>
    <t>2.01B</t>
  </si>
  <si>
    <t>02.03.21</t>
  </si>
  <si>
    <t>Huiskamer onderbouw</t>
  </si>
  <si>
    <t>2.01C</t>
  </si>
  <si>
    <t>02.03.22</t>
  </si>
  <si>
    <t>2.01D</t>
  </si>
  <si>
    <t>02.03.33</t>
  </si>
  <si>
    <t>2.01E</t>
  </si>
  <si>
    <t>02.03.34</t>
  </si>
  <si>
    <t>2.02</t>
  </si>
  <si>
    <t>02.02.13</t>
  </si>
  <si>
    <t>Open werkomgeving onderbouw</t>
  </si>
  <si>
    <t>2.02A</t>
  </si>
  <si>
    <t>02.02.14</t>
  </si>
  <si>
    <t>Werkplekken docenten onderbouw</t>
  </si>
  <si>
    <t>2.03</t>
  </si>
  <si>
    <t>02.01.02</t>
  </si>
  <si>
    <t>2.05</t>
  </si>
  <si>
    <t>02.03.11</t>
  </si>
  <si>
    <t>2.07</t>
  </si>
  <si>
    <t>02.04.07</t>
  </si>
  <si>
    <t>2.08</t>
  </si>
  <si>
    <t>02.04.08</t>
  </si>
  <si>
    <t>2.10</t>
  </si>
  <si>
    <t>02.02.32</t>
  </si>
  <si>
    <t>Instructieruimte onderbouw</t>
  </si>
  <si>
    <t>2.11</t>
  </si>
  <si>
    <t>02.03.31</t>
  </si>
  <si>
    <t>2.13</t>
  </si>
  <si>
    <t>02.02.29</t>
  </si>
  <si>
    <t>2.13A</t>
  </si>
  <si>
    <t>02.02.28</t>
  </si>
  <si>
    <t>2.14</t>
  </si>
  <si>
    <t>02.02.26</t>
  </si>
  <si>
    <t>2.14A</t>
  </si>
  <si>
    <t>02.02.27</t>
  </si>
  <si>
    <t>2.15</t>
  </si>
  <si>
    <t>02.01.04</t>
  </si>
  <si>
    <t>2.16</t>
  </si>
  <si>
    <t>02.03.25</t>
  </si>
  <si>
    <t>2.19</t>
  </si>
  <si>
    <t>02.02.23</t>
  </si>
  <si>
    <t>Workshopruimte onderbouw</t>
  </si>
  <si>
    <t>2.20</t>
  </si>
  <si>
    <t>02.02.19</t>
  </si>
  <si>
    <t>2.21</t>
  </si>
  <si>
    <t>02.03.18</t>
  </si>
  <si>
    <t>2.23</t>
  </si>
  <si>
    <t>02.02.16</t>
  </si>
  <si>
    <t>2.24</t>
  </si>
  <si>
    <t>02.03.20</t>
  </si>
  <si>
    <t>Stilteruimte onderbouw</t>
  </si>
  <si>
    <t>03</t>
  </si>
  <si>
    <t>3.01</t>
  </si>
  <si>
    <t>03.01.01</t>
  </si>
  <si>
    <t>3.01A</t>
  </si>
  <si>
    <t>03.02.13</t>
  </si>
  <si>
    <t>Huiskamer / workshopruimte</t>
  </si>
  <si>
    <t>3.01B</t>
  </si>
  <si>
    <t>03.03.01a</t>
  </si>
  <si>
    <t>hout</t>
  </si>
  <si>
    <t>3.01C</t>
  </si>
  <si>
    <t>03.03.01b</t>
  </si>
  <si>
    <t>3.02</t>
  </si>
  <si>
    <t>03.02.12</t>
  </si>
  <si>
    <t>Instructieruimte bovenbouw 2</t>
  </si>
  <si>
    <t>3.03</t>
  </si>
  <si>
    <t>03.02.11</t>
  </si>
  <si>
    <t>Instructieruimte bovenbouw 1</t>
  </si>
  <si>
    <t>3.04</t>
  </si>
  <si>
    <t>03.01.02</t>
  </si>
  <si>
    <t>3.05</t>
  </si>
  <si>
    <t>03.03.28</t>
  </si>
  <si>
    <t>Pauzeruimte</t>
  </si>
  <si>
    <t>3.05A</t>
  </si>
  <si>
    <t>03.01.31</t>
  </si>
  <si>
    <t>3.05B</t>
  </si>
  <si>
    <t>Pantry</t>
  </si>
  <si>
    <t>3.07</t>
  </si>
  <si>
    <t>03.04.29</t>
  </si>
  <si>
    <t>3.08</t>
  </si>
  <si>
    <t>03.04.30</t>
  </si>
  <si>
    <t>3.10</t>
  </si>
  <si>
    <t>03.02.19</t>
  </si>
  <si>
    <t>3.11</t>
  </si>
  <si>
    <t>03.02.20</t>
  </si>
  <si>
    <t>3.13</t>
  </si>
  <si>
    <t>03.02.23</t>
  </si>
  <si>
    <t>3.14</t>
  </si>
  <si>
    <t>03.02.22</t>
  </si>
  <si>
    <t>3.15</t>
  </si>
  <si>
    <t>03.02.24</t>
  </si>
  <si>
    <t>Personeelsruimte</t>
  </si>
  <si>
    <t>3.16</t>
  </si>
  <si>
    <t>03.03.34</t>
  </si>
  <si>
    <t>Repro</t>
  </si>
  <si>
    <t>3.17</t>
  </si>
  <si>
    <t>03.03.37</t>
  </si>
  <si>
    <t>3.19</t>
  </si>
  <si>
    <t>03.03.25</t>
  </si>
  <si>
    <t>Verkeersruimte</t>
  </si>
  <si>
    <t>3.20</t>
  </si>
  <si>
    <t>03.03.27</t>
  </si>
  <si>
    <t>3.22</t>
  </si>
  <si>
    <t>03.03.36</t>
  </si>
  <si>
    <t>Kantoor teamleiders</t>
  </si>
  <si>
    <t>3.23</t>
  </si>
  <si>
    <t>03.01.04</t>
  </si>
  <si>
    <t>3.25</t>
  </si>
  <si>
    <t>03.04.09</t>
  </si>
  <si>
    <t>Gang/hal</t>
  </si>
  <si>
    <t>3.26</t>
  </si>
  <si>
    <t>03.04.07</t>
  </si>
  <si>
    <t>3.27</t>
  </si>
  <si>
    <t>03.04.08</t>
  </si>
  <si>
    <t>3.29</t>
  </si>
  <si>
    <t>03.03.18</t>
  </si>
  <si>
    <t>Spreekkamer</t>
  </si>
  <si>
    <t>3.30</t>
  </si>
  <si>
    <t>03.03.17</t>
  </si>
  <si>
    <t>Spreekkamers</t>
  </si>
  <si>
    <t>3.31</t>
  </si>
  <si>
    <t>EXTR</t>
  </si>
  <si>
    <t>Periodiek reinigen mat (eigendom Unic)</t>
  </si>
  <si>
    <t>Totaal werkdag</t>
  </si>
  <si>
    <t>02 - Utrechts Stedelijk Gymnasium, Ina Boudier Bakkerlaan 7, Utrecht</t>
  </si>
  <si>
    <t>A.0.01</t>
  </si>
  <si>
    <t>Kantine</t>
  </si>
  <si>
    <t>A.0.02</t>
  </si>
  <si>
    <t>Receptie/concierge</t>
  </si>
  <si>
    <t>A.0.03</t>
  </si>
  <si>
    <t>Werkruimte</t>
  </si>
  <si>
    <t>A.0.04</t>
  </si>
  <si>
    <t>Kantoor rector</t>
  </si>
  <si>
    <t>A.0.05</t>
  </si>
  <si>
    <t>Kantoor PC</t>
  </si>
  <si>
    <t>A.0.06</t>
  </si>
  <si>
    <t>A.0.07</t>
  </si>
  <si>
    <t>Kantoor facilitair</t>
  </si>
  <si>
    <t>A.0.08</t>
  </si>
  <si>
    <t>Garderobe</t>
  </si>
  <si>
    <t>A.0.09</t>
  </si>
  <si>
    <t>Kantoor conrector</t>
  </si>
  <si>
    <t>A.0.10</t>
  </si>
  <si>
    <t>A.0.11</t>
  </si>
  <si>
    <t>Personeelskamer</t>
  </si>
  <si>
    <t>pvc</t>
  </si>
  <si>
    <t>A.0.12</t>
  </si>
  <si>
    <t>A.0.13</t>
  </si>
  <si>
    <t>Kantoor decaan</t>
  </si>
  <si>
    <t>A.0.14</t>
  </si>
  <si>
    <t>A.0.15</t>
  </si>
  <si>
    <t>Werkruimte onderbouw</t>
  </si>
  <si>
    <t>A.0.16</t>
  </si>
  <si>
    <t>Vergaderruimte</t>
  </si>
  <si>
    <t>A.0.17</t>
  </si>
  <si>
    <t>A.0.18</t>
  </si>
  <si>
    <t>A.0.19</t>
  </si>
  <si>
    <t>lino/ inloopmat</t>
  </si>
  <si>
    <t>A.0.20</t>
  </si>
  <si>
    <t>Trap</t>
  </si>
  <si>
    <t>A.0.21</t>
  </si>
  <si>
    <t>A.0.22</t>
  </si>
  <si>
    <t>Toilet</t>
  </si>
  <si>
    <t>dhgt</t>
  </si>
  <si>
    <t>A.0.23</t>
  </si>
  <si>
    <t>A.1.02</t>
  </si>
  <si>
    <t>A.1.03</t>
  </si>
  <si>
    <t>A.1.04</t>
  </si>
  <si>
    <t>Natuurkundelokaal</t>
  </si>
  <si>
    <t>A.1.05</t>
  </si>
  <si>
    <t>Instructielokaal</t>
  </si>
  <si>
    <t>A.1.06</t>
  </si>
  <si>
    <t>Scheikundelokaal</t>
  </si>
  <si>
    <t>A.1.07</t>
  </si>
  <si>
    <t>A.1.08</t>
  </si>
  <si>
    <t>A.1.10</t>
  </si>
  <si>
    <t>Trappenhuis</t>
  </si>
  <si>
    <t>A.1.11</t>
  </si>
  <si>
    <t>Werkplekken sience</t>
  </si>
  <si>
    <t>A.1.12</t>
  </si>
  <si>
    <t>Opslag sience</t>
  </si>
  <si>
    <t>A.1.13</t>
  </si>
  <si>
    <t>Docentenwerkplek</t>
  </si>
  <si>
    <t>A.1.14</t>
  </si>
  <si>
    <t>Spreekruimte</t>
  </si>
  <si>
    <t>A.1.15</t>
  </si>
  <si>
    <t>A.1.16</t>
  </si>
  <si>
    <t>A.1.17</t>
  </si>
  <si>
    <t>Biologielokaal</t>
  </si>
  <si>
    <t>A.1.18</t>
  </si>
  <si>
    <t>A.1.19</t>
  </si>
  <si>
    <t>A.1.20</t>
  </si>
  <si>
    <t>Toiletten</t>
  </si>
  <si>
    <t>A.1.21</t>
  </si>
  <si>
    <t>A.1.22</t>
  </si>
  <si>
    <t>Dagkracht toiletten/kantine</t>
  </si>
  <si>
    <t>GBWS</t>
  </si>
  <si>
    <t>Alle tussenvleugel</t>
  </si>
  <si>
    <t>G.0.01</t>
  </si>
  <si>
    <t>Tussenvleugel</t>
  </si>
  <si>
    <t>G.0.02</t>
  </si>
  <si>
    <t>G.0.03</t>
  </si>
  <si>
    <t>A.0.24</t>
  </si>
  <si>
    <t>Entreegebied tussen A en B</t>
  </si>
  <si>
    <t>A.0.24A</t>
  </si>
  <si>
    <t>Achteringang</t>
  </si>
  <si>
    <t>inloopmat</t>
  </si>
  <si>
    <t>A.0.24B</t>
  </si>
  <si>
    <t>Hoofdingang</t>
  </si>
  <si>
    <t>B.0.01</t>
  </si>
  <si>
    <t>B.0.03</t>
  </si>
  <si>
    <t>B.0.04</t>
  </si>
  <si>
    <t>B.0.05</t>
  </si>
  <si>
    <t>Kantine bovenbouw</t>
  </si>
  <si>
    <t>B.0.06</t>
  </si>
  <si>
    <t>Praktijkruimte kunst</t>
  </si>
  <si>
    <t>B.0.07</t>
  </si>
  <si>
    <t>B.0.08</t>
  </si>
  <si>
    <t>B.0.09</t>
  </si>
  <si>
    <t>B.0.12</t>
  </si>
  <si>
    <t>B.0.14</t>
  </si>
  <si>
    <t>B.0.17</t>
  </si>
  <si>
    <t>A.1.01</t>
  </si>
  <si>
    <t>B.1.01</t>
  </si>
  <si>
    <t>B.1.02</t>
  </si>
  <si>
    <t>B.1.03</t>
  </si>
  <si>
    <t>B.1.04</t>
  </si>
  <si>
    <t>B.1.05</t>
  </si>
  <si>
    <t>B.1.06</t>
  </si>
  <si>
    <t>Spreekkamer/docentenwerkplek</t>
  </si>
  <si>
    <t>B.1.07</t>
  </si>
  <si>
    <t>B.1.08</t>
  </si>
  <si>
    <t>B.1.09</t>
  </si>
  <si>
    <t>B.1.10</t>
  </si>
  <si>
    <t>Kantoor ICT</t>
  </si>
  <si>
    <t>B.1.11</t>
  </si>
  <si>
    <t>B.1.12</t>
  </si>
  <si>
    <t>B.1.13</t>
  </si>
  <si>
    <t>B.1.15</t>
  </si>
  <si>
    <t>B.1.17</t>
  </si>
  <si>
    <t>B.1.19</t>
  </si>
  <si>
    <t>B.1.20</t>
  </si>
  <si>
    <t>B.1.21</t>
  </si>
  <si>
    <t>B.1.22</t>
  </si>
  <si>
    <t>C.0.01</t>
  </si>
  <si>
    <t>Praktijklokaal muziek</t>
  </si>
  <si>
    <t>coating</t>
  </si>
  <si>
    <t>C.0.02</t>
  </si>
  <si>
    <t>Praktijklokaal studio</t>
  </si>
  <si>
    <t>C.0.03</t>
  </si>
  <si>
    <t>C.0.04</t>
  </si>
  <si>
    <t>C.0.05</t>
  </si>
  <si>
    <t>Opslag</t>
  </si>
  <si>
    <t>C.0.06</t>
  </si>
  <si>
    <t>Spreekruimte/kantoor</t>
  </si>
  <si>
    <t>C.0.07</t>
  </si>
  <si>
    <t>C.0.08</t>
  </si>
  <si>
    <t>C.0.09</t>
  </si>
  <si>
    <t>C.0.10</t>
  </si>
  <si>
    <t>C.0.11</t>
  </si>
  <si>
    <t>C.0.12</t>
  </si>
  <si>
    <t>Spreekruimte/docentenwerkplek</t>
  </si>
  <si>
    <t>C.0.13</t>
  </si>
  <si>
    <t>C.0.14</t>
  </si>
  <si>
    <t>C.0.15</t>
  </si>
  <si>
    <t>C.0.16</t>
  </si>
  <si>
    <t>Werkplekken cluster</t>
  </si>
  <si>
    <t>C.0.17</t>
  </si>
  <si>
    <t>C.0.18</t>
  </si>
  <si>
    <t>C.0.19</t>
  </si>
  <si>
    <t>C.0.20</t>
  </si>
  <si>
    <t>C.0.21</t>
  </si>
  <si>
    <t>C.0.22</t>
  </si>
  <si>
    <t>C.0.24</t>
  </si>
  <si>
    <t>C.1.01</t>
  </si>
  <si>
    <t>C.1.02</t>
  </si>
  <si>
    <t>C.1.03</t>
  </si>
  <si>
    <t>C.1.04</t>
  </si>
  <si>
    <t>C.1.05</t>
  </si>
  <si>
    <t>C.1.06</t>
  </si>
  <si>
    <t>C.1.07</t>
  </si>
  <si>
    <t>C.1.08</t>
  </si>
  <si>
    <t>C.1.09</t>
  </si>
  <si>
    <t>C.1.10</t>
  </si>
  <si>
    <t>C.1.11</t>
  </si>
  <si>
    <t>C.1.12</t>
  </si>
  <si>
    <t>C.1.13</t>
  </si>
  <si>
    <t>Ruimte systeembeheerder</t>
  </si>
  <si>
    <t>C.1.14</t>
  </si>
  <si>
    <t>Mediatheek</t>
  </si>
  <si>
    <t>C.1.15</t>
  </si>
  <si>
    <t>C.1.17</t>
  </si>
  <si>
    <t>C.1.19</t>
  </si>
  <si>
    <t>C.1.20</t>
  </si>
  <si>
    <t>C.1.21</t>
  </si>
  <si>
    <t>04</t>
  </si>
  <si>
    <t>D.0.01</t>
  </si>
  <si>
    <t>D.0.02</t>
  </si>
  <si>
    <t>Sportzaal</t>
  </si>
  <si>
    <t>sportvloer</t>
  </si>
  <si>
    <t>D.0.03</t>
  </si>
  <si>
    <t>Toestellenberging</t>
  </si>
  <si>
    <t>D.0.04</t>
  </si>
  <si>
    <t>D.0.05</t>
  </si>
  <si>
    <t>D.0.08</t>
  </si>
  <si>
    <t>Kleedruimte personeel</t>
  </si>
  <si>
    <t>D.0.09</t>
  </si>
  <si>
    <t>Toilet/doucheruimte personeel</t>
  </si>
  <si>
    <t>D.0.11</t>
  </si>
  <si>
    <t>D.0.12</t>
  </si>
  <si>
    <t>D.0.13</t>
  </si>
  <si>
    <t>D.1.01</t>
  </si>
  <si>
    <t>Kleedruimte</t>
  </si>
  <si>
    <t>D.1.02</t>
  </si>
  <si>
    <t>D.1.03</t>
  </si>
  <si>
    <t>D.1.04</t>
  </si>
  <si>
    <t>D.1.05</t>
  </si>
  <si>
    <t>D.1.06</t>
  </si>
  <si>
    <t>D.1.07</t>
  </si>
  <si>
    <t>D.1.08</t>
  </si>
  <si>
    <t>D.1.09</t>
  </si>
  <si>
    <t>D.1.10</t>
  </si>
  <si>
    <t>D1.01A</t>
  </si>
  <si>
    <t>Douche</t>
  </si>
  <si>
    <t>D1.03B</t>
  </si>
  <si>
    <t>D1.05C</t>
  </si>
  <si>
    <t>D1.07C</t>
  </si>
  <si>
    <t>NB</t>
  </si>
  <si>
    <t>E.0.01</t>
  </si>
  <si>
    <t>Z.0.02</t>
  </si>
  <si>
    <t>Foyer</t>
  </si>
  <si>
    <t>topshield2-2021</t>
  </si>
  <si>
    <t>E.0.02</t>
  </si>
  <si>
    <t>E.0.03</t>
  </si>
  <si>
    <t>Z.0.07</t>
  </si>
  <si>
    <t>E.0.04</t>
  </si>
  <si>
    <t>Z.0.09</t>
  </si>
  <si>
    <t>E.0.06</t>
  </si>
  <si>
    <t>Z.0.04</t>
  </si>
  <si>
    <t>E.0.07</t>
  </si>
  <si>
    <t>Z.0.03</t>
  </si>
  <si>
    <t>Technieklokaal</t>
  </si>
  <si>
    <t>E.0.08</t>
  </si>
  <si>
    <t>Z.0.01</t>
  </si>
  <si>
    <t>Theaterzaal/auditorium</t>
  </si>
  <si>
    <t>E.0.09</t>
  </si>
  <si>
    <t>Z.0.06</t>
  </si>
  <si>
    <t>Overlegruimte</t>
  </si>
  <si>
    <t>E.0.10</t>
  </si>
  <si>
    <t>Z.0.10</t>
  </si>
  <si>
    <t>E.0.11</t>
  </si>
  <si>
    <t>Z.0.11</t>
  </si>
  <si>
    <t>E.1.01</t>
  </si>
  <si>
    <t>Z.1.02</t>
  </si>
  <si>
    <t>E.1.01A</t>
  </si>
  <si>
    <t>Hal</t>
  </si>
  <si>
    <t>E.1.01B</t>
  </si>
  <si>
    <t>Overloop</t>
  </si>
  <si>
    <t>E.1.02</t>
  </si>
  <si>
    <t>Z.1.01</t>
  </si>
  <si>
    <t>Tribune</t>
  </si>
  <si>
    <t>E.1.03</t>
  </si>
  <si>
    <t>Z.1.05</t>
  </si>
  <si>
    <t>E.1.04</t>
  </si>
  <si>
    <t>Z.1.03</t>
  </si>
  <si>
    <t>Regieruimte/overlegruimte</t>
  </si>
  <si>
    <t>E.1.05</t>
  </si>
  <si>
    <t>Z.1.06</t>
  </si>
  <si>
    <t>E.1.06</t>
  </si>
  <si>
    <t>Z.1.07</t>
  </si>
  <si>
    <t>03 - Trajectum College, Vader Rijndreef 7-9, Utrecht</t>
  </si>
  <si>
    <t>straattegel</t>
  </si>
  <si>
    <t>Receptie/conciërge</t>
  </si>
  <si>
    <t>Leslokaal</t>
  </si>
  <si>
    <t>0.04</t>
  </si>
  <si>
    <t>Werkplein/studieplein</t>
  </si>
  <si>
    <t>0.07A</t>
  </si>
  <si>
    <t>Keuken thuiszorg</t>
  </si>
  <si>
    <t>surestep</t>
  </si>
  <si>
    <t>0.07B</t>
  </si>
  <si>
    <t>Praktijklokaal Hair/beauty ruimte</t>
  </si>
  <si>
    <t>0.07C</t>
  </si>
  <si>
    <t>Praktijklokaal droger-/wasruimte</t>
  </si>
  <si>
    <t>bolidt</t>
  </si>
  <si>
    <t>Aula (links van trap)</t>
  </si>
  <si>
    <t>0.12B</t>
  </si>
  <si>
    <t>Trap in aula</t>
  </si>
  <si>
    <t>0.12C</t>
  </si>
  <si>
    <t>Aula (rechts van  trap)</t>
  </si>
  <si>
    <t>0.13</t>
  </si>
  <si>
    <t>0.15</t>
  </si>
  <si>
    <t>0.24a</t>
  </si>
  <si>
    <t>Handvaartdigheidslokaal</t>
  </si>
  <si>
    <t>0.24b</t>
  </si>
  <si>
    <t>0.25</t>
  </si>
  <si>
    <t>0.26</t>
  </si>
  <si>
    <t>0.27</t>
  </si>
  <si>
    <t>0.29</t>
  </si>
  <si>
    <t>0.30</t>
  </si>
  <si>
    <t>Handvaardigheidslokaal</t>
  </si>
  <si>
    <t>0.32</t>
  </si>
  <si>
    <t>0.33</t>
  </si>
  <si>
    <t>0.35</t>
  </si>
  <si>
    <t>0.36</t>
  </si>
  <si>
    <t>0.37</t>
  </si>
  <si>
    <t>ICT lokaal</t>
  </si>
  <si>
    <t>0.40</t>
  </si>
  <si>
    <t>0.41</t>
  </si>
  <si>
    <t>0.48</t>
  </si>
  <si>
    <t>0.49</t>
  </si>
  <si>
    <t>0.50</t>
  </si>
  <si>
    <t>0.51</t>
  </si>
  <si>
    <t>0.52</t>
  </si>
  <si>
    <t>0.53</t>
  </si>
  <si>
    <t>0.54</t>
  </si>
  <si>
    <t>Directie</t>
  </si>
  <si>
    <t>0.55</t>
  </si>
  <si>
    <t>Kantoor zorg</t>
  </si>
  <si>
    <t>0.56</t>
  </si>
  <si>
    <t>0.57</t>
  </si>
  <si>
    <t>0.58</t>
  </si>
  <si>
    <t>0.59A</t>
  </si>
  <si>
    <t>Gang vanaf as W3</t>
  </si>
  <si>
    <t>0.59B</t>
  </si>
  <si>
    <t>Gang t/m as W3</t>
  </si>
  <si>
    <t>0.60</t>
  </si>
  <si>
    <t>Gang voor technieklokaal</t>
  </si>
  <si>
    <t>0.61a</t>
  </si>
  <si>
    <t>0.61b</t>
  </si>
  <si>
    <t>0.62</t>
  </si>
  <si>
    <t>0.63</t>
  </si>
  <si>
    <t>0.65</t>
  </si>
  <si>
    <t>Personeelstoilet heren</t>
  </si>
  <si>
    <t>0.66</t>
  </si>
  <si>
    <t>Personeelstoilet dames</t>
  </si>
  <si>
    <t>Docentenwerkplaats</t>
  </si>
  <si>
    <t>Kantoor teamleider bovenbouw</t>
  </si>
  <si>
    <t>Lokaal mens en natuur</t>
  </si>
  <si>
    <t>Lokaal mens en maatschappij</t>
  </si>
  <si>
    <t>1.06</t>
  </si>
  <si>
    <t>Lokaal wiskunde</t>
  </si>
  <si>
    <t>Gang/werkplekken</t>
  </si>
  <si>
    <t>1.09</t>
  </si>
  <si>
    <t>MTR-lokaal</t>
  </si>
  <si>
    <t>Muziek-/yogalokaal</t>
  </si>
  <si>
    <t>Multifunctioneel plein</t>
  </si>
  <si>
    <t>Toiletten dames</t>
  </si>
  <si>
    <t>1.17</t>
  </si>
  <si>
    <t>1.18</t>
  </si>
  <si>
    <t>1.19</t>
  </si>
  <si>
    <t>1.20</t>
  </si>
  <si>
    <t>Kluisjes</t>
  </si>
  <si>
    <t>lino/surestep</t>
  </si>
  <si>
    <t>1.21</t>
  </si>
  <si>
    <t>Afwaskeuken</t>
  </si>
  <si>
    <t>dhgt/antislip</t>
  </si>
  <si>
    <t>1.22</t>
  </si>
  <si>
    <t>Restaurant</t>
  </si>
  <si>
    <t>Open keuken</t>
  </si>
  <si>
    <t>Leslokaal food</t>
  </si>
  <si>
    <t>1.26</t>
  </si>
  <si>
    <t>1.27</t>
  </si>
  <si>
    <t>Stilteruimte</t>
  </si>
  <si>
    <t>1.28</t>
  </si>
  <si>
    <t>Conferentieruimte</t>
  </si>
  <si>
    <t>1.29</t>
  </si>
  <si>
    <t>1.30</t>
  </si>
  <si>
    <t>1.33</t>
  </si>
  <si>
    <t>1.36</t>
  </si>
  <si>
    <t>1.37</t>
  </si>
  <si>
    <t>1.38</t>
  </si>
  <si>
    <t>1.39</t>
  </si>
  <si>
    <t>Magazijn keuken</t>
  </si>
  <si>
    <t>1.40</t>
  </si>
  <si>
    <t>Magazijn food</t>
  </si>
  <si>
    <t>K1.01</t>
  </si>
  <si>
    <t>Groepsruimte</t>
  </si>
  <si>
    <t>K1.02</t>
  </si>
  <si>
    <t>K1.03</t>
  </si>
  <si>
    <t>K1.04</t>
  </si>
  <si>
    <t>K1.05</t>
  </si>
  <si>
    <t>2.03/04</t>
  </si>
  <si>
    <t>Kooklokaal</t>
  </si>
  <si>
    <t>Lokaal TL</t>
  </si>
  <si>
    <t>2.06</t>
  </si>
  <si>
    <t>Lokaal Engels</t>
  </si>
  <si>
    <t>2.12</t>
  </si>
  <si>
    <t>Aula/Chill out</t>
  </si>
  <si>
    <t>Open werkplekken</t>
  </si>
  <si>
    <t>2.16a</t>
  </si>
  <si>
    <t>Berging biologie</t>
  </si>
  <si>
    <t>2.17</t>
  </si>
  <si>
    <t>2.18</t>
  </si>
  <si>
    <t>Kabinet NASK</t>
  </si>
  <si>
    <t>2.22</t>
  </si>
  <si>
    <t>2.25</t>
  </si>
  <si>
    <t>Kantoor teamleider</t>
  </si>
  <si>
    <t>2.26</t>
  </si>
  <si>
    <t>2.27</t>
  </si>
  <si>
    <t>2.28</t>
  </si>
  <si>
    <t>Docenten werkplaats</t>
  </si>
  <si>
    <t>2.29</t>
  </si>
  <si>
    <t>2.30</t>
  </si>
  <si>
    <t>2.31</t>
  </si>
  <si>
    <t>2.32</t>
  </si>
  <si>
    <t>2.33</t>
  </si>
  <si>
    <t>2.34</t>
  </si>
  <si>
    <t>2.35</t>
  </si>
  <si>
    <t>2.36</t>
  </si>
  <si>
    <t>Gang excl. open werkplekken</t>
  </si>
  <si>
    <t>2.37</t>
  </si>
  <si>
    <t>04 - Leidsche Rijn College, Maartvlinder 1, Utrecht</t>
  </si>
  <si>
    <t>A0.00A</t>
  </si>
  <si>
    <t>Lift A</t>
  </si>
  <si>
    <t>A0.00B</t>
  </si>
  <si>
    <t>Lift B</t>
  </si>
  <si>
    <t>A0.01</t>
  </si>
  <si>
    <t>toilet heren</t>
  </si>
  <si>
    <t>A0.04</t>
  </si>
  <si>
    <t>trap</t>
  </si>
  <si>
    <t>A0.06</t>
  </si>
  <si>
    <t>lokaal techniek</t>
  </si>
  <si>
    <t>A0.07</t>
  </si>
  <si>
    <t>lokaal maatschapijleer</t>
  </si>
  <si>
    <t>A0.09</t>
  </si>
  <si>
    <t>lokaal</t>
  </si>
  <si>
    <t>A0.10</t>
  </si>
  <si>
    <t>praktijklokaal bv</t>
  </si>
  <si>
    <t>A0.12</t>
  </si>
  <si>
    <t>A0.13</t>
  </si>
  <si>
    <t>toilet dames</t>
  </si>
  <si>
    <t>A0.15</t>
  </si>
  <si>
    <t>gang</t>
  </si>
  <si>
    <t>B0.04</t>
  </si>
  <si>
    <t>oefenruimte bands</t>
  </si>
  <si>
    <t>B0.05/06</t>
  </si>
  <si>
    <t>B0.08</t>
  </si>
  <si>
    <t>B0.10</t>
  </si>
  <si>
    <t>computerwerkplek</t>
  </si>
  <si>
    <t>B0.11</t>
  </si>
  <si>
    <t>B0.13</t>
  </si>
  <si>
    <t>trappenhuis</t>
  </si>
  <si>
    <t>B0.14</t>
  </si>
  <si>
    <t>B0.15</t>
  </si>
  <si>
    <t>voorruimte</t>
  </si>
  <si>
    <t>B0.17</t>
  </si>
  <si>
    <t>toilet miva</t>
  </si>
  <si>
    <t>B0.19</t>
  </si>
  <si>
    <t>B0.20</t>
  </si>
  <si>
    <t>kleedkamer</t>
  </si>
  <si>
    <t>B0.21</t>
  </si>
  <si>
    <t>B0.23</t>
  </si>
  <si>
    <t>B0.25</t>
  </si>
  <si>
    <t>C0.01</t>
  </si>
  <si>
    <t>entree/gang</t>
  </si>
  <si>
    <t>C0.02</t>
  </si>
  <si>
    <t>aula</t>
  </si>
  <si>
    <t>bamboe</t>
  </si>
  <si>
    <t>C0.06</t>
  </si>
  <si>
    <t>C0.07</t>
  </si>
  <si>
    <t>C0.08</t>
  </si>
  <si>
    <t>entree</t>
  </si>
  <si>
    <t>C0.09</t>
  </si>
  <si>
    <t>C0.11</t>
  </si>
  <si>
    <t>receptie</t>
  </si>
  <si>
    <t>C0.32</t>
  </si>
  <si>
    <t>ehbo (lrc)</t>
  </si>
  <si>
    <t>C0.33</t>
  </si>
  <si>
    <t>repro</t>
  </si>
  <si>
    <t>D0.02</t>
  </si>
  <si>
    <t>Voorruimte</t>
  </si>
  <si>
    <t>D0.02A</t>
  </si>
  <si>
    <t>D0.02B</t>
  </si>
  <si>
    <t>Toilet damens</t>
  </si>
  <si>
    <t>D0.02C</t>
  </si>
  <si>
    <t>D0.03</t>
  </si>
  <si>
    <t>D0.04</t>
  </si>
  <si>
    <t>D0.06</t>
  </si>
  <si>
    <t>D0.08</t>
  </si>
  <si>
    <t>Studielandschap</t>
  </si>
  <si>
    <t>D0.14</t>
  </si>
  <si>
    <t>E0.01</t>
  </si>
  <si>
    <t>E0.02</t>
  </si>
  <si>
    <t>spreekkamer</t>
  </si>
  <si>
    <t>E0.03</t>
  </si>
  <si>
    <t>E0.04</t>
  </si>
  <si>
    <t>E0.05</t>
  </si>
  <si>
    <t>docentenkamer</t>
  </si>
  <si>
    <t>E0.06</t>
  </si>
  <si>
    <t>E0.07</t>
  </si>
  <si>
    <t>lokaal duits</t>
  </si>
  <si>
    <t>E0.08</t>
  </si>
  <si>
    <t>E0.09</t>
  </si>
  <si>
    <t>E0.10</t>
  </si>
  <si>
    <t>E0.11</t>
  </si>
  <si>
    <t>E0.12</t>
  </si>
  <si>
    <t>garderobe</t>
  </si>
  <si>
    <t>E0.14</t>
  </si>
  <si>
    <t>E0.19</t>
  </si>
  <si>
    <t>E0.20</t>
  </si>
  <si>
    <t>E0.21</t>
  </si>
  <si>
    <t>E0.22</t>
  </si>
  <si>
    <t>E0.23</t>
  </si>
  <si>
    <t>A1.01</t>
  </si>
  <si>
    <t>toilet dames + voorruimte</t>
  </si>
  <si>
    <t>A1.03</t>
  </si>
  <si>
    <t>A1.04</t>
  </si>
  <si>
    <t>A1.05</t>
  </si>
  <si>
    <t>A1.06</t>
  </si>
  <si>
    <t>docentenkamer 1</t>
  </si>
  <si>
    <t>A1.07</t>
  </si>
  <si>
    <t>klaslokalen / werkplekken</t>
  </si>
  <si>
    <t>A1.08</t>
  </si>
  <si>
    <t>A1.09</t>
  </si>
  <si>
    <t>kantoor facilitair</t>
  </si>
  <si>
    <t>A1.11</t>
  </si>
  <si>
    <t>vergaderkamer</t>
  </si>
  <si>
    <t>A1.12</t>
  </si>
  <si>
    <t>kantoor concrectoren</t>
  </si>
  <si>
    <t>A1.14</t>
  </si>
  <si>
    <t>gang / lockers</t>
  </si>
  <si>
    <t>B1.00</t>
  </si>
  <si>
    <t>B1.00A</t>
  </si>
  <si>
    <t>B1.02</t>
  </si>
  <si>
    <t>kantoor administratie</t>
  </si>
  <si>
    <t>B1.03</t>
  </si>
  <si>
    <t>kantoor directie / rector</t>
  </si>
  <si>
    <t>B1.04</t>
  </si>
  <si>
    <t>B1.05/06</t>
  </si>
  <si>
    <t>B1.07</t>
  </si>
  <si>
    <t>B1.08</t>
  </si>
  <si>
    <t>Vrij werken</t>
  </si>
  <si>
    <t>B1.09</t>
  </si>
  <si>
    <t>B1.10</t>
  </si>
  <si>
    <t>kantoor concretoren</t>
  </si>
  <si>
    <t>B1.10a</t>
  </si>
  <si>
    <t>B1.11</t>
  </si>
  <si>
    <t>docentenkamer 2</t>
  </si>
  <si>
    <t>B1.11a</t>
  </si>
  <si>
    <t>B1.12</t>
  </si>
  <si>
    <t>kantoor roostermaker</t>
  </si>
  <si>
    <t>B1.12a</t>
  </si>
  <si>
    <t>B1.14</t>
  </si>
  <si>
    <t>toilet dames (personeel)</t>
  </si>
  <si>
    <t>B1.15</t>
  </si>
  <si>
    <t>toilet heren (personeel)</t>
  </si>
  <si>
    <t>B1.16</t>
  </si>
  <si>
    <t>kantoor examen commissie</t>
  </si>
  <si>
    <t>B1.19</t>
  </si>
  <si>
    <t>toilet</t>
  </si>
  <si>
    <t>B1.23</t>
  </si>
  <si>
    <t>C1.01</t>
  </si>
  <si>
    <t>bordes/tribune/trap</t>
  </si>
  <si>
    <t>C1.02</t>
  </si>
  <si>
    <t>C1.03</t>
  </si>
  <si>
    <t>C1.04</t>
  </si>
  <si>
    <t>D1.01</t>
  </si>
  <si>
    <t>D1.02</t>
  </si>
  <si>
    <t>D1.02A</t>
  </si>
  <si>
    <t>toilet personeel</t>
  </si>
  <si>
    <t>D1.02B</t>
  </si>
  <si>
    <t>D1.02C</t>
  </si>
  <si>
    <t>D1.04</t>
  </si>
  <si>
    <t>D1.05</t>
  </si>
  <si>
    <t>open leercentrum</t>
  </si>
  <si>
    <t>D1.06</t>
  </si>
  <si>
    <t>stilte werkplekken</t>
  </si>
  <si>
    <t>D1.07</t>
  </si>
  <si>
    <t>werkplekken personeel</t>
  </si>
  <si>
    <t>D1.08</t>
  </si>
  <si>
    <t>kantoor zoco</t>
  </si>
  <si>
    <t>D1.09</t>
  </si>
  <si>
    <t>D1.10</t>
  </si>
  <si>
    <t>D1.15</t>
  </si>
  <si>
    <t>kantoor</t>
  </si>
  <si>
    <t>D1.16</t>
  </si>
  <si>
    <t>E1.01</t>
  </si>
  <si>
    <t>E1.02</t>
  </si>
  <si>
    <t>lokaal engels</t>
  </si>
  <si>
    <t>E1.03</t>
  </si>
  <si>
    <t>E1.04</t>
  </si>
  <si>
    <t>E1.05</t>
  </si>
  <si>
    <t>E1.06</t>
  </si>
  <si>
    <t>E1.07</t>
  </si>
  <si>
    <t>kantoor conrector</t>
  </si>
  <si>
    <t>E1.09</t>
  </si>
  <si>
    <t>E1.10</t>
  </si>
  <si>
    <t>E1.11</t>
  </si>
  <si>
    <t>lokaal klassieke talen</t>
  </si>
  <si>
    <t>E1.14</t>
  </si>
  <si>
    <t>E1.19</t>
  </si>
  <si>
    <t>E1.20</t>
  </si>
  <si>
    <t>E1.21</t>
  </si>
  <si>
    <t>toilet docenten</t>
  </si>
  <si>
    <t>E1.22</t>
  </si>
  <si>
    <t>E1.24</t>
  </si>
  <si>
    <t>A2.01</t>
  </si>
  <si>
    <t>toilet heren + voorruimte</t>
  </si>
  <si>
    <t>A2.03</t>
  </si>
  <si>
    <t>A2.04</t>
  </si>
  <si>
    <t>A2.06</t>
  </si>
  <si>
    <t>gang/lockers</t>
  </si>
  <si>
    <t>A2.07</t>
  </si>
  <si>
    <t>A2.08</t>
  </si>
  <si>
    <t>A2.09</t>
  </si>
  <si>
    <t>A2.11</t>
  </si>
  <si>
    <t>A2.12</t>
  </si>
  <si>
    <t>B2.01</t>
  </si>
  <si>
    <t>praktijklokaal informatica</t>
  </si>
  <si>
    <t>B2.02</t>
  </si>
  <si>
    <t>B2.03</t>
  </si>
  <si>
    <t>B2.04</t>
  </si>
  <si>
    <t>B2.05</t>
  </si>
  <si>
    <t>B2.06</t>
  </si>
  <si>
    <t>B2.07</t>
  </si>
  <si>
    <t>B2.08</t>
  </si>
  <si>
    <t>B2.11</t>
  </si>
  <si>
    <t>B2.13</t>
  </si>
  <si>
    <t>B2.15</t>
  </si>
  <si>
    <t>B2.16</t>
  </si>
  <si>
    <t>B2.17</t>
  </si>
  <si>
    <t>C2.11</t>
  </si>
  <si>
    <t>C2.12</t>
  </si>
  <si>
    <t>D2.02</t>
  </si>
  <si>
    <t>D2.02A</t>
  </si>
  <si>
    <t>toilet personeel + voorruimte</t>
  </si>
  <si>
    <t>D2.02B</t>
  </si>
  <si>
    <t>D2.02C</t>
  </si>
  <si>
    <t>D2.03</t>
  </si>
  <si>
    <t>D2.04</t>
  </si>
  <si>
    <t>D2.05</t>
  </si>
  <si>
    <t>D2.06</t>
  </si>
  <si>
    <t>BSA</t>
  </si>
  <si>
    <t>D2.07</t>
  </si>
  <si>
    <t>D2.08</t>
  </si>
  <si>
    <t>D2.09</t>
  </si>
  <si>
    <t>D2.13</t>
  </si>
  <si>
    <t>D2.14</t>
  </si>
  <si>
    <t>Decaan</t>
  </si>
  <si>
    <t>E2.01</t>
  </si>
  <si>
    <t>E2.02</t>
  </si>
  <si>
    <t>loot lokaal</t>
  </si>
  <si>
    <t>E2.03</t>
  </si>
  <si>
    <t>E2.04</t>
  </si>
  <si>
    <t>E2.05</t>
  </si>
  <si>
    <t>E2.06</t>
  </si>
  <si>
    <t>E2.07</t>
  </si>
  <si>
    <t>E2.08</t>
  </si>
  <si>
    <t>E2.10</t>
  </si>
  <si>
    <t>E2.11</t>
  </si>
  <si>
    <t>E2.12</t>
  </si>
  <si>
    <t>fitness</t>
  </si>
  <si>
    <t>marmoleum</t>
  </si>
  <si>
    <t>E2.13</t>
  </si>
  <si>
    <t>lokaal drama</t>
  </si>
  <si>
    <t>E2.14</t>
  </si>
  <si>
    <t>E2.15</t>
  </si>
  <si>
    <t>E2.16</t>
  </si>
  <si>
    <t>douche</t>
  </si>
  <si>
    <t>E2.17</t>
  </si>
  <si>
    <t>E2.18</t>
  </si>
  <si>
    <t>E2.19</t>
  </si>
  <si>
    <t>E2.21</t>
  </si>
  <si>
    <t>A3.01</t>
  </si>
  <si>
    <t>voorruimte dames + wc</t>
  </si>
  <si>
    <t>A3.03</t>
  </si>
  <si>
    <t>A3.05</t>
  </si>
  <si>
    <t>A3.06</t>
  </si>
  <si>
    <t>praktijklokaal science</t>
  </si>
  <si>
    <t>A3.07</t>
  </si>
  <si>
    <t>A3.09</t>
  </si>
  <si>
    <t>Scheikunde lokaal</t>
  </si>
  <si>
    <t>A3.10</t>
  </si>
  <si>
    <t>A3.12</t>
  </si>
  <si>
    <t>B3.01</t>
  </si>
  <si>
    <t>B3.04</t>
  </si>
  <si>
    <t>B3.06</t>
  </si>
  <si>
    <t>lokaal binas</t>
  </si>
  <si>
    <t>B3.07</t>
  </si>
  <si>
    <t>B3.08</t>
  </si>
  <si>
    <t>werkplekken scheikunde</t>
  </si>
  <si>
    <t>B3.09</t>
  </si>
  <si>
    <t>B3.11</t>
  </si>
  <si>
    <t>voorruimte wc heren + wc</t>
  </si>
  <si>
    <t>B3.13</t>
  </si>
  <si>
    <t>B3.14</t>
  </si>
  <si>
    <t>B3.15</t>
  </si>
  <si>
    <t>toa ruimte</t>
  </si>
  <si>
    <t>B3.16</t>
  </si>
  <si>
    <t>werkplek docenten</t>
  </si>
  <si>
    <t>C3.11</t>
  </si>
  <si>
    <t>C3.12</t>
  </si>
  <si>
    <t>D3.01</t>
  </si>
  <si>
    <t>D3.01A</t>
  </si>
  <si>
    <t>D3.01B</t>
  </si>
  <si>
    <t>D3.01C</t>
  </si>
  <si>
    <t>D3.03</t>
  </si>
  <si>
    <t>D3.10</t>
  </si>
  <si>
    <t>D3.12</t>
  </si>
  <si>
    <t>D3.14</t>
  </si>
  <si>
    <t>D3.15</t>
  </si>
  <si>
    <t>D3.16</t>
  </si>
  <si>
    <t>E3.01</t>
  </si>
  <si>
    <t>E3.02</t>
  </si>
  <si>
    <t>flexruimte</t>
  </si>
  <si>
    <t>E3.03</t>
  </si>
  <si>
    <t>E3.04</t>
  </si>
  <si>
    <t>E3.05</t>
  </si>
  <si>
    <t>lokaal frans</t>
  </si>
  <si>
    <t>E3.06</t>
  </si>
  <si>
    <t>E3.07</t>
  </si>
  <si>
    <t>E3.08</t>
  </si>
  <si>
    <t>E3.10</t>
  </si>
  <si>
    <t>E3.13</t>
  </si>
  <si>
    <t>E3.14</t>
  </si>
  <si>
    <t>E3.15</t>
  </si>
  <si>
    <t>E3.16</t>
  </si>
  <si>
    <t>E3.17</t>
  </si>
  <si>
    <t>Spiegels wassen dramalokalen</t>
  </si>
  <si>
    <t>08 - VOLT! Toekomstmakers, Oesterzwam 1, Vleuten</t>
  </si>
  <si>
    <t>08</t>
  </si>
  <si>
    <t>Hoofdentree/draaideur</t>
  </si>
  <si>
    <t>Entree/aula</t>
  </si>
  <si>
    <t>topshield2-2018</t>
  </si>
  <si>
    <t>0.01A</t>
  </si>
  <si>
    <t>Hoofdtrap</t>
  </si>
  <si>
    <t>Profiellokaal E&amp;O Keuken</t>
  </si>
  <si>
    <t>Profiellokaal E&amp;O Winkel</t>
  </si>
  <si>
    <t>Profiellokaal E&amp;O Opslagkeuken</t>
  </si>
  <si>
    <t>0.02C</t>
  </si>
  <si>
    <t>Profiellokaal D&amp;P</t>
  </si>
  <si>
    <t>0.03A</t>
  </si>
  <si>
    <t>Profiellokaal D&amp;P Vide</t>
  </si>
  <si>
    <t>Profiellokaal PIE</t>
  </si>
  <si>
    <t>0.04A</t>
  </si>
  <si>
    <t>Gangruimte 3</t>
  </si>
  <si>
    <t>0.09A</t>
  </si>
  <si>
    <t>Pauzeruimte incl. podium</t>
  </si>
  <si>
    <t>0.12</t>
  </si>
  <si>
    <t>Keuken/Berging</t>
  </si>
  <si>
    <t>Gangruimte 2</t>
  </si>
  <si>
    <t>Gangruimte 1 + Entree gym</t>
  </si>
  <si>
    <t>0.18</t>
  </si>
  <si>
    <t>Kleedkamer meisjes</t>
  </si>
  <si>
    <t>Douche meisjes</t>
  </si>
  <si>
    <t>0.28</t>
  </si>
  <si>
    <t>Docentenkamer gym</t>
  </si>
  <si>
    <t>Kleedkamer jongens</t>
  </si>
  <si>
    <t>Douche jongens</t>
  </si>
  <si>
    <t>0.31</t>
  </si>
  <si>
    <t>Toiletten gym</t>
  </si>
  <si>
    <t>0.34</t>
  </si>
  <si>
    <t>Gangruimte gym</t>
  </si>
  <si>
    <t>0.38</t>
  </si>
  <si>
    <t>0.39</t>
  </si>
  <si>
    <t>Kantoor administratie</t>
  </si>
  <si>
    <t>Concierge</t>
  </si>
  <si>
    <t>Gymzaal 1</t>
  </si>
  <si>
    <t>0.42</t>
  </si>
  <si>
    <t>Gymzaal 2</t>
  </si>
  <si>
    <t>0.44</t>
  </si>
  <si>
    <t>0.45</t>
  </si>
  <si>
    <t>Practicumlokaal Biologie</t>
  </si>
  <si>
    <t>Labaratorium bij bio nask</t>
  </si>
  <si>
    <t>1.04</t>
  </si>
  <si>
    <t>Practicumlokaal natuur- scheikunde</t>
  </si>
  <si>
    <t>1.05A</t>
  </si>
  <si>
    <t>Practicumlokaal leerplein</t>
  </si>
  <si>
    <t>1.05B</t>
  </si>
  <si>
    <t>Practicumlokaal bedden</t>
  </si>
  <si>
    <t>1.05C</t>
  </si>
  <si>
    <t>Practicumlokaal kapper</t>
  </si>
  <si>
    <t>1.05D</t>
  </si>
  <si>
    <t>Practicumlokaal kindhoek</t>
  </si>
  <si>
    <t>1.05E</t>
  </si>
  <si>
    <t>Practicumlokaal verkeersruimte/entree</t>
  </si>
  <si>
    <t>1.05F</t>
  </si>
  <si>
    <t>Profiellokaal Z&amp;W keuken</t>
  </si>
  <si>
    <t>1.06A</t>
  </si>
  <si>
    <t>Profiellokaal Z&amp;W keukenopslag</t>
  </si>
  <si>
    <t>1.06B</t>
  </si>
  <si>
    <t>Profiellokaal Z&amp;W leslokaal</t>
  </si>
  <si>
    <t>1.06C</t>
  </si>
  <si>
    <t>Profiellokaal Z&amp;W washok</t>
  </si>
  <si>
    <t>Overleg personeel</t>
  </si>
  <si>
    <t>Orthopedagoog</t>
  </si>
  <si>
    <t>Kantoor secretariaat</t>
  </si>
  <si>
    <t>Kantoor directeur</t>
  </si>
  <si>
    <t>Kantoor SMW</t>
  </si>
  <si>
    <t>Toilet personeel</t>
  </si>
  <si>
    <t>1.32</t>
  </si>
  <si>
    <t>Gangruimte 1</t>
  </si>
  <si>
    <t>1.34</t>
  </si>
  <si>
    <t>1.35</t>
  </si>
  <si>
    <t>Opslag algemeen/magazijn</t>
  </si>
  <si>
    <t>Hoofdtraphal</t>
  </si>
  <si>
    <t>1.42</t>
  </si>
  <si>
    <t>1.44</t>
  </si>
  <si>
    <t>1.45</t>
  </si>
  <si>
    <t>1.46</t>
  </si>
  <si>
    <t>Practicumlokaal economie</t>
  </si>
  <si>
    <t>Individueel leren economie</t>
  </si>
  <si>
    <t>2.04</t>
  </si>
  <si>
    <t>Practicumlokaal techniek</t>
  </si>
  <si>
    <t>Individueel leren techniek</t>
  </si>
  <si>
    <t>Theorielokaal letters</t>
  </si>
  <si>
    <t>2.09</t>
  </si>
  <si>
    <t>Kantoor teamleiders personeel</t>
  </si>
  <si>
    <t>Theorielokaal vakgebonden</t>
  </si>
  <si>
    <t>Individueel leren bij vakgebonden</t>
  </si>
  <si>
    <t>Theorielokaal cijfers</t>
  </si>
  <si>
    <t>Indiviueel leren cijfers</t>
  </si>
  <si>
    <t>Theorielokaal bovenbouw</t>
  </si>
  <si>
    <t>Individueel leren</t>
  </si>
  <si>
    <t>Theorielokaal</t>
  </si>
  <si>
    <t>2.38</t>
  </si>
  <si>
    <t>Individueel leren Letters</t>
  </si>
  <si>
    <t>2.39</t>
  </si>
  <si>
    <t>Gangruimte</t>
  </si>
  <si>
    <t>Theorielokaal LWOO</t>
  </si>
  <si>
    <t>Practicumlokaal kunst &amp; cultuur</t>
  </si>
  <si>
    <t>Individueel leren bij K&amp;C</t>
  </si>
  <si>
    <t>3.09</t>
  </si>
  <si>
    <t>3.12</t>
  </si>
  <si>
    <t>3.18</t>
  </si>
  <si>
    <t>Theorielokaal LWOO 1</t>
  </si>
  <si>
    <t>3.21</t>
  </si>
  <si>
    <t>Individueel leren LWOO</t>
  </si>
  <si>
    <t>Individueel leren Cijfers</t>
  </si>
  <si>
    <t>3.28</t>
  </si>
  <si>
    <t>3.35</t>
  </si>
  <si>
    <t>3.36</t>
  </si>
  <si>
    <t>3.37</t>
  </si>
  <si>
    <t>3.38</t>
  </si>
  <si>
    <t>10 - NXT Maarsbergen, Woudenbergseweg 22A, Maarsbergen</t>
  </si>
  <si>
    <t>10</t>
  </si>
  <si>
    <t>119</t>
  </si>
  <si>
    <t>Praktijklokaal afdeling motorvoertuigen</t>
  </si>
  <si>
    <t>parket</t>
  </si>
  <si>
    <t>120</t>
  </si>
  <si>
    <t>Computerlokaal</t>
  </si>
  <si>
    <t>120A</t>
  </si>
  <si>
    <t>tegels</t>
  </si>
  <si>
    <t>122</t>
  </si>
  <si>
    <t>Praktijklokaal bouw</t>
  </si>
  <si>
    <t>123</t>
  </si>
  <si>
    <t>Praktijklokaal lassen</t>
  </si>
  <si>
    <t>124</t>
  </si>
  <si>
    <t>Praktijklokaal elektrotechniek</t>
  </si>
  <si>
    <t>124A</t>
  </si>
  <si>
    <t>124B</t>
  </si>
  <si>
    <t>125</t>
  </si>
  <si>
    <t>Praktijklokaal metaaltechniek</t>
  </si>
  <si>
    <t>125A</t>
  </si>
  <si>
    <t>126</t>
  </si>
  <si>
    <t>Praktijklokaal bakkerij</t>
  </si>
  <si>
    <t>127</t>
  </si>
  <si>
    <t>Keuken</t>
  </si>
  <si>
    <t>127A</t>
  </si>
  <si>
    <t>Kleedruimte jongens</t>
  </si>
  <si>
    <t>127B</t>
  </si>
  <si>
    <t>128</t>
  </si>
  <si>
    <t>Theorielokaal elektrotechniek</t>
  </si>
  <si>
    <t>130/132</t>
  </si>
  <si>
    <t>Praktijklokaal hout/metaal/schilderen</t>
  </si>
  <si>
    <t>131</t>
  </si>
  <si>
    <t>Praktijklokaal machinale houtbewerking</t>
  </si>
  <si>
    <t>133</t>
  </si>
  <si>
    <t>Theorielokaal schilderen</t>
  </si>
  <si>
    <t>133A</t>
  </si>
  <si>
    <t>134</t>
  </si>
  <si>
    <t>Praktijklokaal voertuigen techniek</t>
  </si>
  <si>
    <t>135</t>
  </si>
  <si>
    <t>Theorielokaal VT/IT</t>
  </si>
  <si>
    <t>136</t>
  </si>
  <si>
    <t>Installatietechniek</t>
  </si>
  <si>
    <t>137</t>
  </si>
  <si>
    <t>139</t>
  </si>
  <si>
    <t>Theorielokaal AVO</t>
  </si>
  <si>
    <t>140</t>
  </si>
  <si>
    <t>Praktijk-/theorielokaal</t>
  </si>
  <si>
    <t>141</t>
  </si>
  <si>
    <t>142</t>
  </si>
  <si>
    <t>143</t>
  </si>
  <si>
    <t>143A</t>
  </si>
  <si>
    <t>143B</t>
  </si>
  <si>
    <t>143C</t>
  </si>
  <si>
    <t>Centrale hal</t>
  </si>
  <si>
    <t>143D</t>
  </si>
  <si>
    <t>143E</t>
  </si>
  <si>
    <t>143F</t>
  </si>
  <si>
    <t>Toiletten heren</t>
  </si>
  <si>
    <t>143G</t>
  </si>
  <si>
    <t>EHBO</t>
  </si>
  <si>
    <t>143H</t>
  </si>
  <si>
    <t>144</t>
  </si>
  <si>
    <t>145</t>
  </si>
  <si>
    <t>146</t>
  </si>
  <si>
    <t>160</t>
  </si>
  <si>
    <t>162</t>
  </si>
  <si>
    <t>163</t>
  </si>
  <si>
    <t>164</t>
  </si>
  <si>
    <t>166</t>
  </si>
  <si>
    <t>167</t>
  </si>
  <si>
    <t>Docentenkamer</t>
  </si>
  <si>
    <t>168</t>
  </si>
  <si>
    <t>Kantoor conciërge</t>
  </si>
  <si>
    <t>169</t>
  </si>
  <si>
    <t>169A</t>
  </si>
  <si>
    <t>169C</t>
  </si>
  <si>
    <t>169D</t>
  </si>
  <si>
    <t>169E</t>
  </si>
  <si>
    <t>171</t>
  </si>
  <si>
    <t>171A</t>
  </si>
  <si>
    <t>Toestelberging</t>
  </si>
  <si>
    <t>172</t>
  </si>
  <si>
    <t>172A</t>
  </si>
  <si>
    <t>Docentenruimte sport</t>
  </si>
  <si>
    <t>172B</t>
  </si>
  <si>
    <t>Fitnessruimte</t>
  </si>
  <si>
    <t>172C</t>
  </si>
  <si>
    <t>172D</t>
  </si>
  <si>
    <t>172E</t>
  </si>
  <si>
    <t>173</t>
  </si>
  <si>
    <t>174</t>
  </si>
  <si>
    <t>175</t>
  </si>
  <si>
    <t>176</t>
  </si>
  <si>
    <t>177</t>
  </si>
  <si>
    <t>178</t>
  </si>
  <si>
    <t>190</t>
  </si>
  <si>
    <t>Natuur-/scheikundelokaal</t>
  </si>
  <si>
    <t>190A</t>
  </si>
  <si>
    <t>191</t>
  </si>
  <si>
    <t>193</t>
  </si>
  <si>
    <t>Werkkamer</t>
  </si>
  <si>
    <t>194</t>
  </si>
  <si>
    <t>195</t>
  </si>
  <si>
    <t>Kabinet / kantoor</t>
  </si>
  <si>
    <t>1A</t>
  </si>
  <si>
    <t>1B</t>
  </si>
  <si>
    <t>1C</t>
  </si>
  <si>
    <t>1D</t>
  </si>
  <si>
    <t>1E</t>
  </si>
  <si>
    <t>1F</t>
  </si>
  <si>
    <t>1G</t>
  </si>
  <si>
    <t>1L</t>
  </si>
  <si>
    <t>1M</t>
  </si>
  <si>
    <t>1N</t>
  </si>
  <si>
    <t>1O</t>
  </si>
  <si>
    <t>1P</t>
  </si>
  <si>
    <t>D1</t>
  </si>
  <si>
    <t>Kleedruimten</t>
  </si>
  <si>
    <t>D1-A</t>
  </si>
  <si>
    <t>D2</t>
  </si>
  <si>
    <t>D2-A</t>
  </si>
  <si>
    <t>H3</t>
  </si>
  <si>
    <t>H3-A</t>
  </si>
  <si>
    <t>H4</t>
  </si>
  <si>
    <t>H4-A</t>
  </si>
  <si>
    <t>H6</t>
  </si>
  <si>
    <t>S1</t>
  </si>
  <si>
    <t>S2</t>
  </si>
  <si>
    <t>S3</t>
  </si>
  <si>
    <t>S4</t>
  </si>
  <si>
    <t>T1</t>
  </si>
  <si>
    <t>T2</t>
  </si>
  <si>
    <t>T3</t>
  </si>
  <si>
    <t>T4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</si>
  <si>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</si>
  <si>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</si>
  <si>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</si>
  <si>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</si>
  <si>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</si>
  <si>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</si>
  <si>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</si>
  <si>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</si>
  <si>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</si>
  <si>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</si>
  <si>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159A</t>
  </si>
  <si>
    <t>159B</t>
  </si>
  <si>
    <t>159C</t>
  </si>
  <si>
    <t>159D</t>
  </si>
  <si>
    <t>159E</t>
  </si>
  <si>
    <t>Gang/bordes</t>
  </si>
  <si>
    <t>Systeembeheer</t>
  </si>
  <si>
    <t>179A</t>
  </si>
  <si>
    <t>181</t>
  </si>
  <si>
    <t>Leerplein</t>
  </si>
  <si>
    <t>181A</t>
  </si>
  <si>
    <t>182</t>
  </si>
  <si>
    <t>183</t>
  </si>
  <si>
    <t>184</t>
  </si>
  <si>
    <t>185</t>
  </si>
  <si>
    <t>186</t>
  </si>
  <si>
    <t>187</t>
  </si>
  <si>
    <t>188</t>
  </si>
  <si>
    <t>189</t>
  </si>
  <si>
    <t>T7</t>
  </si>
  <si>
    <t>13 - NXT Doorn, Frans van Dijklaan 2, Doorn</t>
  </si>
  <si>
    <t>13</t>
  </si>
  <si>
    <t>Entreehal</t>
  </si>
  <si>
    <t>Directeur</t>
  </si>
  <si>
    <t>Gang voorlift</t>
  </si>
  <si>
    <t>Gang voor nooddeur</t>
  </si>
  <si>
    <t>steen</t>
  </si>
  <si>
    <t>Gang voor coord.</t>
  </si>
  <si>
    <t>antislip</t>
  </si>
  <si>
    <t>Lokaal nask</t>
  </si>
  <si>
    <t>Lokaal theorie</t>
  </si>
  <si>
    <t>Lokaal economie</t>
  </si>
  <si>
    <t>Lokaal geschiedenis</t>
  </si>
  <si>
    <t>Lokaal aardrijkskunde</t>
  </si>
  <si>
    <t>Lokaal algemeen</t>
  </si>
  <si>
    <t>0.20</t>
  </si>
  <si>
    <t>Lokaal koken</t>
  </si>
  <si>
    <t>0.23</t>
  </si>
  <si>
    <t>Concierge/receptie</t>
  </si>
  <si>
    <t>0.24</t>
  </si>
  <si>
    <t>Stafkamer</t>
  </si>
  <si>
    <t>Coordinator</t>
  </si>
  <si>
    <t>Verkooppunt/keuken</t>
  </si>
  <si>
    <t>Voorruimte toiletten</t>
  </si>
  <si>
    <t>Toilet meisjes</t>
  </si>
  <si>
    <t>Toilet jongens</t>
  </si>
  <si>
    <t>Gang naar 11</t>
  </si>
  <si>
    <t>Gang naar 16</t>
  </si>
  <si>
    <t>Lokaal handarbeid</t>
  </si>
  <si>
    <t>Lokaal engels</t>
  </si>
  <si>
    <t>Lokaal frans</t>
  </si>
  <si>
    <t>Lokaal duits</t>
  </si>
  <si>
    <t>Lokaal nederlands</t>
  </si>
  <si>
    <t>Coordinatoren</t>
  </si>
  <si>
    <t>Toiletgroep hal</t>
  </si>
  <si>
    <t>20 - Ithaka &amp; Pouwer College, La Bohèmedreef 7, Utrecht</t>
  </si>
  <si>
    <t>20</t>
  </si>
  <si>
    <t>N0.06</t>
  </si>
  <si>
    <t>Praktijklokaal handvaardigheid</t>
  </si>
  <si>
    <t>strizo antislip</t>
  </si>
  <si>
    <t>N0.07</t>
  </si>
  <si>
    <t>Praktijklokaal kringloop</t>
  </si>
  <si>
    <t>N0.08</t>
  </si>
  <si>
    <t>Praktijklokaal hout</t>
  </si>
  <si>
    <t>N0.09</t>
  </si>
  <si>
    <t>Instructieruimte techniek</t>
  </si>
  <si>
    <t>rubber</t>
  </si>
  <si>
    <t>N0.11</t>
  </si>
  <si>
    <t>Praktijklokaal metaal</t>
  </si>
  <si>
    <t>N0.12</t>
  </si>
  <si>
    <t>Praktijklokaal was en strijk</t>
  </si>
  <si>
    <t>N0.12B</t>
  </si>
  <si>
    <t>N0.13C</t>
  </si>
  <si>
    <t>Praktijklokaal horeca</t>
  </si>
  <si>
    <t>N0.13D</t>
  </si>
  <si>
    <t>N0.14</t>
  </si>
  <si>
    <t>N0.14A</t>
  </si>
  <si>
    <t>N0.16</t>
  </si>
  <si>
    <t>N0.19</t>
  </si>
  <si>
    <t>Praktijklokaal</t>
  </si>
  <si>
    <t>N0.30A</t>
  </si>
  <si>
    <t>Aula/hal</t>
  </si>
  <si>
    <t>N0.30B</t>
  </si>
  <si>
    <t>N0.31A</t>
  </si>
  <si>
    <t>Arbeids training centrum</t>
  </si>
  <si>
    <t>N0.31B</t>
  </si>
  <si>
    <t>N0.31C</t>
  </si>
  <si>
    <t>staal</t>
  </si>
  <si>
    <t>N0.32</t>
  </si>
  <si>
    <t>N0.33</t>
  </si>
  <si>
    <t>N0.35</t>
  </si>
  <si>
    <t>N0.41</t>
  </si>
  <si>
    <t>N0.42</t>
  </si>
  <si>
    <t>N0.43</t>
  </si>
  <si>
    <t>lino/pvc</t>
  </si>
  <si>
    <t>N0.44</t>
  </si>
  <si>
    <t>N0.45</t>
  </si>
  <si>
    <t>N0.50</t>
  </si>
  <si>
    <t>N0.51</t>
  </si>
  <si>
    <t>N0.52</t>
  </si>
  <si>
    <t>N0.53</t>
  </si>
  <si>
    <t>N0.54</t>
  </si>
  <si>
    <t>N0.55</t>
  </si>
  <si>
    <t>N0.56</t>
  </si>
  <si>
    <t>N0.90</t>
  </si>
  <si>
    <t>N0.91</t>
  </si>
  <si>
    <t>N0.92</t>
  </si>
  <si>
    <t>N0.93</t>
  </si>
  <si>
    <t>N1.01</t>
  </si>
  <si>
    <t>topshield2-2019</t>
  </si>
  <si>
    <t>N1.02</t>
  </si>
  <si>
    <t>N1.03</t>
  </si>
  <si>
    <t>N1.04</t>
  </si>
  <si>
    <t>N1.05</t>
  </si>
  <si>
    <t>N1.06</t>
  </si>
  <si>
    <t>N1.07</t>
  </si>
  <si>
    <t>N1.07A</t>
  </si>
  <si>
    <t>N1.08</t>
  </si>
  <si>
    <t>Werkplek docenten</t>
  </si>
  <si>
    <t>N1.09</t>
  </si>
  <si>
    <t>N1.10</t>
  </si>
  <si>
    <t>N1.14</t>
  </si>
  <si>
    <t>N1.16</t>
  </si>
  <si>
    <t>N1.23</t>
  </si>
  <si>
    <t>N1.28</t>
  </si>
  <si>
    <t>N1.29</t>
  </si>
  <si>
    <t>N1.30</t>
  </si>
  <si>
    <t>N1.31</t>
  </si>
  <si>
    <t>N1.32</t>
  </si>
  <si>
    <t>N1.33</t>
  </si>
  <si>
    <t>N1.34</t>
  </si>
  <si>
    <t>N1.41</t>
  </si>
  <si>
    <t>N1.42</t>
  </si>
  <si>
    <t>N1.43</t>
  </si>
  <si>
    <t>N1.44</t>
  </si>
  <si>
    <t>N1.51</t>
  </si>
  <si>
    <t>Toilet docent</t>
  </si>
  <si>
    <t>N1.52</t>
  </si>
  <si>
    <t>N1.53</t>
  </si>
  <si>
    <t>N1.54</t>
  </si>
  <si>
    <t>N1.55</t>
  </si>
  <si>
    <t>N2.01</t>
  </si>
  <si>
    <t>N2.02</t>
  </si>
  <si>
    <t>N2.03</t>
  </si>
  <si>
    <t>Praktijklokaal textiel</t>
  </si>
  <si>
    <t>N2.04</t>
  </si>
  <si>
    <t>N2.05</t>
  </si>
  <si>
    <t>N2.06</t>
  </si>
  <si>
    <t>N2.07</t>
  </si>
  <si>
    <t>N2.08</t>
  </si>
  <si>
    <t>N2.09</t>
  </si>
  <si>
    <t>Praktijklokaal huishoud</t>
  </si>
  <si>
    <t>N2.10</t>
  </si>
  <si>
    <t>N2.11</t>
  </si>
  <si>
    <t>N2.13</t>
  </si>
  <si>
    <t>N2.15</t>
  </si>
  <si>
    <t>N2.16</t>
  </si>
  <si>
    <t>N2.18</t>
  </si>
  <si>
    <t>N2.20</t>
  </si>
  <si>
    <t>N2.30</t>
  </si>
  <si>
    <t>N2.31</t>
  </si>
  <si>
    <t>N2.32</t>
  </si>
  <si>
    <t>N2.33</t>
  </si>
  <si>
    <t>N2.34</t>
  </si>
  <si>
    <t>N2.36</t>
  </si>
  <si>
    <t>N2.41</t>
  </si>
  <si>
    <t>N2.42</t>
  </si>
  <si>
    <t>N2.43</t>
  </si>
  <si>
    <t>N2.44</t>
  </si>
  <si>
    <t>N2.50</t>
  </si>
  <si>
    <t>N2.51</t>
  </si>
  <si>
    <t>N2.60</t>
  </si>
  <si>
    <t>Bibliotheek</t>
  </si>
  <si>
    <t>5G</t>
  </si>
  <si>
    <t>GYM</t>
  </si>
  <si>
    <t>G0.01</t>
  </si>
  <si>
    <t>G0.02</t>
  </si>
  <si>
    <t>Kleedkamer dames</t>
  </si>
  <si>
    <t>G0.03</t>
  </si>
  <si>
    <t>Douches dames</t>
  </si>
  <si>
    <t>G0.04</t>
  </si>
  <si>
    <t>Kleedkamer heren</t>
  </si>
  <si>
    <t>G0.05</t>
  </si>
  <si>
    <t>G0.06</t>
  </si>
  <si>
    <t>Douches heren</t>
  </si>
  <si>
    <t>G0.07</t>
  </si>
  <si>
    <t>G0.08</t>
  </si>
  <si>
    <t>Douche docent</t>
  </si>
  <si>
    <t>G0.09</t>
  </si>
  <si>
    <t>G0.10</t>
  </si>
  <si>
    <t>G0.11</t>
  </si>
  <si>
    <t>Gymzaal</t>
  </si>
  <si>
    <t>23 - Ithaka Dependance 3, Stroyenborchdreef 2, Utrecht</t>
  </si>
  <si>
    <t>23</t>
  </si>
  <si>
    <t>Leslokaal 4</t>
  </si>
  <si>
    <t>Leslokaal 5</t>
  </si>
  <si>
    <t>Leslokaal 1</t>
  </si>
  <si>
    <t>Leslokaal 2</t>
  </si>
  <si>
    <t>Speellokaal</t>
  </si>
  <si>
    <t>tapijttegels</t>
  </si>
  <si>
    <t>Spreekkamer Arts</t>
  </si>
  <si>
    <t>Spreekkamer Huismeester</t>
  </si>
  <si>
    <t>Leslokaal 3</t>
  </si>
  <si>
    <t>0.29A</t>
  </si>
  <si>
    <t>Leslokaal 3 Berging</t>
  </si>
  <si>
    <t>Leslokaal 7</t>
  </si>
  <si>
    <t>0.33A</t>
  </si>
  <si>
    <t>0.33B</t>
  </si>
  <si>
    <t>0.33C</t>
  </si>
  <si>
    <t>Leslokaal 6</t>
  </si>
  <si>
    <t>Bibiliotheek</t>
  </si>
  <si>
    <t>0.43</t>
  </si>
  <si>
    <t>Leslokaal 106</t>
  </si>
  <si>
    <t>Leslokaal 107</t>
  </si>
  <si>
    <t>Leslokaal 101</t>
  </si>
  <si>
    <t>Leslokaal 102</t>
  </si>
  <si>
    <t>Leslokaal 103</t>
  </si>
  <si>
    <t>RT-Ruimte</t>
  </si>
  <si>
    <t>Spreekkamer 3</t>
  </si>
  <si>
    <t>Spreekkamer 1</t>
  </si>
  <si>
    <t>Spreekkamer 2</t>
  </si>
  <si>
    <t>Leslokaal 104</t>
  </si>
  <si>
    <t>Leslokaal 105</t>
  </si>
  <si>
    <t>Leslokaal 108</t>
  </si>
  <si>
    <t>1.31</t>
  </si>
  <si>
    <t>Leslokaal 109</t>
  </si>
  <si>
    <t>30 - X11 Media en Vormgeving, Van Bijnkershoeklaan 8, Utrecht</t>
  </si>
  <si>
    <t>30</t>
  </si>
  <si>
    <t>topshield2-2015</t>
  </si>
  <si>
    <t>Conciërge/balie</t>
  </si>
  <si>
    <t>Werkruimte VO</t>
  </si>
  <si>
    <t>Aula</t>
  </si>
  <si>
    <t>Leslokaal (grade 1)</t>
  </si>
  <si>
    <t>Leslokaal (grade 2)</t>
  </si>
  <si>
    <t>Toilet kleuters</t>
  </si>
  <si>
    <t>Parents community room</t>
  </si>
  <si>
    <t>Toiletten kleuters</t>
  </si>
  <si>
    <t>Vergaderkamer</t>
  </si>
  <si>
    <t>EAL room</t>
  </si>
  <si>
    <t>Praktijklokaal Arts + Techniek VO</t>
  </si>
  <si>
    <t>Praktijklokaal muziek/drama</t>
  </si>
  <si>
    <t>1.27A</t>
  </si>
  <si>
    <t>A</t>
  </si>
  <si>
    <t>0.35A</t>
  </si>
  <si>
    <t>Kindergarten</t>
  </si>
  <si>
    <t>Playroom 2</t>
  </si>
  <si>
    <t>0.39A</t>
  </si>
  <si>
    <t>0.39B</t>
  </si>
  <si>
    <t>Muzieklokaal</t>
  </si>
  <si>
    <t>Oefenruimte muziek</t>
  </si>
  <si>
    <t>1.28A</t>
  </si>
  <si>
    <t>Comm. area</t>
  </si>
  <si>
    <t>Leslokaal art/design</t>
  </si>
  <si>
    <t>1.41</t>
  </si>
  <si>
    <t>NU</t>
  </si>
  <si>
    <t>N0.01</t>
  </si>
  <si>
    <t>N0.02</t>
  </si>
  <si>
    <t>N0.04</t>
  </si>
  <si>
    <t>Praktijklokaal arts/design</t>
  </si>
  <si>
    <t>N0.05</t>
  </si>
  <si>
    <t>Leslokaal (grade 3)</t>
  </si>
  <si>
    <t>N0.10</t>
  </si>
  <si>
    <t>Werkruimte docenten</t>
  </si>
  <si>
    <t>Leslokaal (grade 6) /science lab</t>
  </si>
  <si>
    <t>Secondary</t>
  </si>
  <si>
    <t>N1.11</t>
  </si>
  <si>
    <t>N1.12</t>
  </si>
  <si>
    <t>PIO</t>
  </si>
  <si>
    <t>P0.45</t>
  </si>
  <si>
    <t>P0.46</t>
  </si>
  <si>
    <t>Werkplekken + lounge</t>
  </si>
  <si>
    <t>P0.47</t>
  </si>
  <si>
    <t>Les 01</t>
  </si>
  <si>
    <t>P0.48</t>
  </si>
  <si>
    <t>P0.49</t>
  </si>
  <si>
    <t>Werkplekken</t>
  </si>
  <si>
    <t>P0.50</t>
  </si>
  <si>
    <t>Les 02</t>
  </si>
  <si>
    <t>P0.51</t>
  </si>
  <si>
    <t>Les 03</t>
  </si>
  <si>
    <t>P0.52</t>
  </si>
  <si>
    <t>Les 04</t>
  </si>
  <si>
    <t>31 - X11 Media en Vormgeving Dependance, Grebbeberglaan 25, Utrecht</t>
  </si>
  <si>
    <t>31</t>
  </si>
  <si>
    <t>Werkplekken leerlingen</t>
  </si>
  <si>
    <t>Uitgiftebalie/keuken</t>
  </si>
  <si>
    <t>Docentenruimte</t>
  </si>
  <si>
    <t>Praktijklokaal drama</t>
  </si>
  <si>
    <t>Praktijklokaal Art/design</t>
  </si>
  <si>
    <t>Lokaal SPA</t>
  </si>
  <si>
    <t>topshield2-2016</t>
  </si>
  <si>
    <t>Praktijklokaal science lab</t>
  </si>
  <si>
    <t>32 - Anna van Rijn College, Albatros 1, Nieuwegein</t>
  </si>
  <si>
    <t>32</t>
  </si>
  <si>
    <t>Kantoor Robijn</t>
  </si>
  <si>
    <t>Entree Robijn</t>
  </si>
  <si>
    <t>0.05A</t>
  </si>
  <si>
    <t>Trappenhuis Robijn</t>
  </si>
  <si>
    <t>0.05B</t>
  </si>
  <si>
    <t>Toilet miva Robijn</t>
  </si>
  <si>
    <t>0.06A</t>
  </si>
  <si>
    <t>0.06B</t>
  </si>
  <si>
    <t>0.06C</t>
  </si>
  <si>
    <t>Tijdelijk leslokaal</t>
  </si>
  <si>
    <t>0.08A</t>
  </si>
  <si>
    <t>Toilet Jongens</t>
  </si>
  <si>
    <t>0.10B</t>
  </si>
  <si>
    <t>Toilet Meisjes</t>
  </si>
  <si>
    <t>0.10C</t>
  </si>
  <si>
    <t>Personeelstoilet</t>
  </si>
  <si>
    <t>0.10G</t>
  </si>
  <si>
    <t>Lockerruimte Onderbouw</t>
  </si>
  <si>
    <t>0.11A</t>
  </si>
  <si>
    <t>Receptie/Huismeester</t>
  </si>
  <si>
    <t>Lockerruimte Bovenbouw</t>
  </si>
  <si>
    <t>0.13C</t>
  </si>
  <si>
    <t>0.14G</t>
  </si>
  <si>
    <t>Gang (naar onderbouw)</t>
  </si>
  <si>
    <t>0.20G</t>
  </si>
  <si>
    <t>0.25A</t>
  </si>
  <si>
    <t>0.26A</t>
  </si>
  <si>
    <t>Kleedruimte Algemeen</t>
  </si>
  <si>
    <t>tegel</t>
  </si>
  <si>
    <t>Docenten L.O.</t>
  </si>
  <si>
    <t>pulastic</t>
  </si>
  <si>
    <t>0.31A</t>
  </si>
  <si>
    <t>0.32A</t>
  </si>
  <si>
    <t>0.40B</t>
  </si>
  <si>
    <t>0.40G</t>
  </si>
  <si>
    <t>0.41B</t>
  </si>
  <si>
    <t>0.43A</t>
  </si>
  <si>
    <t>Vluchtweg</t>
  </si>
  <si>
    <t>0.46</t>
  </si>
  <si>
    <t>0.60G</t>
  </si>
  <si>
    <t>stoeptegel</t>
  </si>
  <si>
    <t>0.61</t>
  </si>
  <si>
    <t>Praktijlokaal laboratorium</t>
  </si>
  <si>
    <t>0.61A</t>
  </si>
  <si>
    <t>Toilet Genderneutraal</t>
  </si>
  <si>
    <t>0.61E</t>
  </si>
  <si>
    <t>Praktijklokaal kabinet/scheikunde</t>
  </si>
  <si>
    <t>0.62A</t>
  </si>
  <si>
    <t>0.70</t>
  </si>
  <si>
    <t>0.70G</t>
  </si>
  <si>
    <t>0.71</t>
  </si>
  <si>
    <t>0.72</t>
  </si>
  <si>
    <t>0.73</t>
  </si>
  <si>
    <t>Gymzaal 3</t>
  </si>
  <si>
    <t>0.73B</t>
  </si>
  <si>
    <t>0.74</t>
  </si>
  <si>
    <t>Gymzaal 4</t>
  </si>
  <si>
    <t>0.74B</t>
  </si>
  <si>
    <t>0.80A</t>
  </si>
  <si>
    <t>0.80B</t>
  </si>
  <si>
    <t>0.80G</t>
  </si>
  <si>
    <t>0.81</t>
  </si>
  <si>
    <t>0.81A</t>
  </si>
  <si>
    <t>0.81B</t>
  </si>
  <si>
    <t>0.81C</t>
  </si>
  <si>
    <t>0.81G</t>
  </si>
  <si>
    <t>0.82</t>
  </si>
  <si>
    <t>0.83</t>
  </si>
  <si>
    <t>0.83A</t>
  </si>
  <si>
    <t>lino/hout</t>
  </si>
  <si>
    <t>0.84</t>
  </si>
  <si>
    <t>0.84A</t>
  </si>
  <si>
    <t>Kantoor natuurkunde</t>
  </si>
  <si>
    <t>0.85</t>
  </si>
  <si>
    <t>0.85A</t>
  </si>
  <si>
    <t>Nooduitgang</t>
  </si>
  <si>
    <t>0.86</t>
  </si>
  <si>
    <t>0.86A</t>
  </si>
  <si>
    <t>0.87</t>
  </si>
  <si>
    <t>Theaterzaal</t>
  </si>
  <si>
    <t>Podium</t>
  </si>
  <si>
    <t>1.03G</t>
  </si>
  <si>
    <t>1.09A</t>
  </si>
  <si>
    <t>1.09B</t>
  </si>
  <si>
    <t>1.10A</t>
  </si>
  <si>
    <t>1.10B</t>
  </si>
  <si>
    <t>Lockerruimte</t>
  </si>
  <si>
    <t>1.10C</t>
  </si>
  <si>
    <t>1.10D</t>
  </si>
  <si>
    <t>1.11G</t>
  </si>
  <si>
    <t>Leerlingenadministratie</t>
  </si>
  <si>
    <t>1.12G</t>
  </si>
  <si>
    <t>1.13A</t>
  </si>
  <si>
    <t>Techlab werkplekken</t>
  </si>
  <si>
    <t>1.13B</t>
  </si>
  <si>
    <t>1.13C</t>
  </si>
  <si>
    <t>Toilet Personeel</t>
  </si>
  <si>
    <t>1.13D</t>
  </si>
  <si>
    <t>1.13E</t>
  </si>
  <si>
    <t>1.13F</t>
  </si>
  <si>
    <t>Techlab</t>
  </si>
  <si>
    <t>1.15A</t>
  </si>
  <si>
    <t>1.15B</t>
  </si>
  <si>
    <t>1.15C</t>
  </si>
  <si>
    <t>1.15G</t>
  </si>
  <si>
    <t>1.16G</t>
  </si>
  <si>
    <t>vast tapijt</t>
  </si>
  <si>
    <t>1.20G</t>
  </si>
  <si>
    <t>1.22A</t>
  </si>
  <si>
    <t>1.22B</t>
  </si>
  <si>
    <t>1.24A</t>
  </si>
  <si>
    <t>1.40B</t>
  </si>
  <si>
    <t>1.40C</t>
  </si>
  <si>
    <t>1.40G</t>
  </si>
  <si>
    <t>1.42A</t>
  </si>
  <si>
    <t>1.42B</t>
  </si>
  <si>
    <t>1.43</t>
  </si>
  <si>
    <t>1.60B</t>
  </si>
  <si>
    <t>1.60G</t>
  </si>
  <si>
    <t>1.61</t>
  </si>
  <si>
    <t>1.62</t>
  </si>
  <si>
    <t>1.63</t>
  </si>
  <si>
    <t>1.64</t>
  </si>
  <si>
    <t>1.65</t>
  </si>
  <si>
    <t>1.66</t>
  </si>
  <si>
    <t>1.66A</t>
  </si>
  <si>
    <t>1.80G</t>
  </si>
  <si>
    <t>1.81</t>
  </si>
  <si>
    <t>1.82</t>
  </si>
  <si>
    <t>1.83</t>
  </si>
  <si>
    <t>1.83A</t>
  </si>
  <si>
    <t>1.83B</t>
  </si>
  <si>
    <t>1.84</t>
  </si>
  <si>
    <t>1.84G</t>
  </si>
  <si>
    <t>1.85</t>
  </si>
  <si>
    <t>1.86</t>
  </si>
  <si>
    <t>1.86A</t>
  </si>
  <si>
    <t>Noodtrap</t>
  </si>
  <si>
    <t>1.87</t>
  </si>
  <si>
    <t>1.88</t>
  </si>
  <si>
    <t>1.89</t>
  </si>
  <si>
    <t>1.90</t>
  </si>
  <si>
    <t>1.90A</t>
  </si>
  <si>
    <t>1.90B</t>
  </si>
  <si>
    <t>1.91</t>
  </si>
  <si>
    <t>1.92</t>
  </si>
  <si>
    <t>1.94</t>
  </si>
  <si>
    <t>1.94A</t>
  </si>
  <si>
    <t>Docentenwerkplekken</t>
  </si>
  <si>
    <t>33 - UniC Dependance, Kanaalweg 19 - gebouw C3, Utrecht</t>
  </si>
  <si>
    <t>33</t>
  </si>
  <si>
    <t>Receptie</t>
  </si>
  <si>
    <t>tapijt/steen</t>
  </si>
  <si>
    <t>Kantoor stilteruimte</t>
  </si>
  <si>
    <t>2.20A</t>
  </si>
  <si>
    <t>34 - Ithaka Dependance 4, Stroyenborchdreef 12, Utrecht</t>
  </si>
  <si>
    <t>34</t>
  </si>
  <si>
    <t>A.0.001</t>
  </si>
  <si>
    <t>A.0.002</t>
  </si>
  <si>
    <t>A.0.003</t>
  </si>
  <si>
    <t>A.0.005</t>
  </si>
  <si>
    <t>A.0.009</t>
  </si>
  <si>
    <t>A.0.010</t>
  </si>
  <si>
    <t>A.0.011</t>
  </si>
  <si>
    <t>A.0.012</t>
  </si>
  <si>
    <t>A.0.014</t>
  </si>
  <si>
    <t>A.0.015</t>
  </si>
  <si>
    <t>0.15A</t>
  </si>
  <si>
    <t>0.15B</t>
  </si>
  <si>
    <t>A.0.016</t>
  </si>
  <si>
    <t>A.0.017</t>
  </si>
  <si>
    <t>A.0.018</t>
  </si>
  <si>
    <t>A.0.019</t>
  </si>
  <si>
    <t>A.0.022</t>
  </si>
  <si>
    <t>A.0.023</t>
  </si>
  <si>
    <t>A.0.024</t>
  </si>
  <si>
    <t>A.0.025</t>
  </si>
  <si>
    <t>A.0.026</t>
  </si>
  <si>
    <t>A.0.027</t>
  </si>
  <si>
    <t>Repro/kantoor</t>
  </si>
  <si>
    <t>A.0.028</t>
  </si>
  <si>
    <t>A.0.029</t>
  </si>
  <si>
    <t>hout/tapijt</t>
  </si>
  <si>
    <t>A.0.030</t>
  </si>
  <si>
    <t>A.0.032</t>
  </si>
  <si>
    <t>A.0.033</t>
  </si>
  <si>
    <t>A.0.034</t>
  </si>
  <si>
    <t>A.0.035</t>
  </si>
  <si>
    <t>A.0.036</t>
  </si>
  <si>
    <t>A.0.037</t>
  </si>
  <si>
    <t>A.0.038</t>
  </si>
  <si>
    <t>A.0.039</t>
  </si>
  <si>
    <t>A.0.040</t>
  </si>
  <si>
    <t>A.0.041</t>
  </si>
  <si>
    <t>A.0.042</t>
  </si>
  <si>
    <t>A.0.043</t>
  </si>
  <si>
    <t>A.0.044</t>
  </si>
  <si>
    <t>Entree/achteringang</t>
  </si>
  <si>
    <t>A.1.002</t>
  </si>
  <si>
    <t>A.1.005</t>
  </si>
  <si>
    <t>A.1.006</t>
  </si>
  <si>
    <t>A.1.007</t>
  </si>
  <si>
    <t>A.1.009</t>
  </si>
  <si>
    <t>A.1.010</t>
  </si>
  <si>
    <t>A.1.012</t>
  </si>
  <si>
    <t>A.1.015</t>
  </si>
  <si>
    <t>A.1.017</t>
  </si>
  <si>
    <t>36 - Ithaka Dependance 5, Daltonlaan 300, Utrecht</t>
  </si>
  <si>
    <t>36</t>
  </si>
  <si>
    <t>1.00</t>
  </si>
  <si>
    <t>Loket</t>
  </si>
  <si>
    <t>1.08A</t>
  </si>
  <si>
    <t>Toiletgroep</t>
  </si>
  <si>
    <t>Docentekamer</t>
  </si>
  <si>
    <t>1.18A</t>
  </si>
  <si>
    <t>1.28B</t>
  </si>
  <si>
    <t>Studiewerkplekken</t>
  </si>
  <si>
    <t>G1.00</t>
  </si>
  <si>
    <t>G1.02</t>
  </si>
  <si>
    <t>G1.04</t>
  </si>
  <si>
    <t>G1.08</t>
  </si>
  <si>
    <t>G1.14</t>
  </si>
  <si>
    <t>Gang/repro</t>
  </si>
  <si>
    <t>G1.22</t>
  </si>
  <si>
    <t>G1.23</t>
  </si>
  <si>
    <t>G1.23A</t>
  </si>
  <si>
    <t>G1.24</t>
  </si>
  <si>
    <t>G1.28</t>
  </si>
  <si>
    <t>G1.34</t>
  </si>
  <si>
    <t>2.00</t>
  </si>
  <si>
    <t>Lokaal CV</t>
  </si>
  <si>
    <t>2.08A</t>
  </si>
  <si>
    <t>Gang/kluisjes</t>
  </si>
  <si>
    <t>2.18A</t>
  </si>
  <si>
    <t>2.18B</t>
  </si>
  <si>
    <t>Lokaal Drama</t>
  </si>
  <si>
    <t>G2.00</t>
  </si>
  <si>
    <t>G2.02</t>
  </si>
  <si>
    <t>G2.04</t>
  </si>
  <si>
    <t>G2.08</t>
  </si>
  <si>
    <t>G2.14</t>
  </si>
  <si>
    <t>G2.22</t>
  </si>
  <si>
    <t>G2.23</t>
  </si>
  <si>
    <t>G2.23A</t>
  </si>
  <si>
    <t>G2.24</t>
  </si>
  <si>
    <t>G2.28</t>
  </si>
  <si>
    <t>G2.34</t>
  </si>
  <si>
    <t>37 - International School Utrecht, Deventerlaan 1 (Papendorp), Utrecht</t>
  </si>
  <si>
    <t>37</t>
  </si>
  <si>
    <t>0.001</t>
  </si>
  <si>
    <t>0.018</t>
  </si>
  <si>
    <t>Classroom KGG</t>
  </si>
  <si>
    <t>0.002</t>
  </si>
  <si>
    <t>0.019</t>
  </si>
  <si>
    <t>Meeting Room Kate&amp;GLC</t>
  </si>
  <si>
    <t>0.003</t>
  </si>
  <si>
    <t>0.025</t>
  </si>
  <si>
    <t>Classroom KGO</t>
  </si>
  <si>
    <t>0.004</t>
  </si>
  <si>
    <t>0.026</t>
  </si>
  <si>
    <t>Classroom KGR</t>
  </si>
  <si>
    <t>0.005</t>
  </si>
  <si>
    <t>0.029</t>
  </si>
  <si>
    <t>Classroom KGY</t>
  </si>
  <si>
    <t>0.006</t>
  </si>
  <si>
    <t>0.034</t>
  </si>
  <si>
    <t>Classroom KGP</t>
  </si>
  <si>
    <t>0.007</t>
  </si>
  <si>
    <t>0.037</t>
  </si>
  <si>
    <t>Classroom KG</t>
  </si>
  <si>
    <t>0.008</t>
  </si>
  <si>
    <t>0.038</t>
  </si>
  <si>
    <t>0.009</t>
  </si>
  <si>
    <t>0.039</t>
  </si>
  <si>
    <t>Classroom Group 1</t>
  </si>
  <si>
    <t>0.010</t>
  </si>
  <si>
    <t>0.041</t>
  </si>
  <si>
    <t>graniet safe</t>
  </si>
  <si>
    <t>0.011</t>
  </si>
  <si>
    <t>0.043</t>
  </si>
  <si>
    <t>0.012</t>
  </si>
  <si>
    <t>0.045</t>
  </si>
  <si>
    <t>Office School Psycholgist</t>
  </si>
  <si>
    <t>0.013</t>
  </si>
  <si>
    <t>0.046</t>
  </si>
  <si>
    <t>Office Doctor</t>
  </si>
  <si>
    <t>0.015</t>
  </si>
  <si>
    <t>0.047</t>
  </si>
  <si>
    <t>Office HR</t>
  </si>
  <si>
    <t>0.016</t>
  </si>
  <si>
    <t>0.048</t>
  </si>
  <si>
    <t>Meeting Room</t>
  </si>
  <si>
    <t>0.017</t>
  </si>
  <si>
    <t>0.049</t>
  </si>
  <si>
    <t>Office Admissions</t>
  </si>
  <si>
    <t>0.052</t>
  </si>
  <si>
    <t>Office Caretakers</t>
  </si>
  <si>
    <t>0.053</t>
  </si>
  <si>
    <t>General Storage</t>
  </si>
  <si>
    <t>0.020</t>
  </si>
  <si>
    <t>0.059</t>
  </si>
  <si>
    <t>Classroom General</t>
  </si>
  <si>
    <t>0.021</t>
  </si>
  <si>
    <t>0.060</t>
  </si>
  <si>
    <t>0.022</t>
  </si>
  <si>
    <t>0.063</t>
  </si>
  <si>
    <t>Individuels &amp; Societies</t>
  </si>
  <si>
    <t>0.023</t>
  </si>
  <si>
    <t>0.066</t>
  </si>
  <si>
    <t>0.024</t>
  </si>
  <si>
    <t>0.068</t>
  </si>
  <si>
    <t>Classroom Spanish</t>
  </si>
  <si>
    <t>0.069</t>
  </si>
  <si>
    <t>0.072</t>
  </si>
  <si>
    <t>Classroom Dutch</t>
  </si>
  <si>
    <t>0.027</t>
  </si>
  <si>
    <t>0.073</t>
  </si>
  <si>
    <t>0.028</t>
  </si>
  <si>
    <t>0.076</t>
  </si>
  <si>
    <t>Classroom English</t>
  </si>
  <si>
    <t>0.077</t>
  </si>
  <si>
    <t>Parent Room</t>
  </si>
  <si>
    <t>0.030</t>
  </si>
  <si>
    <t>0.080</t>
  </si>
  <si>
    <t>0.030A</t>
  </si>
  <si>
    <t>0.031</t>
  </si>
  <si>
    <t>0.088</t>
  </si>
  <si>
    <t>Side Entrence</t>
  </si>
  <si>
    <t>0.031A</t>
  </si>
  <si>
    <t>0.032</t>
  </si>
  <si>
    <t>0.091</t>
  </si>
  <si>
    <t>Pirmary Storage</t>
  </si>
  <si>
    <t>0.033</t>
  </si>
  <si>
    <t>Office Finance &amp; Communication</t>
  </si>
  <si>
    <t>0.100</t>
  </si>
  <si>
    <t>0.035</t>
  </si>
  <si>
    <t>0.101</t>
  </si>
  <si>
    <t>0.10H</t>
  </si>
  <si>
    <t>0.040</t>
  </si>
  <si>
    <t>Kostis</t>
  </si>
  <si>
    <t>0.113</t>
  </si>
  <si>
    <t>0.041A</t>
  </si>
  <si>
    <t>0.042</t>
  </si>
  <si>
    <t>Classroom KGW</t>
  </si>
  <si>
    <t>Library PYP</t>
  </si>
  <si>
    <t>0.044</t>
  </si>
  <si>
    <t>0.133</t>
  </si>
  <si>
    <t>0.044A</t>
  </si>
  <si>
    <t>0.140</t>
  </si>
  <si>
    <t>0.141</t>
  </si>
  <si>
    <t>Storage KG &amp; Group 1</t>
  </si>
  <si>
    <t>0.050</t>
  </si>
  <si>
    <t>0.051</t>
  </si>
  <si>
    <t>0.1H</t>
  </si>
  <si>
    <t>Flask Room</t>
  </si>
  <si>
    <t>0.054</t>
  </si>
  <si>
    <t>Little Gym Storage</t>
  </si>
  <si>
    <t>0.055</t>
  </si>
  <si>
    <t>Little Gym</t>
  </si>
  <si>
    <t>0.056</t>
  </si>
  <si>
    <t>0.2H</t>
  </si>
  <si>
    <t>0.057</t>
  </si>
  <si>
    <t>Reception &amp; Student Administration</t>
  </si>
  <si>
    <t>0.058</t>
  </si>
  <si>
    <t>0.3H</t>
  </si>
  <si>
    <t>Timetablers</t>
  </si>
  <si>
    <t>Classroom Group 1R</t>
  </si>
  <si>
    <t>0.061</t>
  </si>
  <si>
    <t>Clasroom Group 1B</t>
  </si>
  <si>
    <t>0.062</t>
  </si>
  <si>
    <t>Classroom PYP/Music</t>
  </si>
  <si>
    <t>0.064</t>
  </si>
  <si>
    <t>0.067</t>
  </si>
  <si>
    <t>0.4H</t>
  </si>
  <si>
    <t>Storage Music</t>
  </si>
  <si>
    <t>Storage PSG</t>
  </si>
  <si>
    <t>0.070</t>
  </si>
  <si>
    <t>0.071</t>
  </si>
  <si>
    <t>Platform lift</t>
  </si>
  <si>
    <t>Wasruimte</t>
  </si>
  <si>
    <t>0.074</t>
  </si>
  <si>
    <t>0.075</t>
  </si>
  <si>
    <t>Canteen</t>
  </si>
  <si>
    <t>Storage Canteen</t>
  </si>
  <si>
    <t>Storage General</t>
  </si>
  <si>
    <t>0.078</t>
  </si>
  <si>
    <t>0.5H</t>
  </si>
  <si>
    <t>0.079</t>
  </si>
  <si>
    <t>Office Individuals &amp; Societies</t>
  </si>
  <si>
    <t>0.081</t>
  </si>
  <si>
    <t>Ruimte</t>
  </si>
  <si>
    <t>0.082</t>
  </si>
  <si>
    <t>Storage ASA</t>
  </si>
  <si>
    <t>0.083</t>
  </si>
  <si>
    <t>0.084</t>
  </si>
  <si>
    <t>Office Business Management</t>
  </si>
  <si>
    <t>0.086</t>
  </si>
  <si>
    <t>0.67</t>
  </si>
  <si>
    <t>Liamm</t>
  </si>
  <si>
    <t>0.6H</t>
  </si>
  <si>
    <t>0.089</t>
  </si>
  <si>
    <t>0.090</t>
  </si>
  <si>
    <t>0.092</t>
  </si>
  <si>
    <t>0.093</t>
  </si>
  <si>
    <t>0.75</t>
  </si>
  <si>
    <t>0.094</t>
  </si>
  <si>
    <t>0.095</t>
  </si>
  <si>
    <t>0.7H</t>
  </si>
  <si>
    <t>0.096</t>
  </si>
  <si>
    <t>0.097</t>
  </si>
  <si>
    <t>Library Storage</t>
  </si>
  <si>
    <t>0.098</t>
  </si>
  <si>
    <t>Classroom PHE</t>
  </si>
  <si>
    <t>0.099</t>
  </si>
  <si>
    <t>Classroom Matematics</t>
  </si>
  <si>
    <t>0.88</t>
  </si>
  <si>
    <t>0.102</t>
  </si>
  <si>
    <t>0.89</t>
  </si>
  <si>
    <t>Primary Storage</t>
  </si>
  <si>
    <t>0.103</t>
  </si>
  <si>
    <t>Library MYP/DP</t>
  </si>
  <si>
    <t>0.104</t>
  </si>
  <si>
    <t>0.8H</t>
  </si>
  <si>
    <t>0.105</t>
  </si>
  <si>
    <t>0.90</t>
  </si>
  <si>
    <t>0.106</t>
  </si>
  <si>
    <t>0.92</t>
  </si>
  <si>
    <t>Silent Study Area</t>
  </si>
  <si>
    <t>0.107</t>
  </si>
  <si>
    <t>0.93</t>
  </si>
  <si>
    <t>Office</t>
  </si>
  <si>
    <t>0.108</t>
  </si>
  <si>
    <t>0.95</t>
  </si>
  <si>
    <t>Printing Room</t>
  </si>
  <si>
    <t>0.109</t>
  </si>
  <si>
    <t>0.98</t>
  </si>
  <si>
    <t>0.110</t>
  </si>
  <si>
    <t>0.99</t>
  </si>
  <si>
    <t>0.111</t>
  </si>
  <si>
    <t>0.9H</t>
  </si>
  <si>
    <t>0.112</t>
  </si>
  <si>
    <t>0.A6</t>
  </si>
  <si>
    <t>0.T1</t>
  </si>
  <si>
    <t>0.114</t>
  </si>
  <si>
    <t>0.T2</t>
  </si>
  <si>
    <t>0.115</t>
  </si>
  <si>
    <t>0.T3</t>
  </si>
  <si>
    <t>0.116</t>
  </si>
  <si>
    <t>0.T4</t>
  </si>
  <si>
    <t>0.117</t>
  </si>
  <si>
    <t>0.T5</t>
  </si>
  <si>
    <t>Tribune en trap</t>
  </si>
  <si>
    <t>0.118</t>
  </si>
  <si>
    <t>0.T7</t>
  </si>
  <si>
    <t>1.001</t>
  </si>
  <si>
    <t>1.038A</t>
  </si>
  <si>
    <t>Installations</t>
  </si>
  <si>
    <t>1.002</t>
  </si>
  <si>
    <t>1.038B</t>
  </si>
  <si>
    <t>1.003</t>
  </si>
  <si>
    <t>1.062-2</t>
  </si>
  <si>
    <t>1.004</t>
  </si>
  <si>
    <t>1.062-3</t>
  </si>
  <si>
    <t>1.005</t>
  </si>
  <si>
    <t>1.088a</t>
  </si>
  <si>
    <t>1.006</t>
  </si>
  <si>
    <t>1.1</t>
  </si>
  <si>
    <t>Classroom MYP/Drama</t>
  </si>
  <si>
    <t>1.007</t>
  </si>
  <si>
    <t>1.10H</t>
  </si>
  <si>
    <t>1.008</t>
  </si>
  <si>
    <t>Classroom Group 3O</t>
  </si>
  <si>
    <t>1.009</t>
  </si>
  <si>
    <t>Classroom Group 3R</t>
  </si>
  <si>
    <t>1.010</t>
  </si>
  <si>
    <t>Classroom Group 3W</t>
  </si>
  <si>
    <t>1.011</t>
  </si>
  <si>
    <t>Classroom Flex</t>
  </si>
  <si>
    <t>1.012</t>
  </si>
  <si>
    <t>1.013</t>
  </si>
  <si>
    <t>PYP PL</t>
  </si>
  <si>
    <t>1.014</t>
  </si>
  <si>
    <t>1.1H</t>
  </si>
  <si>
    <t>1.015</t>
  </si>
  <si>
    <t>1.1T</t>
  </si>
  <si>
    <t>1.015A</t>
  </si>
  <si>
    <t>1.016</t>
  </si>
  <si>
    <t>1.2</t>
  </si>
  <si>
    <t>Classroom PYP/Drama</t>
  </si>
  <si>
    <t>1.017</t>
  </si>
  <si>
    <t>Inclusion Gr4-5</t>
  </si>
  <si>
    <t>1.018</t>
  </si>
  <si>
    <t>1.019</t>
  </si>
  <si>
    <t>Classroom Group 4B</t>
  </si>
  <si>
    <t>1.020</t>
  </si>
  <si>
    <t>Classroom Group 4W</t>
  </si>
  <si>
    <t>1.021</t>
  </si>
  <si>
    <t>Classroom Group 4R</t>
  </si>
  <si>
    <t>1.022</t>
  </si>
  <si>
    <t>Classroom Group 4O</t>
  </si>
  <si>
    <t>1.023</t>
  </si>
  <si>
    <t>Classroom Group 5R</t>
  </si>
  <si>
    <t>1.024</t>
  </si>
  <si>
    <t>1.2H</t>
  </si>
  <si>
    <t>1.025</t>
  </si>
  <si>
    <t>1.2T</t>
  </si>
  <si>
    <t>1.025A</t>
  </si>
  <si>
    <t>1.026</t>
  </si>
  <si>
    <t>Classroom Group 5B</t>
  </si>
  <si>
    <t>1.027</t>
  </si>
  <si>
    <t>Classroom Group 5</t>
  </si>
  <si>
    <t>1.028</t>
  </si>
  <si>
    <t>Classroom PYP/Arts</t>
  </si>
  <si>
    <t>1.029</t>
  </si>
  <si>
    <t>Arts Storage</t>
  </si>
  <si>
    <t>1.030</t>
  </si>
  <si>
    <t>1.031</t>
  </si>
  <si>
    <t>1.033</t>
  </si>
  <si>
    <t>Classroom Group 5W</t>
  </si>
  <si>
    <t>1.034</t>
  </si>
  <si>
    <t>1.3H</t>
  </si>
  <si>
    <t>1.036</t>
  </si>
  <si>
    <t>Flex</t>
  </si>
  <si>
    <t>1.037</t>
  </si>
  <si>
    <t>1.038</t>
  </si>
  <si>
    <t>1.039</t>
  </si>
  <si>
    <t>Storage ICT</t>
  </si>
  <si>
    <t>1.040</t>
  </si>
  <si>
    <t>Classroom Biology</t>
  </si>
  <si>
    <t>1.041</t>
  </si>
  <si>
    <t>Physics</t>
  </si>
  <si>
    <t>1.042</t>
  </si>
  <si>
    <t>1.48</t>
  </si>
  <si>
    <t>General Science</t>
  </si>
  <si>
    <t>1.043</t>
  </si>
  <si>
    <t>Prep Room</t>
  </si>
  <si>
    <t>1.044</t>
  </si>
  <si>
    <t>1.49</t>
  </si>
  <si>
    <t>Classroom Chemistry</t>
  </si>
  <si>
    <t>1.045</t>
  </si>
  <si>
    <t>1.4H</t>
  </si>
  <si>
    <t>1.047</t>
  </si>
  <si>
    <t>1.5</t>
  </si>
  <si>
    <t>Classroom Group 2B</t>
  </si>
  <si>
    <t>1.048</t>
  </si>
  <si>
    <t>1.50</t>
  </si>
  <si>
    <t>1.049</t>
  </si>
  <si>
    <t>1.51</t>
  </si>
  <si>
    <t>Storage Science</t>
  </si>
  <si>
    <t>1.050</t>
  </si>
  <si>
    <t>1.52</t>
  </si>
  <si>
    <t>DL PL</t>
  </si>
  <si>
    <t>1.051</t>
  </si>
  <si>
    <t>1.53</t>
  </si>
  <si>
    <t>Inclusion MYP &amp; DP</t>
  </si>
  <si>
    <t>1.052</t>
  </si>
  <si>
    <t>1.54</t>
  </si>
  <si>
    <t>Design storage</t>
  </si>
  <si>
    <t>1.053</t>
  </si>
  <si>
    <t>1.55</t>
  </si>
  <si>
    <t>1.054</t>
  </si>
  <si>
    <t>1.56</t>
  </si>
  <si>
    <t>1.055</t>
  </si>
  <si>
    <t>1.57</t>
  </si>
  <si>
    <t>Classroom Design</t>
  </si>
  <si>
    <t>1.056</t>
  </si>
  <si>
    <t>1.5H</t>
  </si>
  <si>
    <t>1.057</t>
  </si>
  <si>
    <t>1.5T</t>
  </si>
  <si>
    <t>1.058</t>
  </si>
  <si>
    <t>1.6</t>
  </si>
  <si>
    <t>Classroom Group 2W</t>
  </si>
  <si>
    <t>1.059</t>
  </si>
  <si>
    <t>1.60</t>
  </si>
  <si>
    <t>1.060</t>
  </si>
  <si>
    <t>Classroom VA</t>
  </si>
  <si>
    <t>1.061</t>
  </si>
  <si>
    <t>Storage VA</t>
  </si>
  <si>
    <t>1.062</t>
  </si>
  <si>
    <t>1.063</t>
  </si>
  <si>
    <t>1.064</t>
  </si>
  <si>
    <t>1.69</t>
  </si>
  <si>
    <t>1.065</t>
  </si>
  <si>
    <t>1.6H</t>
  </si>
  <si>
    <t>1.066</t>
  </si>
  <si>
    <t>1.6T</t>
  </si>
  <si>
    <t>1.067</t>
  </si>
  <si>
    <t>1.7</t>
  </si>
  <si>
    <t>Classroom Group 2</t>
  </si>
  <si>
    <t>1.068</t>
  </si>
  <si>
    <t>1.74</t>
  </si>
  <si>
    <t>Classroom DP/Music</t>
  </si>
  <si>
    <t>1.069</t>
  </si>
  <si>
    <t>1.75</t>
  </si>
  <si>
    <t>Classroom MYP/Music</t>
  </si>
  <si>
    <t>1.070</t>
  </si>
  <si>
    <t>1.78</t>
  </si>
  <si>
    <t>1.071</t>
  </si>
  <si>
    <t>1.7H</t>
  </si>
  <si>
    <t>1.072</t>
  </si>
  <si>
    <t>1.7T</t>
  </si>
  <si>
    <t>1.073</t>
  </si>
  <si>
    <t>1.8</t>
  </si>
  <si>
    <t>Classroom Group 2R</t>
  </si>
  <si>
    <t>1.074</t>
  </si>
  <si>
    <t>1.80</t>
  </si>
  <si>
    <t>1.075</t>
  </si>
  <si>
    <t>Classroom Language Hub</t>
  </si>
  <si>
    <t>1.076</t>
  </si>
  <si>
    <t>1.077</t>
  </si>
  <si>
    <t>1.078</t>
  </si>
  <si>
    <t>1.079</t>
  </si>
  <si>
    <t>Staff room</t>
  </si>
  <si>
    <t>1.080</t>
  </si>
  <si>
    <t>Storage SR</t>
  </si>
  <si>
    <t>1.081</t>
  </si>
  <si>
    <t>1.082</t>
  </si>
  <si>
    <t>1.083</t>
  </si>
  <si>
    <t>Storage Drama</t>
  </si>
  <si>
    <t>1.084</t>
  </si>
  <si>
    <t>1.8H</t>
  </si>
  <si>
    <t>1.085</t>
  </si>
  <si>
    <t>1.9</t>
  </si>
  <si>
    <t>Classroom Group 3B</t>
  </si>
  <si>
    <t>1.086</t>
  </si>
  <si>
    <t>1.9H</t>
  </si>
  <si>
    <t>1.087</t>
  </si>
  <si>
    <t>1.Install</t>
  </si>
  <si>
    <t>1.088</t>
  </si>
  <si>
    <t>1.R1</t>
  </si>
  <si>
    <t>1.089</t>
  </si>
  <si>
    <t>1.S 1</t>
  </si>
  <si>
    <t>1.090</t>
  </si>
  <si>
    <t>1.091</t>
  </si>
  <si>
    <t>1.S 2</t>
  </si>
  <si>
    <t>1.092</t>
  </si>
  <si>
    <t>1.093</t>
  </si>
  <si>
    <t>1.S 3</t>
  </si>
  <si>
    <t>1.094</t>
  </si>
  <si>
    <t>1.S 4</t>
  </si>
  <si>
    <t>Studio 4</t>
  </si>
  <si>
    <t>1.095</t>
  </si>
  <si>
    <t>1.Safe</t>
  </si>
  <si>
    <t>Safe</t>
  </si>
  <si>
    <t>1.101</t>
  </si>
  <si>
    <t>1.Toilet 1</t>
  </si>
  <si>
    <t>1.102</t>
  </si>
  <si>
    <t>1.Toilet 2</t>
  </si>
  <si>
    <t>1.103</t>
  </si>
  <si>
    <t>1.Trolley</t>
  </si>
  <si>
    <t>Trolleys</t>
  </si>
  <si>
    <t>Extra werkzaamheden</t>
  </si>
  <si>
    <t>38 - ACADEMIE TIEN, Berlijnplein, Utrecht</t>
  </si>
  <si>
    <t>38</t>
  </si>
  <si>
    <t>L.1.01</t>
  </si>
  <si>
    <t>S.1.01</t>
  </si>
  <si>
    <t>Toeschouwersruimte</t>
  </si>
  <si>
    <t>vinyl</t>
  </si>
  <si>
    <t>S.1.02</t>
  </si>
  <si>
    <t>Beheerdersruimte</t>
  </si>
  <si>
    <t>S.1.03</t>
  </si>
  <si>
    <t>S.1.04</t>
  </si>
  <si>
    <t>descol</t>
  </si>
  <si>
    <t>S.1.10</t>
  </si>
  <si>
    <t>S.1.10a</t>
  </si>
  <si>
    <t>Miva toilet</t>
  </si>
  <si>
    <t>S.1.10b</t>
  </si>
  <si>
    <t>S.1.11</t>
  </si>
  <si>
    <t>Tochtportaal</t>
  </si>
  <si>
    <t>T-03</t>
  </si>
  <si>
    <t>T-04</t>
  </si>
  <si>
    <t>T-05</t>
  </si>
  <si>
    <t>Fietstrap</t>
  </si>
  <si>
    <t>T-06</t>
  </si>
  <si>
    <t>T-07</t>
  </si>
  <si>
    <t>T-08</t>
  </si>
  <si>
    <t>beton/descol</t>
  </si>
  <si>
    <t>-2</t>
  </si>
  <si>
    <t>S.0.01</t>
  </si>
  <si>
    <t>S.0.02</t>
  </si>
  <si>
    <t>S.0.03</t>
  </si>
  <si>
    <t>S.0.04</t>
  </si>
  <si>
    <t>Kleedruimte Miva toegangkelijk</t>
  </si>
  <si>
    <t>S.0.05</t>
  </si>
  <si>
    <t>S.0.06</t>
  </si>
  <si>
    <t>S.0.07</t>
  </si>
  <si>
    <t>S.0.09</t>
  </si>
  <si>
    <t>S.0.10</t>
  </si>
  <si>
    <t>S.0.11</t>
  </si>
  <si>
    <t>S.0.12</t>
  </si>
  <si>
    <t>S.0.13</t>
  </si>
  <si>
    <t>S.0.14</t>
  </si>
  <si>
    <t>S.0.15a</t>
  </si>
  <si>
    <t>S.0.15b</t>
  </si>
  <si>
    <t>S.0.16</t>
  </si>
  <si>
    <t>S.0.17</t>
  </si>
  <si>
    <t>S.0.18</t>
  </si>
  <si>
    <t>S.0.19</t>
  </si>
  <si>
    <t>S.0.20a</t>
  </si>
  <si>
    <t>S.0.20b</t>
  </si>
  <si>
    <t>S.0.21</t>
  </si>
  <si>
    <t>EHBO en Docentenruimte</t>
  </si>
  <si>
    <t>S.0.21a</t>
  </si>
  <si>
    <t>Waruimte</t>
  </si>
  <si>
    <t>S.0.23</t>
  </si>
  <si>
    <t>S.0.30a</t>
  </si>
  <si>
    <t>Zaal A</t>
  </si>
  <si>
    <t>S.0.30b</t>
  </si>
  <si>
    <t>Zaal B</t>
  </si>
  <si>
    <t>S.0.30c</t>
  </si>
  <si>
    <t>Zaal C</t>
  </si>
  <si>
    <t>S.0.31a</t>
  </si>
  <si>
    <t>S.0.31b</t>
  </si>
  <si>
    <t>S.0.31c</t>
  </si>
  <si>
    <t>T-01</t>
  </si>
  <si>
    <t>beton/gietvloer</t>
  </si>
  <si>
    <t>T-02</t>
  </si>
  <si>
    <t>D.0.20</t>
  </si>
  <si>
    <t>Zorgkamer</t>
  </si>
  <si>
    <t>D.0.21</t>
  </si>
  <si>
    <t>Werkplaats</t>
  </si>
  <si>
    <t>D.0.24</t>
  </si>
  <si>
    <t>Verkeersgebied</t>
  </si>
  <si>
    <t>D.0.25</t>
  </si>
  <si>
    <t>F.0.00</t>
  </si>
  <si>
    <t>Ingang fietsenstalling</t>
  </si>
  <si>
    <t>G.0.60a</t>
  </si>
  <si>
    <t>G.0.60b</t>
  </si>
  <si>
    <t>G.0.61a</t>
  </si>
  <si>
    <t>G.0.61b</t>
  </si>
  <si>
    <t>G.0.63</t>
  </si>
  <si>
    <t>G.0.64</t>
  </si>
  <si>
    <t>G.0.65</t>
  </si>
  <si>
    <t>G.0.67</t>
  </si>
  <si>
    <t>H-01</t>
  </si>
  <si>
    <t>Hellingbaan</t>
  </si>
  <si>
    <t>natuursteen</t>
  </si>
  <si>
    <t>H-02</t>
  </si>
  <si>
    <t>H-03</t>
  </si>
  <si>
    <t>K.0.40</t>
  </si>
  <si>
    <t>K.0.41</t>
  </si>
  <si>
    <t>K.0.42a</t>
  </si>
  <si>
    <t>Studio</t>
  </si>
  <si>
    <t>K.0.42b</t>
  </si>
  <si>
    <t>K.0.42c</t>
  </si>
  <si>
    <t>K.0.42d</t>
  </si>
  <si>
    <t>K.0.43</t>
  </si>
  <si>
    <t>K.0.44</t>
  </si>
  <si>
    <t>K.0.47</t>
  </si>
  <si>
    <t>K.0.48</t>
  </si>
  <si>
    <t>K.0.49a</t>
  </si>
  <si>
    <t>K.0.49b</t>
  </si>
  <si>
    <t>K.0.50a</t>
  </si>
  <si>
    <t>K.0.50b</t>
  </si>
  <si>
    <t>P-80</t>
  </si>
  <si>
    <t>Pario/Hal</t>
  </si>
  <si>
    <t>Balkon trap (vanaf fietsenstalling)</t>
  </si>
  <si>
    <t>T-09</t>
  </si>
  <si>
    <t>vinyl/eikenhout</t>
  </si>
  <si>
    <t>T-10</t>
  </si>
  <si>
    <t>T-12</t>
  </si>
  <si>
    <t>T-13</t>
  </si>
  <si>
    <t>T-14</t>
  </si>
  <si>
    <t>linoleum/eikenhout</t>
  </si>
  <si>
    <t>T-15</t>
  </si>
  <si>
    <t>T-16</t>
  </si>
  <si>
    <t>U.0.01</t>
  </si>
  <si>
    <t>Collegezaal</t>
  </si>
  <si>
    <t>U.0.02</t>
  </si>
  <si>
    <t>U.0.03</t>
  </si>
  <si>
    <t>U.0.04</t>
  </si>
  <si>
    <t>U.0.05</t>
  </si>
  <si>
    <t>Instructieruimte</t>
  </si>
  <si>
    <t>U.0.06</t>
  </si>
  <si>
    <t>U.0.07</t>
  </si>
  <si>
    <t>Lesplein</t>
  </si>
  <si>
    <t>U.0.08</t>
  </si>
  <si>
    <t>U.0.09a</t>
  </si>
  <si>
    <t>U.0.09b</t>
  </si>
  <si>
    <t>00T</t>
  </si>
  <si>
    <t>G.1.02</t>
  </si>
  <si>
    <t>G.1.03</t>
  </si>
  <si>
    <t>H.1.01</t>
  </si>
  <si>
    <t>H.1.46</t>
  </si>
  <si>
    <t>T-17</t>
  </si>
  <si>
    <t>D.2.24</t>
  </si>
  <si>
    <t>D.2.25</t>
  </si>
  <si>
    <t>Kantoor huismeester</t>
  </si>
  <si>
    <t>D.2.28</t>
  </si>
  <si>
    <t>Entree gebied</t>
  </si>
  <si>
    <t>D.2.29a</t>
  </si>
  <si>
    <t>D.2.29b</t>
  </si>
  <si>
    <t>D.2.30a</t>
  </si>
  <si>
    <t>D.2.30b</t>
  </si>
  <si>
    <t>D.2.34</t>
  </si>
  <si>
    <t>Sluis</t>
  </si>
  <si>
    <t>H-05</t>
  </si>
  <si>
    <t>Brug</t>
  </si>
  <si>
    <t>H.2.50</t>
  </si>
  <si>
    <t>H.2.52</t>
  </si>
  <si>
    <t>eikenhout</t>
  </si>
  <si>
    <t>T-18</t>
  </si>
  <si>
    <t>T-19</t>
  </si>
  <si>
    <t>beton/tegels</t>
  </si>
  <si>
    <t>U.2.01</t>
  </si>
  <si>
    <t>U.2.02</t>
  </si>
  <si>
    <t>U.2.03</t>
  </si>
  <si>
    <t>U.2.04</t>
  </si>
  <si>
    <t>U.2.05</t>
  </si>
  <si>
    <t>U.2.06</t>
  </si>
  <si>
    <t>U.2.07</t>
  </si>
  <si>
    <t>U.2.08</t>
  </si>
  <si>
    <t>U.2.11</t>
  </si>
  <si>
    <t>U.2.12a</t>
  </si>
  <si>
    <t>U.2.12b</t>
  </si>
  <si>
    <t>U.2.21</t>
  </si>
  <si>
    <t>U.2.22</t>
  </si>
  <si>
    <t>U.2.23</t>
  </si>
  <si>
    <t>U.2.24</t>
  </si>
  <si>
    <t>U.2.25</t>
  </si>
  <si>
    <t>U.2.26</t>
  </si>
  <si>
    <t>U.2.27</t>
  </si>
  <si>
    <t>U.2.28</t>
  </si>
  <si>
    <t>U.2.29</t>
  </si>
  <si>
    <t>U.2.30</t>
  </si>
  <si>
    <t>U.2.32</t>
  </si>
  <si>
    <t>Balkon</t>
  </si>
  <si>
    <t>U.2.33a</t>
  </si>
  <si>
    <t>U.2.33b</t>
  </si>
  <si>
    <t>U.2.37</t>
  </si>
  <si>
    <t>H-04</t>
  </si>
  <si>
    <t>H.3.60</t>
  </si>
  <si>
    <t>L.3.02</t>
  </si>
  <si>
    <t>O.3.20</t>
  </si>
  <si>
    <t>O.3.21</t>
  </si>
  <si>
    <t>O.3.23</t>
  </si>
  <si>
    <t>Reproruimte</t>
  </si>
  <si>
    <t>O.3.24</t>
  </si>
  <si>
    <t>O.3.25</t>
  </si>
  <si>
    <t>O.3.26</t>
  </si>
  <si>
    <t>O.3.27</t>
  </si>
  <si>
    <t>O.3.28</t>
  </si>
  <si>
    <t>Teamruimte</t>
  </si>
  <si>
    <t>O.3.29</t>
  </si>
  <si>
    <t>O.3.30</t>
  </si>
  <si>
    <t>O.3.31</t>
  </si>
  <si>
    <t>Spreek / Kolfruimte</t>
  </si>
  <si>
    <t>O.3.32</t>
  </si>
  <si>
    <t>O.3.33a</t>
  </si>
  <si>
    <t>O.3.33b</t>
  </si>
  <si>
    <t>S.3.01</t>
  </si>
  <si>
    <t>S.3.02</t>
  </si>
  <si>
    <t>S.3.03</t>
  </si>
  <si>
    <t>S.3.04</t>
  </si>
  <si>
    <t>S.3.05</t>
  </si>
  <si>
    <t>S.3.06</t>
  </si>
  <si>
    <t>S.3.07</t>
  </si>
  <si>
    <t>S.3.08a</t>
  </si>
  <si>
    <t>S.3.08b</t>
  </si>
  <si>
    <t>S.3.12</t>
  </si>
  <si>
    <t>T-20</t>
  </si>
  <si>
    <t>T-21</t>
  </si>
  <si>
    <t>T-22</t>
  </si>
  <si>
    <t>T-23</t>
  </si>
  <si>
    <t>U.3.40</t>
  </si>
  <si>
    <t>U.3.41</t>
  </si>
  <si>
    <t>U.3.42</t>
  </si>
  <si>
    <t>U.3.43</t>
  </si>
  <si>
    <t>U.3.44</t>
  </si>
  <si>
    <t>U.3.45</t>
  </si>
  <si>
    <t>U.3.46</t>
  </si>
  <si>
    <t>U.3.47</t>
  </si>
  <si>
    <t>U.3.48</t>
  </si>
  <si>
    <t>U.3.52a</t>
  </si>
  <si>
    <t>U.3.52b</t>
  </si>
  <si>
    <t>Nest 1</t>
  </si>
  <si>
    <t>Nest</t>
  </si>
  <si>
    <t>T-24</t>
  </si>
  <si>
    <t>T-25</t>
  </si>
  <si>
    <t>T-26</t>
  </si>
  <si>
    <t>U.4.01</t>
  </si>
  <si>
    <t>U.4.01a</t>
  </si>
  <si>
    <t>U.4.02</t>
  </si>
  <si>
    <t>U.4.03</t>
  </si>
  <si>
    <t>U.4.04</t>
  </si>
  <si>
    <t>U.4.05</t>
  </si>
  <si>
    <t>U.4.06</t>
  </si>
  <si>
    <t>U.4.07</t>
  </si>
  <si>
    <t>U.4.08</t>
  </si>
  <si>
    <t>U.4.11</t>
  </si>
  <si>
    <t>U.4.12</t>
  </si>
  <si>
    <t>U.4.13a</t>
  </si>
  <si>
    <t>U.4.13b</t>
  </si>
  <si>
    <t>U.4.20</t>
  </si>
  <si>
    <t>Lunchcafe</t>
  </si>
  <si>
    <t>U.4.21</t>
  </si>
  <si>
    <t>U.4.22</t>
  </si>
  <si>
    <t>U.4.23</t>
  </si>
  <si>
    <t>U.4.24</t>
  </si>
  <si>
    <t>U.4.25</t>
  </si>
  <si>
    <t>U.4.27</t>
  </si>
  <si>
    <t>U.4.28</t>
  </si>
  <si>
    <t>U.4.29</t>
  </si>
  <si>
    <t>U.4.29a</t>
  </si>
  <si>
    <t>U.4.30</t>
  </si>
  <si>
    <t>Leerplein/gang</t>
  </si>
  <si>
    <t>U.4.31</t>
  </si>
  <si>
    <t>U.4.32a</t>
  </si>
  <si>
    <t>U.4.32b</t>
  </si>
  <si>
    <t>U.4.40</t>
  </si>
  <si>
    <t>U.4.41</t>
  </si>
  <si>
    <t>U.4.42</t>
  </si>
  <si>
    <t>U.4.43</t>
  </si>
  <si>
    <t>U.4.44</t>
  </si>
  <si>
    <t>U.4.45</t>
  </si>
  <si>
    <t>U.4.46</t>
  </si>
  <si>
    <t>U.4.47</t>
  </si>
  <si>
    <t>U.4.48</t>
  </si>
  <si>
    <t>U.4.49</t>
  </si>
  <si>
    <t>U.4.50a</t>
  </si>
  <si>
    <t>U.4.50b</t>
  </si>
  <si>
    <t>U.4.55</t>
  </si>
  <si>
    <t>D.5.01</t>
  </si>
  <si>
    <t>Maxima Lounge</t>
  </si>
  <si>
    <t>D.5.02</t>
  </si>
  <si>
    <t>Pantry ruimte</t>
  </si>
  <si>
    <t>D.5.03</t>
  </si>
  <si>
    <t>Stilte ruimte</t>
  </si>
  <si>
    <t>D.5.04</t>
  </si>
  <si>
    <t>D.5.05a</t>
  </si>
  <si>
    <t>D.5.05b</t>
  </si>
  <si>
    <t>D.5.08</t>
  </si>
  <si>
    <t>N-02</t>
  </si>
  <si>
    <t>N-03</t>
  </si>
  <si>
    <t>T-27</t>
  </si>
  <si>
    <t>T-28</t>
  </si>
  <si>
    <t>T-29</t>
  </si>
  <si>
    <t>U.5.01</t>
  </si>
  <si>
    <t>U.5.02</t>
  </si>
  <si>
    <t>U.5.03</t>
  </si>
  <si>
    <t>U.5.04</t>
  </si>
  <si>
    <t>U.5.05</t>
  </si>
  <si>
    <t>U.5.06</t>
  </si>
  <si>
    <t>U.5.07</t>
  </si>
  <si>
    <t>U.5.08</t>
  </si>
  <si>
    <t>U.5.09</t>
  </si>
  <si>
    <t>U.5.10</t>
  </si>
  <si>
    <t>U.5.11a</t>
  </si>
  <si>
    <t>U.5.11b</t>
  </si>
  <si>
    <t>U.5.20</t>
  </si>
  <si>
    <t>U.5.21</t>
  </si>
  <si>
    <t>U.5.23</t>
  </si>
  <si>
    <t>U.5.24</t>
  </si>
  <si>
    <t>U.5.26</t>
  </si>
  <si>
    <t>U.5.27</t>
  </si>
  <si>
    <t>U.5.28</t>
  </si>
  <si>
    <t>U.5.29</t>
  </si>
  <si>
    <t>U.5.30a</t>
  </si>
  <si>
    <t>U.5.30b</t>
  </si>
  <si>
    <t>Totaal werkdag vakantie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</si>
  <si>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</si>
  <si>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</si>
  <si>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</si>
  <si>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</si>
  <si>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</si>
  <si>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</si>
  <si>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</si>
  <si>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 01</t>
  </si>
  <si>
    <t xml:space="preserve">      02</t>
  </si>
  <si>
    <t xml:space="preserve">      03</t>
  </si>
  <si>
    <t xml:space="preserve">      04</t>
  </si>
  <si>
    <t xml:space="preserve">      08</t>
  </si>
  <si>
    <t xml:space="preserve">      10</t>
  </si>
  <si>
    <t xml:space="preserve">      13</t>
  </si>
  <si>
    <t xml:space="preserve">      20</t>
  </si>
  <si>
    <t xml:space="preserve">      23</t>
  </si>
  <si>
    <t xml:space="preserve">      30</t>
  </si>
  <si>
    <t xml:space="preserve">      31</t>
  </si>
  <si>
    <t xml:space="preserve">      32</t>
  </si>
  <si>
    <t xml:space="preserve">      33</t>
  </si>
  <si>
    <t xml:space="preserve">      34</t>
  </si>
  <si>
    <t xml:space="preserve">      36</t>
  </si>
  <si>
    <t xml:space="preserve">      37</t>
  </si>
  <si>
    <t xml:space="preserve">      38</t>
  </si>
  <si>
    <t>werkdag</t>
  </si>
  <si>
    <t>werkdag vakantie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</si>
  <si>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</si>
  <si>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</si>
  <si>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</si>
  <si>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</si>
  <si>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</si>
  <si>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</si>
  <si>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</si>
  <si>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</si>
  <si>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</si>
  <si>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</si>
  <si>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</si>
  <si>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</si>
  <si>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</si>
  <si>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</si>
  <si>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</si>
  <si>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UniC</t>
  </si>
  <si>
    <t>Van Bijnkershoeklaan 2</t>
  </si>
  <si>
    <t>Utrecht</t>
  </si>
  <si>
    <t>Utrechts Stedelijk Gymnasium</t>
  </si>
  <si>
    <t>Ina Boudier Bakkerlaan 7</t>
  </si>
  <si>
    <t>Trajectum College</t>
  </si>
  <si>
    <t>Vader Rijndreef 7-9</t>
  </si>
  <si>
    <t>Leidsche Rijn College</t>
  </si>
  <si>
    <t>Maartvlinder 1</t>
  </si>
  <si>
    <t>VOLT! Toekomstmakers</t>
  </si>
  <si>
    <t>Oesterzwam 1</t>
  </si>
  <si>
    <t>Vleuten</t>
  </si>
  <si>
    <t>NXT Maarsbergen</t>
  </si>
  <si>
    <t>Woudenbergseweg 22A</t>
  </si>
  <si>
    <t>Maarsbergen</t>
  </si>
  <si>
    <t>NXT Doorn</t>
  </si>
  <si>
    <t>Frans van Dijklaan 2</t>
  </si>
  <si>
    <t>Doorn</t>
  </si>
  <si>
    <t>Ithaka &amp; Pouwer College</t>
  </si>
  <si>
    <t>La Bohèmedreef 7</t>
  </si>
  <si>
    <t>Ithaka Dependance 3</t>
  </si>
  <si>
    <t>Stroyenborchdreef 2</t>
  </si>
  <si>
    <t>X11 Media en Vormgeving</t>
  </si>
  <si>
    <t>Van Bijnkershoeklaan 8</t>
  </si>
  <si>
    <t>X11 Media en Vormgeving Dependance</t>
  </si>
  <si>
    <t>Grebbeberglaan 25</t>
  </si>
  <si>
    <t>Anna van Rijn College</t>
  </si>
  <si>
    <t>Albatros 1</t>
  </si>
  <si>
    <t>Nieuwegein</t>
  </si>
  <si>
    <t>UniC Dependance</t>
  </si>
  <si>
    <t>Kanaalweg 19 - gebouw C3</t>
  </si>
  <si>
    <t>Ithaka Dependance 4</t>
  </si>
  <si>
    <t>Stroyenborchdreef 12</t>
  </si>
  <si>
    <t>Ithaka Dependance 5</t>
  </si>
  <si>
    <t>Daltonlaan 300</t>
  </si>
  <si>
    <t>International School Utrecht</t>
  </si>
  <si>
    <t>Deventerlaan 1 (Papendorp)</t>
  </si>
  <si>
    <t>ACADEMIE TIEN</t>
  </si>
  <si>
    <t>Berlijnplein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</si>
  <si>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</si>
  <si>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</si>
  <si>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</si>
  <si>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</si>
  <si>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</si>
  <si>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</si>
  <si>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</si>
  <si>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</si>
  <si>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</si>
  <si>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</si>
  <si>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</si>
  <si>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</si>
  <si>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</si>
  <si>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</si>
  <si>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</si>
  <si>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01 - UniC, Van Bijnkershoeklaan 2, Utrecht</t>
  </si>
  <si>
    <t>Totaal 02 - Utrechts Stedelijk Gymnasium, Ina Boudier Bakkerlaan 7, Utrecht</t>
  </si>
  <si>
    <t>Totaal 03 - Trajectum College, Vader Rijndreef 7-9, Utrecht</t>
  </si>
  <si>
    <t>Totaal 04 - Leidsche Rijn College, Maartvlinder 1, Utrecht</t>
  </si>
  <si>
    <t>Totaal 08 - VOLT! Toekomstmakers, Oesterzwam 1, Vleuten</t>
  </si>
  <si>
    <t>Totaal 10 - NXT Maarsbergen, Woudenbergseweg 22A, Maarsbergen</t>
  </si>
  <si>
    <t>Totaal 13 - NXT Doorn, Frans van Dijklaan 2, Doorn</t>
  </si>
  <si>
    <t>Totaal 20 - Ithaka &amp; Pouwer College, La Bohèmedreef 7, Utrecht</t>
  </si>
  <si>
    <t>Totaal 23 - Ithaka Dependance 3, Stroyenborchdreef 2, Utrecht</t>
  </si>
  <si>
    <t>Totaal 30 - X11 Media en Vormgeving, Van Bijnkershoeklaan 8, Utrecht</t>
  </si>
  <si>
    <t>Totaal 31 - X11 Media en Vormgeving Dependance, Grebbeberglaan 25, Utrecht</t>
  </si>
  <si>
    <t>Totaal 32 - Anna van Rijn College, Albatros 1, Nieuwegein</t>
  </si>
  <si>
    <t>Totaal 33 - UniC Dependance, Kanaalweg 19 - gebouw C3, Utrecht</t>
  </si>
  <si>
    <t>Totaal 34 - Ithaka Dependance 4, Stroyenborchdreef 12, Utrecht</t>
  </si>
  <si>
    <t>Totaal 36 - Ithaka Dependance 5, Daltonlaan 300, Utrecht</t>
  </si>
  <si>
    <t>Totaal 37 - International School Utrecht, Deventerlaan 1 (Papendorp), Utrecht</t>
  </si>
  <si>
    <t>Totaal 38 - ACADEMIE TIEN, Berlijnplein, Utrecht</t>
  </si>
  <si>
    <t>V1000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</si>
  <si>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</si>
  <si>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</si>
  <si>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</si>
  <si>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</si>
  <si>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</si>
  <si>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</si>
  <si>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</si>
  <si>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</si>
  <si>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</si>
  <si>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</si>
  <si>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</si>
  <si>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</si>
  <si>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</si>
  <si>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</si>
  <si>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</si>
  <si>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</si>
  <si>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9130</t>
  </si>
  <si>
    <t>Dieptereining keuken</t>
  </si>
  <si>
    <t>tijdsnorm in vloer m²/uur</t>
  </si>
  <si>
    <t>9700</t>
  </si>
  <si>
    <t>Periodiek vloeronderhoud strippen en polymeren</t>
  </si>
  <si>
    <t>Totaal additioneel werk excl. BTW</t>
  </si>
  <si>
    <t>8000</t>
  </si>
  <si>
    <t>Gevelglas buitenzijde</t>
  </si>
  <si>
    <t>prijs per m²</t>
  </si>
  <si>
    <t>8010</t>
  </si>
  <si>
    <t>Gevelglas binnenzijde</t>
  </si>
  <si>
    <t>8020</t>
  </si>
  <si>
    <t>Separatieglas (m ² is totaal)</t>
  </si>
  <si>
    <t>8030</t>
  </si>
  <si>
    <t>Dakraam binnenzijde</t>
  </si>
  <si>
    <t>8040</t>
  </si>
  <si>
    <t>Dakraam buitenzijde</t>
  </si>
  <si>
    <t>8050</t>
  </si>
  <si>
    <t>(Vlakke) dakkoepel binnenzijde</t>
  </si>
  <si>
    <t>8060</t>
  </si>
  <si>
    <t>(Vlakke) dakkoepel buitenzijde</t>
  </si>
  <si>
    <t>8100</t>
  </si>
  <si>
    <t>Mast / éénpersoons</t>
  </si>
  <si>
    <t>prijs per dag</t>
  </si>
  <si>
    <t>8110</t>
  </si>
  <si>
    <t>Schaarhoogwerker</t>
  </si>
  <si>
    <t>8120</t>
  </si>
  <si>
    <t>Autohoogwerkers</t>
  </si>
  <si>
    <t>8130</t>
  </si>
  <si>
    <t>Spinhoogwerker</t>
  </si>
  <si>
    <t>8140</t>
  </si>
  <si>
    <t>Zelfrijdende telescoop</t>
  </si>
  <si>
    <t>9000</t>
  </si>
  <si>
    <t>Medewerker regiewerkzaamheden</t>
  </si>
  <si>
    <t>prijs per uur</t>
  </si>
  <si>
    <t>9010</t>
  </si>
  <si>
    <t>Medewerker specialistische werkzaamheden</t>
  </si>
  <si>
    <t>9020</t>
  </si>
  <si>
    <t>Medewerker glasbewassing</t>
  </si>
  <si>
    <t>9030</t>
  </si>
  <si>
    <t>Medewerker bouwschoonmaak</t>
  </si>
  <si>
    <t>9040</t>
  </si>
  <si>
    <t>Medewerker specialitisch bouwschoonmaak</t>
  </si>
  <si>
    <t>9050</t>
  </si>
  <si>
    <t>Medewerker kauwgom verwijderen buitenterrein</t>
  </si>
  <si>
    <t>9100</t>
  </si>
  <si>
    <t>Afzuigkappen reinigen</t>
  </si>
  <si>
    <t>prijs per stuk</t>
  </si>
  <si>
    <t>9110</t>
  </si>
  <si>
    <t>Vloerkleden dieptereinigen</t>
  </si>
  <si>
    <t>9120</t>
  </si>
  <si>
    <t>Stofvrij maken kunstwerk Romanesco Dream incl. inzet hoogwerker</t>
  </si>
  <si>
    <t>V9000</t>
  </si>
  <si>
    <t>V9010</t>
  </si>
  <si>
    <t>V9020</t>
  </si>
  <si>
    <t>V9030</t>
  </si>
  <si>
    <t>V9040</t>
  </si>
  <si>
    <t>V9050</t>
  </si>
  <si>
    <t xml:space="preserve">WEEKENDDAG          </t>
  </si>
  <si>
    <t>W9000</t>
  </si>
  <si>
    <t>W9010</t>
  </si>
  <si>
    <t>W9020</t>
  </si>
  <si>
    <t>W9030</t>
  </si>
  <si>
    <t>W9040</t>
  </si>
  <si>
    <t>W9050</t>
  </si>
  <si>
    <t xml:space="preserve">Totaal weekenddag          </t>
  </si>
  <si>
    <t>Totaal afroep excl. BTW</t>
  </si>
  <si>
    <t>STAFFEL</t>
  </si>
  <si>
    <t>2000A</t>
  </si>
  <si>
    <t>Systeemkast/monitor reinigen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</si>
  <si>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</si>
  <si>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</si>
  <si>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</si>
  <si>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</si>
  <si>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</si>
  <si>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</si>
  <si>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</si>
  <si>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</si>
  <si>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</si>
  <si>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</si>
  <si>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</si>
  <si>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</si>
  <si>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</si>
  <si>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</si>
  <si>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</si>
  <si>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</si>
  <si>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</si>
  <si>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</si>
  <si>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</si>
  <si>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</si>
  <si>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</si>
  <si>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</si>
  <si>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</si>
  <si>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</si>
  <si>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</si>
  <si>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</si>
  <si>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</si>
  <si>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</si>
  <si>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</si>
  <si>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</si>
  <si>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</si>
  <si>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</si>
  <si>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</si>
  <si>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</si>
  <si>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</si>
  <si>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</si>
  <si>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</si>
  <si>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</si>
  <si>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</si>
  <si>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</si>
  <si>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</si>
  <si>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</si>
  <si>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</si>
  <si>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</si>
  <si>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</si>
  <si>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</si>
  <si>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</si>
  <si>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</si>
  <si>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</si>
  <si>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</si>
  <si>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</si>
  <si>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</si>
  <si>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</si>
  <si>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</si>
  <si>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</si>
  <si>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</si>
  <si>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3040A</t>
  </si>
  <si>
    <t>Stoel (kunststof) reinigen</t>
  </si>
  <si>
    <t>3040B</t>
  </si>
  <si>
    <t>3040C</t>
  </si>
  <si>
    <t>3040D</t>
  </si>
  <si>
    <t>3050A</t>
  </si>
  <si>
    <t>Stoel (stoffen bekleding) reinigen</t>
  </si>
  <si>
    <t>3050B</t>
  </si>
  <si>
    <t>3050C</t>
  </si>
  <si>
    <t>3050D</t>
  </si>
  <si>
    <t>3200A</t>
  </si>
  <si>
    <t>Trespa/gevelbeplating reinigen</t>
  </si>
  <si>
    <t>&lt; 500 m²</t>
  </si>
  <si>
    <t>3200B</t>
  </si>
  <si>
    <t>500 &lt; 1000 m²</t>
  </si>
  <si>
    <t>3200C</t>
  </si>
  <si>
    <t>1000 &lt; 2000 m²</t>
  </si>
  <si>
    <t>3200D</t>
  </si>
  <si>
    <t>&gt;= 2000 m²</t>
  </si>
  <si>
    <t>4000A</t>
  </si>
  <si>
    <t>Vloer schrobben/waterzuigen</t>
  </si>
  <si>
    <t>4000B</t>
  </si>
  <si>
    <t>4000C</t>
  </si>
  <si>
    <t>4000D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</si>
  <si>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</si>
  <si>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</si>
  <si>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</si>
  <si>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</si>
  <si>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</si>
  <si>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</si>
  <si>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</si>
  <si>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</si>
  <si>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</si>
  <si>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</si>
  <si>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</si>
  <si>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</si>
  <si>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</si>
  <si>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</si>
  <si>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</si>
  <si>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</si>
  <si>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</si>
  <si>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</si>
  <si>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</si>
  <si>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</si>
  <si>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</si>
  <si>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</si>
  <si>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</si>
  <si>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</si>
  <si>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</si>
  <si>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</si>
  <si>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</si>
  <si>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</si>
  <si>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</si>
  <si>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</si>
  <si>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</si>
  <si>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</si>
  <si>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</si>
  <si>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</si>
  <si>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</si>
  <si>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</si>
  <si>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</si>
  <si>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</si>
  <si>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</si>
  <si>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</si>
  <si>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</si>
  <si>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</si>
  <si>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</si>
  <si>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</si>
  <si>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</si>
  <si>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</si>
  <si>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</si>
  <si>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</si>
  <si>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</si>
  <si>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Additioneel werk</t>
  </si>
  <si>
    <t>Afroepwerk (geschatte frequenties)</t>
  </si>
  <si>
    <t>Totaal generaal</t>
  </si>
  <si>
    <t>Percentage objectleiding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</si>
</sst>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10" fontId="0" fillId="0" borderId="27" xfId="0" applyNumberFormat="1" applyBorder="1"/>
    <xf numFmtId="0" fontId="0" fillId="2" borderId="27" xfId="0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" fontId="0" fillId="0" borderId="15" xfId="0" applyNumberFormat="1" applyBorder="1"/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/>
    <xf numFmtId="164" fontId="0" fillId="3" borderId="14" xfId="0" applyNumberFormat="1" applyFill="1" applyBorder="1" applyProtection="1"/>
    <xf numFmtId="4" fontId="0" fillId="4" borderId="16" xfId="0" applyNumberFormat="1" applyFill="1" applyBorder="1"/>
    <xf numFmtId="164" fontId="0" fillId="3" borderId="16" xfId="0" applyNumberFormat="1" applyFill="1" applyBorder="1" applyProtection="1"/>
    <xf numFmtId="164" fontId="0" fillId="3" borderId="12" xfId="0" applyNumberFormat="1" applyFill="1" applyBorder="1"/>
    <xf numFmtId="0" fontId="0" fillId="3" borderId="10" xfId="0" applyFill="1" applyBorder="1" applyAlignment="1"/>
    <xf numFmtId="0" fontId="0" fillId="3" borderId="12" xfId="0" applyFill="1" applyBorder="1"/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164" fontId="0" fillId="3" borderId="6" xfId="0" applyNumberFormat="1" applyFill="1" applyBorder="1" applyProtection="1"/>
    <xf numFmtId="164" fontId="0" fillId="2" borderId="6" xfId="0" applyNumberFormat="1" applyFill="1" applyBorder="1"/>
    <xf numFmtId="164" fontId="0" fillId="2" borderId="14" xfId="0" applyNumberFormat="1" applyFill="1" applyBorder="1" applyProtection="1"/>
    <xf numFmtId="4" fontId="0" fillId="2" borderId="14" xfId="0" applyNumberFormat="1" applyFill="1" applyBorder="1" applyProtection="1"/>
    <xf numFmtId="164" fontId="0" fillId="2" borderId="16" xfId="0" applyNumberFormat="1" applyFill="1" applyBorder="1" applyProtection="1"/>
    <xf numFmtId="4" fontId="0" fillId="2" borderId="16" xfId="0" applyNumberFormat="1" applyFill="1" applyBorder="1" applyProtection="1"/>
    <xf numFmtId="4" fontId="0" fillId="3" borderId="14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4" fontId="0" fillId="3" borderId="16" xfId="0" applyNumberFormat="1" applyFill="1" applyBorder="1" applyProtection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32AA2-376A-472F-838D-086D3B7B769A}">
  <dimension ref="A1:B29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200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1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0.8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0.6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0.4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0.4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0.2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0.2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0.13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0.06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0.05</v>
      </c>
    </row>
    <row r="24" spans="1:2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0.03</v>
      </c>
    </row>
    <row r="25" spans="1:2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2.5000000000000001E-2</v>
      </c>
    </row>
    <row r="26" spans="1:2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0.02</v>
      </c>
    </row>
    <row r="27" spans="1:2" x14ac:dyDescent="0.2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1.4999999999999999E-2</v>
      </c>
    </row>
    <row r="28" spans="1:2" x14ac:dyDescent="0.2">
      <c r="A28" s="2" t="s">
        <v>24</v>
      </c>
      <c r="B28" s="3">
        <f>IF(A28="2½W",2.5/dagenperweek1,IF(RIGHT(A28,1)="W",VALUE(LEFT(A28,LEN(A28)-1))/dagenperweek1,IF(RIGHT(A28,1)="J",VALUE(LEFT(A28,LEN(A28)-1))/dagenperjaar1,"handmatig!")))</f>
        <v>0.01</v>
      </c>
    </row>
    <row r="29" spans="1:2" x14ac:dyDescent="0.2">
      <c r="A29" s="6" t="s">
        <v>25</v>
      </c>
      <c r="B29" s="7">
        <f>IF(A29="2½W",2.5/dagenperweek1,IF(RIGHT(A29,1)="W",VALUE(LEFT(A29,LEN(A29)-1))/dagenperweek1,IF(RIGHT(A29,1)="J",VALUE(LEFT(A29,LEN(A29)-1))/dagenperjaar1,"handmatig!")))</f>
        <v>5.0000000000000001E-3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0679B-C309-4DF8-8974-FE13FBD5004E}">
  <dimension ref="A1:L1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I.8: ",tabeltype," additioneel werk")</f>
        <v>Bijlage I.8: Invultabel additioneel werk</v>
      </c>
    </row>
    <row r="3" spans="1:12" ht="38.25" x14ac:dyDescent="0.2">
      <c r="A3" s="8" t="s">
        <v>2933</v>
      </c>
      <c r="B3" s="8" t="s">
        <v>7</v>
      </c>
      <c r="C3" s="8" t="s">
        <v>2934</v>
      </c>
      <c r="D3" s="8" t="s">
        <v>29</v>
      </c>
      <c r="E3" s="8" t="s">
        <v>32</v>
      </c>
      <c r="F3" s="8" t="s">
        <v>2935</v>
      </c>
      <c r="G3" s="8" t="s">
        <v>2936</v>
      </c>
      <c r="H3" s="8" t="s">
        <v>2937</v>
      </c>
      <c r="I3" s="8" t="s">
        <v>2938</v>
      </c>
      <c r="J3" s="8" t="s">
        <v>2939</v>
      </c>
      <c r="K3" s="8" t="s">
        <v>199</v>
      </c>
      <c r="L3" s="8" t="s">
        <v>2851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2940</v>
      </c>
      <c r="B6" s="15" t="s">
        <v>25</v>
      </c>
      <c r="C6" s="16">
        <f>IF(ISBLANK(B6),0,IF(ISERROR(VALUE(B6)),VLOOKUP(B6,dagsoorttabel1,2,FALSE)*dagenperjaar1,VALUE(B6)))</f>
        <v>1</v>
      </c>
      <c r="D6" s="15" t="s">
        <v>2941</v>
      </c>
      <c r="E6" s="15" t="s">
        <v>2942</v>
      </c>
      <c r="F6" s="108">
        <v>516.1</v>
      </c>
      <c r="G6" s="19"/>
      <c r="H6" s="17"/>
      <c r="I6" s="109"/>
      <c r="J6" s="33">
        <f>IF(ISBLANK(H6),0,F6 / H6 * G6)</f>
        <v>0</v>
      </c>
      <c r="K6" s="33">
        <f>C6*J6</f>
        <v>0</v>
      </c>
      <c r="L6" s="33">
        <f>K6/12</f>
        <v>0</v>
      </c>
    </row>
    <row r="7" spans="1:12" x14ac:dyDescent="0.2">
      <c r="A7" s="25" t="s">
        <v>2943</v>
      </c>
      <c r="B7" s="25" t="s">
        <v>25</v>
      </c>
      <c r="C7" s="26">
        <f>IF(ISBLANK(B7),0,IF(ISERROR(VALUE(B7)),VLOOKUP(B7,dagsoorttabel1,2,FALSE)*dagenperjaar1,VALUE(B7)))</f>
        <v>1</v>
      </c>
      <c r="D7" s="25" t="s">
        <v>2944</v>
      </c>
      <c r="E7" s="25" t="s">
        <v>2942</v>
      </c>
      <c r="F7" s="110">
        <v>59863.439999999995</v>
      </c>
      <c r="G7" s="29"/>
      <c r="H7" s="27"/>
      <c r="I7" s="111"/>
      <c r="J7" s="41">
        <f>IF(ISBLANK(H7),0,F7 / H7 * G7)</f>
        <v>0</v>
      </c>
      <c r="K7" s="41">
        <f>C7*J7</f>
        <v>0</v>
      </c>
      <c r="L7" s="41">
        <f>K7/12</f>
        <v>0</v>
      </c>
    </row>
    <row r="8" spans="1:12" x14ac:dyDescent="0.2">
      <c r="A8" s="43" t="s">
        <v>300</v>
      </c>
      <c r="B8" s="44"/>
      <c r="C8" s="44"/>
      <c r="D8" s="44"/>
      <c r="E8" s="44"/>
      <c r="F8" s="44"/>
      <c r="G8" s="44"/>
      <c r="H8" s="44"/>
      <c r="I8" s="44"/>
      <c r="J8" s="44"/>
      <c r="K8" s="46">
        <f>SUM(K6:K7)</f>
        <v>0</v>
      </c>
      <c r="L8" s="112">
        <f>K8/12</f>
        <v>0</v>
      </c>
    </row>
    <row r="10" spans="1:12" x14ac:dyDescent="0.2">
      <c r="A10" s="43" t="s">
        <v>2945</v>
      </c>
      <c r="B10" s="44"/>
      <c r="C10" s="44"/>
      <c r="D10" s="44"/>
      <c r="E10" s="44"/>
      <c r="F10" s="44"/>
      <c r="G10" s="44"/>
      <c r="H10" s="44"/>
      <c r="I10" s="44"/>
      <c r="J10" s="44"/>
      <c r="K10" s="46">
        <f>prijsjaaradditioneel1</f>
        <v>0</v>
      </c>
      <c r="L10" s="112">
        <f>K10/12</f>
        <v>0</v>
      </c>
    </row>
  </sheetData>
  <pageMargins left="0.7" right="0.7" top="0.75" bottom="0.75" header="0.3" footer="0.3"/>
  <pageSetup paperSize="9" scale="65" orientation="landscape" r:id="rId1"/>
  <headerFooter>
    <oddFooter>&amp;LNUOVO Scholengroep EA 2023                                  &amp;ROpmaakdatum: 21-07-2023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42B08-24EE-4B98-86A3-8EFB8A3B418D}">
  <dimension ref="A1:M73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I.9: ",tabeltype," additioneel werk per locatie")</f>
        <v>Bijlage I.9: Invultabel additioneel werk per locatie</v>
      </c>
    </row>
    <row r="3" spans="1:13" ht="38.25" x14ac:dyDescent="0.2">
      <c r="A3" s="8" t="s">
        <v>2933</v>
      </c>
      <c r="B3" s="8" t="s">
        <v>7</v>
      </c>
      <c r="C3" s="8" t="s">
        <v>2934</v>
      </c>
      <c r="D3" s="8" t="s">
        <v>2812</v>
      </c>
      <c r="E3" s="8" t="s">
        <v>29</v>
      </c>
      <c r="F3" s="8" t="s">
        <v>32</v>
      </c>
      <c r="G3" s="8" t="s">
        <v>2935</v>
      </c>
      <c r="H3" s="8" t="s">
        <v>2936</v>
      </c>
      <c r="I3" s="8" t="s">
        <v>2937</v>
      </c>
      <c r="J3" s="8" t="s">
        <v>2938</v>
      </c>
      <c r="K3" s="8" t="s">
        <v>2939</v>
      </c>
      <c r="L3" s="8" t="s">
        <v>199</v>
      </c>
      <c r="M3" s="8" t="s">
        <v>2851</v>
      </c>
    </row>
    <row r="5" spans="1:13" x14ac:dyDescent="0.2">
      <c r="A5" s="113" t="s">
        <v>322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114"/>
    </row>
    <row r="6" spans="1:13" x14ac:dyDescent="0.2">
      <c r="A6" s="115" t="s">
        <v>2943</v>
      </c>
      <c r="B6" s="115" t="s">
        <v>25</v>
      </c>
      <c r="C6" s="116">
        <f>IF(ISBLANK(B6),0,IF(ISERROR(VALUE(B6)),VLOOKUP(B6,dagsoorttabel1,2,FALSE)*dagenperjaar1,VALUE(B6)))</f>
        <v>1</v>
      </c>
      <c r="D6" s="115" t="s">
        <v>2835</v>
      </c>
      <c r="E6" s="115" t="s">
        <v>2944</v>
      </c>
      <c r="F6" s="115" t="s">
        <v>2942</v>
      </c>
      <c r="G6" s="117">
        <v>3951.7999999999997</v>
      </c>
      <c r="H6" s="118">
        <f>'Additioneel werk'!G7</f>
        <v>0</v>
      </c>
      <c r="I6" s="119">
        <f>'Additioneel werk'!H7</f>
        <v>0</v>
      </c>
      <c r="J6" s="120"/>
      <c r="K6" s="121" t="e">
        <f>IF(ISBLANK(I6),0,G6 / I6 * H6)</f>
        <v>#DIV/0!</v>
      </c>
      <c r="L6" s="121" t="e">
        <f>C6*K6</f>
        <v>#DIV/0!</v>
      </c>
      <c r="M6" s="121" t="e">
        <f>L6/12</f>
        <v>#DIV/0!</v>
      </c>
    </row>
    <row r="7" spans="1:13" x14ac:dyDescent="0.2">
      <c r="A7" s="107" t="s">
        <v>2906</v>
      </c>
      <c r="B7" s="44"/>
      <c r="C7" s="44"/>
      <c r="D7" s="44"/>
      <c r="E7" s="44"/>
      <c r="F7" s="44"/>
      <c r="G7" s="44"/>
      <c r="H7" s="44"/>
      <c r="I7" s="44"/>
      <c r="J7" s="44"/>
      <c r="K7" s="46" t="e">
        <f>SUM(K6:K6)</f>
        <v>#DIV/0!</v>
      </c>
      <c r="L7" s="46" t="e">
        <f>SUM(L6:L6)</f>
        <v>#DIV/0!</v>
      </c>
      <c r="M7" s="112" t="e">
        <f>L7/12</f>
        <v>#DIV/0!</v>
      </c>
    </row>
    <row r="9" spans="1:13" x14ac:dyDescent="0.2">
      <c r="A9" s="113" t="s">
        <v>603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114"/>
    </row>
    <row r="10" spans="1:13" x14ac:dyDescent="0.2">
      <c r="A10" s="115" t="s">
        <v>2943</v>
      </c>
      <c r="B10" s="115" t="s">
        <v>25</v>
      </c>
      <c r="C10" s="116">
        <f>IF(ISBLANK(B10),0,IF(ISERROR(VALUE(B10)),VLOOKUP(B10,dagsoorttabel1,2,FALSE)*dagenperjaar1,VALUE(B10)))</f>
        <v>1</v>
      </c>
      <c r="D10" s="115" t="s">
        <v>2835</v>
      </c>
      <c r="E10" s="115" t="s">
        <v>2944</v>
      </c>
      <c r="F10" s="115" t="s">
        <v>2942</v>
      </c>
      <c r="G10" s="117">
        <v>6312.7999999999993</v>
      </c>
      <c r="H10" s="118">
        <f>'Additioneel werk'!G7</f>
        <v>0</v>
      </c>
      <c r="I10" s="119">
        <f>'Additioneel werk'!H7</f>
        <v>0</v>
      </c>
      <c r="J10" s="120"/>
      <c r="K10" s="121" t="e">
        <f>IF(ISBLANK(I10),0,G10 / I10 * H10)</f>
        <v>#DIV/0!</v>
      </c>
      <c r="L10" s="121" t="e">
        <f>C10*K10</f>
        <v>#DIV/0!</v>
      </c>
      <c r="M10" s="121" t="e">
        <f>L10/12</f>
        <v>#DIV/0!</v>
      </c>
    </row>
    <row r="11" spans="1:13" x14ac:dyDescent="0.2">
      <c r="A11" s="107" t="s">
        <v>2907</v>
      </c>
      <c r="B11" s="44"/>
      <c r="C11" s="44"/>
      <c r="D11" s="44"/>
      <c r="E11" s="44"/>
      <c r="F11" s="44"/>
      <c r="G11" s="44"/>
      <c r="H11" s="44"/>
      <c r="I11" s="44"/>
      <c r="J11" s="44"/>
      <c r="K11" s="46" t="e">
        <f>SUM(K10:K10)</f>
        <v>#DIV/0!</v>
      </c>
      <c r="L11" s="46" t="e">
        <f>SUM(L10:L10)</f>
        <v>#DIV/0!</v>
      </c>
      <c r="M11" s="112" t="e">
        <f>L11/12</f>
        <v>#DIV/0!</v>
      </c>
    </row>
    <row r="13" spans="1:13" x14ac:dyDescent="0.2">
      <c r="A13" s="113" t="s">
        <v>849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4"/>
    </row>
    <row r="14" spans="1:13" x14ac:dyDescent="0.2">
      <c r="A14" s="115" t="s">
        <v>2943</v>
      </c>
      <c r="B14" s="115" t="s">
        <v>25</v>
      </c>
      <c r="C14" s="116">
        <f>IF(ISBLANK(B14),0,IF(ISERROR(VALUE(B14)),VLOOKUP(B14,dagsoorttabel1,2,FALSE)*dagenperjaar1,VALUE(B14)))</f>
        <v>1</v>
      </c>
      <c r="D14" s="115" t="s">
        <v>2835</v>
      </c>
      <c r="E14" s="115" t="s">
        <v>2944</v>
      </c>
      <c r="F14" s="115" t="s">
        <v>2942</v>
      </c>
      <c r="G14" s="117">
        <v>5025.8999999999987</v>
      </c>
      <c r="H14" s="118">
        <f>'Additioneel werk'!G7</f>
        <v>0</v>
      </c>
      <c r="I14" s="119">
        <f>'Additioneel werk'!H7</f>
        <v>0</v>
      </c>
      <c r="J14" s="120"/>
      <c r="K14" s="121" t="e">
        <f>IF(ISBLANK(I14),0,G14 / I14 * H14)</f>
        <v>#DIV/0!</v>
      </c>
      <c r="L14" s="121" t="e">
        <f>C14*K14</f>
        <v>#DIV/0!</v>
      </c>
      <c r="M14" s="121" t="e">
        <f>L14/12</f>
        <v>#DIV/0!</v>
      </c>
    </row>
    <row r="15" spans="1:13" x14ac:dyDescent="0.2">
      <c r="A15" s="107" t="s">
        <v>2908</v>
      </c>
      <c r="B15" s="44"/>
      <c r="C15" s="44"/>
      <c r="D15" s="44"/>
      <c r="E15" s="44"/>
      <c r="F15" s="44"/>
      <c r="G15" s="44"/>
      <c r="H15" s="44"/>
      <c r="I15" s="44"/>
      <c r="J15" s="44"/>
      <c r="K15" s="46" t="e">
        <f>SUM(K14:K14)</f>
        <v>#DIV/0!</v>
      </c>
      <c r="L15" s="46" t="e">
        <f>SUM(L14:L14)</f>
        <v>#DIV/0!</v>
      </c>
      <c r="M15" s="112" t="e">
        <f>L15/12</f>
        <v>#DIV/0!</v>
      </c>
    </row>
    <row r="17" spans="1:13" x14ac:dyDescent="0.2">
      <c r="A17" s="113" t="s">
        <v>990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114"/>
    </row>
    <row r="18" spans="1:13" x14ac:dyDescent="0.2">
      <c r="A18" s="115" t="s">
        <v>2943</v>
      </c>
      <c r="B18" s="115" t="s">
        <v>25</v>
      </c>
      <c r="C18" s="116">
        <f>IF(ISBLANK(B18),0,IF(ISERROR(VALUE(B18)),VLOOKUP(B18,dagsoorttabel1,2,FALSE)*dagenperjaar1,VALUE(B18)))</f>
        <v>1</v>
      </c>
      <c r="D18" s="115" t="s">
        <v>2835</v>
      </c>
      <c r="E18" s="115" t="s">
        <v>2944</v>
      </c>
      <c r="F18" s="115" t="s">
        <v>2942</v>
      </c>
      <c r="G18" s="117">
        <v>150.89999999999998</v>
      </c>
      <c r="H18" s="118">
        <f>'Additioneel werk'!G7</f>
        <v>0</v>
      </c>
      <c r="I18" s="119">
        <f>'Additioneel werk'!H7</f>
        <v>0</v>
      </c>
      <c r="J18" s="120"/>
      <c r="K18" s="121" t="e">
        <f>IF(ISBLANK(I18),0,G18 / I18 * H18)</f>
        <v>#DIV/0!</v>
      </c>
      <c r="L18" s="121" t="e">
        <f>C18*K18</f>
        <v>#DIV/0!</v>
      </c>
      <c r="M18" s="121" t="e">
        <f>L18/12</f>
        <v>#DIV/0!</v>
      </c>
    </row>
    <row r="19" spans="1:13" x14ac:dyDescent="0.2">
      <c r="A19" s="107" t="s">
        <v>2909</v>
      </c>
      <c r="B19" s="44"/>
      <c r="C19" s="44"/>
      <c r="D19" s="44"/>
      <c r="E19" s="44"/>
      <c r="F19" s="44"/>
      <c r="G19" s="44"/>
      <c r="H19" s="44"/>
      <c r="I19" s="44"/>
      <c r="J19" s="44"/>
      <c r="K19" s="46" t="e">
        <f>SUM(K18:K18)</f>
        <v>#DIV/0!</v>
      </c>
      <c r="L19" s="46" t="e">
        <f>SUM(L18:L18)</f>
        <v>#DIV/0!</v>
      </c>
      <c r="M19" s="112" t="e">
        <f>L19/12</f>
        <v>#DIV/0!</v>
      </c>
    </row>
    <row r="21" spans="1:13" x14ac:dyDescent="0.2">
      <c r="A21" s="113" t="s">
        <v>1298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114"/>
    </row>
    <row r="22" spans="1:13" x14ac:dyDescent="0.2">
      <c r="A22" s="15" t="s">
        <v>2940</v>
      </c>
      <c r="B22" s="15" t="s">
        <v>25</v>
      </c>
      <c r="C22" s="16">
        <f>IF(ISBLANK(B22),0,IF(ISERROR(VALUE(B22)),VLOOKUP(B22,dagsoorttabel1,2,FALSE)*dagenperjaar1,VALUE(B22)))</f>
        <v>1</v>
      </c>
      <c r="D22" s="15" t="s">
        <v>2835</v>
      </c>
      <c r="E22" s="15" t="s">
        <v>2941</v>
      </c>
      <c r="F22" s="15" t="s">
        <v>2942</v>
      </c>
      <c r="G22" s="108">
        <v>171.1</v>
      </c>
      <c r="H22" s="122">
        <f>'Additioneel werk'!G6</f>
        <v>0</v>
      </c>
      <c r="I22" s="123">
        <f>'Additioneel werk'!H6</f>
        <v>0</v>
      </c>
      <c r="J22" s="109"/>
      <c r="K22" s="33" t="e">
        <f>IF(ISBLANK(I22),0,G22 / I22 * H22)</f>
        <v>#DIV/0!</v>
      </c>
      <c r="L22" s="33" t="e">
        <f>C22*K22</f>
        <v>#DIV/0!</v>
      </c>
      <c r="M22" s="33" t="e">
        <f>L22/12</f>
        <v>#DIV/0!</v>
      </c>
    </row>
    <row r="23" spans="1:13" x14ac:dyDescent="0.2">
      <c r="A23" s="25" t="s">
        <v>2943</v>
      </c>
      <c r="B23" s="25" t="s">
        <v>25</v>
      </c>
      <c r="C23" s="26">
        <f>IF(ISBLANK(B23),0,IF(ISERROR(VALUE(B23)),VLOOKUP(B23,dagsoorttabel1,2,FALSE)*dagenperjaar1,VALUE(B23)))</f>
        <v>1</v>
      </c>
      <c r="D23" s="25" t="s">
        <v>2835</v>
      </c>
      <c r="E23" s="25" t="s">
        <v>2944</v>
      </c>
      <c r="F23" s="25" t="s">
        <v>2942</v>
      </c>
      <c r="G23" s="110">
        <v>7859.58</v>
      </c>
      <c r="H23" s="124">
        <f>'Additioneel werk'!G7</f>
        <v>0</v>
      </c>
      <c r="I23" s="125">
        <f>'Additioneel werk'!H7</f>
        <v>0</v>
      </c>
      <c r="J23" s="111"/>
      <c r="K23" s="41" t="e">
        <f>IF(ISBLANK(I23),0,G23 / I23 * H23)</f>
        <v>#DIV/0!</v>
      </c>
      <c r="L23" s="41" t="e">
        <f>C23*K23</f>
        <v>#DIV/0!</v>
      </c>
      <c r="M23" s="41" t="e">
        <f>L23/12</f>
        <v>#DIV/0!</v>
      </c>
    </row>
    <row r="24" spans="1:13" x14ac:dyDescent="0.2">
      <c r="A24" s="107" t="s">
        <v>2910</v>
      </c>
      <c r="B24" s="44"/>
      <c r="C24" s="44"/>
      <c r="D24" s="44"/>
      <c r="E24" s="44"/>
      <c r="F24" s="44"/>
      <c r="G24" s="44"/>
      <c r="H24" s="44"/>
      <c r="I24" s="44"/>
      <c r="J24" s="44"/>
      <c r="K24" s="46" t="e">
        <f>SUM(K22:K23)</f>
        <v>#DIV/0!</v>
      </c>
      <c r="L24" s="46" t="e">
        <f>SUM(L22:L23)</f>
        <v>#DIV/0!</v>
      </c>
      <c r="M24" s="112" t="e">
        <f>L24/12</f>
        <v>#DIV/0!</v>
      </c>
    </row>
    <row r="26" spans="1:13" x14ac:dyDescent="0.2">
      <c r="A26" s="113" t="s">
        <v>1413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114"/>
    </row>
    <row r="27" spans="1:13" x14ac:dyDescent="0.2">
      <c r="A27" s="15" t="s">
        <v>2940</v>
      </c>
      <c r="B27" s="15" t="s">
        <v>25</v>
      </c>
      <c r="C27" s="16">
        <f>IF(ISBLANK(B27),0,IF(ISERROR(VALUE(B27)),VLOOKUP(B27,dagsoorttabel1,2,FALSE)*dagenperjaar1,VALUE(B27)))</f>
        <v>1</v>
      </c>
      <c r="D27" s="15" t="s">
        <v>2835</v>
      </c>
      <c r="E27" s="15" t="s">
        <v>2941</v>
      </c>
      <c r="F27" s="15" t="s">
        <v>2942</v>
      </c>
      <c r="G27" s="108">
        <v>345</v>
      </c>
      <c r="H27" s="122">
        <f>'Additioneel werk'!G6</f>
        <v>0</v>
      </c>
      <c r="I27" s="123">
        <f>'Additioneel werk'!H6</f>
        <v>0</v>
      </c>
      <c r="J27" s="109"/>
      <c r="K27" s="33" t="e">
        <f>IF(ISBLANK(I27),0,G27 / I27 * H27)</f>
        <v>#DIV/0!</v>
      </c>
      <c r="L27" s="33" t="e">
        <f>C27*K27</f>
        <v>#DIV/0!</v>
      </c>
      <c r="M27" s="33" t="e">
        <f>L27/12</f>
        <v>#DIV/0!</v>
      </c>
    </row>
    <row r="28" spans="1:13" x14ac:dyDescent="0.2">
      <c r="A28" s="25" t="s">
        <v>2943</v>
      </c>
      <c r="B28" s="25" t="s">
        <v>25</v>
      </c>
      <c r="C28" s="26">
        <f>IF(ISBLANK(B28),0,IF(ISERROR(VALUE(B28)),VLOOKUP(B28,dagsoorttabel1,2,FALSE)*dagenperjaar1,VALUE(B28)))</f>
        <v>1</v>
      </c>
      <c r="D28" s="25" t="s">
        <v>2835</v>
      </c>
      <c r="E28" s="25" t="s">
        <v>2944</v>
      </c>
      <c r="F28" s="25" t="s">
        <v>2942</v>
      </c>
      <c r="G28" s="110">
        <v>2213.75</v>
      </c>
      <c r="H28" s="124">
        <f>'Additioneel werk'!G7</f>
        <v>0</v>
      </c>
      <c r="I28" s="125">
        <f>'Additioneel werk'!H7</f>
        <v>0</v>
      </c>
      <c r="J28" s="111"/>
      <c r="K28" s="41" t="e">
        <f>IF(ISBLANK(I28),0,G28 / I28 * H28)</f>
        <v>#DIV/0!</v>
      </c>
      <c r="L28" s="41" t="e">
        <f>C28*K28</f>
        <v>#DIV/0!</v>
      </c>
      <c r="M28" s="41" t="e">
        <f>L28/12</f>
        <v>#DIV/0!</v>
      </c>
    </row>
    <row r="29" spans="1:13" x14ac:dyDescent="0.2">
      <c r="A29" s="107" t="s">
        <v>2911</v>
      </c>
      <c r="B29" s="44"/>
      <c r="C29" s="44"/>
      <c r="D29" s="44"/>
      <c r="E29" s="44"/>
      <c r="F29" s="44"/>
      <c r="G29" s="44"/>
      <c r="H29" s="44"/>
      <c r="I29" s="44"/>
      <c r="J29" s="44"/>
      <c r="K29" s="46" t="e">
        <f>SUM(K27:K28)</f>
        <v>#DIV/0!</v>
      </c>
      <c r="L29" s="46" t="e">
        <f>SUM(L27:L28)</f>
        <v>#DIV/0!</v>
      </c>
      <c r="M29" s="112" t="e">
        <f>L29/12</f>
        <v>#DIV/0!</v>
      </c>
    </row>
    <row r="31" spans="1:13" x14ac:dyDescent="0.2">
      <c r="A31" s="113" t="s">
        <v>1577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114"/>
    </row>
    <row r="32" spans="1:13" x14ac:dyDescent="0.2">
      <c r="A32" s="115" t="s">
        <v>2943</v>
      </c>
      <c r="B32" s="115" t="s">
        <v>25</v>
      </c>
      <c r="C32" s="116">
        <f>IF(ISBLANK(B32),0,IF(ISERROR(VALUE(B32)),VLOOKUP(B32,dagsoorttabel1,2,FALSE)*dagenperjaar1,VALUE(B32)))</f>
        <v>1</v>
      </c>
      <c r="D32" s="115" t="s">
        <v>2835</v>
      </c>
      <c r="E32" s="115" t="s">
        <v>2944</v>
      </c>
      <c r="F32" s="115" t="s">
        <v>2942</v>
      </c>
      <c r="G32" s="117">
        <v>1580</v>
      </c>
      <c r="H32" s="118">
        <f>'Additioneel werk'!G7</f>
        <v>0</v>
      </c>
      <c r="I32" s="119">
        <f>'Additioneel werk'!H7</f>
        <v>0</v>
      </c>
      <c r="J32" s="120"/>
      <c r="K32" s="121" t="e">
        <f>IF(ISBLANK(I32),0,G32 / I32 * H32)</f>
        <v>#DIV/0!</v>
      </c>
      <c r="L32" s="121" t="e">
        <f>C32*K32</f>
        <v>#DIV/0!</v>
      </c>
      <c r="M32" s="121" t="e">
        <f>L32/12</f>
        <v>#DIV/0!</v>
      </c>
    </row>
    <row r="33" spans="1:13" x14ac:dyDescent="0.2">
      <c r="A33" s="107" t="s">
        <v>2912</v>
      </c>
      <c r="B33" s="44"/>
      <c r="C33" s="44"/>
      <c r="D33" s="44"/>
      <c r="E33" s="44"/>
      <c r="F33" s="44"/>
      <c r="G33" s="44"/>
      <c r="H33" s="44"/>
      <c r="I33" s="44"/>
      <c r="J33" s="44"/>
      <c r="K33" s="46" t="e">
        <f>SUM(K32:K32)</f>
        <v>#DIV/0!</v>
      </c>
      <c r="L33" s="46" t="e">
        <f>SUM(L32:L32)</f>
        <v>#DIV/0!</v>
      </c>
      <c r="M33" s="112" t="e">
        <f>L33/12</f>
        <v>#DIV/0!</v>
      </c>
    </row>
    <row r="35" spans="1:13" x14ac:dyDescent="0.2">
      <c r="A35" s="113" t="s">
        <v>1612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114"/>
    </row>
    <row r="36" spans="1:13" x14ac:dyDescent="0.2">
      <c r="A36" s="115" t="s">
        <v>2943</v>
      </c>
      <c r="B36" s="115" t="s">
        <v>25</v>
      </c>
      <c r="C36" s="116">
        <f>IF(ISBLANK(B36),0,IF(ISERROR(VALUE(B36)),VLOOKUP(B36,dagsoorttabel1,2,FALSE)*dagenperjaar1,VALUE(B36)))</f>
        <v>1</v>
      </c>
      <c r="D36" s="115" t="s">
        <v>2835</v>
      </c>
      <c r="E36" s="115" t="s">
        <v>2944</v>
      </c>
      <c r="F36" s="115" t="s">
        <v>2942</v>
      </c>
      <c r="G36" s="117">
        <v>3924.74</v>
      </c>
      <c r="H36" s="118">
        <f>'Additioneel werk'!G7</f>
        <v>0</v>
      </c>
      <c r="I36" s="119">
        <f>'Additioneel werk'!H7</f>
        <v>0</v>
      </c>
      <c r="J36" s="120"/>
      <c r="K36" s="121" t="e">
        <f>IF(ISBLANK(I36),0,G36 / I36 * H36)</f>
        <v>#DIV/0!</v>
      </c>
      <c r="L36" s="121" t="e">
        <f>C36*K36</f>
        <v>#DIV/0!</v>
      </c>
      <c r="M36" s="121" t="e">
        <f>L36/12</f>
        <v>#DIV/0!</v>
      </c>
    </row>
    <row r="37" spans="1:13" x14ac:dyDescent="0.2">
      <c r="A37" s="107" t="s">
        <v>2913</v>
      </c>
      <c r="B37" s="44"/>
      <c r="C37" s="44"/>
      <c r="D37" s="44"/>
      <c r="E37" s="44"/>
      <c r="F37" s="44"/>
      <c r="G37" s="44"/>
      <c r="H37" s="44"/>
      <c r="I37" s="44"/>
      <c r="J37" s="44"/>
      <c r="K37" s="46" t="e">
        <f>SUM(K36:K36)</f>
        <v>#DIV/0!</v>
      </c>
      <c r="L37" s="46" t="e">
        <f>SUM(L36:L36)</f>
        <v>#DIV/0!</v>
      </c>
      <c r="M37" s="112" t="e">
        <f>L37/12</f>
        <v>#DIV/0!</v>
      </c>
    </row>
    <row r="39" spans="1:13" x14ac:dyDescent="0.2">
      <c r="A39" s="113" t="s">
        <v>1749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114"/>
    </row>
    <row r="40" spans="1:13" x14ac:dyDescent="0.2">
      <c r="A40" s="115" t="s">
        <v>2943</v>
      </c>
      <c r="B40" s="115" t="s">
        <v>25</v>
      </c>
      <c r="C40" s="116">
        <f>IF(ISBLANK(B40),0,IF(ISERROR(VALUE(B40)),VLOOKUP(B40,dagsoorttabel1,2,FALSE)*dagenperjaar1,VALUE(B40)))</f>
        <v>1</v>
      </c>
      <c r="D40" s="115" t="s">
        <v>2835</v>
      </c>
      <c r="E40" s="115" t="s">
        <v>2944</v>
      </c>
      <c r="F40" s="115" t="s">
        <v>2942</v>
      </c>
      <c r="G40" s="117">
        <v>1612</v>
      </c>
      <c r="H40" s="118">
        <f>'Additioneel werk'!G7</f>
        <v>0</v>
      </c>
      <c r="I40" s="119">
        <f>'Additioneel werk'!H7</f>
        <v>0</v>
      </c>
      <c r="J40" s="120"/>
      <c r="K40" s="121" t="e">
        <f>IF(ISBLANK(I40),0,G40 / I40 * H40)</f>
        <v>#DIV/0!</v>
      </c>
      <c r="L40" s="121" t="e">
        <f>C40*K40</f>
        <v>#DIV/0!</v>
      </c>
      <c r="M40" s="121" t="e">
        <f>L40/12</f>
        <v>#DIV/0!</v>
      </c>
    </row>
    <row r="41" spans="1:13" x14ac:dyDescent="0.2">
      <c r="A41" s="107" t="s">
        <v>2914</v>
      </c>
      <c r="B41" s="44"/>
      <c r="C41" s="44"/>
      <c r="D41" s="44"/>
      <c r="E41" s="44"/>
      <c r="F41" s="44"/>
      <c r="G41" s="44"/>
      <c r="H41" s="44"/>
      <c r="I41" s="44"/>
      <c r="J41" s="44"/>
      <c r="K41" s="46" t="e">
        <f>SUM(K40:K40)</f>
        <v>#DIV/0!</v>
      </c>
      <c r="L41" s="46" t="e">
        <f>SUM(L40:L40)</f>
        <v>#DIV/0!</v>
      </c>
      <c r="M41" s="112" t="e">
        <f>L41/12</f>
        <v>#DIV/0!</v>
      </c>
    </row>
    <row r="43" spans="1:13" x14ac:dyDescent="0.2">
      <c r="A43" s="113" t="s">
        <v>1783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114"/>
    </row>
    <row r="44" spans="1:13" x14ac:dyDescent="0.2">
      <c r="A44" s="115" t="s">
        <v>2943</v>
      </c>
      <c r="B44" s="115" t="s">
        <v>25</v>
      </c>
      <c r="C44" s="116">
        <f>IF(ISBLANK(B44),0,IF(ISERROR(VALUE(B44)),VLOOKUP(B44,dagsoorttabel1,2,FALSE)*dagenperjaar1,VALUE(B44)))</f>
        <v>1</v>
      </c>
      <c r="D44" s="115" t="s">
        <v>2835</v>
      </c>
      <c r="E44" s="115" t="s">
        <v>2944</v>
      </c>
      <c r="F44" s="115" t="s">
        <v>2942</v>
      </c>
      <c r="G44" s="117">
        <v>3121.2</v>
      </c>
      <c r="H44" s="118">
        <f>'Additioneel werk'!G7</f>
        <v>0</v>
      </c>
      <c r="I44" s="119">
        <f>'Additioneel werk'!H7</f>
        <v>0</v>
      </c>
      <c r="J44" s="120"/>
      <c r="K44" s="121" t="e">
        <f>IF(ISBLANK(I44),0,G44 / I44 * H44)</f>
        <v>#DIV/0!</v>
      </c>
      <c r="L44" s="121" t="e">
        <f>C44*K44</f>
        <v>#DIV/0!</v>
      </c>
      <c r="M44" s="121" t="e">
        <f>L44/12</f>
        <v>#DIV/0!</v>
      </c>
    </row>
    <row r="45" spans="1:13" x14ac:dyDescent="0.2">
      <c r="A45" s="107" t="s">
        <v>2915</v>
      </c>
      <c r="B45" s="44"/>
      <c r="C45" s="44"/>
      <c r="D45" s="44"/>
      <c r="E45" s="44"/>
      <c r="F45" s="44"/>
      <c r="G45" s="44"/>
      <c r="H45" s="44"/>
      <c r="I45" s="44"/>
      <c r="J45" s="44"/>
      <c r="K45" s="46" t="e">
        <f>SUM(K44:K44)</f>
        <v>#DIV/0!</v>
      </c>
      <c r="L45" s="46" t="e">
        <f>SUM(L44:L44)</f>
        <v>#DIV/0!</v>
      </c>
      <c r="M45" s="112" t="e">
        <f>L45/12</f>
        <v>#DIV/0!</v>
      </c>
    </row>
    <row r="47" spans="1:13" x14ac:dyDescent="0.2">
      <c r="A47" s="113" t="s">
        <v>1839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114"/>
    </row>
    <row r="48" spans="1:13" x14ac:dyDescent="0.2">
      <c r="A48" s="115" t="s">
        <v>2943</v>
      </c>
      <c r="B48" s="115" t="s">
        <v>25</v>
      </c>
      <c r="C48" s="116">
        <f>IF(ISBLANK(B48),0,IF(ISERROR(VALUE(B48)),VLOOKUP(B48,dagsoorttabel1,2,FALSE)*dagenperjaar1,VALUE(B48)))</f>
        <v>1</v>
      </c>
      <c r="D48" s="115" t="s">
        <v>2835</v>
      </c>
      <c r="E48" s="115" t="s">
        <v>2944</v>
      </c>
      <c r="F48" s="115" t="s">
        <v>2942</v>
      </c>
      <c r="G48" s="117">
        <v>706</v>
      </c>
      <c r="H48" s="118">
        <f>'Additioneel werk'!G7</f>
        <v>0</v>
      </c>
      <c r="I48" s="119">
        <f>'Additioneel werk'!H7</f>
        <v>0</v>
      </c>
      <c r="J48" s="120"/>
      <c r="K48" s="121" t="e">
        <f>IF(ISBLANK(I48),0,G48 / I48 * H48)</f>
        <v>#DIV/0!</v>
      </c>
      <c r="L48" s="121" t="e">
        <f>C48*K48</f>
        <v>#DIV/0!</v>
      </c>
      <c r="M48" s="121" t="e">
        <f>L48/12</f>
        <v>#DIV/0!</v>
      </c>
    </row>
    <row r="49" spans="1:13" x14ac:dyDescent="0.2">
      <c r="A49" s="107" t="s">
        <v>2916</v>
      </c>
      <c r="B49" s="44"/>
      <c r="C49" s="44"/>
      <c r="D49" s="44"/>
      <c r="E49" s="44"/>
      <c r="F49" s="44"/>
      <c r="G49" s="44"/>
      <c r="H49" s="44"/>
      <c r="I49" s="44"/>
      <c r="J49" s="44"/>
      <c r="K49" s="46" t="e">
        <f>SUM(K48:K48)</f>
        <v>#DIV/0!</v>
      </c>
      <c r="L49" s="46" t="e">
        <f>SUM(L48:L48)</f>
        <v>#DIV/0!</v>
      </c>
      <c r="M49" s="112" t="e">
        <f>L49/12</f>
        <v>#DIV/0!</v>
      </c>
    </row>
    <row r="51" spans="1:13" x14ac:dyDescent="0.2">
      <c r="A51" s="113" t="s">
        <v>1849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114"/>
    </row>
    <row r="52" spans="1:13" x14ac:dyDescent="0.2">
      <c r="A52" s="115" t="s">
        <v>2943</v>
      </c>
      <c r="B52" s="115" t="s">
        <v>25</v>
      </c>
      <c r="C52" s="116">
        <f>IF(ISBLANK(B52),0,IF(ISERROR(VALUE(B52)),VLOOKUP(B52,dagsoorttabel1,2,FALSE)*dagenperjaar1,VALUE(B52)))</f>
        <v>1</v>
      </c>
      <c r="D52" s="115" t="s">
        <v>2835</v>
      </c>
      <c r="E52" s="115" t="s">
        <v>2944</v>
      </c>
      <c r="F52" s="115" t="s">
        <v>2942</v>
      </c>
      <c r="G52" s="117">
        <v>6681.43</v>
      </c>
      <c r="H52" s="118">
        <f>'Additioneel werk'!G7</f>
        <v>0</v>
      </c>
      <c r="I52" s="119">
        <f>'Additioneel werk'!H7</f>
        <v>0</v>
      </c>
      <c r="J52" s="120"/>
      <c r="K52" s="121" t="e">
        <f>IF(ISBLANK(I52),0,G52 / I52 * H52)</f>
        <v>#DIV/0!</v>
      </c>
      <c r="L52" s="121" t="e">
        <f>C52*K52</f>
        <v>#DIV/0!</v>
      </c>
      <c r="M52" s="121" t="e">
        <f>L52/12</f>
        <v>#DIV/0!</v>
      </c>
    </row>
    <row r="53" spans="1:13" x14ac:dyDescent="0.2">
      <c r="A53" s="107" t="s">
        <v>2917</v>
      </c>
      <c r="B53" s="44"/>
      <c r="C53" s="44"/>
      <c r="D53" s="44"/>
      <c r="E53" s="44"/>
      <c r="F53" s="44"/>
      <c r="G53" s="44"/>
      <c r="H53" s="44"/>
      <c r="I53" s="44"/>
      <c r="J53" s="44"/>
      <c r="K53" s="46" t="e">
        <f>SUM(K52:K52)</f>
        <v>#DIV/0!</v>
      </c>
      <c r="L53" s="46" t="e">
        <f>SUM(L52:L52)</f>
        <v>#DIV/0!</v>
      </c>
      <c r="M53" s="112" t="e">
        <f>L53/12</f>
        <v>#DIV/0!</v>
      </c>
    </row>
    <row r="55" spans="1:13" x14ac:dyDescent="0.2">
      <c r="A55" s="113" t="s">
        <v>2000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114"/>
    </row>
    <row r="56" spans="1:13" x14ac:dyDescent="0.2">
      <c r="A56" s="115" t="s">
        <v>2943</v>
      </c>
      <c r="B56" s="115" t="s">
        <v>25</v>
      </c>
      <c r="C56" s="116">
        <f>IF(ISBLANK(B56),0,IF(ISERROR(VALUE(B56)),VLOOKUP(B56,dagsoorttabel1,2,FALSE)*dagenperjaar1,VALUE(B56)))</f>
        <v>1</v>
      </c>
      <c r="D56" s="115" t="s">
        <v>2835</v>
      </c>
      <c r="E56" s="115" t="s">
        <v>2944</v>
      </c>
      <c r="F56" s="115" t="s">
        <v>2942</v>
      </c>
      <c r="G56" s="117">
        <v>1362.83</v>
      </c>
      <c r="H56" s="118">
        <f>'Additioneel werk'!G7</f>
        <v>0</v>
      </c>
      <c r="I56" s="119">
        <f>'Additioneel werk'!H7</f>
        <v>0</v>
      </c>
      <c r="J56" s="120"/>
      <c r="K56" s="121" t="e">
        <f>IF(ISBLANK(I56),0,G56 / I56 * H56)</f>
        <v>#DIV/0!</v>
      </c>
      <c r="L56" s="121" t="e">
        <f>C56*K56</f>
        <v>#DIV/0!</v>
      </c>
      <c r="M56" s="121" t="e">
        <f>L56/12</f>
        <v>#DIV/0!</v>
      </c>
    </row>
    <row r="57" spans="1:13" x14ac:dyDescent="0.2">
      <c r="A57" s="107" t="s">
        <v>2918</v>
      </c>
      <c r="B57" s="44"/>
      <c r="C57" s="44"/>
      <c r="D57" s="44"/>
      <c r="E57" s="44"/>
      <c r="F57" s="44"/>
      <c r="G57" s="44"/>
      <c r="H57" s="44"/>
      <c r="I57" s="44"/>
      <c r="J57" s="44"/>
      <c r="K57" s="46" t="e">
        <f>SUM(K56:K56)</f>
        <v>#DIV/0!</v>
      </c>
      <c r="L57" s="46" t="e">
        <f>SUM(L56:L56)</f>
        <v>#DIV/0!</v>
      </c>
      <c r="M57" s="112" t="e">
        <f>L57/12</f>
        <v>#DIV/0!</v>
      </c>
    </row>
    <row r="59" spans="1:13" x14ac:dyDescent="0.2">
      <c r="A59" s="113" t="s">
        <v>2006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114"/>
    </row>
    <row r="60" spans="1:13" x14ac:dyDescent="0.2">
      <c r="A60" s="115" t="s">
        <v>2943</v>
      </c>
      <c r="B60" s="115" t="s">
        <v>25</v>
      </c>
      <c r="C60" s="116">
        <f>IF(ISBLANK(B60),0,IF(ISERROR(VALUE(B60)),VLOOKUP(B60,dagsoorttabel1,2,FALSE)*dagenperjaar1,VALUE(B60)))</f>
        <v>1</v>
      </c>
      <c r="D60" s="115" t="s">
        <v>2835</v>
      </c>
      <c r="E60" s="115" t="s">
        <v>2944</v>
      </c>
      <c r="F60" s="115" t="s">
        <v>2942</v>
      </c>
      <c r="G60" s="117">
        <v>764.09999999999991</v>
      </c>
      <c r="H60" s="118">
        <f>'Additioneel werk'!G7</f>
        <v>0</v>
      </c>
      <c r="I60" s="119">
        <f>'Additioneel werk'!H7</f>
        <v>0</v>
      </c>
      <c r="J60" s="120"/>
      <c r="K60" s="121" t="e">
        <f>IF(ISBLANK(I60),0,G60 / I60 * H60)</f>
        <v>#DIV/0!</v>
      </c>
      <c r="L60" s="121" t="e">
        <f>C60*K60</f>
        <v>#DIV/0!</v>
      </c>
      <c r="M60" s="121" t="e">
        <f>L60/12</f>
        <v>#DIV/0!</v>
      </c>
    </row>
    <row r="61" spans="1:13" x14ac:dyDescent="0.2">
      <c r="A61" s="107" t="s">
        <v>2919</v>
      </c>
      <c r="B61" s="44"/>
      <c r="C61" s="44"/>
      <c r="D61" s="44"/>
      <c r="E61" s="44"/>
      <c r="F61" s="44"/>
      <c r="G61" s="44"/>
      <c r="H61" s="44"/>
      <c r="I61" s="44"/>
      <c r="J61" s="44"/>
      <c r="K61" s="46" t="e">
        <f>SUM(K60:K60)</f>
        <v>#DIV/0!</v>
      </c>
      <c r="L61" s="46" t="e">
        <f>SUM(L60:L60)</f>
        <v>#DIV/0!</v>
      </c>
      <c r="M61" s="112" t="e">
        <f>L61/12</f>
        <v>#DIV/0!</v>
      </c>
    </row>
    <row r="63" spans="1:13" x14ac:dyDescent="0.2">
      <c r="A63" s="113" t="s">
        <v>2058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114"/>
    </row>
    <row r="64" spans="1:13" x14ac:dyDescent="0.2">
      <c r="A64" s="115" t="s">
        <v>2943</v>
      </c>
      <c r="B64" s="115" t="s">
        <v>25</v>
      </c>
      <c r="C64" s="116">
        <f>IF(ISBLANK(B64),0,IF(ISERROR(VALUE(B64)),VLOOKUP(B64,dagsoorttabel1,2,FALSE)*dagenperjaar1,VALUE(B64)))</f>
        <v>1</v>
      </c>
      <c r="D64" s="115" t="s">
        <v>2835</v>
      </c>
      <c r="E64" s="115" t="s">
        <v>2944</v>
      </c>
      <c r="F64" s="115" t="s">
        <v>2942</v>
      </c>
      <c r="G64" s="117">
        <v>668.7</v>
      </c>
      <c r="H64" s="118">
        <f>'Additioneel werk'!G7</f>
        <v>0</v>
      </c>
      <c r="I64" s="119">
        <f>'Additioneel werk'!H7</f>
        <v>0</v>
      </c>
      <c r="J64" s="120"/>
      <c r="K64" s="121" t="e">
        <f>IF(ISBLANK(I64),0,G64 / I64 * H64)</f>
        <v>#DIV/0!</v>
      </c>
      <c r="L64" s="121" t="e">
        <f>C64*K64</f>
        <v>#DIV/0!</v>
      </c>
      <c r="M64" s="121" t="e">
        <f>L64/12</f>
        <v>#DIV/0!</v>
      </c>
    </row>
    <row r="65" spans="1:13" x14ac:dyDescent="0.2">
      <c r="A65" s="107" t="s">
        <v>2920</v>
      </c>
      <c r="B65" s="44"/>
      <c r="C65" s="44"/>
      <c r="D65" s="44"/>
      <c r="E65" s="44"/>
      <c r="F65" s="44"/>
      <c r="G65" s="44"/>
      <c r="H65" s="44"/>
      <c r="I65" s="44"/>
      <c r="J65" s="44"/>
      <c r="K65" s="46" t="e">
        <f>SUM(K64:K64)</f>
        <v>#DIV/0!</v>
      </c>
      <c r="L65" s="46" t="e">
        <f>SUM(L64:L64)</f>
        <v>#DIV/0!</v>
      </c>
      <c r="M65" s="112" t="e">
        <f>L65/12</f>
        <v>#DIV/0!</v>
      </c>
    </row>
    <row r="67" spans="1:13" x14ac:dyDescent="0.2">
      <c r="A67" s="113" t="s">
        <v>2098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114"/>
    </row>
    <row r="68" spans="1:13" x14ac:dyDescent="0.2">
      <c r="A68" s="115" t="s">
        <v>2943</v>
      </c>
      <c r="B68" s="115" t="s">
        <v>25</v>
      </c>
      <c r="C68" s="116">
        <f>IF(ISBLANK(B68),0,IF(ISERROR(VALUE(B68)),VLOOKUP(B68,dagsoorttabel1,2,FALSE)*dagenperjaar1,VALUE(B68)))</f>
        <v>1</v>
      </c>
      <c r="D68" s="115" t="s">
        <v>2835</v>
      </c>
      <c r="E68" s="115" t="s">
        <v>2944</v>
      </c>
      <c r="F68" s="115" t="s">
        <v>2942</v>
      </c>
      <c r="G68" s="117">
        <v>7459.59</v>
      </c>
      <c r="H68" s="118">
        <f>'Additioneel werk'!G7</f>
        <v>0</v>
      </c>
      <c r="I68" s="119">
        <f>'Additioneel werk'!H7</f>
        <v>0</v>
      </c>
      <c r="J68" s="120"/>
      <c r="K68" s="121" t="e">
        <f>IF(ISBLANK(I68),0,G68 / I68 * H68)</f>
        <v>#DIV/0!</v>
      </c>
      <c r="L68" s="121" t="e">
        <f>C68*K68</f>
        <v>#DIV/0!</v>
      </c>
      <c r="M68" s="121" t="e">
        <f>L68/12</f>
        <v>#DIV/0!</v>
      </c>
    </row>
    <row r="69" spans="1:13" x14ac:dyDescent="0.2">
      <c r="A69" s="107" t="s">
        <v>2921</v>
      </c>
      <c r="B69" s="44"/>
      <c r="C69" s="44"/>
      <c r="D69" s="44"/>
      <c r="E69" s="44"/>
      <c r="F69" s="44"/>
      <c r="G69" s="44"/>
      <c r="H69" s="44"/>
      <c r="I69" s="44"/>
      <c r="J69" s="44"/>
      <c r="K69" s="46" t="e">
        <f>SUM(K68:K68)</f>
        <v>#DIV/0!</v>
      </c>
      <c r="L69" s="46" t="e">
        <f>SUM(L68:L68)</f>
        <v>#DIV/0!</v>
      </c>
      <c r="M69" s="112" t="e">
        <f>L69/12</f>
        <v>#DIV/0!</v>
      </c>
    </row>
    <row r="71" spans="1:13" x14ac:dyDescent="0.2">
      <c r="A71" s="113" t="s">
        <v>2503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114"/>
    </row>
    <row r="72" spans="1:13" x14ac:dyDescent="0.2">
      <c r="A72" s="115" t="s">
        <v>2943</v>
      </c>
      <c r="B72" s="115" t="s">
        <v>25</v>
      </c>
      <c r="C72" s="116">
        <f>IF(ISBLANK(B72),0,IF(ISERROR(VALUE(B72)),VLOOKUP(B72,dagsoorttabel1,2,FALSE)*dagenperjaar1,VALUE(B72)))</f>
        <v>1</v>
      </c>
      <c r="D72" s="115" t="s">
        <v>2835</v>
      </c>
      <c r="E72" s="115" t="s">
        <v>2944</v>
      </c>
      <c r="F72" s="115" t="s">
        <v>2942</v>
      </c>
      <c r="G72" s="117">
        <v>6468.12</v>
      </c>
      <c r="H72" s="118">
        <f>'Additioneel werk'!G7</f>
        <v>0</v>
      </c>
      <c r="I72" s="119">
        <f>'Additioneel werk'!H7</f>
        <v>0</v>
      </c>
      <c r="J72" s="120"/>
      <c r="K72" s="121" t="e">
        <f>IF(ISBLANK(I72),0,G72 / I72 * H72)</f>
        <v>#DIV/0!</v>
      </c>
      <c r="L72" s="121" t="e">
        <f>C72*K72</f>
        <v>#DIV/0!</v>
      </c>
      <c r="M72" s="121" t="e">
        <f>L72/12</f>
        <v>#DIV/0!</v>
      </c>
    </row>
    <row r="73" spans="1:13" x14ac:dyDescent="0.2">
      <c r="A73" s="107" t="s">
        <v>2922</v>
      </c>
      <c r="B73" s="44"/>
      <c r="C73" s="44"/>
      <c r="D73" s="44"/>
      <c r="E73" s="44"/>
      <c r="F73" s="44"/>
      <c r="G73" s="44"/>
      <c r="H73" s="44"/>
      <c r="I73" s="44"/>
      <c r="J73" s="44"/>
      <c r="K73" s="46" t="e">
        <f>SUM(K72:K72)</f>
        <v>#DIV/0!</v>
      </c>
      <c r="L73" s="46" t="e">
        <f>SUM(L72:L72)</f>
        <v>#DIV/0!</v>
      </c>
      <c r="M73" s="112" t="e">
        <f>L73/12</f>
        <v>#DIV/0!</v>
      </c>
    </row>
  </sheetData>
  <pageMargins left="0.7" right="0.7" top="0.75" bottom="0.75" header="0.3" footer="0.3"/>
  <pageSetup paperSize="9" scale="65" orientation="landscape" r:id="rId1"/>
  <headerFooter>
    <oddFooter>&amp;LNUOVO Scholengroep EA 2023                                  &amp;ROpmaakdatum: 21-07-2023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9D11F-8B9B-47C7-B4C0-EF9A5DCD7A15}">
  <dimension ref="A1:L4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I.10: ",tabeltype," afroep")</f>
        <v>Bijlage I.10: Invultabel afroep</v>
      </c>
    </row>
    <row r="3" spans="1:12" ht="38.25" x14ac:dyDescent="0.2">
      <c r="A3" s="8" t="s">
        <v>2933</v>
      </c>
      <c r="B3" s="8" t="s">
        <v>7</v>
      </c>
      <c r="C3" s="8" t="s">
        <v>2934</v>
      </c>
      <c r="D3" s="8" t="s">
        <v>29</v>
      </c>
      <c r="E3" s="8" t="s">
        <v>32</v>
      </c>
      <c r="F3" s="8" t="s">
        <v>2935</v>
      </c>
      <c r="G3" s="8" t="s">
        <v>2936</v>
      </c>
      <c r="H3" s="8" t="s">
        <v>2937</v>
      </c>
      <c r="I3" s="8" t="s">
        <v>2938</v>
      </c>
      <c r="J3" s="8" t="s">
        <v>2939</v>
      </c>
      <c r="K3" s="8" t="s">
        <v>199</v>
      </c>
      <c r="L3" s="8" t="s">
        <v>2851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2946</v>
      </c>
      <c r="B6" s="15" t="s">
        <v>24</v>
      </c>
      <c r="C6" s="16">
        <f>IF(ISBLANK(B6),0,IF(ISERROR(VALUE(B6)),VLOOKUP(B6,dagsoorttabel1,2,FALSE)*dagenperjaar1,VALUE(B6)))</f>
        <v>2</v>
      </c>
      <c r="D6" s="15" t="s">
        <v>2947</v>
      </c>
      <c r="E6" s="15" t="s">
        <v>2948</v>
      </c>
      <c r="F6" s="108">
        <v>9339.85</v>
      </c>
      <c r="G6" s="19"/>
      <c r="H6" s="126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2949</v>
      </c>
      <c r="B7" s="20" t="s">
        <v>24</v>
      </c>
      <c r="C7" s="21">
        <f>IF(ISBLANK(B7),0,IF(ISERROR(VALUE(B7)),VLOOKUP(B7,dagsoorttabel1,2,FALSE)*dagenperjaar1,VALUE(B7)))</f>
        <v>2</v>
      </c>
      <c r="D7" s="20" t="s">
        <v>2950</v>
      </c>
      <c r="E7" s="20" t="s">
        <v>2948</v>
      </c>
      <c r="F7" s="127">
        <v>9437.0500000000011</v>
      </c>
      <c r="G7" s="24"/>
      <c r="H7" s="128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0" t="s">
        <v>2951</v>
      </c>
      <c r="B8" s="20" t="s">
        <v>24</v>
      </c>
      <c r="C8" s="21">
        <f>IF(ISBLANK(B8),0,IF(ISERROR(VALUE(B8)),VLOOKUP(B8,dagsoorttabel1,2,FALSE)*dagenperjaar1,VALUE(B8)))</f>
        <v>2</v>
      </c>
      <c r="D8" s="20" t="s">
        <v>2952</v>
      </c>
      <c r="E8" s="20" t="s">
        <v>2948</v>
      </c>
      <c r="F8" s="127">
        <v>9183.2899999999991</v>
      </c>
      <c r="G8" s="24"/>
      <c r="H8" s="128"/>
      <c r="I8" s="24"/>
      <c r="J8" s="37">
        <f>IF(ISBLANK(F8),0,F8)*I8</f>
        <v>0</v>
      </c>
      <c r="K8" s="37">
        <f>C8*J8</f>
        <v>0</v>
      </c>
      <c r="L8" s="37">
        <f>K8/12</f>
        <v>0</v>
      </c>
    </row>
    <row r="9" spans="1:12" x14ac:dyDescent="0.2">
      <c r="A9" s="20" t="s">
        <v>2953</v>
      </c>
      <c r="B9" s="20" t="s">
        <v>24</v>
      </c>
      <c r="C9" s="21">
        <f>IF(ISBLANK(B9),0,IF(ISERROR(VALUE(B9)),VLOOKUP(B9,dagsoorttabel1,2,FALSE)*dagenperjaar1,VALUE(B9)))</f>
        <v>2</v>
      </c>
      <c r="D9" s="20" t="s">
        <v>2954</v>
      </c>
      <c r="E9" s="20" t="s">
        <v>2948</v>
      </c>
      <c r="F9" s="127">
        <v>37.200000000000003</v>
      </c>
      <c r="G9" s="24"/>
      <c r="H9" s="128"/>
      <c r="I9" s="24"/>
      <c r="J9" s="37">
        <f>IF(ISBLANK(F9),0,F9)*I9</f>
        <v>0</v>
      </c>
      <c r="K9" s="37">
        <f>C9*J9</f>
        <v>0</v>
      </c>
      <c r="L9" s="37">
        <f>K9/12</f>
        <v>0</v>
      </c>
    </row>
    <row r="10" spans="1:12" x14ac:dyDescent="0.2">
      <c r="A10" s="20" t="s">
        <v>2955</v>
      </c>
      <c r="B10" s="20" t="s">
        <v>24</v>
      </c>
      <c r="C10" s="21">
        <f>IF(ISBLANK(B10),0,IF(ISERROR(VALUE(B10)),VLOOKUP(B10,dagsoorttabel1,2,FALSE)*dagenperjaar1,VALUE(B10)))</f>
        <v>2</v>
      </c>
      <c r="D10" s="20" t="s">
        <v>2956</v>
      </c>
      <c r="E10" s="20" t="s">
        <v>2948</v>
      </c>
      <c r="F10" s="127">
        <v>37.200000000000003</v>
      </c>
      <c r="G10" s="24"/>
      <c r="H10" s="128"/>
      <c r="I10" s="24"/>
      <c r="J10" s="37">
        <f>IF(ISBLANK(F10),0,F10)*I10</f>
        <v>0</v>
      </c>
      <c r="K10" s="37">
        <f>C10*J10</f>
        <v>0</v>
      </c>
      <c r="L10" s="37">
        <f>K10/12</f>
        <v>0</v>
      </c>
    </row>
    <row r="11" spans="1:12" x14ac:dyDescent="0.2">
      <c r="A11" s="20" t="s">
        <v>2957</v>
      </c>
      <c r="B11" s="20" t="s">
        <v>24</v>
      </c>
      <c r="C11" s="21">
        <f>IF(ISBLANK(B11),0,IF(ISERROR(VALUE(B11)),VLOOKUP(B11,dagsoorttabel1,2,FALSE)*dagenperjaar1,VALUE(B11)))</f>
        <v>2</v>
      </c>
      <c r="D11" s="20" t="s">
        <v>2958</v>
      </c>
      <c r="E11" s="20" t="s">
        <v>2948</v>
      </c>
      <c r="F11" s="127">
        <v>356.7</v>
      </c>
      <c r="G11" s="24"/>
      <c r="H11" s="128"/>
      <c r="I11" s="24"/>
      <c r="J11" s="37">
        <f>IF(ISBLANK(F11),0,F11)*I11</f>
        <v>0</v>
      </c>
      <c r="K11" s="37">
        <f>C11*J11</f>
        <v>0</v>
      </c>
      <c r="L11" s="37">
        <f>K11/12</f>
        <v>0</v>
      </c>
    </row>
    <row r="12" spans="1:12" x14ac:dyDescent="0.2">
      <c r="A12" s="20" t="s">
        <v>2959</v>
      </c>
      <c r="B12" s="20" t="s">
        <v>24</v>
      </c>
      <c r="C12" s="21">
        <f>IF(ISBLANK(B12),0,IF(ISERROR(VALUE(B12)),VLOOKUP(B12,dagsoorttabel1,2,FALSE)*dagenperjaar1,VALUE(B12)))</f>
        <v>2</v>
      </c>
      <c r="D12" s="20" t="s">
        <v>2960</v>
      </c>
      <c r="E12" s="20" t="s">
        <v>2948</v>
      </c>
      <c r="F12" s="127">
        <v>53.7</v>
      </c>
      <c r="G12" s="24"/>
      <c r="H12" s="128"/>
      <c r="I12" s="24"/>
      <c r="J12" s="37">
        <f>IF(ISBLANK(F12),0,F12)*I12</f>
        <v>0</v>
      </c>
      <c r="K12" s="37">
        <f>C12*J12</f>
        <v>0</v>
      </c>
      <c r="L12" s="37">
        <f>K12/12</f>
        <v>0</v>
      </c>
    </row>
    <row r="13" spans="1:12" x14ac:dyDescent="0.2">
      <c r="A13" s="20" t="s">
        <v>2961</v>
      </c>
      <c r="B13" s="20" t="s">
        <v>24</v>
      </c>
      <c r="C13" s="21">
        <f>IF(ISBLANK(B13),0,IF(ISERROR(VALUE(B13)),VLOOKUP(B13,dagsoorttabel1,2,FALSE)*dagenperjaar1,VALUE(B13)))</f>
        <v>2</v>
      </c>
      <c r="D13" s="20" t="s">
        <v>2962</v>
      </c>
      <c r="E13" s="20" t="s">
        <v>2963</v>
      </c>
      <c r="F13" s="127">
        <v>1</v>
      </c>
      <c r="G13" s="24"/>
      <c r="H13" s="128"/>
      <c r="I13" s="24"/>
      <c r="J13" s="37">
        <f>IF(ISBLANK(F13),0,F13)*I13</f>
        <v>0</v>
      </c>
      <c r="K13" s="37">
        <f>C13*J13</f>
        <v>0</v>
      </c>
      <c r="L13" s="37">
        <f>K13/12</f>
        <v>0</v>
      </c>
    </row>
    <row r="14" spans="1:12" x14ac:dyDescent="0.2">
      <c r="A14" s="20" t="s">
        <v>2964</v>
      </c>
      <c r="B14" s="20" t="s">
        <v>24</v>
      </c>
      <c r="C14" s="21">
        <f>IF(ISBLANK(B14),0,IF(ISERROR(VALUE(B14)),VLOOKUP(B14,dagsoorttabel1,2,FALSE)*dagenperjaar1,VALUE(B14)))</f>
        <v>2</v>
      </c>
      <c r="D14" s="20" t="s">
        <v>2965</v>
      </c>
      <c r="E14" s="20" t="s">
        <v>2963</v>
      </c>
      <c r="F14" s="127">
        <v>1</v>
      </c>
      <c r="G14" s="24"/>
      <c r="H14" s="128"/>
      <c r="I14" s="24"/>
      <c r="J14" s="37">
        <f>IF(ISBLANK(F14),0,F14)*I14</f>
        <v>0</v>
      </c>
      <c r="K14" s="37">
        <f>C14*J14</f>
        <v>0</v>
      </c>
      <c r="L14" s="37">
        <f>K14/12</f>
        <v>0</v>
      </c>
    </row>
    <row r="15" spans="1:12" x14ac:dyDescent="0.2">
      <c r="A15" s="20" t="s">
        <v>2966</v>
      </c>
      <c r="B15" s="20" t="s">
        <v>24</v>
      </c>
      <c r="C15" s="21">
        <f>IF(ISBLANK(B15),0,IF(ISERROR(VALUE(B15)),VLOOKUP(B15,dagsoorttabel1,2,FALSE)*dagenperjaar1,VALUE(B15)))</f>
        <v>2</v>
      </c>
      <c r="D15" s="20" t="s">
        <v>2967</v>
      </c>
      <c r="E15" s="20" t="s">
        <v>2963</v>
      </c>
      <c r="F15" s="127">
        <v>1</v>
      </c>
      <c r="G15" s="24"/>
      <c r="H15" s="128"/>
      <c r="I15" s="24"/>
      <c r="J15" s="37">
        <f>IF(ISBLANK(F15),0,F15)*I15</f>
        <v>0</v>
      </c>
      <c r="K15" s="37">
        <f>C15*J15</f>
        <v>0</v>
      </c>
      <c r="L15" s="37">
        <f>K15/12</f>
        <v>0</v>
      </c>
    </row>
    <row r="16" spans="1:12" x14ac:dyDescent="0.2">
      <c r="A16" s="20" t="s">
        <v>2968</v>
      </c>
      <c r="B16" s="20" t="s">
        <v>24</v>
      </c>
      <c r="C16" s="21">
        <f>IF(ISBLANK(B16),0,IF(ISERROR(VALUE(B16)),VLOOKUP(B16,dagsoorttabel1,2,FALSE)*dagenperjaar1,VALUE(B16)))</f>
        <v>2</v>
      </c>
      <c r="D16" s="20" t="s">
        <v>2969</v>
      </c>
      <c r="E16" s="20" t="s">
        <v>2963</v>
      </c>
      <c r="F16" s="127">
        <v>1</v>
      </c>
      <c r="G16" s="24"/>
      <c r="H16" s="128"/>
      <c r="I16" s="24"/>
      <c r="J16" s="37">
        <f>IF(ISBLANK(F16),0,F16)*I16</f>
        <v>0</v>
      </c>
      <c r="K16" s="37">
        <f>C16*J16</f>
        <v>0</v>
      </c>
      <c r="L16" s="37">
        <f>K16/12</f>
        <v>0</v>
      </c>
    </row>
    <row r="17" spans="1:12" x14ac:dyDescent="0.2">
      <c r="A17" s="20" t="s">
        <v>2970</v>
      </c>
      <c r="B17" s="20" t="s">
        <v>24</v>
      </c>
      <c r="C17" s="21">
        <f>IF(ISBLANK(B17),0,IF(ISERROR(VALUE(B17)),VLOOKUP(B17,dagsoorttabel1,2,FALSE)*dagenperjaar1,VALUE(B17)))</f>
        <v>2</v>
      </c>
      <c r="D17" s="20" t="s">
        <v>2971</v>
      </c>
      <c r="E17" s="20" t="s">
        <v>2963</v>
      </c>
      <c r="F17" s="127">
        <v>1</v>
      </c>
      <c r="G17" s="24"/>
      <c r="H17" s="128"/>
      <c r="I17" s="24"/>
      <c r="J17" s="37">
        <f>IF(ISBLANK(F17),0,F17)*I17</f>
        <v>0</v>
      </c>
      <c r="K17" s="37">
        <f>C17*J17</f>
        <v>0</v>
      </c>
      <c r="L17" s="37">
        <f>K17/12</f>
        <v>0</v>
      </c>
    </row>
    <row r="18" spans="1:12" x14ac:dyDescent="0.2">
      <c r="A18" s="20" t="s">
        <v>2972</v>
      </c>
      <c r="B18" s="20" t="s">
        <v>19</v>
      </c>
      <c r="C18" s="21">
        <f>IF(ISBLANK(B18),0,IF(ISERROR(VALUE(B18)),VLOOKUP(B18,dagsoorttabel1,2,FALSE)*dagenperjaar1,VALUE(B18)))</f>
        <v>10</v>
      </c>
      <c r="D18" s="20" t="s">
        <v>2973</v>
      </c>
      <c r="E18" s="20" t="s">
        <v>2974</v>
      </c>
      <c r="F18" s="127">
        <v>20</v>
      </c>
      <c r="G18" s="24"/>
      <c r="H18" s="128"/>
      <c r="I18" s="24"/>
      <c r="J18" s="37">
        <f>IF(ISBLANK(F18),0,F18)*I18</f>
        <v>0</v>
      </c>
      <c r="K18" s="37">
        <f>C18*J18</f>
        <v>0</v>
      </c>
      <c r="L18" s="37">
        <f>K18/12</f>
        <v>0</v>
      </c>
    </row>
    <row r="19" spans="1:12" x14ac:dyDescent="0.2">
      <c r="A19" s="20" t="s">
        <v>2975</v>
      </c>
      <c r="B19" s="20" t="s">
        <v>19</v>
      </c>
      <c r="C19" s="21">
        <f>IF(ISBLANK(B19),0,IF(ISERROR(VALUE(B19)),VLOOKUP(B19,dagsoorttabel1,2,FALSE)*dagenperjaar1,VALUE(B19)))</f>
        <v>10</v>
      </c>
      <c r="D19" s="20" t="s">
        <v>2976</v>
      </c>
      <c r="E19" s="20" t="s">
        <v>2974</v>
      </c>
      <c r="F19" s="127">
        <v>10</v>
      </c>
      <c r="G19" s="24"/>
      <c r="H19" s="128"/>
      <c r="I19" s="24"/>
      <c r="J19" s="37">
        <f>IF(ISBLANK(F19),0,F19)*I19</f>
        <v>0</v>
      </c>
      <c r="K19" s="37">
        <f>C19*J19</f>
        <v>0</v>
      </c>
      <c r="L19" s="37">
        <f>K19/12</f>
        <v>0</v>
      </c>
    </row>
    <row r="20" spans="1:12" x14ac:dyDescent="0.2">
      <c r="A20" s="20" t="s">
        <v>2977</v>
      </c>
      <c r="B20" s="20" t="s">
        <v>19</v>
      </c>
      <c r="C20" s="21">
        <f>IF(ISBLANK(B20),0,IF(ISERROR(VALUE(B20)),VLOOKUP(B20,dagsoorttabel1,2,FALSE)*dagenperjaar1,VALUE(B20)))</f>
        <v>10</v>
      </c>
      <c r="D20" s="20" t="s">
        <v>2978</v>
      </c>
      <c r="E20" s="20" t="s">
        <v>2974</v>
      </c>
      <c r="F20" s="127">
        <v>4</v>
      </c>
      <c r="G20" s="24"/>
      <c r="H20" s="128"/>
      <c r="I20" s="24"/>
      <c r="J20" s="37">
        <f>IF(ISBLANK(F20),0,F20)*I20</f>
        <v>0</v>
      </c>
      <c r="K20" s="37">
        <f>C20*J20</f>
        <v>0</v>
      </c>
      <c r="L20" s="37">
        <f>K20/12</f>
        <v>0</v>
      </c>
    </row>
    <row r="21" spans="1:12" x14ac:dyDescent="0.2">
      <c r="A21" s="20" t="s">
        <v>2979</v>
      </c>
      <c r="B21" s="20" t="s">
        <v>19</v>
      </c>
      <c r="C21" s="21">
        <f>IF(ISBLANK(B21),0,IF(ISERROR(VALUE(B21)),VLOOKUP(B21,dagsoorttabel1,2,FALSE)*dagenperjaar1,VALUE(B21)))</f>
        <v>10</v>
      </c>
      <c r="D21" s="20" t="s">
        <v>2980</v>
      </c>
      <c r="E21" s="20" t="s">
        <v>2974</v>
      </c>
      <c r="F21" s="127">
        <v>40</v>
      </c>
      <c r="G21" s="24"/>
      <c r="H21" s="128"/>
      <c r="I21" s="24"/>
      <c r="J21" s="37">
        <f>IF(ISBLANK(F21),0,F21)*I21</f>
        <v>0</v>
      </c>
      <c r="K21" s="37">
        <f>C21*J21</f>
        <v>0</v>
      </c>
      <c r="L21" s="37">
        <f>K21/12</f>
        <v>0</v>
      </c>
    </row>
    <row r="22" spans="1:12" x14ac:dyDescent="0.2">
      <c r="A22" s="20" t="s">
        <v>2981</v>
      </c>
      <c r="B22" s="20" t="s">
        <v>19</v>
      </c>
      <c r="C22" s="21">
        <f>IF(ISBLANK(B22),0,IF(ISERROR(VALUE(B22)),VLOOKUP(B22,dagsoorttabel1,2,FALSE)*dagenperjaar1,VALUE(B22)))</f>
        <v>10</v>
      </c>
      <c r="D22" s="20" t="s">
        <v>2982</v>
      </c>
      <c r="E22" s="20" t="s">
        <v>2974</v>
      </c>
      <c r="F22" s="127">
        <v>20</v>
      </c>
      <c r="G22" s="24"/>
      <c r="H22" s="128"/>
      <c r="I22" s="24"/>
      <c r="J22" s="37">
        <f>IF(ISBLANK(F22),0,F22)*I22</f>
        <v>0</v>
      </c>
      <c r="K22" s="37">
        <f>C22*J22</f>
        <v>0</v>
      </c>
      <c r="L22" s="37">
        <f>K22/12</f>
        <v>0</v>
      </c>
    </row>
    <row r="23" spans="1:12" x14ac:dyDescent="0.2">
      <c r="A23" s="20" t="s">
        <v>2983</v>
      </c>
      <c r="B23" s="20" t="s">
        <v>19</v>
      </c>
      <c r="C23" s="21">
        <f>IF(ISBLANK(B23),0,IF(ISERROR(VALUE(B23)),VLOOKUP(B23,dagsoorttabel1,2,FALSE)*dagenperjaar1,VALUE(B23)))</f>
        <v>10</v>
      </c>
      <c r="D23" s="20" t="s">
        <v>2984</v>
      </c>
      <c r="E23" s="20" t="s">
        <v>2974</v>
      </c>
      <c r="F23" s="127">
        <v>10</v>
      </c>
      <c r="G23" s="24"/>
      <c r="H23" s="128"/>
      <c r="I23" s="24"/>
      <c r="J23" s="37">
        <f>IF(ISBLANK(F23),0,F23)*I23</f>
        <v>0</v>
      </c>
      <c r="K23" s="37">
        <f>C23*J23</f>
        <v>0</v>
      </c>
      <c r="L23" s="37">
        <f>K23/12</f>
        <v>0</v>
      </c>
    </row>
    <row r="24" spans="1:12" x14ac:dyDescent="0.2">
      <c r="A24" s="20" t="s">
        <v>2985</v>
      </c>
      <c r="B24" s="20" t="s">
        <v>24</v>
      </c>
      <c r="C24" s="21">
        <f>IF(ISBLANK(B24),0,IF(ISERROR(VALUE(B24)),VLOOKUP(B24,dagsoorttabel1,2,FALSE)*dagenperjaar1,VALUE(B24)))</f>
        <v>2</v>
      </c>
      <c r="D24" s="20" t="s">
        <v>2986</v>
      </c>
      <c r="E24" s="20" t="s">
        <v>2987</v>
      </c>
      <c r="F24" s="127">
        <v>10</v>
      </c>
      <c r="G24" s="24"/>
      <c r="H24" s="128"/>
      <c r="I24" s="24"/>
      <c r="J24" s="37">
        <f>IF(ISBLANK(F24),0,F24)*I24</f>
        <v>0</v>
      </c>
      <c r="K24" s="37">
        <f>C24*J24</f>
        <v>0</v>
      </c>
      <c r="L24" s="37">
        <f>K24/12</f>
        <v>0</v>
      </c>
    </row>
    <row r="25" spans="1:12" x14ac:dyDescent="0.2">
      <c r="A25" s="20" t="s">
        <v>2988</v>
      </c>
      <c r="B25" s="20" t="s">
        <v>25</v>
      </c>
      <c r="C25" s="21">
        <f>IF(ISBLANK(B25),0,IF(ISERROR(VALUE(B25)),VLOOKUP(B25,dagsoorttabel1,2,FALSE)*dagenperjaar1,VALUE(B25)))</f>
        <v>1</v>
      </c>
      <c r="D25" s="20" t="s">
        <v>2989</v>
      </c>
      <c r="E25" s="20" t="s">
        <v>2987</v>
      </c>
      <c r="F25" s="127">
        <v>20</v>
      </c>
      <c r="G25" s="24"/>
      <c r="H25" s="128"/>
      <c r="I25" s="24"/>
      <c r="J25" s="37">
        <f>IF(ISBLANK(F25),0,F25)*I25</f>
        <v>0</v>
      </c>
      <c r="K25" s="37">
        <f>C25*J25</f>
        <v>0</v>
      </c>
      <c r="L25" s="37">
        <f>K25/12</f>
        <v>0</v>
      </c>
    </row>
    <row r="26" spans="1:12" x14ac:dyDescent="0.2">
      <c r="A26" s="25" t="s">
        <v>2990</v>
      </c>
      <c r="B26" s="25" t="s">
        <v>25</v>
      </c>
      <c r="C26" s="26">
        <f>IF(ISBLANK(B26),0,IF(ISERROR(VALUE(B26)),VLOOKUP(B26,dagsoorttabel1,2,FALSE)*dagenperjaar1,VALUE(B26)))</f>
        <v>1</v>
      </c>
      <c r="D26" s="25" t="s">
        <v>2991</v>
      </c>
      <c r="E26" s="25" t="s">
        <v>2987</v>
      </c>
      <c r="F26" s="110">
        <v>1</v>
      </c>
      <c r="G26" s="29"/>
      <c r="H26" s="129"/>
      <c r="I26" s="29"/>
      <c r="J26" s="41">
        <f>IF(ISBLANK(F26),0,F26)*I26</f>
        <v>0</v>
      </c>
      <c r="K26" s="41">
        <f>C26*J26</f>
        <v>0</v>
      </c>
      <c r="L26" s="41">
        <f>K26/12</f>
        <v>0</v>
      </c>
    </row>
    <row r="27" spans="1:12" x14ac:dyDescent="0.2">
      <c r="A27" s="43" t="s">
        <v>300</v>
      </c>
      <c r="B27" s="44"/>
      <c r="C27" s="44"/>
      <c r="D27" s="44"/>
      <c r="E27" s="44"/>
      <c r="F27" s="44"/>
      <c r="G27" s="44"/>
      <c r="H27" s="44"/>
      <c r="I27" s="44"/>
      <c r="J27" s="44"/>
      <c r="K27" s="46">
        <f>SUM(K6:K26)</f>
        <v>0</v>
      </c>
      <c r="L27" s="112">
        <f>K27/12</f>
        <v>0</v>
      </c>
    </row>
    <row r="28" spans="1:12" x14ac:dyDescent="0.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1"/>
    </row>
    <row r="29" spans="1:12" x14ac:dyDescent="0.2">
      <c r="A29" s="12" t="s">
        <v>183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4"/>
    </row>
    <row r="30" spans="1:12" x14ac:dyDescent="0.2">
      <c r="A30" s="15" t="s">
        <v>2992</v>
      </c>
      <c r="B30" s="15" t="s">
        <v>19</v>
      </c>
      <c r="C30" s="16">
        <f>IF(ISBLANK(B30),0,IF(ISERROR(VALUE(B30)),VLOOKUP(B30,dagsoorttabel1,2,FALSE)*dagenperjaar1,VALUE(B30)))</f>
        <v>10</v>
      </c>
      <c r="D30" s="15" t="s">
        <v>2973</v>
      </c>
      <c r="E30" s="15" t="s">
        <v>2974</v>
      </c>
      <c r="F30" s="108">
        <v>10</v>
      </c>
      <c r="G30" s="19"/>
      <c r="H30" s="126"/>
      <c r="I30" s="19"/>
      <c r="J30" s="33">
        <f>IF(ISBLANK(F30),0,F30)*I30</f>
        <v>0</v>
      </c>
      <c r="K30" s="33">
        <f>C30*J30</f>
        <v>0</v>
      </c>
      <c r="L30" s="33">
        <f>K30/12</f>
        <v>0</v>
      </c>
    </row>
    <row r="31" spans="1:12" x14ac:dyDescent="0.2">
      <c r="A31" s="20" t="s">
        <v>2993</v>
      </c>
      <c r="B31" s="20" t="s">
        <v>19</v>
      </c>
      <c r="C31" s="21">
        <f>IF(ISBLANK(B31),0,IF(ISERROR(VALUE(B31)),VLOOKUP(B31,dagsoorttabel1,2,FALSE)*dagenperjaar1,VALUE(B31)))</f>
        <v>10</v>
      </c>
      <c r="D31" s="20" t="s">
        <v>2976</v>
      </c>
      <c r="E31" s="20" t="s">
        <v>2974</v>
      </c>
      <c r="F31" s="127">
        <v>5</v>
      </c>
      <c r="G31" s="24"/>
      <c r="H31" s="128"/>
      <c r="I31" s="24"/>
      <c r="J31" s="37">
        <f>IF(ISBLANK(F31),0,F31)*I31</f>
        <v>0</v>
      </c>
      <c r="K31" s="37">
        <f>C31*J31</f>
        <v>0</v>
      </c>
      <c r="L31" s="37">
        <f>K31/12</f>
        <v>0</v>
      </c>
    </row>
    <row r="32" spans="1:12" x14ac:dyDescent="0.2">
      <c r="A32" s="20" t="s">
        <v>2994</v>
      </c>
      <c r="B32" s="20" t="s">
        <v>19</v>
      </c>
      <c r="C32" s="21">
        <f>IF(ISBLANK(B32),0,IF(ISERROR(VALUE(B32)),VLOOKUP(B32,dagsoorttabel1,2,FALSE)*dagenperjaar1,VALUE(B32)))</f>
        <v>10</v>
      </c>
      <c r="D32" s="20" t="s">
        <v>2978</v>
      </c>
      <c r="E32" s="20" t="s">
        <v>2974</v>
      </c>
      <c r="F32" s="127">
        <v>2</v>
      </c>
      <c r="G32" s="24"/>
      <c r="H32" s="128"/>
      <c r="I32" s="24"/>
      <c r="J32" s="37">
        <f>IF(ISBLANK(F32),0,F32)*I32</f>
        <v>0</v>
      </c>
      <c r="K32" s="37">
        <f>C32*J32</f>
        <v>0</v>
      </c>
      <c r="L32" s="37">
        <f>K32/12</f>
        <v>0</v>
      </c>
    </row>
    <row r="33" spans="1:12" x14ac:dyDescent="0.2">
      <c r="A33" s="20" t="s">
        <v>2995</v>
      </c>
      <c r="B33" s="20" t="s">
        <v>19</v>
      </c>
      <c r="C33" s="21">
        <f>IF(ISBLANK(B33),0,IF(ISERROR(VALUE(B33)),VLOOKUP(B33,dagsoorttabel1,2,FALSE)*dagenperjaar1,VALUE(B33)))</f>
        <v>10</v>
      </c>
      <c r="D33" s="20" t="s">
        <v>2980</v>
      </c>
      <c r="E33" s="20" t="s">
        <v>2974</v>
      </c>
      <c r="F33" s="127">
        <v>20</v>
      </c>
      <c r="G33" s="24"/>
      <c r="H33" s="128"/>
      <c r="I33" s="24"/>
      <c r="J33" s="37">
        <f>IF(ISBLANK(F33),0,F33)*I33</f>
        <v>0</v>
      </c>
      <c r="K33" s="37">
        <f>C33*J33</f>
        <v>0</v>
      </c>
      <c r="L33" s="37">
        <f>K33/12</f>
        <v>0</v>
      </c>
    </row>
    <row r="34" spans="1:12" x14ac:dyDescent="0.2">
      <c r="A34" s="20" t="s">
        <v>2996</v>
      </c>
      <c r="B34" s="20" t="s">
        <v>19</v>
      </c>
      <c r="C34" s="21">
        <f>IF(ISBLANK(B34),0,IF(ISERROR(VALUE(B34)),VLOOKUP(B34,dagsoorttabel1,2,FALSE)*dagenperjaar1,VALUE(B34)))</f>
        <v>10</v>
      </c>
      <c r="D34" s="20" t="s">
        <v>2982</v>
      </c>
      <c r="E34" s="20" t="s">
        <v>2974</v>
      </c>
      <c r="F34" s="127">
        <v>2</v>
      </c>
      <c r="G34" s="24"/>
      <c r="H34" s="128"/>
      <c r="I34" s="24"/>
      <c r="J34" s="37">
        <f>IF(ISBLANK(F34),0,F34)*I34</f>
        <v>0</v>
      </c>
      <c r="K34" s="37">
        <f>C34*J34</f>
        <v>0</v>
      </c>
      <c r="L34" s="37">
        <f>K34/12</f>
        <v>0</v>
      </c>
    </row>
    <row r="35" spans="1:12" x14ac:dyDescent="0.2">
      <c r="A35" s="25" t="s">
        <v>2997</v>
      </c>
      <c r="B35" s="25" t="s">
        <v>19</v>
      </c>
      <c r="C35" s="26">
        <f>IF(ISBLANK(B35),0,IF(ISERROR(VALUE(B35)),VLOOKUP(B35,dagsoorttabel1,2,FALSE)*dagenperjaar1,VALUE(B35)))</f>
        <v>10</v>
      </c>
      <c r="D35" s="25" t="s">
        <v>2984</v>
      </c>
      <c r="E35" s="25" t="s">
        <v>2974</v>
      </c>
      <c r="F35" s="110">
        <v>5</v>
      </c>
      <c r="G35" s="29"/>
      <c r="H35" s="129"/>
      <c r="I35" s="29"/>
      <c r="J35" s="41">
        <f>IF(ISBLANK(F35),0,F35)*I35</f>
        <v>0</v>
      </c>
      <c r="K35" s="41">
        <f>C35*J35</f>
        <v>0</v>
      </c>
      <c r="L35" s="41">
        <f>K35/12</f>
        <v>0</v>
      </c>
    </row>
    <row r="36" spans="1:12" x14ac:dyDescent="0.2">
      <c r="A36" s="43" t="s">
        <v>310</v>
      </c>
      <c r="B36" s="44"/>
      <c r="C36" s="44"/>
      <c r="D36" s="44"/>
      <c r="E36" s="44"/>
      <c r="F36" s="44"/>
      <c r="G36" s="44"/>
      <c r="H36" s="44"/>
      <c r="I36" s="44"/>
      <c r="J36" s="44"/>
      <c r="K36" s="46">
        <f>SUM(K30:K35)</f>
        <v>0</v>
      </c>
      <c r="L36" s="112">
        <f>K36/12</f>
        <v>0</v>
      </c>
    </row>
    <row r="37" spans="1:12" x14ac:dyDescent="0.2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1"/>
    </row>
    <row r="38" spans="1:12" x14ac:dyDescent="0.2">
      <c r="A38" s="12" t="s">
        <v>2998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4"/>
    </row>
    <row r="39" spans="1:12" x14ac:dyDescent="0.2">
      <c r="A39" s="15" t="s">
        <v>2999</v>
      </c>
      <c r="B39" s="15" t="s">
        <v>19</v>
      </c>
      <c r="C39" s="16">
        <f>IF(ISBLANK(B39),0,IF(ISERROR(VALUE(B39)),VLOOKUP(B39,dagsoorttabel1,2,FALSE)*dagenperjaar1,VALUE(B39)))</f>
        <v>10</v>
      </c>
      <c r="D39" s="15" t="s">
        <v>2973</v>
      </c>
      <c r="E39" s="15" t="s">
        <v>2974</v>
      </c>
      <c r="F39" s="108">
        <v>5</v>
      </c>
      <c r="G39" s="19"/>
      <c r="H39" s="126"/>
      <c r="I39" s="19"/>
      <c r="J39" s="33">
        <f>IF(ISBLANK(F39),0,F39)*I39</f>
        <v>0</v>
      </c>
      <c r="K39" s="33">
        <f>C39*J39</f>
        <v>0</v>
      </c>
      <c r="L39" s="33">
        <f>K39/12</f>
        <v>0</v>
      </c>
    </row>
    <row r="40" spans="1:12" x14ac:dyDescent="0.2">
      <c r="A40" s="20" t="s">
        <v>3000</v>
      </c>
      <c r="B40" s="20" t="s">
        <v>19</v>
      </c>
      <c r="C40" s="21">
        <f>IF(ISBLANK(B40),0,IF(ISERROR(VALUE(B40)),VLOOKUP(B40,dagsoorttabel1,2,FALSE)*dagenperjaar1,VALUE(B40)))</f>
        <v>10</v>
      </c>
      <c r="D40" s="20" t="s">
        <v>2976</v>
      </c>
      <c r="E40" s="20" t="s">
        <v>2974</v>
      </c>
      <c r="F40" s="127">
        <v>2.5</v>
      </c>
      <c r="G40" s="24"/>
      <c r="H40" s="128"/>
      <c r="I40" s="24"/>
      <c r="J40" s="37">
        <f>IF(ISBLANK(F40),0,F40)*I40</f>
        <v>0</v>
      </c>
      <c r="K40" s="37">
        <f>C40*J40</f>
        <v>0</v>
      </c>
      <c r="L40" s="37">
        <f>K40/12</f>
        <v>0</v>
      </c>
    </row>
    <row r="41" spans="1:12" x14ac:dyDescent="0.2">
      <c r="A41" s="20" t="s">
        <v>3001</v>
      </c>
      <c r="B41" s="20" t="s">
        <v>19</v>
      </c>
      <c r="C41" s="21">
        <f>IF(ISBLANK(B41),0,IF(ISERROR(VALUE(B41)),VLOOKUP(B41,dagsoorttabel1,2,FALSE)*dagenperjaar1,VALUE(B41)))</f>
        <v>10</v>
      </c>
      <c r="D41" s="20" t="s">
        <v>2978</v>
      </c>
      <c r="E41" s="20" t="s">
        <v>2974</v>
      </c>
      <c r="F41" s="127">
        <v>1</v>
      </c>
      <c r="G41" s="24"/>
      <c r="H41" s="128"/>
      <c r="I41" s="24"/>
      <c r="J41" s="37">
        <f>IF(ISBLANK(F41),0,F41)*I41</f>
        <v>0</v>
      </c>
      <c r="K41" s="37">
        <f>C41*J41</f>
        <v>0</v>
      </c>
      <c r="L41" s="37">
        <f>K41/12</f>
        <v>0</v>
      </c>
    </row>
    <row r="42" spans="1:12" x14ac:dyDescent="0.2">
      <c r="A42" s="20" t="s">
        <v>3002</v>
      </c>
      <c r="B42" s="20" t="s">
        <v>19</v>
      </c>
      <c r="C42" s="21">
        <f>IF(ISBLANK(B42),0,IF(ISERROR(VALUE(B42)),VLOOKUP(B42,dagsoorttabel1,2,FALSE)*dagenperjaar1,VALUE(B42)))</f>
        <v>10</v>
      </c>
      <c r="D42" s="20" t="s">
        <v>2980</v>
      </c>
      <c r="E42" s="20" t="s">
        <v>2974</v>
      </c>
      <c r="F42" s="127">
        <v>10</v>
      </c>
      <c r="G42" s="24"/>
      <c r="H42" s="128"/>
      <c r="I42" s="24"/>
      <c r="J42" s="37">
        <f>IF(ISBLANK(F42),0,F42)*I42</f>
        <v>0</v>
      </c>
      <c r="K42" s="37">
        <f>C42*J42</f>
        <v>0</v>
      </c>
      <c r="L42" s="37">
        <f>K42/12</f>
        <v>0</v>
      </c>
    </row>
    <row r="43" spans="1:12" x14ac:dyDescent="0.2">
      <c r="A43" s="20" t="s">
        <v>3003</v>
      </c>
      <c r="B43" s="20" t="s">
        <v>19</v>
      </c>
      <c r="C43" s="21">
        <f>IF(ISBLANK(B43),0,IF(ISERROR(VALUE(B43)),VLOOKUP(B43,dagsoorttabel1,2,FALSE)*dagenperjaar1,VALUE(B43)))</f>
        <v>10</v>
      </c>
      <c r="D43" s="20" t="s">
        <v>2982</v>
      </c>
      <c r="E43" s="20" t="s">
        <v>2974</v>
      </c>
      <c r="F43" s="127">
        <v>1</v>
      </c>
      <c r="G43" s="24"/>
      <c r="H43" s="128"/>
      <c r="I43" s="24"/>
      <c r="J43" s="37">
        <f>IF(ISBLANK(F43),0,F43)*I43</f>
        <v>0</v>
      </c>
      <c r="K43" s="37">
        <f>C43*J43</f>
        <v>0</v>
      </c>
      <c r="L43" s="37">
        <f>K43/12</f>
        <v>0</v>
      </c>
    </row>
    <row r="44" spans="1:12" x14ac:dyDescent="0.2">
      <c r="A44" s="25" t="s">
        <v>3004</v>
      </c>
      <c r="B44" s="25" t="s">
        <v>19</v>
      </c>
      <c r="C44" s="26">
        <f>IF(ISBLANK(B44),0,IF(ISERROR(VALUE(B44)),VLOOKUP(B44,dagsoorttabel1,2,FALSE)*dagenperjaar1,VALUE(B44)))</f>
        <v>10</v>
      </c>
      <c r="D44" s="25" t="s">
        <v>2984</v>
      </c>
      <c r="E44" s="25" t="s">
        <v>2974</v>
      </c>
      <c r="F44" s="110">
        <v>2.5</v>
      </c>
      <c r="G44" s="29"/>
      <c r="H44" s="129"/>
      <c r="I44" s="29"/>
      <c r="J44" s="41">
        <f>IF(ISBLANK(F44),0,F44)*I44</f>
        <v>0</v>
      </c>
      <c r="K44" s="41">
        <f>C44*J44</f>
        <v>0</v>
      </c>
      <c r="L44" s="41">
        <f>K44/12</f>
        <v>0</v>
      </c>
    </row>
    <row r="45" spans="1:12" x14ac:dyDescent="0.2">
      <c r="A45" s="43" t="s">
        <v>3005</v>
      </c>
      <c r="B45" s="44"/>
      <c r="C45" s="44"/>
      <c r="D45" s="44"/>
      <c r="E45" s="44"/>
      <c r="F45" s="44"/>
      <c r="G45" s="44"/>
      <c r="H45" s="44"/>
      <c r="I45" s="44"/>
      <c r="J45" s="44"/>
      <c r="K45" s="46">
        <f>SUM(K39:K44)</f>
        <v>0</v>
      </c>
      <c r="L45" s="112">
        <f>K45/12</f>
        <v>0</v>
      </c>
    </row>
    <row r="47" spans="1:12" x14ac:dyDescent="0.2">
      <c r="A47" s="43" t="s">
        <v>3006</v>
      </c>
      <c r="B47" s="44"/>
      <c r="C47" s="44"/>
      <c r="D47" s="44"/>
      <c r="E47" s="44"/>
      <c r="F47" s="44"/>
      <c r="G47" s="44"/>
      <c r="H47" s="44"/>
      <c r="I47" s="44"/>
      <c r="J47" s="44"/>
      <c r="K47" s="46">
        <f>prijsjaarafroep1+prijsjaarafroep3+prijsjaarafroep4</f>
        <v>0</v>
      </c>
      <c r="L47" s="112">
        <f>K47/12</f>
        <v>0</v>
      </c>
    </row>
  </sheetData>
  <pageMargins left="0.7" right="0.7" top="0.75" bottom="0.75" header="0.3" footer="0.3"/>
  <pageSetup paperSize="9" scale="65" orientation="landscape" r:id="rId1"/>
  <headerFooter>
    <oddFooter>&amp;LNUOVO Scholengroep EA 2023                                  &amp;ROpmaakdatum: 21-07-2023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62917-56D2-4B4E-892B-688463997C7F}">
  <dimension ref="A1:E96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I.11: ",tabeltype," afroep incidenteel")</f>
        <v>Bijlage I.11: Invultabel afroep incidenteel</v>
      </c>
    </row>
    <row r="3" spans="1:5" ht="38.25" x14ac:dyDescent="0.2">
      <c r="A3" s="8" t="s">
        <v>2933</v>
      </c>
      <c r="B3" s="8" t="s">
        <v>29</v>
      </c>
      <c r="C3" s="8" t="s">
        <v>32</v>
      </c>
      <c r="D3" s="8" t="s">
        <v>3007</v>
      </c>
      <c r="E3" s="8" t="s">
        <v>2938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34</v>
      </c>
      <c r="B5" s="13"/>
      <c r="C5" s="13"/>
      <c r="D5" s="13"/>
      <c r="E5" s="14"/>
    </row>
    <row r="6" spans="1:5" x14ac:dyDescent="0.2">
      <c r="A6" s="15" t="s">
        <v>3008</v>
      </c>
      <c r="B6" s="15" t="s">
        <v>3009</v>
      </c>
      <c r="C6" s="15" t="s">
        <v>2987</v>
      </c>
      <c r="D6" s="15" t="s">
        <v>3010</v>
      </c>
      <c r="E6" s="19"/>
    </row>
    <row r="7" spans="1:5" x14ac:dyDescent="0.2">
      <c r="A7" s="20" t="s">
        <v>3011</v>
      </c>
      <c r="B7" s="20" t="s">
        <v>3009</v>
      </c>
      <c r="C7" s="20" t="s">
        <v>2987</v>
      </c>
      <c r="D7" s="20" t="s">
        <v>3012</v>
      </c>
      <c r="E7" s="24"/>
    </row>
    <row r="8" spans="1:5" x14ac:dyDescent="0.2">
      <c r="A8" s="20" t="s">
        <v>3013</v>
      </c>
      <c r="B8" s="20" t="s">
        <v>3009</v>
      </c>
      <c r="C8" s="20" t="s">
        <v>2987</v>
      </c>
      <c r="D8" s="20" t="s">
        <v>3014</v>
      </c>
      <c r="E8" s="24"/>
    </row>
    <row r="9" spans="1:5" x14ac:dyDescent="0.2">
      <c r="A9" s="20" t="s">
        <v>3015</v>
      </c>
      <c r="B9" s="20" t="s">
        <v>3009</v>
      </c>
      <c r="C9" s="20" t="s">
        <v>2987</v>
      </c>
      <c r="D9" s="20" t="s">
        <v>3016</v>
      </c>
      <c r="E9" s="24"/>
    </row>
    <row r="10" spans="1:5" x14ac:dyDescent="0.2">
      <c r="A10" s="20" t="s">
        <v>3017</v>
      </c>
      <c r="B10" s="20" t="s">
        <v>3018</v>
      </c>
      <c r="C10" s="20" t="s">
        <v>2987</v>
      </c>
      <c r="D10" s="20" t="s">
        <v>3010</v>
      </c>
      <c r="E10" s="24"/>
    </row>
    <row r="11" spans="1:5" x14ac:dyDescent="0.2">
      <c r="A11" s="20" t="s">
        <v>3019</v>
      </c>
      <c r="B11" s="20" t="s">
        <v>3018</v>
      </c>
      <c r="C11" s="20" t="s">
        <v>2987</v>
      </c>
      <c r="D11" s="20" t="s">
        <v>3012</v>
      </c>
      <c r="E11" s="24"/>
    </row>
    <row r="12" spans="1:5" x14ac:dyDescent="0.2">
      <c r="A12" s="20" t="s">
        <v>3020</v>
      </c>
      <c r="B12" s="20" t="s">
        <v>3018</v>
      </c>
      <c r="C12" s="20" t="s">
        <v>2987</v>
      </c>
      <c r="D12" s="20" t="s">
        <v>3014</v>
      </c>
      <c r="E12" s="24"/>
    </row>
    <row r="13" spans="1:5" x14ac:dyDescent="0.2">
      <c r="A13" s="20" t="s">
        <v>3021</v>
      </c>
      <c r="B13" s="20" t="s">
        <v>3018</v>
      </c>
      <c r="C13" s="20" t="s">
        <v>2987</v>
      </c>
      <c r="D13" s="20" t="s">
        <v>3016</v>
      </c>
      <c r="E13" s="24"/>
    </row>
    <row r="14" spans="1:5" x14ac:dyDescent="0.2">
      <c r="A14" s="20" t="s">
        <v>3022</v>
      </c>
      <c r="B14" s="20" t="s">
        <v>3023</v>
      </c>
      <c r="C14" s="20" t="s">
        <v>2987</v>
      </c>
      <c r="D14" s="20" t="s">
        <v>3010</v>
      </c>
      <c r="E14" s="24"/>
    </row>
    <row r="15" spans="1:5" x14ac:dyDescent="0.2">
      <c r="A15" s="20" t="s">
        <v>3024</v>
      </c>
      <c r="B15" s="20" t="s">
        <v>3023</v>
      </c>
      <c r="C15" s="20" t="s">
        <v>2987</v>
      </c>
      <c r="D15" s="20" t="s">
        <v>3012</v>
      </c>
      <c r="E15" s="24"/>
    </row>
    <row r="16" spans="1:5" x14ac:dyDescent="0.2">
      <c r="A16" s="20" t="s">
        <v>3025</v>
      </c>
      <c r="B16" s="20" t="s">
        <v>3023</v>
      </c>
      <c r="C16" s="20" t="s">
        <v>2987</v>
      </c>
      <c r="D16" s="20" t="s">
        <v>3014</v>
      </c>
      <c r="E16" s="24"/>
    </row>
    <row r="17" spans="1:5" x14ac:dyDescent="0.2">
      <c r="A17" s="20" t="s">
        <v>3026</v>
      </c>
      <c r="B17" s="20" t="s">
        <v>3023</v>
      </c>
      <c r="C17" s="20" t="s">
        <v>2987</v>
      </c>
      <c r="D17" s="20" t="s">
        <v>3016</v>
      </c>
      <c r="E17" s="24"/>
    </row>
    <row r="18" spans="1:5" x14ac:dyDescent="0.2">
      <c r="A18" s="20" t="s">
        <v>3027</v>
      </c>
      <c r="B18" s="20" t="s">
        <v>3028</v>
      </c>
      <c r="C18" s="20" t="s">
        <v>2948</v>
      </c>
      <c r="D18" s="20" t="s">
        <v>3029</v>
      </c>
      <c r="E18" s="24"/>
    </row>
    <row r="19" spans="1:5" x14ac:dyDescent="0.2">
      <c r="A19" s="20" t="s">
        <v>3030</v>
      </c>
      <c r="B19" s="20" t="s">
        <v>3028</v>
      </c>
      <c r="C19" s="20" t="s">
        <v>2948</v>
      </c>
      <c r="D19" s="20" t="s">
        <v>3031</v>
      </c>
      <c r="E19" s="24"/>
    </row>
    <row r="20" spans="1:5" x14ac:dyDescent="0.2">
      <c r="A20" s="20" t="s">
        <v>3032</v>
      </c>
      <c r="B20" s="20" t="s">
        <v>3028</v>
      </c>
      <c r="C20" s="20" t="s">
        <v>2948</v>
      </c>
      <c r="D20" s="20" t="s">
        <v>3033</v>
      </c>
      <c r="E20" s="24"/>
    </row>
    <row r="21" spans="1:5" x14ac:dyDescent="0.2">
      <c r="A21" s="20" t="s">
        <v>3034</v>
      </c>
      <c r="B21" s="20" t="s">
        <v>3028</v>
      </c>
      <c r="C21" s="20" t="s">
        <v>2948</v>
      </c>
      <c r="D21" s="20" t="s">
        <v>3035</v>
      </c>
      <c r="E21" s="24"/>
    </row>
    <row r="22" spans="1:5" x14ac:dyDescent="0.2">
      <c r="A22" s="20" t="s">
        <v>3036</v>
      </c>
      <c r="B22" s="20" t="s">
        <v>3037</v>
      </c>
      <c r="C22" s="20" t="s">
        <v>2948</v>
      </c>
      <c r="D22" s="20" t="s">
        <v>3029</v>
      </c>
      <c r="E22" s="24"/>
    </row>
    <row r="23" spans="1:5" x14ac:dyDescent="0.2">
      <c r="A23" s="20" t="s">
        <v>3038</v>
      </c>
      <c r="B23" s="20" t="s">
        <v>3037</v>
      </c>
      <c r="C23" s="20" t="s">
        <v>2948</v>
      </c>
      <c r="D23" s="20" t="s">
        <v>3031</v>
      </c>
      <c r="E23" s="24"/>
    </row>
    <row r="24" spans="1:5" x14ac:dyDescent="0.2">
      <c r="A24" s="20" t="s">
        <v>3039</v>
      </c>
      <c r="B24" s="20" t="s">
        <v>3037</v>
      </c>
      <c r="C24" s="20" t="s">
        <v>2948</v>
      </c>
      <c r="D24" s="20" t="s">
        <v>3033</v>
      </c>
      <c r="E24" s="24"/>
    </row>
    <row r="25" spans="1:5" x14ac:dyDescent="0.2">
      <c r="A25" s="20" t="s">
        <v>3040</v>
      </c>
      <c r="B25" s="20" t="s">
        <v>3037</v>
      </c>
      <c r="C25" s="20" t="s">
        <v>2948</v>
      </c>
      <c r="D25" s="20" t="s">
        <v>3035</v>
      </c>
      <c r="E25" s="24"/>
    </row>
    <row r="26" spans="1:5" x14ac:dyDescent="0.2">
      <c r="A26" s="20" t="s">
        <v>3041</v>
      </c>
      <c r="B26" s="20" t="s">
        <v>3042</v>
      </c>
      <c r="C26" s="20" t="s">
        <v>2948</v>
      </c>
      <c r="D26" s="20" t="s">
        <v>3029</v>
      </c>
      <c r="E26" s="24"/>
    </row>
    <row r="27" spans="1:5" x14ac:dyDescent="0.2">
      <c r="A27" s="20" t="s">
        <v>3043</v>
      </c>
      <c r="B27" s="20" t="s">
        <v>3042</v>
      </c>
      <c r="C27" s="20" t="s">
        <v>2948</v>
      </c>
      <c r="D27" s="20" t="s">
        <v>3031</v>
      </c>
      <c r="E27" s="24"/>
    </row>
    <row r="28" spans="1:5" x14ac:dyDescent="0.2">
      <c r="A28" s="20" t="s">
        <v>3044</v>
      </c>
      <c r="B28" s="20" t="s">
        <v>3042</v>
      </c>
      <c r="C28" s="20" t="s">
        <v>2948</v>
      </c>
      <c r="D28" s="20" t="s">
        <v>3033</v>
      </c>
      <c r="E28" s="24"/>
    </row>
    <row r="29" spans="1:5" x14ac:dyDescent="0.2">
      <c r="A29" s="20" t="s">
        <v>3045</v>
      </c>
      <c r="B29" s="20" t="s">
        <v>3042</v>
      </c>
      <c r="C29" s="20" t="s">
        <v>2948</v>
      </c>
      <c r="D29" s="20" t="s">
        <v>3035</v>
      </c>
      <c r="E29" s="24"/>
    </row>
    <row r="30" spans="1:5" x14ac:dyDescent="0.2">
      <c r="A30" s="20" t="s">
        <v>3046</v>
      </c>
      <c r="B30" s="20" t="s">
        <v>3047</v>
      </c>
      <c r="C30" s="20" t="s">
        <v>2948</v>
      </c>
      <c r="D30" s="20" t="s">
        <v>3029</v>
      </c>
      <c r="E30" s="24"/>
    </row>
    <row r="31" spans="1:5" x14ac:dyDescent="0.2">
      <c r="A31" s="20" t="s">
        <v>3048</v>
      </c>
      <c r="B31" s="20" t="s">
        <v>3047</v>
      </c>
      <c r="C31" s="20" t="s">
        <v>2948</v>
      </c>
      <c r="D31" s="20" t="s">
        <v>3031</v>
      </c>
      <c r="E31" s="24"/>
    </row>
    <row r="32" spans="1:5" x14ac:dyDescent="0.2">
      <c r="A32" s="20" t="s">
        <v>3049</v>
      </c>
      <c r="B32" s="20" t="s">
        <v>3047</v>
      </c>
      <c r="C32" s="20" t="s">
        <v>2948</v>
      </c>
      <c r="D32" s="20" t="s">
        <v>3033</v>
      </c>
      <c r="E32" s="24"/>
    </row>
    <row r="33" spans="1:5" x14ac:dyDescent="0.2">
      <c r="A33" s="20" t="s">
        <v>3050</v>
      </c>
      <c r="B33" s="20" t="s">
        <v>3047</v>
      </c>
      <c r="C33" s="20" t="s">
        <v>2948</v>
      </c>
      <c r="D33" s="20" t="s">
        <v>3035</v>
      </c>
      <c r="E33" s="24"/>
    </row>
    <row r="34" spans="1:5" x14ac:dyDescent="0.2">
      <c r="A34" s="20" t="s">
        <v>3051</v>
      </c>
      <c r="B34" s="20" t="s">
        <v>3052</v>
      </c>
      <c r="C34" s="20" t="s">
        <v>2948</v>
      </c>
      <c r="D34" s="20" t="s">
        <v>3029</v>
      </c>
      <c r="E34" s="24"/>
    </row>
    <row r="35" spans="1:5" x14ac:dyDescent="0.2">
      <c r="A35" s="20" t="s">
        <v>3053</v>
      </c>
      <c r="B35" s="20" t="s">
        <v>3052</v>
      </c>
      <c r="C35" s="20" t="s">
        <v>2948</v>
      </c>
      <c r="D35" s="20" t="s">
        <v>3031</v>
      </c>
      <c r="E35" s="24"/>
    </row>
    <row r="36" spans="1:5" x14ac:dyDescent="0.2">
      <c r="A36" s="20" t="s">
        <v>3054</v>
      </c>
      <c r="B36" s="20" t="s">
        <v>3052</v>
      </c>
      <c r="C36" s="20" t="s">
        <v>2948</v>
      </c>
      <c r="D36" s="20" t="s">
        <v>3033</v>
      </c>
      <c r="E36" s="24"/>
    </row>
    <row r="37" spans="1:5" x14ac:dyDescent="0.2">
      <c r="A37" s="20" t="s">
        <v>3055</v>
      </c>
      <c r="B37" s="20" t="s">
        <v>3052</v>
      </c>
      <c r="C37" s="20" t="s">
        <v>2948</v>
      </c>
      <c r="D37" s="20" t="s">
        <v>3035</v>
      </c>
      <c r="E37" s="24"/>
    </row>
    <row r="38" spans="1:5" x14ac:dyDescent="0.2">
      <c r="A38" s="20" t="s">
        <v>3056</v>
      </c>
      <c r="B38" s="20" t="s">
        <v>3057</v>
      </c>
      <c r="C38" s="20" t="s">
        <v>2948</v>
      </c>
      <c r="D38" s="20" t="s">
        <v>3029</v>
      </c>
      <c r="E38" s="24"/>
    </row>
    <row r="39" spans="1:5" x14ac:dyDescent="0.2">
      <c r="A39" s="20" t="s">
        <v>3058</v>
      </c>
      <c r="B39" s="20" t="s">
        <v>3057</v>
      </c>
      <c r="C39" s="20" t="s">
        <v>2948</v>
      </c>
      <c r="D39" s="20" t="s">
        <v>3031</v>
      </c>
      <c r="E39" s="24"/>
    </row>
    <row r="40" spans="1:5" x14ac:dyDescent="0.2">
      <c r="A40" s="20" t="s">
        <v>3059</v>
      </c>
      <c r="B40" s="20" t="s">
        <v>3057</v>
      </c>
      <c r="C40" s="20" t="s">
        <v>2948</v>
      </c>
      <c r="D40" s="20" t="s">
        <v>3033</v>
      </c>
      <c r="E40" s="24"/>
    </row>
    <row r="41" spans="1:5" x14ac:dyDescent="0.2">
      <c r="A41" s="20" t="s">
        <v>3060</v>
      </c>
      <c r="B41" s="20" t="s">
        <v>3057</v>
      </c>
      <c r="C41" s="20" t="s">
        <v>2948</v>
      </c>
      <c r="D41" s="20" t="s">
        <v>3035</v>
      </c>
      <c r="E41" s="24"/>
    </row>
    <row r="42" spans="1:5" x14ac:dyDescent="0.2">
      <c r="A42" s="20" t="s">
        <v>3061</v>
      </c>
      <c r="B42" s="20" t="s">
        <v>3062</v>
      </c>
      <c r="C42" s="20" t="s">
        <v>2948</v>
      </c>
      <c r="D42" s="20" t="s">
        <v>3029</v>
      </c>
      <c r="E42" s="24"/>
    </row>
    <row r="43" spans="1:5" x14ac:dyDescent="0.2">
      <c r="A43" s="20" t="s">
        <v>3063</v>
      </c>
      <c r="B43" s="20" t="s">
        <v>3062</v>
      </c>
      <c r="C43" s="20" t="s">
        <v>2948</v>
      </c>
      <c r="D43" s="20" t="s">
        <v>3031</v>
      </c>
      <c r="E43" s="24"/>
    </row>
    <row r="44" spans="1:5" x14ac:dyDescent="0.2">
      <c r="A44" s="20" t="s">
        <v>3064</v>
      </c>
      <c r="B44" s="20" t="s">
        <v>3062</v>
      </c>
      <c r="C44" s="20" t="s">
        <v>2948</v>
      </c>
      <c r="D44" s="20" t="s">
        <v>3033</v>
      </c>
      <c r="E44" s="24"/>
    </row>
    <row r="45" spans="1:5" x14ac:dyDescent="0.2">
      <c r="A45" s="20" t="s">
        <v>3065</v>
      </c>
      <c r="B45" s="20" t="s">
        <v>3062</v>
      </c>
      <c r="C45" s="20" t="s">
        <v>2948</v>
      </c>
      <c r="D45" s="20" t="s">
        <v>3035</v>
      </c>
      <c r="E45" s="24"/>
    </row>
    <row r="46" spans="1:5" x14ac:dyDescent="0.2">
      <c r="A46" s="20" t="s">
        <v>3066</v>
      </c>
      <c r="B46" s="20" t="s">
        <v>3067</v>
      </c>
      <c r="C46" s="20" t="s">
        <v>2987</v>
      </c>
      <c r="D46" s="20" t="s">
        <v>3010</v>
      </c>
      <c r="E46" s="24"/>
    </row>
    <row r="47" spans="1:5" x14ac:dyDescent="0.2">
      <c r="A47" s="20" t="s">
        <v>3068</v>
      </c>
      <c r="B47" s="20" t="s">
        <v>3067</v>
      </c>
      <c r="C47" s="20" t="s">
        <v>2987</v>
      </c>
      <c r="D47" s="20" t="s">
        <v>3012</v>
      </c>
      <c r="E47" s="24"/>
    </row>
    <row r="48" spans="1:5" x14ac:dyDescent="0.2">
      <c r="A48" s="20" t="s">
        <v>3069</v>
      </c>
      <c r="B48" s="20" t="s">
        <v>3067</v>
      </c>
      <c r="C48" s="20" t="s">
        <v>2987</v>
      </c>
      <c r="D48" s="20" t="s">
        <v>3014</v>
      </c>
      <c r="E48" s="24"/>
    </row>
    <row r="49" spans="1:5" x14ac:dyDescent="0.2">
      <c r="A49" s="20" t="s">
        <v>3070</v>
      </c>
      <c r="B49" s="20" t="s">
        <v>3067</v>
      </c>
      <c r="C49" s="20" t="s">
        <v>2987</v>
      </c>
      <c r="D49" s="20" t="s">
        <v>3016</v>
      </c>
      <c r="E49" s="24"/>
    </row>
    <row r="50" spans="1:5" x14ac:dyDescent="0.2">
      <c r="A50" s="20" t="s">
        <v>3071</v>
      </c>
      <c r="B50" s="20" t="s">
        <v>3072</v>
      </c>
      <c r="C50" s="20" t="s">
        <v>2987</v>
      </c>
      <c r="D50" s="20" t="s">
        <v>3010</v>
      </c>
      <c r="E50" s="24"/>
    </row>
    <row r="51" spans="1:5" x14ac:dyDescent="0.2">
      <c r="A51" s="20" t="s">
        <v>3073</v>
      </c>
      <c r="B51" s="20" t="s">
        <v>3072</v>
      </c>
      <c r="C51" s="20" t="s">
        <v>2987</v>
      </c>
      <c r="D51" s="20" t="s">
        <v>3012</v>
      </c>
      <c r="E51" s="24"/>
    </row>
    <row r="52" spans="1:5" x14ac:dyDescent="0.2">
      <c r="A52" s="20" t="s">
        <v>3074</v>
      </c>
      <c r="B52" s="20" t="s">
        <v>3072</v>
      </c>
      <c r="C52" s="20" t="s">
        <v>2987</v>
      </c>
      <c r="D52" s="20" t="s">
        <v>3014</v>
      </c>
      <c r="E52" s="24"/>
    </row>
    <row r="53" spans="1:5" x14ac:dyDescent="0.2">
      <c r="A53" s="20" t="s">
        <v>3075</v>
      </c>
      <c r="B53" s="20" t="s">
        <v>3072</v>
      </c>
      <c r="C53" s="20" t="s">
        <v>2987</v>
      </c>
      <c r="D53" s="20" t="s">
        <v>3016</v>
      </c>
      <c r="E53" s="24"/>
    </row>
    <row r="54" spans="1:5" x14ac:dyDescent="0.2">
      <c r="A54" s="20" t="s">
        <v>3076</v>
      </c>
      <c r="B54" s="20" t="s">
        <v>3077</v>
      </c>
      <c r="C54" s="20" t="s">
        <v>2948</v>
      </c>
      <c r="D54" s="20" t="s">
        <v>3078</v>
      </c>
      <c r="E54" s="24"/>
    </row>
    <row r="55" spans="1:5" x14ac:dyDescent="0.2">
      <c r="A55" s="20" t="s">
        <v>3079</v>
      </c>
      <c r="B55" s="20" t="s">
        <v>3077</v>
      </c>
      <c r="C55" s="20" t="s">
        <v>2948</v>
      </c>
      <c r="D55" s="20" t="s">
        <v>3080</v>
      </c>
      <c r="E55" s="24"/>
    </row>
    <row r="56" spans="1:5" x14ac:dyDescent="0.2">
      <c r="A56" s="20" t="s">
        <v>3081</v>
      </c>
      <c r="B56" s="20" t="s">
        <v>3077</v>
      </c>
      <c r="C56" s="20" t="s">
        <v>2948</v>
      </c>
      <c r="D56" s="20" t="s">
        <v>3082</v>
      </c>
      <c r="E56" s="24"/>
    </row>
    <row r="57" spans="1:5" x14ac:dyDescent="0.2">
      <c r="A57" s="20" t="s">
        <v>3083</v>
      </c>
      <c r="B57" s="20" t="s">
        <v>3077</v>
      </c>
      <c r="C57" s="20" t="s">
        <v>2948</v>
      </c>
      <c r="D57" s="20" t="s">
        <v>3084</v>
      </c>
      <c r="E57" s="24"/>
    </row>
    <row r="58" spans="1:5" x14ac:dyDescent="0.2">
      <c r="A58" s="20" t="s">
        <v>3085</v>
      </c>
      <c r="B58" s="20" t="s">
        <v>3086</v>
      </c>
      <c r="C58" s="20" t="s">
        <v>2948</v>
      </c>
      <c r="D58" s="20" t="s">
        <v>3078</v>
      </c>
      <c r="E58" s="24"/>
    </row>
    <row r="59" spans="1:5" x14ac:dyDescent="0.2">
      <c r="A59" s="20" t="s">
        <v>3087</v>
      </c>
      <c r="B59" s="20" t="s">
        <v>3086</v>
      </c>
      <c r="C59" s="20" t="s">
        <v>2948</v>
      </c>
      <c r="D59" s="20" t="s">
        <v>3080</v>
      </c>
      <c r="E59" s="24"/>
    </row>
    <row r="60" spans="1:5" x14ac:dyDescent="0.2">
      <c r="A60" s="20" t="s">
        <v>3088</v>
      </c>
      <c r="B60" s="20" t="s">
        <v>3086</v>
      </c>
      <c r="C60" s="20" t="s">
        <v>2948</v>
      </c>
      <c r="D60" s="20" t="s">
        <v>3082</v>
      </c>
      <c r="E60" s="24"/>
    </row>
    <row r="61" spans="1:5" x14ac:dyDescent="0.2">
      <c r="A61" s="20" t="s">
        <v>3089</v>
      </c>
      <c r="B61" s="20" t="s">
        <v>3086</v>
      </c>
      <c r="C61" s="20" t="s">
        <v>2948</v>
      </c>
      <c r="D61" s="20" t="s">
        <v>3084</v>
      </c>
      <c r="E61" s="24"/>
    </row>
    <row r="62" spans="1:5" x14ac:dyDescent="0.2">
      <c r="A62" s="20" t="s">
        <v>3090</v>
      </c>
      <c r="B62" s="20" t="s">
        <v>3091</v>
      </c>
      <c r="C62" s="20" t="s">
        <v>2948</v>
      </c>
      <c r="D62" s="20" t="s">
        <v>3078</v>
      </c>
      <c r="E62" s="24"/>
    </row>
    <row r="63" spans="1:5" x14ac:dyDescent="0.2">
      <c r="A63" s="20" t="s">
        <v>3092</v>
      </c>
      <c r="B63" s="20" t="s">
        <v>3091</v>
      </c>
      <c r="C63" s="20" t="s">
        <v>2948</v>
      </c>
      <c r="D63" s="20" t="s">
        <v>3080</v>
      </c>
      <c r="E63" s="24"/>
    </row>
    <row r="64" spans="1:5" x14ac:dyDescent="0.2">
      <c r="A64" s="20" t="s">
        <v>3093</v>
      </c>
      <c r="B64" s="20" t="s">
        <v>3091</v>
      </c>
      <c r="C64" s="20" t="s">
        <v>2948</v>
      </c>
      <c r="D64" s="20" t="s">
        <v>3082</v>
      </c>
      <c r="E64" s="24"/>
    </row>
    <row r="65" spans="1:5" x14ac:dyDescent="0.2">
      <c r="A65" s="20" t="s">
        <v>3094</v>
      </c>
      <c r="B65" s="20" t="s">
        <v>3091</v>
      </c>
      <c r="C65" s="20" t="s">
        <v>2948</v>
      </c>
      <c r="D65" s="20" t="s">
        <v>3084</v>
      </c>
      <c r="E65" s="24"/>
    </row>
    <row r="66" spans="1:5" x14ac:dyDescent="0.2">
      <c r="A66" s="20" t="s">
        <v>3095</v>
      </c>
      <c r="B66" s="20" t="s">
        <v>3096</v>
      </c>
      <c r="C66" s="20" t="s">
        <v>2948</v>
      </c>
      <c r="D66" s="20" t="s">
        <v>3078</v>
      </c>
      <c r="E66" s="24"/>
    </row>
    <row r="67" spans="1:5" x14ac:dyDescent="0.2">
      <c r="A67" s="20" t="s">
        <v>3097</v>
      </c>
      <c r="B67" s="20" t="s">
        <v>3096</v>
      </c>
      <c r="C67" s="20" t="s">
        <v>2948</v>
      </c>
      <c r="D67" s="20" t="s">
        <v>3080</v>
      </c>
      <c r="E67" s="24"/>
    </row>
    <row r="68" spans="1:5" x14ac:dyDescent="0.2">
      <c r="A68" s="20" t="s">
        <v>3098</v>
      </c>
      <c r="B68" s="20" t="s">
        <v>3096</v>
      </c>
      <c r="C68" s="20" t="s">
        <v>2948</v>
      </c>
      <c r="D68" s="20" t="s">
        <v>3082</v>
      </c>
      <c r="E68" s="24"/>
    </row>
    <row r="69" spans="1:5" x14ac:dyDescent="0.2">
      <c r="A69" s="20" t="s">
        <v>3099</v>
      </c>
      <c r="B69" s="20" t="s">
        <v>3096</v>
      </c>
      <c r="C69" s="20" t="s">
        <v>2948</v>
      </c>
      <c r="D69" s="20" t="s">
        <v>3084</v>
      </c>
      <c r="E69" s="24"/>
    </row>
    <row r="70" spans="1:5" x14ac:dyDescent="0.2">
      <c r="A70" s="20" t="s">
        <v>3100</v>
      </c>
      <c r="B70" s="20" t="s">
        <v>3101</v>
      </c>
      <c r="C70" s="20" t="s">
        <v>2948</v>
      </c>
      <c r="D70" s="20" t="s">
        <v>3078</v>
      </c>
      <c r="E70" s="24"/>
    </row>
    <row r="71" spans="1:5" x14ac:dyDescent="0.2">
      <c r="A71" s="20" t="s">
        <v>3102</v>
      </c>
      <c r="B71" s="20" t="s">
        <v>3101</v>
      </c>
      <c r="C71" s="20" t="s">
        <v>2948</v>
      </c>
      <c r="D71" s="20" t="s">
        <v>3080</v>
      </c>
      <c r="E71" s="24"/>
    </row>
    <row r="72" spans="1:5" x14ac:dyDescent="0.2">
      <c r="A72" s="20" t="s">
        <v>3103</v>
      </c>
      <c r="B72" s="20" t="s">
        <v>3101</v>
      </c>
      <c r="C72" s="20" t="s">
        <v>2948</v>
      </c>
      <c r="D72" s="20" t="s">
        <v>3082</v>
      </c>
      <c r="E72" s="24"/>
    </row>
    <row r="73" spans="1:5" x14ac:dyDescent="0.2">
      <c r="A73" s="20" t="s">
        <v>3104</v>
      </c>
      <c r="B73" s="20" t="s">
        <v>3101</v>
      </c>
      <c r="C73" s="20" t="s">
        <v>2948</v>
      </c>
      <c r="D73" s="20" t="s">
        <v>3084</v>
      </c>
      <c r="E73" s="24"/>
    </row>
    <row r="74" spans="1:5" x14ac:dyDescent="0.2">
      <c r="A74" s="20" t="s">
        <v>3105</v>
      </c>
      <c r="B74" s="20" t="s">
        <v>3106</v>
      </c>
      <c r="C74" s="20" t="s">
        <v>2948</v>
      </c>
      <c r="D74" s="20" t="s">
        <v>3078</v>
      </c>
      <c r="E74" s="24"/>
    </row>
    <row r="75" spans="1:5" x14ac:dyDescent="0.2">
      <c r="A75" s="20" t="s">
        <v>3107</v>
      </c>
      <c r="B75" s="20" t="s">
        <v>3106</v>
      </c>
      <c r="C75" s="20" t="s">
        <v>2948</v>
      </c>
      <c r="D75" s="20" t="s">
        <v>3080</v>
      </c>
      <c r="E75" s="24"/>
    </row>
    <row r="76" spans="1:5" x14ac:dyDescent="0.2">
      <c r="A76" s="20" t="s">
        <v>3108</v>
      </c>
      <c r="B76" s="20" t="s">
        <v>3106</v>
      </c>
      <c r="C76" s="20" t="s">
        <v>2948</v>
      </c>
      <c r="D76" s="20" t="s">
        <v>3082</v>
      </c>
      <c r="E76" s="24"/>
    </row>
    <row r="77" spans="1:5" x14ac:dyDescent="0.2">
      <c r="A77" s="20" t="s">
        <v>3109</v>
      </c>
      <c r="B77" s="20" t="s">
        <v>3106</v>
      </c>
      <c r="C77" s="20" t="s">
        <v>2948</v>
      </c>
      <c r="D77" s="20" t="s">
        <v>3084</v>
      </c>
      <c r="E77" s="24"/>
    </row>
    <row r="78" spans="1:5" x14ac:dyDescent="0.2">
      <c r="A78" s="20" t="s">
        <v>3110</v>
      </c>
      <c r="B78" s="20" t="s">
        <v>3111</v>
      </c>
      <c r="C78" s="20" t="s">
        <v>2948</v>
      </c>
      <c r="D78" s="20" t="s">
        <v>3078</v>
      </c>
      <c r="E78" s="24"/>
    </row>
    <row r="79" spans="1:5" x14ac:dyDescent="0.2">
      <c r="A79" s="20" t="s">
        <v>3112</v>
      </c>
      <c r="B79" s="20" t="s">
        <v>3111</v>
      </c>
      <c r="C79" s="20" t="s">
        <v>2948</v>
      </c>
      <c r="D79" s="20" t="s">
        <v>3080</v>
      </c>
      <c r="E79" s="24"/>
    </row>
    <row r="80" spans="1:5" x14ac:dyDescent="0.2">
      <c r="A80" s="20" t="s">
        <v>3113</v>
      </c>
      <c r="B80" s="20" t="s">
        <v>3111</v>
      </c>
      <c r="C80" s="20" t="s">
        <v>2948</v>
      </c>
      <c r="D80" s="20" t="s">
        <v>3082</v>
      </c>
      <c r="E80" s="24"/>
    </row>
    <row r="81" spans="1:5" x14ac:dyDescent="0.2">
      <c r="A81" s="20" t="s">
        <v>3114</v>
      </c>
      <c r="B81" s="20" t="s">
        <v>3111</v>
      </c>
      <c r="C81" s="20" t="s">
        <v>2948</v>
      </c>
      <c r="D81" s="20" t="s">
        <v>3084</v>
      </c>
      <c r="E81" s="24"/>
    </row>
    <row r="82" spans="1:5" x14ac:dyDescent="0.2">
      <c r="A82" s="20" t="s">
        <v>3115</v>
      </c>
      <c r="B82" s="20" t="s">
        <v>3116</v>
      </c>
      <c r="C82" s="20" t="s">
        <v>2948</v>
      </c>
      <c r="D82" s="20" t="s">
        <v>3078</v>
      </c>
      <c r="E82" s="24"/>
    </row>
    <row r="83" spans="1:5" x14ac:dyDescent="0.2">
      <c r="A83" s="20" t="s">
        <v>3117</v>
      </c>
      <c r="B83" s="20" t="s">
        <v>3116</v>
      </c>
      <c r="C83" s="20" t="s">
        <v>2948</v>
      </c>
      <c r="D83" s="20" t="s">
        <v>3080</v>
      </c>
      <c r="E83" s="24"/>
    </row>
    <row r="84" spans="1:5" x14ac:dyDescent="0.2">
      <c r="A84" s="20" t="s">
        <v>3118</v>
      </c>
      <c r="B84" s="20" t="s">
        <v>3116</v>
      </c>
      <c r="C84" s="20" t="s">
        <v>2948</v>
      </c>
      <c r="D84" s="20" t="s">
        <v>3082</v>
      </c>
      <c r="E84" s="24"/>
    </row>
    <row r="85" spans="1:5" x14ac:dyDescent="0.2">
      <c r="A85" s="20" t="s">
        <v>3119</v>
      </c>
      <c r="B85" s="20" t="s">
        <v>3116</v>
      </c>
      <c r="C85" s="20" t="s">
        <v>2948</v>
      </c>
      <c r="D85" s="20" t="s">
        <v>3084</v>
      </c>
      <c r="E85" s="24"/>
    </row>
    <row r="86" spans="1:5" x14ac:dyDescent="0.2">
      <c r="A86" s="20" t="s">
        <v>3120</v>
      </c>
      <c r="B86" s="20" t="s">
        <v>3121</v>
      </c>
      <c r="C86" s="20" t="s">
        <v>2948</v>
      </c>
      <c r="D86" s="20" t="s">
        <v>3078</v>
      </c>
      <c r="E86" s="24"/>
    </row>
    <row r="87" spans="1:5" x14ac:dyDescent="0.2">
      <c r="A87" s="20" t="s">
        <v>3122</v>
      </c>
      <c r="B87" s="20" t="s">
        <v>3121</v>
      </c>
      <c r="C87" s="20" t="s">
        <v>2948</v>
      </c>
      <c r="D87" s="20" t="s">
        <v>3080</v>
      </c>
      <c r="E87" s="24"/>
    </row>
    <row r="88" spans="1:5" x14ac:dyDescent="0.2">
      <c r="A88" s="20" t="s">
        <v>3123</v>
      </c>
      <c r="B88" s="20" t="s">
        <v>3121</v>
      </c>
      <c r="C88" s="20" t="s">
        <v>2948</v>
      </c>
      <c r="D88" s="20" t="s">
        <v>3082</v>
      </c>
      <c r="E88" s="24"/>
    </row>
    <row r="89" spans="1:5" x14ac:dyDescent="0.2">
      <c r="A89" s="20" t="s">
        <v>3124</v>
      </c>
      <c r="B89" s="20" t="s">
        <v>3121</v>
      </c>
      <c r="C89" s="20" t="s">
        <v>2948</v>
      </c>
      <c r="D89" s="20" t="s">
        <v>3084</v>
      </c>
      <c r="E89" s="24"/>
    </row>
    <row r="90" spans="1:5" x14ac:dyDescent="0.2">
      <c r="A90" s="20" t="s">
        <v>3125</v>
      </c>
      <c r="B90" s="20" t="s">
        <v>3126</v>
      </c>
      <c r="C90" s="20" t="s">
        <v>2948</v>
      </c>
      <c r="D90" s="20" t="s">
        <v>3078</v>
      </c>
      <c r="E90" s="24"/>
    </row>
    <row r="91" spans="1:5" x14ac:dyDescent="0.2">
      <c r="A91" s="20" t="s">
        <v>3127</v>
      </c>
      <c r="B91" s="20" t="s">
        <v>3126</v>
      </c>
      <c r="C91" s="20" t="s">
        <v>2948</v>
      </c>
      <c r="D91" s="20" t="s">
        <v>3080</v>
      </c>
      <c r="E91" s="24"/>
    </row>
    <row r="92" spans="1:5" x14ac:dyDescent="0.2">
      <c r="A92" s="20" t="s">
        <v>3128</v>
      </c>
      <c r="B92" s="20" t="s">
        <v>3126</v>
      </c>
      <c r="C92" s="20" t="s">
        <v>2948</v>
      </c>
      <c r="D92" s="20" t="s">
        <v>3082</v>
      </c>
      <c r="E92" s="24"/>
    </row>
    <row r="93" spans="1:5" x14ac:dyDescent="0.2">
      <c r="A93" s="25" t="s">
        <v>3129</v>
      </c>
      <c r="B93" s="25" t="s">
        <v>3126</v>
      </c>
      <c r="C93" s="25" t="s">
        <v>2948</v>
      </c>
      <c r="D93" s="25" t="s">
        <v>3084</v>
      </c>
      <c r="E93" s="29"/>
    </row>
    <row r="94" spans="1:5" x14ac:dyDescent="0.2">
      <c r="A94" s="43" t="s">
        <v>300</v>
      </c>
      <c r="B94" s="44"/>
      <c r="C94" s="44"/>
      <c r="D94" s="44"/>
      <c r="E94" s="114"/>
    </row>
    <row r="96" spans="1:5" x14ac:dyDescent="0.2">
      <c r="A96" s="43" t="s">
        <v>3130</v>
      </c>
      <c r="B96" s="44"/>
      <c r="C96" s="44"/>
      <c r="D96" s="44"/>
      <c r="E96" s="114"/>
    </row>
  </sheetData>
  <pageMargins left="0.7" right="0.7" top="0.75" bottom="0.75" header="0.3" footer="0.3"/>
  <pageSetup paperSize="9" scale="65" orientation="landscape" r:id="rId1"/>
  <headerFooter>
    <oddFooter>&amp;LNUOVO Scholengroep EA 2023                                  &amp;ROpmaakdatum: 21-07-2023
Intexso - De Start 5 -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C41C7-F00C-4F36-B743-8469D4F0288E}">
  <dimension ref="A1:F11"/>
  <sheetViews>
    <sheetView workbookViewId="0"/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I.12: ",tabeltype," totaalblad schoonmaakwerk")</f>
        <v>Bijlage I.12: Invultabel totaalblad schoonmaakwerk</v>
      </c>
    </row>
    <row r="3" spans="1:6" ht="25.5" x14ac:dyDescent="0.2">
      <c r="A3" s="8" t="s">
        <v>3131</v>
      </c>
      <c r="B3" s="8" t="s">
        <v>3132</v>
      </c>
      <c r="C3" s="8" t="s">
        <v>3133</v>
      </c>
      <c r="D3" s="8" t="s">
        <v>3134</v>
      </c>
      <c r="E3" s="8" t="s">
        <v>3135</v>
      </c>
      <c r="F3" s="8" t="s">
        <v>3136</v>
      </c>
    </row>
    <row r="4" spans="1:6" x14ac:dyDescent="0.2">
      <c r="A4" s="130" t="s">
        <v>3137</v>
      </c>
      <c r="B4" s="30">
        <f>urenjaartotaaloverzicht</f>
        <v>600</v>
      </c>
      <c r="C4" s="30">
        <f>urenjaartotaaloverzichthf</f>
        <v>0</v>
      </c>
      <c r="D4" s="99"/>
      <c r="E4" s="33">
        <f>prijsjaartotaaloverzicht</f>
        <v>0</v>
      </c>
      <c r="F4" s="33">
        <f>E4*1.21</f>
        <v>0</v>
      </c>
    </row>
    <row r="5" spans="1:6" x14ac:dyDescent="0.2">
      <c r="A5" s="131" t="s">
        <v>3138</v>
      </c>
      <c r="B5" s="102"/>
      <c r="C5" s="102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x14ac:dyDescent="0.2">
      <c r="A6" s="131" t="s">
        <v>3139</v>
      </c>
      <c r="B6" s="102"/>
      <c r="C6" s="102"/>
      <c r="D6" s="102"/>
      <c r="E6" s="37">
        <f>prijsjaaradditioneel</f>
        <v>0</v>
      </c>
      <c r="F6" s="37">
        <f>E6*1.21</f>
        <v>0</v>
      </c>
    </row>
    <row r="7" spans="1:6" ht="25.5" x14ac:dyDescent="0.2">
      <c r="A7" s="132" t="s">
        <v>3140</v>
      </c>
      <c r="B7" s="133"/>
      <c r="C7" s="133"/>
      <c r="D7" s="133"/>
      <c r="E7" s="41">
        <f>prijsjaarafroep</f>
        <v>0</v>
      </c>
      <c r="F7" s="41">
        <f>E7*1.21</f>
        <v>0</v>
      </c>
    </row>
    <row r="9" spans="1:6" x14ac:dyDescent="0.2">
      <c r="A9" s="8" t="s">
        <v>3141</v>
      </c>
      <c r="B9" s="45">
        <f>SUM(B4:B7)</f>
        <v>600</v>
      </c>
      <c r="C9" s="45">
        <f>SUM(C4:C7)</f>
        <v>0</v>
      </c>
      <c r="D9" s="45">
        <f>SUM(D4:D7)</f>
        <v>0</v>
      </c>
      <c r="E9" s="46">
        <f>SUM(E4:E7)</f>
        <v>0</v>
      </c>
      <c r="F9" s="46">
        <f>E9*1.21</f>
        <v>0</v>
      </c>
    </row>
    <row r="11" spans="1:6" x14ac:dyDescent="0.2">
      <c r="A11" s="8" t="s">
        <v>3142</v>
      </c>
      <c r="B11" s="134">
        <f>IF(B9&gt;0,D9/B9,0)</f>
        <v>0</v>
      </c>
    </row>
  </sheetData>
  <pageMargins left="0.7" right="0.7" top="0.75" bottom="0.75" header="0.3" footer="0.3"/>
  <pageSetup paperSize="9" scale="70" orientation="landscape" r:id="rId1"/>
  <headerFooter>
    <oddFooter>&amp;LNUOVO Scholengroep EA 2023                                  &amp;ROpmaakdatum: 21-07-2023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64CD9-26FC-4032-A9BB-ECA2AFD1BCD0}">
  <dimension ref="A1:H84"/>
  <sheetViews>
    <sheetView tabSelected="1" workbookViewId="0">
      <selection activeCell="D12" sqref="D12"/>
    </sheetView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I.1: ",tabeltype," categorienormen")</f>
        <v>Bijlage I.1: Invultabel categorienormen</v>
      </c>
    </row>
    <row r="3" spans="1:8" ht="38.25" x14ac:dyDescent="0.2">
      <c r="A3" s="8" t="s">
        <v>26</v>
      </c>
      <c r="B3" s="8" t="s">
        <v>27</v>
      </c>
      <c r="C3" s="8" t="s">
        <v>28</v>
      </c>
      <c r="D3" s="8" t="s">
        <v>29</v>
      </c>
      <c r="E3" s="8" t="s">
        <v>30</v>
      </c>
      <c r="F3" s="8" t="s">
        <v>31</v>
      </c>
      <c r="G3" s="8" t="s">
        <v>32</v>
      </c>
      <c r="H3" s="8" t="s">
        <v>33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34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35</v>
      </c>
      <c r="B6" s="16" t="s">
        <v>36</v>
      </c>
      <c r="C6" s="15">
        <v>1</v>
      </c>
      <c r="D6" s="15" t="s">
        <v>37</v>
      </c>
      <c r="E6" s="17"/>
      <c r="F6" s="18"/>
      <c r="G6" s="15" t="s">
        <v>38</v>
      </c>
      <c r="H6" s="19"/>
    </row>
    <row r="7" spans="1:8" x14ac:dyDescent="0.2">
      <c r="A7" s="20" t="s">
        <v>39</v>
      </c>
      <c r="B7" s="21" t="s">
        <v>36</v>
      </c>
      <c r="C7" s="20">
        <v>40</v>
      </c>
      <c r="D7" s="20" t="s">
        <v>40</v>
      </c>
      <c r="E7" s="22"/>
      <c r="F7" s="23"/>
      <c r="G7" s="20" t="s">
        <v>38</v>
      </c>
      <c r="H7" s="24"/>
    </row>
    <row r="8" spans="1:8" x14ac:dyDescent="0.2">
      <c r="A8" s="20" t="s">
        <v>41</v>
      </c>
      <c r="B8" s="21" t="s">
        <v>36</v>
      </c>
      <c r="C8" s="20">
        <v>1</v>
      </c>
      <c r="D8" s="20" t="s">
        <v>42</v>
      </c>
      <c r="E8" s="22"/>
      <c r="F8" s="23"/>
      <c r="G8" s="20" t="s">
        <v>38</v>
      </c>
      <c r="H8" s="24"/>
    </row>
    <row r="9" spans="1:8" x14ac:dyDescent="0.2">
      <c r="A9" s="20" t="s">
        <v>43</v>
      </c>
      <c r="B9" s="21" t="s">
        <v>36</v>
      </c>
      <c r="C9" s="20">
        <v>40</v>
      </c>
      <c r="D9" s="20" t="s">
        <v>44</v>
      </c>
      <c r="E9" s="22"/>
      <c r="F9" s="23"/>
      <c r="G9" s="20" t="s">
        <v>38</v>
      </c>
      <c r="H9" s="24"/>
    </row>
    <row r="10" spans="1:8" x14ac:dyDescent="0.2">
      <c r="A10" s="20" t="s">
        <v>45</v>
      </c>
      <c r="B10" s="21" t="s">
        <v>36</v>
      </c>
      <c r="C10" s="20">
        <v>1</v>
      </c>
      <c r="D10" s="20" t="s">
        <v>46</v>
      </c>
      <c r="E10" s="22"/>
      <c r="F10" s="23"/>
      <c r="G10" s="20" t="s">
        <v>38</v>
      </c>
      <c r="H10" s="24"/>
    </row>
    <row r="11" spans="1:8" x14ac:dyDescent="0.2">
      <c r="A11" s="20" t="s">
        <v>47</v>
      </c>
      <c r="B11" s="21" t="s">
        <v>36</v>
      </c>
      <c r="C11" s="20">
        <v>40</v>
      </c>
      <c r="D11" s="20" t="s">
        <v>48</v>
      </c>
      <c r="E11" s="22"/>
      <c r="F11" s="23"/>
      <c r="G11" s="20" t="s">
        <v>38</v>
      </c>
      <c r="H11" s="24"/>
    </row>
    <row r="12" spans="1:8" x14ac:dyDescent="0.2">
      <c r="A12" s="20" t="s">
        <v>49</v>
      </c>
      <c r="B12" s="21" t="s">
        <v>36</v>
      </c>
      <c r="C12" s="20">
        <v>1</v>
      </c>
      <c r="D12" s="20" t="s">
        <v>50</v>
      </c>
      <c r="E12" s="22"/>
      <c r="F12" s="23"/>
      <c r="G12" s="20" t="s">
        <v>38</v>
      </c>
      <c r="H12" s="24"/>
    </row>
    <row r="13" spans="1:8" x14ac:dyDescent="0.2">
      <c r="A13" s="20" t="s">
        <v>51</v>
      </c>
      <c r="B13" s="21" t="s">
        <v>36</v>
      </c>
      <c r="C13" s="20">
        <v>40</v>
      </c>
      <c r="D13" s="20" t="s">
        <v>52</v>
      </c>
      <c r="E13" s="22"/>
      <c r="F13" s="23"/>
      <c r="G13" s="20" t="s">
        <v>38</v>
      </c>
      <c r="H13" s="24"/>
    </row>
    <row r="14" spans="1:8" x14ac:dyDescent="0.2">
      <c r="A14" s="20" t="s">
        <v>53</v>
      </c>
      <c r="B14" s="21" t="s">
        <v>36</v>
      </c>
      <c r="C14" s="20">
        <v>1</v>
      </c>
      <c r="D14" s="20" t="s">
        <v>54</v>
      </c>
      <c r="E14" s="22"/>
      <c r="F14" s="23"/>
      <c r="G14" s="20" t="s">
        <v>38</v>
      </c>
      <c r="H14" s="24"/>
    </row>
    <row r="15" spans="1:8" x14ac:dyDescent="0.2">
      <c r="A15" s="20" t="s">
        <v>55</v>
      </c>
      <c r="B15" s="21" t="s">
        <v>36</v>
      </c>
      <c r="C15" s="20">
        <v>40</v>
      </c>
      <c r="D15" s="20" t="s">
        <v>56</v>
      </c>
      <c r="E15" s="22"/>
      <c r="F15" s="23"/>
      <c r="G15" s="20" t="s">
        <v>38</v>
      </c>
      <c r="H15" s="24"/>
    </row>
    <row r="16" spans="1:8" x14ac:dyDescent="0.2">
      <c r="A16" s="20" t="s">
        <v>57</v>
      </c>
      <c r="B16" s="21" t="s">
        <v>36</v>
      </c>
      <c r="C16" s="20">
        <v>1</v>
      </c>
      <c r="D16" s="20" t="s">
        <v>58</v>
      </c>
      <c r="E16" s="22"/>
      <c r="F16" s="23"/>
      <c r="G16" s="20" t="s">
        <v>38</v>
      </c>
      <c r="H16" s="24"/>
    </row>
    <row r="17" spans="1:8" x14ac:dyDescent="0.2">
      <c r="A17" s="20" t="s">
        <v>59</v>
      </c>
      <c r="B17" s="21" t="s">
        <v>36</v>
      </c>
      <c r="C17" s="20">
        <v>40</v>
      </c>
      <c r="D17" s="20" t="s">
        <v>60</v>
      </c>
      <c r="E17" s="22"/>
      <c r="F17" s="23"/>
      <c r="G17" s="20" t="s">
        <v>38</v>
      </c>
      <c r="H17" s="24"/>
    </row>
    <row r="18" spans="1:8" x14ac:dyDescent="0.2">
      <c r="A18" s="20" t="s">
        <v>61</v>
      </c>
      <c r="B18" s="21" t="s">
        <v>36</v>
      </c>
      <c r="C18" s="20">
        <v>1</v>
      </c>
      <c r="D18" s="20" t="s">
        <v>62</v>
      </c>
      <c r="E18" s="22"/>
      <c r="F18" s="23"/>
      <c r="G18" s="20" t="s">
        <v>38</v>
      </c>
      <c r="H18" s="24"/>
    </row>
    <row r="19" spans="1:8" x14ac:dyDescent="0.2">
      <c r="A19" s="20" t="s">
        <v>63</v>
      </c>
      <c r="B19" s="21" t="s">
        <v>36</v>
      </c>
      <c r="C19" s="20">
        <v>40</v>
      </c>
      <c r="D19" s="20" t="s">
        <v>64</v>
      </c>
      <c r="E19" s="22"/>
      <c r="F19" s="23"/>
      <c r="G19" s="20" t="s">
        <v>38</v>
      </c>
      <c r="H19" s="24"/>
    </row>
    <row r="20" spans="1:8" x14ac:dyDescent="0.2">
      <c r="A20" s="20" t="s">
        <v>65</v>
      </c>
      <c r="B20" s="21" t="s">
        <v>36</v>
      </c>
      <c r="C20" s="20">
        <v>1</v>
      </c>
      <c r="D20" s="20" t="s">
        <v>66</v>
      </c>
      <c r="E20" s="22"/>
      <c r="F20" s="23"/>
      <c r="G20" s="20" t="s">
        <v>38</v>
      </c>
      <c r="H20" s="24"/>
    </row>
    <row r="21" spans="1:8" x14ac:dyDescent="0.2">
      <c r="A21" s="20" t="s">
        <v>67</v>
      </c>
      <c r="B21" s="21" t="s">
        <v>36</v>
      </c>
      <c r="C21" s="20">
        <v>40</v>
      </c>
      <c r="D21" s="20" t="s">
        <v>68</v>
      </c>
      <c r="E21" s="22"/>
      <c r="F21" s="23"/>
      <c r="G21" s="20" t="s">
        <v>38</v>
      </c>
      <c r="H21" s="24"/>
    </row>
    <row r="22" spans="1:8" x14ac:dyDescent="0.2">
      <c r="A22" s="20" t="s">
        <v>69</v>
      </c>
      <c r="B22" s="21" t="s">
        <v>36</v>
      </c>
      <c r="C22" s="20">
        <v>1</v>
      </c>
      <c r="D22" s="20" t="s">
        <v>70</v>
      </c>
      <c r="E22" s="22"/>
      <c r="F22" s="23"/>
      <c r="G22" s="20" t="s">
        <v>38</v>
      </c>
      <c r="H22" s="24"/>
    </row>
    <row r="23" spans="1:8" x14ac:dyDescent="0.2">
      <c r="A23" s="20" t="s">
        <v>71</v>
      </c>
      <c r="B23" s="21" t="s">
        <v>36</v>
      </c>
      <c r="C23" s="20">
        <v>40</v>
      </c>
      <c r="D23" s="20" t="s">
        <v>72</v>
      </c>
      <c r="E23" s="22"/>
      <c r="F23" s="23"/>
      <c r="G23" s="20" t="s">
        <v>38</v>
      </c>
      <c r="H23" s="24"/>
    </row>
    <row r="24" spans="1:8" x14ac:dyDescent="0.2">
      <c r="A24" s="20" t="s">
        <v>73</v>
      </c>
      <c r="B24" s="21" t="s">
        <v>36</v>
      </c>
      <c r="C24" s="20">
        <v>1</v>
      </c>
      <c r="D24" s="20" t="s">
        <v>74</v>
      </c>
      <c r="E24" s="22"/>
      <c r="F24" s="23"/>
      <c r="G24" s="20" t="s">
        <v>38</v>
      </c>
      <c r="H24" s="24"/>
    </row>
    <row r="25" spans="1:8" x14ac:dyDescent="0.2">
      <c r="A25" s="20" t="s">
        <v>75</v>
      </c>
      <c r="B25" s="21" t="s">
        <v>36</v>
      </c>
      <c r="C25" s="20">
        <v>40</v>
      </c>
      <c r="D25" s="20" t="s">
        <v>76</v>
      </c>
      <c r="E25" s="22"/>
      <c r="F25" s="23"/>
      <c r="G25" s="20" t="s">
        <v>38</v>
      </c>
      <c r="H25" s="24"/>
    </row>
    <row r="26" spans="1:8" x14ac:dyDescent="0.2">
      <c r="A26" s="20" t="s">
        <v>77</v>
      </c>
      <c r="B26" s="21" t="s">
        <v>36</v>
      </c>
      <c r="C26" s="20">
        <v>1</v>
      </c>
      <c r="D26" s="20" t="s">
        <v>78</v>
      </c>
      <c r="E26" s="22"/>
      <c r="F26" s="23"/>
      <c r="G26" s="20" t="s">
        <v>38</v>
      </c>
      <c r="H26" s="24"/>
    </row>
    <row r="27" spans="1:8" x14ac:dyDescent="0.2">
      <c r="A27" s="20" t="s">
        <v>79</v>
      </c>
      <c r="B27" s="21" t="s">
        <v>36</v>
      </c>
      <c r="C27" s="20">
        <v>40</v>
      </c>
      <c r="D27" s="20" t="s">
        <v>80</v>
      </c>
      <c r="E27" s="22"/>
      <c r="F27" s="23"/>
      <c r="G27" s="20" t="s">
        <v>38</v>
      </c>
      <c r="H27" s="24"/>
    </row>
    <row r="28" spans="1:8" x14ac:dyDescent="0.2">
      <c r="A28" s="20" t="s">
        <v>81</v>
      </c>
      <c r="B28" s="21" t="s">
        <v>36</v>
      </c>
      <c r="C28" s="20">
        <v>1</v>
      </c>
      <c r="D28" s="20" t="s">
        <v>82</v>
      </c>
      <c r="E28" s="22"/>
      <c r="F28" s="23"/>
      <c r="G28" s="20" t="s">
        <v>38</v>
      </c>
      <c r="H28" s="24"/>
    </row>
    <row r="29" spans="1:8" x14ac:dyDescent="0.2">
      <c r="A29" s="20" t="s">
        <v>83</v>
      </c>
      <c r="B29" s="21" t="s">
        <v>36</v>
      </c>
      <c r="C29" s="20">
        <v>40</v>
      </c>
      <c r="D29" s="20" t="s">
        <v>84</v>
      </c>
      <c r="E29" s="22"/>
      <c r="F29" s="23"/>
      <c r="G29" s="20" t="s">
        <v>38</v>
      </c>
      <c r="H29" s="24"/>
    </row>
    <row r="30" spans="1:8" x14ac:dyDescent="0.2">
      <c r="A30" s="20" t="s">
        <v>85</v>
      </c>
      <c r="B30" s="21" t="s">
        <v>86</v>
      </c>
      <c r="C30" s="20">
        <v>1</v>
      </c>
      <c r="D30" s="20" t="s">
        <v>87</v>
      </c>
      <c r="E30" s="22"/>
      <c r="F30" s="23"/>
      <c r="G30" s="20" t="s">
        <v>38</v>
      </c>
      <c r="H30" s="24"/>
    </row>
    <row r="31" spans="1:8" x14ac:dyDescent="0.2">
      <c r="A31" s="20" t="s">
        <v>88</v>
      </c>
      <c r="B31" s="21" t="s">
        <v>86</v>
      </c>
      <c r="C31" s="20">
        <v>40</v>
      </c>
      <c r="D31" s="20" t="s">
        <v>89</v>
      </c>
      <c r="E31" s="22"/>
      <c r="F31" s="23"/>
      <c r="G31" s="20" t="s">
        <v>38</v>
      </c>
      <c r="H31" s="24"/>
    </row>
    <row r="32" spans="1:8" x14ac:dyDescent="0.2">
      <c r="A32" s="20" t="s">
        <v>90</v>
      </c>
      <c r="B32" s="21" t="s">
        <v>86</v>
      </c>
      <c r="C32" s="20">
        <v>1</v>
      </c>
      <c r="D32" s="20" t="s">
        <v>91</v>
      </c>
      <c r="E32" s="22"/>
      <c r="F32" s="23"/>
      <c r="G32" s="20" t="s">
        <v>38</v>
      </c>
      <c r="H32" s="24"/>
    </row>
    <row r="33" spans="1:8" x14ac:dyDescent="0.2">
      <c r="A33" s="20" t="s">
        <v>92</v>
      </c>
      <c r="B33" s="21" t="s">
        <v>86</v>
      </c>
      <c r="C33" s="20">
        <v>40</v>
      </c>
      <c r="D33" s="20" t="s">
        <v>93</v>
      </c>
      <c r="E33" s="22"/>
      <c r="F33" s="23"/>
      <c r="G33" s="20" t="s">
        <v>38</v>
      </c>
      <c r="H33" s="24"/>
    </row>
    <row r="34" spans="1:8" x14ac:dyDescent="0.2">
      <c r="A34" s="20" t="s">
        <v>94</v>
      </c>
      <c r="B34" s="21" t="s">
        <v>95</v>
      </c>
      <c r="C34" s="20">
        <v>1</v>
      </c>
      <c r="D34" s="20" t="s">
        <v>96</v>
      </c>
      <c r="E34" s="22"/>
      <c r="F34" s="23"/>
      <c r="G34" s="20" t="s">
        <v>38</v>
      </c>
      <c r="H34" s="24"/>
    </row>
    <row r="35" spans="1:8" x14ac:dyDescent="0.2">
      <c r="A35" s="20" t="s">
        <v>97</v>
      </c>
      <c r="B35" s="21" t="s">
        <v>95</v>
      </c>
      <c r="C35" s="20">
        <v>40</v>
      </c>
      <c r="D35" s="20" t="s">
        <v>98</v>
      </c>
      <c r="E35" s="22"/>
      <c r="F35" s="23"/>
      <c r="G35" s="20" t="s">
        <v>38</v>
      </c>
      <c r="H35" s="24"/>
    </row>
    <row r="36" spans="1:8" x14ac:dyDescent="0.2">
      <c r="A36" s="20" t="s">
        <v>99</v>
      </c>
      <c r="B36" s="21" t="s">
        <v>100</v>
      </c>
      <c r="C36" s="20">
        <v>1</v>
      </c>
      <c r="D36" s="20" t="s">
        <v>101</v>
      </c>
      <c r="E36" s="22"/>
      <c r="F36" s="23"/>
      <c r="G36" s="20" t="s">
        <v>38</v>
      </c>
      <c r="H36" s="24"/>
    </row>
    <row r="37" spans="1:8" x14ac:dyDescent="0.2">
      <c r="A37" s="20" t="s">
        <v>102</v>
      </c>
      <c r="B37" s="21" t="s">
        <v>100</v>
      </c>
      <c r="C37" s="20">
        <v>40</v>
      </c>
      <c r="D37" s="20" t="s">
        <v>103</v>
      </c>
      <c r="E37" s="22"/>
      <c r="F37" s="23"/>
      <c r="G37" s="20" t="s">
        <v>38</v>
      </c>
      <c r="H37" s="24"/>
    </row>
    <row r="38" spans="1:8" x14ac:dyDescent="0.2">
      <c r="A38" s="20" t="s">
        <v>104</v>
      </c>
      <c r="B38" s="21" t="s">
        <v>105</v>
      </c>
      <c r="C38" s="20">
        <v>1</v>
      </c>
      <c r="D38" s="20" t="s">
        <v>106</v>
      </c>
      <c r="E38" s="22"/>
      <c r="F38" s="23"/>
      <c r="G38" s="20" t="s">
        <v>38</v>
      </c>
      <c r="H38" s="24"/>
    </row>
    <row r="39" spans="1:8" x14ac:dyDescent="0.2">
      <c r="A39" s="20" t="s">
        <v>107</v>
      </c>
      <c r="B39" s="21" t="s">
        <v>105</v>
      </c>
      <c r="C39" s="20">
        <v>40</v>
      </c>
      <c r="D39" s="20" t="s">
        <v>108</v>
      </c>
      <c r="E39" s="22"/>
      <c r="F39" s="23"/>
      <c r="G39" s="20" t="s">
        <v>38</v>
      </c>
      <c r="H39" s="24"/>
    </row>
    <row r="40" spans="1:8" x14ac:dyDescent="0.2">
      <c r="A40" s="20" t="s">
        <v>109</v>
      </c>
      <c r="B40" s="21" t="s">
        <v>110</v>
      </c>
      <c r="C40" s="20">
        <v>1</v>
      </c>
      <c r="D40" s="20" t="s">
        <v>111</v>
      </c>
      <c r="E40" s="22"/>
      <c r="F40" s="23"/>
      <c r="G40" s="20" t="s">
        <v>38</v>
      </c>
      <c r="H40" s="24"/>
    </row>
    <row r="41" spans="1:8" x14ac:dyDescent="0.2">
      <c r="A41" s="20" t="s">
        <v>112</v>
      </c>
      <c r="B41" s="21" t="s">
        <v>110</v>
      </c>
      <c r="C41" s="20">
        <v>40</v>
      </c>
      <c r="D41" s="20" t="s">
        <v>113</v>
      </c>
      <c r="E41" s="22"/>
      <c r="F41" s="23"/>
      <c r="G41" s="20" t="s">
        <v>38</v>
      </c>
      <c r="H41" s="24"/>
    </row>
    <row r="42" spans="1:8" x14ac:dyDescent="0.2">
      <c r="A42" s="20" t="s">
        <v>114</v>
      </c>
      <c r="B42" s="21" t="s">
        <v>110</v>
      </c>
      <c r="C42" s="20">
        <v>1</v>
      </c>
      <c r="D42" s="20" t="s">
        <v>115</v>
      </c>
      <c r="E42" s="22"/>
      <c r="F42" s="23"/>
      <c r="G42" s="20" t="s">
        <v>38</v>
      </c>
      <c r="H42" s="24"/>
    </row>
    <row r="43" spans="1:8" x14ac:dyDescent="0.2">
      <c r="A43" s="20" t="s">
        <v>116</v>
      </c>
      <c r="B43" s="21" t="s">
        <v>110</v>
      </c>
      <c r="C43" s="20">
        <v>40</v>
      </c>
      <c r="D43" s="20" t="s">
        <v>117</v>
      </c>
      <c r="E43" s="22"/>
      <c r="F43" s="23"/>
      <c r="G43" s="20" t="s">
        <v>38</v>
      </c>
      <c r="H43" s="24"/>
    </row>
    <row r="44" spans="1:8" x14ac:dyDescent="0.2">
      <c r="A44" s="20" t="s">
        <v>118</v>
      </c>
      <c r="B44" s="21" t="s">
        <v>110</v>
      </c>
      <c r="C44" s="20">
        <v>1</v>
      </c>
      <c r="D44" s="20" t="s">
        <v>119</v>
      </c>
      <c r="E44" s="22"/>
      <c r="F44" s="23"/>
      <c r="G44" s="20" t="s">
        <v>38</v>
      </c>
      <c r="H44" s="24"/>
    </row>
    <row r="45" spans="1:8" x14ac:dyDescent="0.2">
      <c r="A45" s="20" t="s">
        <v>120</v>
      </c>
      <c r="B45" s="21" t="s">
        <v>110</v>
      </c>
      <c r="C45" s="20">
        <v>40</v>
      </c>
      <c r="D45" s="20" t="s">
        <v>121</v>
      </c>
      <c r="E45" s="22"/>
      <c r="F45" s="23"/>
      <c r="G45" s="20" t="s">
        <v>38</v>
      </c>
      <c r="H45" s="24"/>
    </row>
    <row r="46" spans="1:8" x14ac:dyDescent="0.2">
      <c r="A46" s="20" t="s">
        <v>122</v>
      </c>
      <c r="B46" s="21" t="s">
        <v>123</v>
      </c>
      <c r="C46" s="20">
        <v>1</v>
      </c>
      <c r="D46" s="20" t="s">
        <v>124</v>
      </c>
      <c r="E46" s="22"/>
      <c r="F46" s="23"/>
      <c r="G46" s="20" t="s">
        <v>38</v>
      </c>
      <c r="H46" s="24"/>
    </row>
    <row r="47" spans="1:8" x14ac:dyDescent="0.2">
      <c r="A47" s="20" t="s">
        <v>125</v>
      </c>
      <c r="B47" s="21" t="s">
        <v>123</v>
      </c>
      <c r="C47" s="20">
        <v>40</v>
      </c>
      <c r="D47" s="20" t="s">
        <v>126</v>
      </c>
      <c r="E47" s="22"/>
      <c r="F47" s="23"/>
      <c r="G47" s="20" t="s">
        <v>38</v>
      </c>
      <c r="H47" s="24"/>
    </row>
    <row r="48" spans="1:8" x14ac:dyDescent="0.2">
      <c r="A48" s="20" t="s">
        <v>127</v>
      </c>
      <c r="B48" s="21" t="s">
        <v>123</v>
      </c>
      <c r="C48" s="20">
        <v>1</v>
      </c>
      <c r="D48" s="20" t="s">
        <v>128</v>
      </c>
      <c r="E48" s="22"/>
      <c r="F48" s="23"/>
      <c r="G48" s="20" t="s">
        <v>38</v>
      </c>
      <c r="H48" s="24"/>
    </row>
    <row r="49" spans="1:8" x14ac:dyDescent="0.2">
      <c r="A49" s="20" t="s">
        <v>129</v>
      </c>
      <c r="B49" s="21" t="s">
        <v>123</v>
      </c>
      <c r="C49" s="20">
        <v>40</v>
      </c>
      <c r="D49" s="20" t="s">
        <v>130</v>
      </c>
      <c r="E49" s="22"/>
      <c r="F49" s="23"/>
      <c r="G49" s="20" t="s">
        <v>38</v>
      </c>
      <c r="H49" s="24"/>
    </row>
    <row r="50" spans="1:8" x14ac:dyDescent="0.2">
      <c r="A50" s="20" t="s">
        <v>131</v>
      </c>
      <c r="B50" s="21" t="s">
        <v>123</v>
      </c>
      <c r="C50" s="20">
        <v>1</v>
      </c>
      <c r="D50" s="20" t="s">
        <v>132</v>
      </c>
      <c r="E50" s="22"/>
      <c r="F50" s="23"/>
      <c r="G50" s="20" t="s">
        <v>38</v>
      </c>
      <c r="H50" s="24"/>
    </row>
    <row r="51" spans="1:8" x14ac:dyDescent="0.2">
      <c r="A51" s="20" t="s">
        <v>133</v>
      </c>
      <c r="B51" s="21" t="s">
        <v>123</v>
      </c>
      <c r="C51" s="20">
        <v>40</v>
      </c>
      <c r="D51" s="20" t="s">
        <v>134</v>
      </c>
      <c r="E51" s="22"/>
      <c r="F51" s="23"/>
      <c r="G51" s="20" t="s">
        <v>38</v>
      </c>
      <c r="H51" s="24"/>
    </row>
    <row r="52" spans="1:8" x14ac:dyDescent="0.2">
      <c r="A52" s="20" t="s">
        <v>135</v>
      </c>
      <c r="B52" s="21" t="s">
        <v>123</v>
      </c>
      <c r="C52" s="20">
        <v>1</v>
      </c>
      <c r="D52" s="20" t="s">
        <v>136</v>
      </c>
      <c r="E52" s="22"/>
      <c r="F52" s="23"/>
      <c r="G52" s="20" t="s">
        <v>38</v>
      </c>
      <c r="H52" s="24"/>
    </row>
    <row r="53" spans="1:8" x14ac:dyDescent="0.2">
      <c r="A53" s="20" t="s">
        <v>137</v>
      </c>
      <c r="B53" s="21" t="s">
        <v>123</v>
      </c>
      <c r="C53" s="20">
        <v>40</v>
      </c>
      <c r="D53" s="20" t="s">
        <v>138</v>
      </c>
      <c r="E53" s="22"/>
      <c r="F53" s="23"/>
      <c r="G53" s="20" t="s">
        <v>38</v>
      </c>
      <c r="H53" s="24"/>
    </row>
    <row r="54" spans="1:8" x14ac:dyDescent="0.2">
      <c r="A54" s="20" t="s">
        <v>139</v>
      </c>
      <c r="B54" s="21" t="s">
        <v>123</v>
      </c>
      <c r="C54" s="20">
        <v>1</v>
      </c>
      <c r="D54" s="20" t="s">
        <v>140</v>
      </c>
      <c r="E54" s="22"/>
      <c r="F54" s="23"/>
      <c r="G54" s="20" t="s">
        <v>38</v>
      </c>
      <c r="H54" s="24"/>
    </row>
    <row r="55" spans="1:8" x14ac:dyDescent="0.2">
      <c r="A55" s="20" t="s">
        <v>141</v>
      </c>
      <c r="B55" s="21" t="s">
        <v>123</v>
      </c>
      <c r="C55" s="20">
        <v>40</v>
      </c>
      <c r="D55" s="20" t="s">
        <v>142</v>
      </c>
      <c r="E55" s="22"/>
      <c r="F55" s="23"/>
      <c r="G55" s="20" t="s">
        <v>38</v>
      </c>
      <c r="H55" s="24"/>
    </row>
    <row r="56" spans="1:8" x14ac:dyDescent="0.2">
      <c r="A56" s="20" t="s">
        <v>143</v>
      </c>
      <c r="B56" s="21" t="s">
        <v>123</v>
      </c>
      <c r="C56" s="20">
        <v>1</v>
      </c>
      <c r="D56" s="20" t="s">
        <v>144</v>
      </c>
      <c r="E56" s="22"/>
      <c r="F56" s="23"/>
      <c r="G56" s="20" t="s">
        <v>38</v>
      </c>
      <c r="H56" s="24"/>
    </row>
    <row r="57" spans="1:8" x14ac:dyDescent="0.2">
      <c r="A57" s="20" t="s">
        <v>145</v>
      </c>
      <c r="B57" s="21" t="s">
        <v>123</v>
      </c>
      <c r="C57" s="20">
        <v>40</v>
      </c>
      <c r="D57" s="20" t="s">
        <v>146</v>
      </c>
      <c r="E57" s="22"/>
      <c r="F57" s="23"/>
      <c r="G57" s="20" t="s">
        <v>38</v>
      </c>
      <c r="H57" s="24"/>
    </row>
    <row r="58" spans="1:8" x14ac:dyDescent="0.2">
      <c r="A58" s="20" t="s">
        <v>147</v>
      </c>
      <c r="B58" s="21" t="s">
        <v>123</v>
      </c>
      <c r="C58" s="20">
        <v>1</v>
      </c>
      <c r="D58" s="20" t="s">
        <v>148</v>
      </c>
      <c r="E58" s="22"/>
      <c r="F58" s="23"/>
      <c r="G58" s="20" t="s">
        <v>38</v>
      </c>
      <c r="H58" s="24"/>
    </row>
    <row r="59" spans="1:8" x14ac:dyDescent="0.2">
      <c r="A59" s="20" t="s">
        <v>149</v>
      </c>
      <c r="B59" s="21" t="s">
        <v>123</v>
      </c>
      <c r="C59" s="20">
        <v>40</v>
      </c>
      <c r="D59" s="20" t="s">
        <v>150</v>
      </c>
      <c r="E59" s="22"/>
      <c r="F59" s="23"/>
      <c r="G59" s="20" t="s">
        <v>38</v>
      </c>
      <c r="H59" s="24"/>
    </row>
    <row r="60" spans="1:8" x14ac:dyDescent="0.2">
      <c r="A60" s="20" t="s">
        <v>151</v>
      </c>
      <c r="B60" s="21" t="s">
        <v>123</v>
      </c>
      <c r="C60" s="20">
        <v>1</v>
      </c>
      <c r="D60" s="20" t="s">
        <v>152</v>
      </c>
      <c r="E60" s="22"/>
      <c r="F60" s="23"/>
      <c r="G60" s="20" t="s">
        <v>38</v>
      </c>
      <c r="H60" s="24"/>
    </row>
    <row r="61" spans="1:8" x14ac:dyDescent="0.2">
      <c r="A61" s="20" t="s">
        <v>153</v>
      </c>
      <c r="B61" s="21" t="s">
        <v>123</v>
      </c>
      <c r="C61" s="20">
        <v>40</v>
      </c>
      <c r="D61" s="20" t="s">
        <v>154</v>
      </c>
      <c r="E61" s="22"/>
      <c r="F61" s="23"/>
      <c r="G61" s="20" t="s">
        <v>38</v>
      </c>
      <c r="H61" s="24"/>
    </row>
    <row r="62" spans="1:8" x14ac:dyDescent="0.2">
      <c r="A62" s="20" t="s">
        <v>155</v>
      </c>
      <c r="B62" s="21" t="s">
        <v>123</v>
      </c>
      <c r="C62" s="20">
        <v>1</v>
      </c>
      <c r="D62" s="20" t="s">
        <v>156</v>
      </c>
      <c r="E62" s="22"/>
      <c r="F62" s="23"/>
      <c r="G62" s="20" t="s">
        <v>38</v>
      </c>
      <c r="H62" s="24"/>
    </row>
    <row r="63" spans="1:8" x14ac:dyDescent="0.2">
      <c r="A63" s="20" t="s">
        <v>157</v>
      </c>
      <c r="B63" s="21" t="s">
        <v>123</v>
      </c>
      <c r="C63" s="20">
        <v>40</v>
      </c>
      <c r="D63" s="20" t="s">
        <v>158</v>
      </c>
      <c r="E63" s="22"/>
      <c r="F63" s="23"/>
      <c r="G63" s="20" t="s">
        <v>38</v>
      </c>
      <c r="H63" s="24"/>
    </row>
    <row r="64" spans="1:8" x14ac:dyDescent="0.2">
      <c r="A64" s="20" t="s">
        <v>159</v>
      </c>
      <c r="B64" s="21" t="s">
        <v>123</v>
      </c>
      <c r="C64" s="20">
        <v>1</v>
      </c>
      <c r="D64" s="20" t="s">
        <v>160</v>
      </c>
      <c r="E64" s="22"/>
      <c r="F64" s="23"/>
      <c r="G64" s="20" t="s">
        <v>38</v>
      </c>
      <c r="H64" s="24"/>
    </row>
    <row r="65" spans="1:8" x14ac:dyDescent="0.2">
      <c r="A65" s="20" t="s">
        <v>161</v>
      </c>
      <c r="B65" s="21" t="s">
        <v>123</v>
      </c>
      <c r="C65" s="20">
        <v>40</v>
      </c>
      <c r="D65" s="20" t="s">
        <v>162</v>
      </c>
      <c r="E65" s="22"/>
      <c r="F65" s="23"/>
      <c r="G65" s="20" t="s">
        <v>38</v>
      </c>
      <c r="H65" s="24"/>
    </row>
    <row r="66" spans="1:8" x14ac:dyDescent="0.2">
      <c r="A66" s="20" t="s">
        <v>163</v>
      </c>
      <c r="B66" s="21" t="s">
        <v>123</v>
      </c>
      <c r="C66" s="20">
        <v>1</v>
      </c>
      <c r="D66" s="20" t="s">
        <v>164</v>
      </c>
      <c r="E66" s="22"/>
      <c r="F66" s="23"/>
      <c r="G66" s="20" t="s">
        <v>38</v>
      </c>
      <c r="H66" s="24"/>
    </row>
    <row r="67" spans="1:8" x14ac:dyDescent="0.2">
      <c r="A67" s="20" t="s">
        <v>165</v>
      </c>
      <c r="B67" s="21" t="s">
        <v>123</v>
      </c>
      <c r="C67" s="20">
        <v>40</v>
      </c>
      <c r="D67" s="20" t="s">
        <v>166</v>
      </c>
      <c r="E67" s="22"/>
      <c r="F67" s="23"/>
      <c r="G67" s="20" t="s">
        <v>38</v>
      </c>
      <c r="H67" s="24"/>
    </row>
    <row r="68" spans="1:8" x14ac:dyDescent="0.2">
      <c r="A68" s="20" t="s">
        <v>167</v>
      </c>
      <c r="B68" s="21" t="s">
        <v>123</v>
      </c>
      <c r="C68" s="20">
        <v>1</v>
      </c>
      <c r="D68" s="20" t="s">
        <v>168</v>
      </c>
      <c r="E68" s="22"/>
      <c r="F68" s="23"/>
      <c r="G68" s="20" t="s">
        <v>38</v>
      </c>
      <c r="H68" s="24"/>
    </row>
    <row r="69" spans="1:8" x14ac:dyDescent="0.2">
      <c r="A69" s="20" t="s">
        <v>169</v>
      </c>
      <c r="B69" s="21" t="s">
        <v>123</v>
      </c>
      <c r="C69" s="20">
        <v>40</v>
      </c>
      <c r="D69" s="20" t="s">
        <v>170</v>
      </c>
      <c r="E69" s="22"/>
      <c r="F69" s="23"/>
      <c r="G69" s="20" t="s">
        <v>38</v>
      </c>
      <c r="H69" s="24"/>
    </row>
    <row r="70" spans="1:8" x14ac:dyDescent="0.2">
      <c r="A70" s="20" t="s">
        <v>171</v>
      </c>
      <c r="B70" s="21" t="s">
        <v>123</v>
      </c>
      <c r="C70" s="20">
        <v>1</v>
      </c>
      <c r="D70" s="20" t="s">
        <v>172</v>
      </c>
      <c r="E70" s="22"/>
      <c r="F70" s="23"/>
      <c r="G70" s="20" t="s">
        <v>38</v>
      </c>
      <c r="H70" s="24"/>
    </row>
    <row r="71" spans="1:8" x14ac:dyDescent="0.2">
      <c r="A71" s="20" t="s">
        <v>173</v>
      </c>
      <c r="B71" s="21" t="s">
        <v>123</v>
      </c>
      <c r="C71" s="20">
        <v>40</v>
      </c>
      <c r="D71" s="20" t="s">
        <v>174</v>
      </c>
      <c r="E71" s="22"/>
      <c r="F71" s="23"/>
      <c r="G71" s="20" t="s">
        <v>38</v>
      </c>
      <c r="H71" s="24"/>
    </row>
    <row r="72" spans="1:8" x14ac:dyDescent="0.2">
      <c r="A72" s="20" t="s">
        <v>175</v>
      </c>
      <c r="B72" s="21" t="s">
        <v>123</v>
      </c>
      <c r="C72" s="20">
        <v>1</v>
      </c>
      <c r="D72" s="20" t="s">
        <v>176</v>
      </c>
      <c r="E72" s="22"/>
      <c r="F72" s="23"/>
      <c r="G72" s="20" t="s">
        <v>38</v>
      </c>
      <c r="H72" s="24"/>
    </row>
    <row r="73" spans="1:8" x14ac:dyDescent="0.2">
      <c r="A73" s="20" t="s">
        <v>177</v>
      </c>
      <c r="B73" s="21" t="s">
        <v>123</v>
      </c>
      <c r="C73" s="20">
        <v>40</v>
      </c>
      <c r="D73" s="20" t="s">
        <v>178</v>
      </c>
      <c r="E73" s="22"/>
      <c r="F73" s="23"/>
      <c r="G73" s="20" t="s">
        <v>38</v>
      </c>
      <c r="H73" s="24"/>
    </row>
    <row r="74" spans="1:8" x14ac:dyDescent="0.2">
      <c r="A74" s="20" t="s">
        <v>179</v>
      </c>
      <c r="B74" s="21" t="s">
        <v>123</v>
      </c>
      <c r="C74" s="20">
        <v>1</v>
      </c>
      <c r="D74" s="20" t="s">
        <v>180</v>
      </c>
      <c r="E74" s="22"/>
      <c r="F74" s="23"/>
      <c r="G74" s="20" t="s">
        <v>38</v>
      </c>
      <c r="H74" s="24"/>
    </row>
    <row r="75" spans="1:8" x14ac:dyDescent="0.2">
      <c r="A75" s="25" t="s">
        <v>181</v>
      </c>
      <c r="B75" s="26" t="s">
        <v>123</v>
      </c>
      <c r="C75" s="25">
        <v>40</v>
      </c>
      <c r="D75" s="25" t="s">
        <v>182</v>
      </c>
      <c r="E75" s="27"/>
      <c r="F75" s="28"/>
      <c r="G75" s="25" t="s">
        <v>38</v>
      </c>
      <c r="H75" s="29"/>
    </row>
    <row r="76" spans="1:8" x14ac:dyDescent="0.2">
      <c r="A76" s="9"/>
      <c r="B76" s="10"/>
      <c r="C76" s="10"/>
      <c r="D76" s="10"/>
      <c r="E76" s="10"/>
      <c r="F76" s="10"/>
      <c r="G76" s="10"/>
      <c r="H76" s="11"/>
    </row>
    <row r="77" spans="1:8" x14ac:dyDescent="0.2">
      <c r="A77" s="12" t="s">
        <v>183</v>
      </c>
      <c r="B77" s="13"/>
      <c r="C77" s="13"/>
      <c r="D77" s="13"/>
      <c r="E77" s="13"/>
      <c r="F77" s="13"/>
      <c r="G77" s="13"/>
      <c r="H77" s="14"/>
    </row>
    <row r="78" spans="1:8" x14ac:dyDescent="0.2">
      <c r="A78" s="15" t="s">
        <v>184</v>
      </c>
      <c r="B78" s="16" t="s">
        <v>36</v>
      </c>
      <c r="C78" s="15">
        <v>1</v>
      </c>
      <c r="D78" s="15" t="s">
        <v>37</v>
      </c>
      <c r="E78" s="17"/>
      <c r="F78" s="18"/>
      <c r="G78" s="15" t="s">
        <v>38</v>
      </c>
      <c r="H78" s="19"/>
    </row>
    <row r="79" spans="1:8" x14ac:dyDescent="0.2">
      <c r="A79" s="20" t="s">
        <v>185</v>
      </c>
      <c r="B79" s="21" t="s">
        <v>36</v>
      </c>
      <c r="C79" s="20">
        <v>1</v>
      </c>
      <c r="D79" s="20" t="s">
        <v>42</v>
      </c>
      <c r="E79" s="22"/>
      <c r="F79" s="23"/>
      <c r="G79" s="20" t="s">
        <v>38</v>
      </c>
      <c r="H79" s="24"/>
    </row>
    <row r="80" spans="1:8" x14ac:dyDescent="0.2">
      <c r="A80" s="20" t="s">
        <v>186</v>
      </c>
      <c r="B80" s="21" t="s">
        <v>110</v>
      </c>
      <c r="C80" s="20">
        <v>1</v>
      </c>
      <c r="D80" s="20" t="s">
        <v>119</v>
      </c>
      <c r="E80" s="22"/>
      <c r="F80" s="23"/>
      <c r="G80" s="20" t="s">
        <v>38</v>
      </c>
      <c r="H80" s="24"/>
    </row>
    <row r="81" spans="1:8" x14ac:dyDescent="0.2">
      <c r="A81" s="20" t="s">
        <v>187</v>
      </c>
      <c r="B81" s="21" t="s">
        <v>123</v>
      </c>
      <c r="C81" s="20">
        <v>1</v>
      </c>
      <c r="D81" s="20" t="s">
        <v>132</v>
      </c>
      <c r="E81" s="22"/>
      <c r="F81" s="23"/>
      <c r="G81" s="20" t="s">
        <v>38</v>
      </c>
      <c r="H81" s="24"/>
    </row>
    <row r="82" spans="1:8" x14ac:dyDescent="0.2">
      <c r="A82" s="20" t="s">
        <v>188</v>
      </c>
      <c r="B82" s="21" t="s">
        <v>123</v>
      </c>
      <c r="C82" s="20">
        <v>1</v>
      </c>
      <c r="D82" s="20" t="s">
        <v>189</v>
      </c>
      <c r="E82" s="22"/>
      <c r="F82" s="23"/>
      <c r="G82" s="20" t="s">
        <v>38</v>
      </c>
      <c r="H82" s="24"/>
    </row>
    <row r="83" spans="1:8" x14ac:dyDescent="0.2">
      <c r="A83" s="20" t="s">
        <v>190</v>
      </c>
      <c r="B83" s="21" t="s">
        <v>123</v>
      </c>
      <c r="C83" s="20">
        <v>1</v>
      </c>
      <c r="D83" s="20" t="s">
        <v>176</v>
      </c>
      <c r="E83" s="22"/>
      <c r="F83" s="23"/>
      <c r="G83" s="20" t="s">
        <v>38</v>
      </c>
      <c r="H83" s="24"/>
    </row>
    <row r="84" spans="1:8" x14ac:dyDescent="0.2">
      <c r="A84" s="25" t="s">
        <v>191</v>
      </c>
      <c r="B84" s="26" t="s">
        <v>123</v>
      </c>
      <c r="C84" s="25">
        <v>1</v>
      </c>
      <c r="D84" s="25" t="s">
        <v>180</v>
      </c>
      <c r="E84" s="27"/>
      <c r="F84" s="28"/>
      <c r="G84" s="25" t="s">
        <v>38</v>
      </c>
      <c r="H84" s="29"/>
    </row>
  </sheetData>
  <pageMargins left="0.7" right="0.7" top="0.75" bottom="0.75" header="0.3" footer="0.3"/>
  <pageSetup paperSize="9" scale="70" orientation="landscape" r:id="rId1"/>
  <headerFooter>
    <oddFooter>&amp;LNUOVO Scholengroep EA 2023                                  &amp;ROpmaakdatum: 21-07-2023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0F16C-FA9F-4ECD-88A2-F6D7B1BF4C44}">
  <dimension ref="A1:N8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I.2: ",tabeltype," regulier werk")</f>
        <v>Bijlage I.2: Invultabel regulier werk</v>
      </c>
    </row>
    <row r="3" spans="1:14" ht="38.25" x14ac:dyDescent="0.2">
      <c r="A3" s="8" t="s">
        <v>192</v>
      </c>
      <c r="B3" s="8" t="s">
        <v>7</v>
      </c>
      <c r="C3" s="8" t="s">
        <v>193</v>
      </c>
      <c r="D3" s="8" t="s">
        <v>29</v>
      </c>
      <c r="E3" s="8" t="s">
        <v>194</v>
      </c>
      <c r="F3" s="8" t="s">
        <v>195</v>
      </c>
      <c r="G3" s="8" t="s">
        <v>30</v>
      </c>
      <c r="H3" s="8" t="s">
        <v>31</v>
      </c>
      <c r="I3" s="8" t="s">
        <v>32</v>
      </c>
      <c r="J3" s="8" t="s">
        <v>33</v>
      </c>
      <c r="K3" s="8" t="s">
        <v>196</v>
      </c>
      <c r="L3" s="8" t="s">
        <v>197</v>
      </c>
      <c r="M3" s="8" t="s">
        <v>198</v>
      </c>
      <c r="N3" s="8" t="s">
        <v>199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200</v>
      </c>
      <c r="B6" s="15" t="s">
        <v>10</v>
      </c>
      <c r="C6" s="15" t="s">
        <v>201</v>
      </c>
      <c r="D6" s="15" t="s">
        <v>202</v>
      </c>
      <c r="E6" s="30">
        <v>8463.6299999999992</v>
      </c>
      <c r="F6" s="30">
        <f>E6*VLOOKUP(B6,dagsoorttabel1,2,FALSE)</f>
        <v>8463.6299999999992</v>
      </c>
      <c r="G6" s="31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32">
        <f>IF(AND(catpn_1_AHB_1&gt;0,catpn_1_AHV_40&gt;0),(catdw_1_AHB_1*((dagenperjaar1*VLOOKUP(B6,dagsoorttabel1,2,FALSE))-catfd_1_AHV_40)/catpn_1_AHB_1+catdw_1_AHV_40*catfd_1_AHV_40/catpn_1_AHV_40)/(((dagenperjaar1*VLOOKUP(B6,dagsoorttabel1,2,FALSE))-catfd_1_AHV_40)/catpn_1_AHB_1+catfd_1_AHV_40/catpn_1_AHV_40),0)</f>
        <v>0</v>
      </c>
      <c r="I6" s="15" t="s">
        <v>38</v>
      </c>
      <c r="J6" s="33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K6" s="30">
        <f>IF(OR(ISBLANK(G6),G6=0),0,F6/ROUND(G6,4))</f>
        <v>0</v>
      </c>
      <c r="L6" s="33">
        <f>ROUND(J6,2)*K6</f>
        <v>0</v>
      </c>
      <c r="M6" s="30">
        <f>K6*dagenperjaar1</f>
        <v>0</v>
      </c>
      <c r="N6" s="33">
        <f>M6*ROUND(J6,2)</f>
        <v>0</v>
      </c>
    </row>
    <row r="7" spans="1:14" x14ac:dyDescent="0.2">
      <c r="A7" s="20" t="s">
        <v>203</v>
      </c>
      <c r="B7" s="20" t="s">
        <v>10</v>
      </c>
      <c r="C7" s="20" t="s">
        <v>201</v>
      </c>
      <c r="D7" s="20" t="s">
        <v>204</v>
      </c>
      <c r="E7" s="34">
        <v>511.8</v>
      </c>
      <c r="F7" s="34">
        <f>E7*VLOOKUP(B7,dagsoorttabel1,2,FALSE)</f>
        <v>511.8</v>
      </c>
      <c r="G7" s="35">
        <f>IF(AND(catpn_1_AZB_1&gt;0,catpn_1_AZV_40&gt;0),(dagenperjaar1*VLOOKUP(B7,dagsoorttabel1,2,FALSE))/(((dagenperjaar1*VLOOKUP(B7,dagsoorttabel1,2,FALSE))-catfd_1_AZV_40)/catpn_1_AZB_1+catfd_1_AZV_40/catpn_1_AZV_40),0)</f>
        <v>0</v>
      </c>
      <c r="H7" s="36">
        <f>IF(AND(catpn_1_AZB_1&gt;0,catpn_1_AZV_40&gt;0),(catdw_1_AZB_1*((dagenperjaar1*VLOOKUP(B7,dagsoorttabel1,2,FALSE))-catfd_1_AZV_40)/catpn_1_AZB_1+catdw_1_AZV_40*catfd_1_AZV_40/catpn_1_AZV_40)/(((dagenperjaar1*VLOOKUP(B7,dagsoorttabel1,2,FALSE))-catfd_1_AZV_40)/catpn_1_AZB_1+catfd_1_AZV_40/catpn_1_AZV_40),0)</f>
        <v>0</v>
      </c>
      <c r="I7" s="20" t="s">
        <v>38</v>
      </c>
      <c r="J7" s="37">
        <f>IF(AND(catpn_1_AZB_1&gt;0,catpn_1_AZV_40&gt;0),(cattf_1_AZB_1*((dagenperjaar1*VLOOKUP(B7,dagsoorttabel1,2,FALSE))-catfd_1_AZV_40)/catpn_1_AZB_1+cattf_1_AZV_40*catfd_1_AZV_40/catpn_1_AZV_40)/(((dagenperjaar1*VLOOKUP(B7,dagsoorttabel1,2,FALSE))-catfd_1_AZV_40)/catpn_1_AZB_1+catfd_1_AZV_40/catpn_1_AZV_40),0)</f>
        <v>0</v>
      </c>
      <c r="K7" s="34">
        <f>IF(OR(ISBLANK(G7),G7=0),0,F7/ROUND(G7,4))</f>
        <v>0</v>
      </c>
      <c r="L7" s="37">
        <f>ROUND(J7,2)*K7</f>
        <v>0</v>
      </c>
      <c r="M7" s="34">
        <f>K7*dagenperjaar1</f>
        <v>0</v>
      </c>
      <c r="N7" s="37">
        <f>M7*ROUND(J7,2)</f>
        <v>0</v>
      </c>
    </row>
    <row r="8" spans="1:14" x14ac:dyDescent="0.2">
      <c r="A8" s="20" t="s">
        <v>205</v>
      </c>
      <c r="B8" s="20" t="s">
        <v>10</v>
      </c>
      <c r="C8" s="20" t="s">
        <v>201</v>
      </c>
      <c r="D8" s="20" t="s">
        <v>206</v>
      </c>
      <c r="E8" s="34">
        <v>6147.0300000000007</v>
      </c>
      <c r="F8" s="34">
        <f>E8*VLOOKUP(B8,dagsoorttabel1,2,FALSE)</f>
        <v>6147.0300000000007</v>
      </c>
      <c r="G8" s="35">
        <f>IF(AND(catpn_1_BHB_1&gt;0,catpn_1_BHV_40&gt;0),(dagenperjaar1*VLOOKUP(B8,dagsoorttabel1,2,FALSE))/(((dagenperjaar1*VLOOKUP(B8,dagsoorttabel1,2,FALSE))-catfd_1_BHV_40)/catpn_1_BHB_1+catfd_1_BHV_40/catpn_1_BHV_40),0)</f>
        <v>0</v>
      </c>
      <c r="H8" s="36">
        <f>IF(AND(catpn_1_BHB_1&gt;0,catpn_1_BHV_40&gt;0),(catdw_1_BHB_1*((dagenperjaar1*VLOOKUP(B8,dagsoorttabel1,2,FALSE))-catfd_1_BHV_40)/catpn_1_BHB_1+catdw_1_BHV_40*catfd_1_BHV_40/catpn_1_BHV_40)/(((dagenperjaar1*VLOOKUP(B8,dagsoorttabel1,2,FALSE))-catfd_1_BHV_40)/catpn_1_BHB_1+catfd_1_BHV_40/catpn_1_BHV_40),0)</f>
        <v>0</v>
      </c>
      <c r="I8" s="20" t="s">
        <v>38</v>
      </c>
      <c r="J8" s="37">
        <f>IF(AND(catpn_1_BHB_1&gt;0,catpn_1_BHV_40&gt;0),(cattf_1_BHB_1*((dagenperjaar1*VLOOKUP(B8,dagsoorttabel1,2,FALSE))-catfd_1_BHV_40)/catpn_1_BHB_1+cattf_1_BHV_40*catfd_1_BHV_40/catpn_1_BHV_40)/(((dagenperjaar1*VLOOKUP(B8,dagsoorttabel1,2,FALSE))-catfd_1_BHV_40)/catpn_1_BHB_1+catfd_1_BHV_40/catpn_1_BHV_40),0)</f>
        <v>0</v>
      </c>
      <c r="K8" s="34">
        <f>IF(OR(ISBLANK(G8),G8=0),0,F8/ROUND(G8,4))</f>
        <v>0</v>
      </c>
      <c r="L8" s="37">
        <f>ROUND(J8,2)*K8</f>
        <v>0</v>
      </c>
      <c r="M8" s="34">
        <f>K8*dagenperjaar1</f>
        <v>0</v>
      </c>
      <c r="N8" s="37">
        <f>M8*ROUND(J8,2)</f>
        <v>0</v>
      </c>
    </row>
    <row r="9" spans="1:14" x14ac:dyDescent="0.2">
      <c r="A9" s="20" t="s">
        <v>205</v>
      </c>
      <c r="B9" s="20" t="s">
        <v>16</v>
      </c>
      <c r="C9" s="20" t="s">
        <v>201</v>
      </c>
      <c r="D9" s="20" t="s">
        <v>206</v>
      </c>
      <c r="E9" s="34">
        <v>148.30000000000001</v>
      </c>
      <c r="F9" s="34">
        <f>E9*VLOOKUP(B9,dagsoorttabel1,2,FALSE)</f>
        <v>29.660000000000004</v>
      </c>
      <c r="G9" s="35">
        <f>IF(AND(catpn_1_BHB_1&gt;0,catpn_1_BHV_40&gt;0),(dagenperjaar1*VLOOKUP(B9,dagsoorttabel1,2,FALSE))/(((dagenperjaar1*VLOOKUP(B9,dagsoorttabel1,2,FALSE))-catfd_1_BHV_40)/catpn_1_BHB_1+catfd_1_BHV_40/catpn_1_BHV_40),0)</f>
        <v>0</v>
      </c>
      <c r="H9" s="36">
        <f>IF(AND(catpn_1_BHB_1&gt;0,catpn_1_BHV_40&gt;0),(catdw_1_BHB_1*((dagenperjaar1*VLOOKUP(B9,dagsoorttabel1,2,FALSE))-catfd_1_BHV_40)/catpn_1_BHB_1+catdw_1_BHV_40*catfd_1_BHV_40/catpn_1_BHV_40)/(((dagenperjaar1*VLOOKUP(B9,dagsoorttabel1,2,FALSE))-catfd_1_BHV_40)/catpn_1_BHB_1+catfd_1_BHV_40/catpn_1_BHV_40),0)</f>
        <v>0</v>
      </c>
      <c r="I9" s="20" t="s">
        <v>38</v>
      </c>
      <c r="J9" s="37">
        <f>IF(AND(catpn_1_BHB_1&gt;0,catpn_1_BHV_40&gt;0),(cattf_1_BHB_1*((dagenperjaar1*VLOOKUP(B9,dagsoorttabel1,2,FALSE))-catfd_1_BHV_40)/catpn_1_BHB_1+cattf_1_BHV_40*catfd_1_BHV_40/catpn_1_BHV_40)/(((dagenperjaar1*VLOOKUP(B9,dagsoorttabel1,2,FALSE))-catfd_1_BHV_40)/catpn_1_BHB_1+catfd_1_BHV_40/catpn_1_BHV_40),0)</f>
        <v>0</v>
      </c>
      <c r="K9" s="34">
        <f>IF(OR(ISBLANK(G9),G9=0),0,F9/ROUND(G9,4))</f>
        <v>0</v>
      </c>
      <c r="L9" s="37">
        <f>ROUND(J9,2)*K9</f>
        <v>0</v>
      </c>
      <c r="M9" s="34">
        <f>K9*dagenperjaar1</f>
        <v>0</v>
      </c>
      <c r="N9" s="37">
        <f>M9*ROUND(J9,2)</f>
        <v>0</v>
      </c>
    </row>
    <row r="10" spans="1:14" x14ac:dyDescent="0.2">
      <c r="A10" s="20" t="s">
        <v>207</v>
      </c>
      <c r="B10" s="20" t="s">
        <v>10</v>
      </c>
      <c r="C10" s="20" t="s">
        <v>201</v>
      </c>
      <c r="D10" s="20" t="s">
        <v>208</v>
      </c>
      <c r="E10" s="34">
        <v>1868.4700000000003</v>
      </c>
      <c r="F10" s="34">
        <f>E10*VLOOKUP(B10,dagsoorttabel1,2,FALSE)</f>
        <v>1868.4700000000003</v>
      </c>
      <c r="G10" s="35">
        <f>IF(AND(catpn_1_BZB_1&gt;0,catpn_1_BZV_40&gt;0),(dagenperjaar1*VLOOKUP(B10,dagsoorttabel1,2,FALSE))/(((dagenperjaar1*VLOOKUP(B10,dagsoorttabel1,2,FALSE))-catfd_1_BZV_40)/catpn_1_BZB_1+catfd_1_BZV_40/catpn_1_BZV_40),0)</f>
        <v>0</v>
      </c>
      <c r="H10" s="36">
        <f>IF(AND(catpn_1_BZB_1&gt;0,catpn_1_BZV_40&gt;0),(catdw_1_BZB_1*((dagenperjaar1*VLOOKUP(B10,dagsoorttabel1,2,FALSE))-catfd_1_BZV_40)/catpn_1_BZB_1+catdw_1_BZV_40*catfd_1_BZV_40/catpn_1_BZV_40)/(((dagenperjaar1*VLOOKUP(B10,dagsoorttabel1,2,FALSE))-catfd_1_BZV_40)/catpn_1_BZB_1+catfd_1_BZV_40/catpn_1_BZV_40),0)</f>
        <v>0</v>
      </c>
      <c r="I10" s="20" t="s">
        <v>38</v>
      </c>
      <c r="J10" s="37">
        <f>IF(AND(catpn_1_BZB_1&gt;0,catpn_1_BZV_40&gt;0),(cattf_1_BZB_1*((dagenperjaar1*VLOOKUP(B10,dagsoorttabel1,2,FALSE))-catfd_1_BZV_40)/catpn_1_BZB_1+cattf_1_BZV_40*catfd_1_BZV_40/catpn_1_BZV_40)/(((dagenperjaar1*VLOOKUP(B10,dagsoorttabel1,2,FALSE))-catfd_1_BZV_40)/catpn_1_BZB_1+catfd_1_BZV_40/catpn_1_BZV_40),0)</f>
        <v>0</v>
      </c>
      <c r="K10" s="34">
        <f>IF(OR(ISBLANK(G10),G10=0),0,F10/ROUND(G10,4))</f>
        <v>0</v>
      </c>
      <c r="L10" s="37">
        <f>ROUND(J10,2)*K10</f>
        <v>0</v>
      </c>
      <c r="M10" s="34">
        <f>K10*dagenperjaar1</f>
        <v>0</v>
      </c>
      <c r="N10" s="37">
        <f>M10*ROUND(J10,2)</f>
        <v>0</v>
      </c>
    </row>
    <row r="11" spans="1:14" x14ac:dyDescent="0.2">
      <c r="A11" s="20" t="s">
        <v>207</v>
      </c>
      <c r="B11" s="20" t="s">
        <v>16</v>
      </c>
      <c r="C11" s="20" t="s">
        <v>201</v>
      </c>
      <c r="D11" s="20" t="s">
        <v>208</v>
      </c>
      <c r="E11" s="34">
        <v>287.58</v>
      </c>
      <c r="F11" s="34">
        <f>E11*VLOOKUP(B11,dagsoorttabel1,2,FALSE)</f>
        <v>57.515999999999998</v>
      </c>
      <c r="G11" s="35">
        <f>IF(AND(catpn_1_BZB_1&gt;0,catpn_1_BZV_40&gt;0),(dagenperjaar1*VLOOKUP(B11,dagsoorttabel1,2,FALSE))/(((dagenperjaar1*VLOOKUP(B11,dagsoorttabel1,2,FALSE))-catfd_1_BZV_40)/catpn_1_BZB_1+catfd_1_BZV_40/catpn_1_BZV_40),0)</f>
        <v>0</v>
      </c>
      <c r="H11" s="36">
        <f>IF(AND(catpn_1_BZB_1&gt;0,catpn_1_BZV_40&gt;0),(catdw_1_BZB_1*((dagenperjaar1*VLOOKUP(B11,dagsoorttabel1,2,FALSE))-catfd_1_BZV_40)/catpn_1_BZB_1+catdw_1_BZV_40*catfd_1_BZV_40/catpn_1_BZV_40)/(((dagenperjaar1*VLOOKUP(B11,dagsoorttabel1,2,FALSE))-catfd_1_BZV_40)/catpn_1_BZB_1+catfd_1_BZV_40/catpn_1_BZV_40),0)</f>
        <v>0</v>
      </c>
      <c r="I11" s="20" t="s">
        <v>38</v>
      </c>
      <c r="J11" s="37">
        <f>IF(AND(catpn_1_BZB_1&gt;0,catpn_1_BZV_40&gt;0),(cattf_1_BZB_1*((dagenperjaar1*VLOOKUP(B11,dagsoorttabel1,2,FALSE))-catfd_1_BZV_40)/catpn_1_BZB_1+cattf_1_BZV_40*catfd_1_BZV_40/catpn_1_BZV_40)/(((dagenperjaar1*VLOOKUP(B11,dagsoorttabel1,2,FALSE))-catfd_1_BZV_40)/catpn_1_BZB_1+catfd_1_BZV_40/catpn_1_BZV_40),0)</f>
        <v>0</v>
      </c>
      <c r="K11" s="34">
        <f>IF(OR(ISBLANK(G11),G11=0),0,F11/ROUND(G11,4))</f>
        <v>0</v>
      </c>
      <c r="L11" s="37">
        <f>ROUND(J11,2)*K11</f>
        <v>0</v>
      </c>
      <c r="M11" s="34">
        <f>K11*dagenperjaar1</f>
        <v>0</v>
      </c>
      <c r="N11" s="37">
        <f>M11*ROUND(J11,2)</f>
        <v>0</v>
      </c>
    </row>
    <row r="12" spans="1:14" x14ac:dyDescent="0.2">
      <c r="A12" s="20" t="s">
        <v>209</v>
      </c>
      <c r="B12" s="20" t="s">
        <v>10</v>
      </c>
      <c r="C12" s="20" t="s">
        <v>201</v>
      </c>
      <c r="D12" s="20" t="s">
        <v>210</v>
      </c>
      <c r="E12" s="34">
        <v>733.40000000000009</v>
      </c>
      <c r="F12" s="34">
        <f>E12*VLOOKUP(B12,dagsoorttabel1,2,FALSE)</f>
        <v>733.40000000000009</v>
      </c>
      <c r="G12" s="35">
        <f>IF(AND(catpn_1_CHB_1&gt;0,catpn_1_CHV_40&gt;0),(dagenperjaar1*VLOOKUP(B12,dagsoorttabel1,2,FALSE))/(((dagenperjaar1*VLOOKUP(B12,dagsoorttabel1,2,FALSE))-catfd_1_CHV_40)/catpn_1_CHB_1+catfd_1_CHV_40/catpn_1_CHV_40),0)</f>
        <v>0</v>
      </c>
      <c r="H12" s="36">
        <f>IF(AND(catpn_1_CHB_1&gt;0,catpn_1_CHV_40&gt;0),(catdw_1_CHB_1*((dagenperjaar1*VLOOKUP(B12,dagsoorttabel1,2,FALSE))-catfd_1_CHV_40)/catpn_1_CHB_1+catdw_1_CHV_40*catfd_1_CHV_40/catpn_1_CHV_40)/(((dagenperjaar1*VLOOKUP(B12,dagsoorttabel1,2,FALSE))-catfd_1_CHV_40)/catpn_1_CHB_1+catfd_1_CHV_40/catpn_1_CHV_40),0)</f>
        <v>0</v>
      </c>
      <c r="I12" s="20" t="s">
        <v>38</v>
      </c>
      <c r="J12" s="37">
        <f>IF(AND(catpn_1_CHB_1&gt;0,catpn_1_CHV_40&gt;0),(cattf_1_CHB_1*((dagenperjaar1*VLOOKUP(B12,dagsoorttabel1,2,FALSE))-catfd_1_CHV_40)/catpn_1_CHB_1+cattf_1_CHV_40*catfd_1_CHV_40/catpn_1_CHV_40)/(((dagenperjaar1*VLOOKUP(B12,dagsoorttabel1,2,FALSE))-catfd_1_CHV_40)/catpn_1_CHB_1+catfd_1_CHV_40/catpn_1_CHV_40),0)</f>
        <v>0</v>
      </c>
      <c r="K12" s="34">
        <f>IF(OR(ISBLANK(G12),G12=0),0,F12/ROUND(G12,4))</f>
        <v>0</v>
      </c>
      <c r="L12" s="37">
        <f>ROUND(J12,2)*K12</f>
        <v>0</v>
      </c>
      <c r="M12" s="34">
        <f>K12*dagenperjaar1</f>
        <v>0</v>
      </c>
      <c r="N12" s="37">
        <f>M12*ROUND(J12,2)</f>
        <v>0</v>
      </c>
    </row>
    <row r="13" spans="1:14" x14ac:dyDescent="0.2">
      <c r="A13" s="20" t="s">
        <v>209</v>
      </c>
      <c r="B13" s="20" t="s">
        <v>16</v>
      </c>
      <c r="C13" s="20" t="s">
        <v>201</v>
      </c>
      <c r="D13" s="20" t="s">
        <v>210</v>
      </c>
      <c r="E13" s="34">
        <v>38</v>
      </c>
      <c r="F13" s="34">
        <f>E13*VLOOKUP(B13,dagsoorttabel1,2,FALSE)</f>
        <v>7.6000000000000005</v>
      </c>
      <c r="G13" s="35">
        <f>IF(AND(catpn_1_CHB_1&gt;0,catpn_1_CHV_40&gt;0),(dagenperjaar1*VLOOKUP(B13,dagsoorttabel1,2,FALSE))/(((dagenperjaar1*VLOOKUP(B13,dagsoorttabel1,2,FALSE))-catfd_1_CHV_40)/catpn_1_CHB_1+catfd_1_CHV_40/catpn_1_CHV_40),0)</f>
        <v>0</v>
      </c>
      <c r="H13" s="36">
        <f>IF(AND(catpn_1_CHB_1&gt;0,catpn_1_CHV_40&gt;0),(catdw_1_CHB_1*((dagenperjaar1*VLOOKUP(B13,dagsoorttabel1,2,FALSE))-catfd_1_CHV_40)/catpn_1_CHB_1+catdw_1_CHV_40*catfd_1_CHV_40/catpn_1_CHV_40)/(((dagenperjaar1*VLOOKUP(B13,dagsoorttabel1,2,FALSE))-catfd_1_CHV_40)/catpn_1_CHB_1+catfd_1_CHV_40/catpn_1_CHV_40),0)</f>
        <v>0</v>
      </c>
      <c r="I13" s="20" t="s">
        <v>38</v>
      </c>
      <c r="J13" s="37">
        <f>IF(AND(catpn_1_CHB_1&gt;0,catpn_1_CHV_40&gt;0),(cattf_1_CHB_1*((dagenperjaar1*VLOOKUP(B13,dagsoorttabel1,2,FALSE))-catfd_1_CHV_40)/catpn_1_CHB_1+cattf_1_CHV_40*catfd_1_CHV_40/catpn_1_CHV_40)/(((dagenperjaar1*VLOOKUP(B13,dagsoorttabel1,2,FALSE))-catfd_1_CHV_40)/catpn_1_CHB_1+catfd_1_CHV_40/catpn_1_CHV_40),0)</f>
        <v>0</v>
      </c>
      <c r="K13" s="34">
        <f>IF(OR(ISBLANK(G13),G13=0),0,F13/ROUND(G13,4))</f>
        <v>0</v>
      </c>
      <c r="L13" s="37">
        <f>ROUND(J13,2)*K13</f>
        <v>0</v>
      </c>
      <c r="M13" s="34">
        <f>K13*dagenperjaar1</f>
        <v>0</v>
      </c>
      <c r="N13" s="37">
        <f>M13*ROUND(J13,2)</f>
        <v>0</v>
      </c>
    </row>
    <row r="14" spans="1:14" x14ac:dyDescent="0.2">
      <c r="A14" s="20" t="s">
        <v>211</v>
      </c>
      <c r="B14" s="20" t="s">
        <v>10</v>
      </c>
      <c r="C14" s="20" t="s">
        <v>201</v>
      </c>
      <c r="D14" s="20" t="s">
        <v>212</v>
      </c>
      <c r="E14" s="34">
        <v>87</v>
      </c>
      <c r="F14" s="34">
        <f>E14*VLOOKUP(B14,dagsoorttabel1,2,FALSE)</f>
        <v>87</v>
      </c>
      <c r="G14" s="35">
        <f>IF(AND(catpn_1_CZB_1&gt;0,catpn_1_CZV_40&gt;0),(dagenperjaar1*VLOOKUP(B14,dagsoorttabel1,2,FALSE))/(((dagenperjaar1*VLOOKUP(B14,dagsoorttabel1,2,FALSE))-catfd_1_CZV_40)/catpn_1_CZB_1+catfd_1_CZV_40/catpn_1_CZV_40),0)</f>
        <v>0</v>
      </c>
      <c r="H14" s="36">
        <f>IF(AND(catpn_1_CZB_1&gt;0,catpn_1_CZV_40&gt;0),(catdw_1_CZB_1*((dagenperjaar1*VLOOKUP(B14,dagsoorttabel1,2,FALSE))-catfd_1_CZV_40)/catpn_1_CZB_1+catdw_1_CZV_40*catfd_1_CZV_40/catpn_1_CZV_40)/(((dagenperjaar1*VLOOKUP(B14,dagsoorttabel1,2,FALSE))-catfd_1_CZV_40)/catpn_1_CZB_1+catfd_1_CZV_40/catpn_1_CZV_40),0)</f>
        <v>0</v>
      </c>
      <c r="I14" s="20" t="s">
        <v>38</v>
      </c>
      <c r="J14" s="37">
        <f>IF(AND(catpn_1_CZB_1&gt;0,catpn_1_CZV_40&gt;0),(cattf_1_CZB_1*((dagenperjaar1*VLOOKUP(B14,dagsoorttabel1,2,FALSE))-catfd_1_CZV_40)/catpn_1_CZB_1+cattf_1_CZV_40*catfd_1_CZV_40/catpn_1_CZV_40)/(((dagenperjaar1*VLOOKUP(B14,dagsoorttabel1,2,FALSE))-catfd_1_CZV_40)/catpn_1_CZB_1+catfd_1_CZV_40/catpn_1_CZV_40),0)</f>
        <v>0</v>
      </c>
      <c r="K14" s="34">
        <f>IF(OR(ISBLANK(G14),G14=0),0,F14/ROUND(G14,4))</f>
        <v>0</v>
      </c>
      <c r="L14" s="37">
        <f>ROUND(J14,2)*K14</f>
        <v>0</v>
      </c>
      <c r="M14" s="34">
        <f>K14*dagenperjaar1</f>
        <v>0</v>
      </c>
      <c r="N14" s="37">
        <f>M14*ROUND(J14,2)</f>
        <v>0</v>
      </c>
    </row>
    <row r="15" spans="1:14" x14ac:dyDescent="0.2">
      <c r="A15" s="20" t="s">
        <v>213</v>
      </c>
      <c r="B15" s="20" t="s">
        <v>10</v>
      </c>
      <c r="C15" s="20" t="s">
        <v>201</v>
      </c>
      <c r="D15" s="20" t="s">
        <v>214</v>
      </c>
      <c r="E15" s="34">
        <v>186.8</v>
      </c>
      <c r="F15" s="34">
        <f>E15*VLOOKUP(B15,dagsoorttabel1,2,FALSE)</f>
        <v>186.8</v>
      </c>
      <c r="G15" s="35">
        <f>IF(AND(catpn_1_DHB_1&gt;0,catpn_1_DHV_40&gt;0),(dagenperjaar1*VLOOKUP(B15,dagsoorttabel1,2,FALSE))/(((dagenperjaar1*VLOOKUP(B15,dagsoorttabel1,2,FALSE))-catfd_1_DHV_40)/catpn_1_DHB_1+catfd_1_DHV_40/catpn_1_DHV_40),0)</f>
        <v>0</v>
      </c>
      <c r="H15" s="36">
        <f>IF(AND(catpn_1_DHB_1&gt;0,catpn_1_DHV_40&gt;0),(catdw_1_DHB_1*((dagenperjaar1*VLOOKUP(B15,dagsoorttabel1,2,FALSE))-catfd_1_DHV_40)/catpn_1_DHB_1+catdw_1_DHV_40*catfd_1_DHV_40/catpn_1_DHV_40)/(((dagenperjaar1*VLOOKUP(B15,dagsoorttabel1,2,FALSE))-catfd_1_DHV_40)/catpn_1_DHB_1+catfd_1_DHV_40/catpn_1_DHV_40),0)</f>
        <v>0</v>
      </c>
      <c r="I15" s="20" t="s">
        <v>38</v>
      </c>
      <c r="J15" s="37">
        <f>IF(AND(catpn_1_DHB_1&gt;0,catpn_1_DHV_40&gt;0),(cattf_1_DHB_1*((dagenperjaar1*VLOOKUP(B15,dagsoorttabel1,2,FALSE))-catfd_1_DHV_40)/catpn_1_DHB_1+cattf_1_DHV_40*catfd_1_DHV_40/catpn_1_DHV_40)/(((dagenperjaar1*VLOOKUP(B15,dagsoorttabel1,2,FALSE))-catfd_1_DHV_40)/catpn_1_DHB_1+catfd_1_DHV_40/catpn_1_DHV_40),0)</f>
        <v>0</v>
      </c>
      <c r="K15" s="34">
        <f>IF(OR(ISBLANK(G15),G15=0),0,F15/ROUND(G15,4))</f>
        <v>0</v>
      </c>
      <c r="L15" s="37">
        <f>ROUND(J15,2)*K15</f>
        <v>0</v>
      </c>
      <c r="M15" s="34">
        <f>K15*dagenperjaar1</f>
        <v>0</v>
      </c>
      <c r="N15" s="37">
        <f>M15*ROUND(J15,2)</f>
        <v>0</v>
      </c>
    </row>
    <row r="16" spans="1:14" x14ac:dyDescent="0.2">
      <c r="A16" s="20" t="s">
        <v>215</v>
      </c>
      <c r="B16" s="20" t="s">
        <v>10</v>
      </c>
      <c r="C16" s="20" t="s">
        <v>201</v>
      </c>
      <c r="D16" s="20" t="s">
        <v>216</v>
      </c>
      <c r="E16" s="34">
        <v>555.22</v>
      </c>
      <c r="F16" s="34">
        <f>E16*VLOOKUP(B16,dagsoorttabel1,2,FALSE)</f>
        <v>555.22</v>
      </c>
      <c r="G16" s="35">
        <f>IF(AND(catpn_1_EHB_1&gt;0,catpn_1_EHV_40&gt;0),(dagenperjaar1*VLOOKUP(B16,dagsoorttabel1,2,FALSE))/(((dagenperjaar1*VLOOKUP(B16,dagsoorttabel1,2,FALSE))-catfd_1_EHV_40)/catpn_1_EHB_1+catfd_1_EHV_40/catpn_1_EHV_40),0)</f>
        <v>0</v>
      </c>
      <c r="H16" s="36">
        <f>IF(AND(catpn_1_EHB_1&gt;0,catpn_1_EHV_40&gt;0),(catdw_1_EHB_1*((dagenperjaar1*VLOOKUP(B16,dagsoorttabel1,2,FALSE))-catfd_1_EHV_40)/catpn_1_EHB_1+catdw_1_EHV_40*catfd_1_EHV_40/catpn_1_EHV_40)/(((dagenperjaar1*VLOOKUP(B16,dagsoorttabel1,2,FALSE))-catfd_1_EHV_40)/catpn_1_EHB_1+catfd_1_EHV_40/catpn_1_EHV_40),0)</f>
        <v>0</v>
      </c>
      <c r="I16" s="20" t="s">
        <v>38</v>
      </c>
      <c r="J16" s="37">
        <f>IF(AND(catpn_1_EHB_1&gt;0,catpn_1_EHV_40&gt;0),(cattf_1_EHB_1*((dagenperjaar1*VLOOKUP(B16,dagsoorttabel1,2,FALSE))-catfd_1_EHV_40)/catpn_1_EHB_1+cattf_1_EHV_40*catfd_1_EHV_40/catpn_1_EHV_40)/(((dagenperjaar1*VLOOKUP(B16,dagsoorttabel1,2,FALSE))-catfd_1_EHV_40)/catpn_1_EHB_1+catfd_1_EHV_40/catpn_1_EHV_40),0)</f>
        <v>0</v>
      </c>
      <c r="K16" s="34">
        <f>IF(OR(ISBLANK(G16),G16=0),0,F16/ROUND(G16,4))</f>
        <v>0</v>
      </c>
      <c r="L16" s="37">
        <f>ROUND(J16,2)*K16</f>
        <v>0</v>
      </c>
      <c r="M16" s="34">
        <f>K16*dagenperjaar1</f>
        <v>0</v>
      </c>
      <c r="N16" s="37">
        <f>M16*ROUND(J16,2)</f>
        <v>0</v>
      </c>
    </row>
    <row r="17" spans="1:14" x14ac:dyDescent="0.2">
      <c r="A17" s="20" t="s">
        <v>217</v>
      </c>
      <c r="B17" s="20" t="s">
        <v>10</v>
      </c>
      <c r="C17" s="20" t="s">
        <v>201</v>
      </c>
      <c r="D17" s="20" t="s">
        <v>218</v>
      </c>
      <c r="E17" s="34">
        <v>169.48999999999998</v>
      </c>
      <c r="F17" s="34">
        <f>E17*VLOOKUP(B17,dagsoorttabel1,2,FALSE)</f>
        <v>169.48999999999998</v>
      </c>
      <c r="G17" s="35">
        <f>IF(AND(catpn_1_EZB_1&gt;0,catpn_1_EZV_40&gt;0),(dagenperjaar1*VLOOKUP(B17,dagsoorttabel1,2,FALSE))/(((dagenperjaar1*VLOOKUP(B17,dagsoorttabel1,2,FALSE))-catfd_1_EZV_40)/catpn_1_EZB_1+catfd_1_EZV_40/catpn_1_EZV_40),0)</f>
        <v>0</v>
      </c>
      <c r="H17" s="36">
        <f>IF(AND(catpn_1_EZB_1&gt;0,catpn_1_EZV_40&gt;0),(catdw_1_EZB_1*((dagenperjaar1*VLOOKUP(B17,dagsoorttabel1,2,FALSE))-catfd_1_EZV_40)/catpn_1_EZB_1+catdw_1_EZV_40*catfd_1_EZV_40/catpn_1_EZV_40)/(((dagenperjaar1*VLOOKUP(B17,dagsoorttabel1,2,FALSE))-catfd_1_EZV_40)/catpn_1_EZB_1+catfd_1_EZV_40/catpn_1_EZV_40),0)</f>
        <v>0</v>
      </c>
      <c r="I17" s="20" t="s">
        <v>38</v>
      </c>
      <c r="J17" s="37">
        <f>IF(AND(catpn_1_EZB_1&gt;0,catpn_1_EZV_40&gt;0),(cattf_1_EZB_1*((dagenperjaar1*VLOOKUP(B17,dagsoorttabel1,2,FALSE))-catfd_1_EZV_40)/catpn_1_EZB_1+cattf_1_EZV_40*catfd_1_EZV_40/catpn_1_EZV_40)/(((dagenperjaar1*VLOOKUP(B17,dagsoorttabel1,2,FALSE))-catfd_1_EZV_40)/catpn_1_EZB_1+catfd_1_EZV_40/catpn_1_EZV_40),0)</f>
        <v>0</v>
      </c>
      <c r="K17" s="34">
        <f>IF(OR(ISBLANK(G17),G17=0),0,F17/ROUND(G17,4))</f>
        <v>0</v>
      </c>
      <c r="L17" s="37">
        <f>ROUND(J17,2)*K17</f>
        <v>0</v>
      </c>
      <c r="M17" s="34">
        <f>K17*dagenperjaar1</f>
        <v>0</v>
      </c>
      <c r="N17" s="37">
        <f>M17*ROUND(J17,2)</f>
        <v>0</v>
      </c>
    </row>
    <row r="18" spans="1:14" x14ac:dyDescent="0.2">
      <c r="A18" s="20" t="s">
        <v>219</v>
      </c>
      <c r="B18" s="20" t="s">
        <v>10</v>
      </c>
      <c r="C18" s="20" t="s">
        <v>201</v>
      </c>
      <c r="D18" s="20" t="s">
        <v>220</v>
      </c>
      <c r="E18" s="34">
        <v>4613.66</v>
      </c>
      <c r="F18" s="34">
        <f>E18*VLOOKUP(B18,dagsoorttabel1,2,FALSE)</f>
        <v>4613.66</v>
      </c>
      <c r="G18" s="35">
        <f>IF(AND(catpn_1_GHB_1&gt;0,catpn_1_GHV_40&gt;0),(dagenperjaar1*VLOOKUP(B18,dagsoorttabel1,2,FALSE))/(((dagenperjaar1*VLOOKUP(B18,dagsoorttabel1,2,FALSE))-catfd_1_GHV_40)/catpn_1_GHB_1+catfd_1_GHV_40/catpn_1_GHV_40),0)</f>
        <v>0</v>
      </c>
      <c r="H18" s="36">
        <f>IF(AND(catpn_1_GHB_1&gt;0,catpn_1_GHV_40&gt;0),(catdw_1_GHB_1*((dagenperjaar1*VLOOKUP(B18,dagsoorttabel1,2,FALSE))-catfd_1_GHV_40)/catpn_1_GHB_1+catdw_1_GHV_40*catfd_1_GHV_40/catpn_1_GHV_40)/(((dagenperjaar1*VLOOKUP(B18,dagsoorttabel1,2,FALSE))-catfd_1_GHV_40)/catpn_1_GHB_1+catfd_1_GHV_40/catpn_1_GHV_40),0)</f>
        <v>0</v>
      </c>
      <c r="I18" s="20" t="s">
        <v>38</v>
      </c>
      <c r="J18" s="37">
        <f>IF(AND(catpn_1_GHB_1&gt;0,catpn_1_GHV_40&gt;0),(cattf_1_GHB_1*((dagenperjaar1*VLOOKUP(B18,dagsoorttabel1,2,FALSE))-catfd_1_GHV_40)/catpn_1_GHB_1+cattf_1_GHV_40*catfd_1_GHV_40/catpn_1_GHV_40)/(((dagenperjaar1*VLOOKUP(B18,dagsoorttabel1,2,FALSE))-catfd_1_GHV_40)/catpn_1_GHB_1+catfd_1_GHV_40/catpn_1_GHV_40),0)</f>
        <v>0</v>
      </c>
      <c r="K18" s="34">
        <f>IF(OR(ISBLANK(G18),G18=0),0,F18/ROUND(G18,4))</f>
        <v>0</v>
      </c>
      <c r="L18" s="37">
        <f>ROUND(J18,2)*K18</f>
        <v>0</v>
      </c>
      <c r="M18" s="34">
        <f>K18*dagenperjaar1</f>
        <v>0</v>
      </c>
      <c r="N18" s="37">
        <f>M18*ROUND(J18,2)</f>
        <v>0</v>
      </c>
    </row>
    <row r="19" spans="1:14" x14ac:dyDescent="0.2">
      <c r="A19" s="20" t="s">
        <v>219</v>
      </c>
      <c r="B19" s="20" t="s">
        <v>16</v>
      </c>
      <c r="C19" s="20" t="s">
        <v>201</v>
      </c>
      <c r="D19" s="20" t="s">
        <v>220</v>
      </c>
      <c r="E19" s="34">
        <v>441.07</v>
      </c>
      <c r="F19" s="34">
        <f>E19*VLOOKUP(B19,dagsoorttabel1,2,FALSE)</f>
        <v>88.213999999999999</v>
      </c>
      <c r="G19" s="35">
        <f>IF(AND(catpn_1_GHB_1&gt;0,catpn_1_GHV_40&gt;0),(dagenperjaar1*VLOOKUP(B19,dagsoorttabel1,2,FALSE))/(((dagenperjaar1*VLOOKUP(B19,dagsoorttabel1,2,FALSE))-catfd_1_GHV_40)/catpn_1_GHB_1+catfd_1_GHV_40/catpn_1_GHV_40),0)</f>
        <v>0</v>
      </c>
      <c r="H19" s="36">
        <f>IF(AND(catpn_1_GHB_1&gt;0,catpn_1_GHV_40&gt;0),(catdw_1_GHB_1*((dagenperjaar1*VLOOKUP(B19,dagsoorttabel1,2,FALSE))-catfd_1_GHV_40)/catpn_1_GHB_1+catdw_1_GHV_40*catfd_1_GHV_40/catpn_1_GHV_40)/(((dagenperjaar1*VLOOKUP(B19,dagsoorttabel1,2,FALSE))-catfd_1_GHV_40)/catpn_1_GHB_1+catfd_1_GHV_40/catpn_1_GHV_40),0)</f>
        <v>0</v>
      </c>
      <c r="I19" s="20" t="s">
        <v>38</v>
      </c>
      <c r="J19" s="37">
        <f>IF(AND(catpn_1_GHB_1&gt;0,catpn_1_GHV_40&gt;0),(cattf_1_GHB_1*((dagenperjaar1*VLOOKUP(B19,dagsoorttabel1,2,FALSE))-catfd_1_GHV_40)/catpn_1_GHB_1+cattf_1_GHV_40*catfd_1_GHV_40/catpn_1_GHV_40)/(((dagenperjaar1*VLOOKUP(B19,dagsoorttabel1,2,FALSE))-catfd_1_GHV_40)/catpn_1_GHB_1+catfd_1_GHV_40/catpn_1_GHV_40),0)</f>
        <v>0</v>
      </c>
      <c r="K19" s="34">
        <f>IF(OR(ISBLANK(G19),G19=0),0,F19/ROUND(G19,4))</f>
        <v>0</v>
      </c>
      <c r="L19" s="37">
        <f>ROUND(J19,2)*K19</f>
        <v>0</v>
      </c>
      <c r="M19" s="34">
        <f>K19*dagenperjaar1</f>
        <v>0</v>
      </c>
      <c r="N19" s="37">
        <f>M19*ROUND(J19,2)</f>
        <v>0</v>
      </c>
    </row>
    <row r="20" spans="1:14" x14ac:dyDescent="0.2">
      <c r="A20" s="20" t="s">
        <v>221</v>
      </c>
      <c r="B20" s="20" t="s">
        <v>10</v>
      </c>
      <c r="C20" s="20" t="s">
        <v>201</v>
      </c>
      <c r="D20" s="20" t="s">
        <v>222</v>
      </c>
      <c r="E20" s="34">
        <v>188</v>
      </c>
      <c r="F20" s="34">
        <f>E20*VLOOKUP(B20,dagsoorttabel1,2,FALSE)</f>
        <v>188</v>
      </c>
      <c r="G20" s="35">
        <f>IF(AND(catpn_1_GZB_1&gt;0,catpn_1_GZV_40&gt;0),(dagenperjaar1*VLOOKUP(B20,dagsoorttabel1,2,FALSE))/(((dagenperjaar1*VLOOKUP(B20,dagsoorttabel1,2,FALSE))-catfd_1_GZV_40)/catpn_1_GZB_1+catfd_1_GZV_40/catpn_1_GZV_40),0)</f>
        <v>0</v>
      </c>
      <c r="H20" s="36">
        <f>IF(AND(catpn_1_GZB_1&gt;0,catpn_1_GZV_40&gt;0),(catdw_1_GZB_1*((dagenperjaar1*VLOOKUP(B20,dagsoorttabel1,2,FALSE))-catfd_1_GZV_40)/catpn_1_GZB_1+catdw_1_GZV_40*catfd_1_GZV_40/catpn_1_GZV_40)/(((dagenperjaar1*VLOOKUP(B20,dagsoorttabel1,2,FALSE))-catfd_1_GZV_40)/catpn_1_GZB_1+catfd_1_GZV_40/catpn_1_GZV_40),0)</f>
        <v>0</v>
      </c>
      <c r="I20" s="20" t="s">
        <v>38</v>
      </c>
      <c r="J20" s="37">
        <f>IF(AND(catpn_1_GZB_1&gt;0,catpn_1_GZV_40&gt;0),(cattf_1_GZB_1*((dagenperjaar1*VLOOKUP(B20,dagsoorttabel1,2,FALSE))-catfd_1_GZV_40)/catpn_1_GZB_1+cattf_1_GZV_40*catfd_1_GZV_40/catpn_1_GZV_40)/(((dagenperjaar1*VLOOKUP(B20,dagsoorttabel1,2,FALSE))-catfd_1_GZV_40)/catpn_1_GZB_1+catfd_1_GZV_40/catpn_1_GZV_40),0)</f>
        <v>0</v>
      </c>
      <c r="K20" s="34">
        <f>IF(OR(ISBLANK(G20),G20=0),0,F20/ROUND(G20,4))</f>
        <v>0</v>
      </c>
      <c r="L20" s="37">
        <f>ROUND(J20,2)*K20</f>
        <v>0</v>
      </c>
      <c r="M20" s="34">
        <f>K20*dagenperjaar1</f>
        <v>0</v>
      </c>
      <c r="N20" s="37">
        <f>M20*ROUND(J20,2)</f>
        <v>0</v>
      </c>
    </row>
    <row r="21" spans="1:14" x14ac:dyDescent="0.2">
      <c r="A21" s="20" t="s">
        <v>223</v>
      </c>
      <c r="B21" s="20" t="s">
        <v>10</v>
      </c>
      <c r="C21" s="20" t="s">
        <v>201</v>
      </c>
      <c r="D21" s="20" t="s">
        <v>224</v>
      </c>
      <c r="E21" s="34">
        <v>28.520000000000003</v>
      </c>
      <c r="F21" s="34">
        <f>E21*VLOOKUP(B21,dagsoorttabel1,2,FALSE)</f>
        <v>28.520000000000003</v>
      </c>
      <c r="G21" s="35">
        <f>IF(AND(catpn_1_IHB_1&gt;0,catpn_1_IHV_40&gt;0),(dagenperjaar1*VLOOKUP(B21,dagsoorttabel1,2,FALSE))/(((dagenperjaar1*VLOOKUP(B21,dagsoorttabel1,2,FALSE))-catfd_1_IHV_40)/catpn_1_IHB_1+catfd_1_IHV_40/catpn_1_IHV_40),0)</f>
        <v>0</v>
      </c>
      <c r="H21" s="36">
        <f>IF(AND(catpn_1_IHB_1&gt;0,catpn_1_IHV_40&gt;0),(catdw_1_IHB_1*((dagenperjaar1*VLOOKUP(B21,dagsoorttabel1,2,FALSE))-catfd_1_IHV_40)/catpn_1_IHB_1+catdw_1_IHV_40*catfd_1_IHV_40/catpn_1_IHV_40)/(((dagenperjaar1*VLOOKUP(B21,dagsoorttabel1,2,FALSE))-catfd_1_IHV_40)/catpn_1_IHB_1+catfd_1_IHV_40/catpn_1_IHV_40),0)</f>
        <v>0</v>
      </c>
      <c r="I21" s="20" t="s">
        <v>38</v>
      </c>
      <c r="J21" s="37">
        <f>IF(AND(catpn_1_IHB_1&gt;0,catpn_1_IHV_40&gt;0),(cattf_1_IHB_1*((dagenperjaar1*VLOOKUP(B21,dagsoorttabel1,2,FALSE))-catfd_1_IHV_40)/catpn_1_IHB_1+cattf_1_IHV_40*catfd_1_IHV_40/catpn_1_IHV_40)/(((dagenperjaar1*VLOOKUP(B21,dagsoorttabel1,2,FALSE))-catfd_1_IHV_40)/catpn_1_IHB_1+catfd_1_IHV_40/catpn_1_IHV_40),0)</f>
        <v>0</v>
      </c>
      <c r="K21" s="34">
        <f>IF(OR(ISBLANK(G21),G21=0),0,F21/ROUND(G21,4))</f>
        <v>0</v>
      </c>
      <c r="L21" s="37">
        <f>ROUND(J21,2)*K21</f>
        <v>0</v>
      </c>
      <c r="M21" s="34">
        <f>K21*dagenperjaar1</f>
        <v>0</v>
      </c>
      <c r="N21" s="37">
        <f>M21*ROUND(J21,2)</f>
        <v>0</v>
      </c>
    </row>
    <row r="22" spans="1:14" x14ac:dyDescent="0.2">
      <c r="A22" s="20" t="s">
        <v>223</v>
      </c>
      <c r="B22" s="20" t="s">
        <v>16</v>
      </c>
      <c r="C22" s="20" t="s">
        <v>201</v>
      </c>
      <c r="D22" s="20" t="s">
        <v>224</v>
      </c>
      <c r="E22" s="34">
        <v>2.5</v>
      </c>
      <c r="F22" s="34">
        <f>E22*VLOOKUP(B22,dagsoorttabel1,2,FALSE)</f>
        <v>0.5</v>
      </c>
      <c r="G22" s="35">
        <f>IF(AND(catpn_1_IHB_1&gt;0,catpn_1_IHV_40&gt;0),(dagenperjaar1*VLOOKUP(B22,dagsoorttabel1,2,FALSE))/(((dagenperjaar1*VLOOKUP(B22,dagsoorttabel1,2,FALSE))-catfd_1_IHV_40)/catpn_1_IHB_1+catfd_1_IHV_40/catpn_1_IHV_40),0)</f>
        <v>0</v>
      </c>
      <c r="H22" s="36">
        <f>IF(AND(catpn_1_IHB_1&gt;0,catpn_1_IHV_40&gt;0),(catdw_1_IHB_1*((dagenperjaar1*VLOOKUP(B22,dagsoorttabel1,2,FALSE))-catfd_1_IHV_40)/catpn_1_IHB_1+catdw_1_IHV_40*catfd_1_IHV_40/catpn_1_IHV_40)/(((dagenperjaar1*VLOOKUP(B22,dagsoorttabel1,2,FALSE))-catfd_1_IHV_40)/catpn_1_IHB_1+catfd_1_IHV_40/catpn_1_IHV_40),0)</f>
        <v>0</v>
      </c>
      <c r="I22" s="20" t="s">
        <v>38</v>
      </c>
      <c r="J22" s="37">
        <f>IF(AND(catpn_1_IHB_1&gt;0,catpn_1_IHV_40&gt;0),(cattf_1_IHB_1*((dagenperjaar1*VLOOKUP(B22,dagsoorttabel1,2,FALSE))-catfd_1_IHV_40)/catpn_1_IHB_1+cattf_1_IHV_40*catfd_1_IHV_40/catpn_1_IHV_40)/(((dagenperjaar1*VLOOKUP(B22,dagsoorttabel1,2,FALSE))-catfd_1_IHV_40)/catpn_1_IHB_1+catfd_1_IHV_40/catpn_1_IHV_40),0)</f>
        <v>0</v>
      </c>
      <c r="K22" s="34">
        <f>IF(OR(ISBLANK(G22),G22=0),0,F22/ROUND(G22,4))</f>
        <v>0</v>
      </c>
      <c r="L22" s="37">
        <f>ROUND(J22,2)*K22</f>
        <v>0</v>
      </c>
      <c r="M22" s="34">
        <f>K22*dagenperjaar1</f>
        <v>0</v>
      </c>
      <c r="N22" s="37">
        <f>M22*ROUND(J22,2)</f>
        <v>0</v>
      </c>
    </row>
    <row r="23" spans="1:14" x14ac:dyDescent="0.2">
      <c r="A23" s="20" t="s">
        <v>225</v>
      </c>
      <c r="B23" s="20" t="s">
        <v>10</v>
      </c>
      <c r="C23" s="20" t="s">
        <v>201</v>
      </c>
      <c r="D23" s="20" t="s">
        <v>226</v>
      </c>
      <c r="E23" s="34">
        <v>2</v>
      </c>
      <c r="F23" s="34">
        <f>E23*VLOOKUP(B23,dagsoorttabel1,2,FALSE)</f>
        <v>2</v>
      </c>
      <c r="G23" s="35">
        <f>IF(AND(catpn_1_IZB_1&gt;0,catpn_1_IZV_40&gt;0),(dagenperjaar1*VLOOKUP(B23,dagsoorttabel1,2,FALSE))/(((dagenperjaar1*VLOOKUP(B23,dagsoorttabel1,2,FALSE))-catfd_1_IZV_40)/catpn_1_IZB_1+catfd_1_IZV_40/catpn_1_IZV_40),0)</f>
        <v>0</v>
      </c>
      <c r="H23" s="36">
        <f>IF(AND(catpn_1_IZB_1&gt;0,catpn_1_IZV_40&gt;0),(catdw_1_IZB_1*((dagenperjaar1*VLOOKUP(B23,dagsoorttabel1,2,FALSE))-catfd_1_IZV_40)/catpn_1_IZB_1+catdw_1_IZV_40*catfd_1_IZV_40/catpn_1_IZV_40)/(((dagenperjaar1*VLOOKUP(B23,dagsoorttabel1,2,FALSE))-catfd_1_IZV_40)/catpn_1_IZB_1+catfd_1_IZV_40/catpn_1_IZV_40),0)</f>
        <v>0</v>
      </c>
      <c r="I23" s="20" t="s">
        <v>38</v>
      </c>
      <c r="J23" s="37">
        <f>IF(AND(catpn_1_IZB_1&gt;0,catpn_1_IZV_40&gt;0),(cattf_1_IZB_1*((dagenperjaar1*VLOOKUP(B23,dagsoorttabel1,2,FALSE))-catfd_1_IZV_40)/catpn_1_IZB_1+cattf_1_IZV_40*catfd_1_IZV_40/catpn_1_IZV_40)/(((dagenperjaar1*VLOOKUP(B23,dagsoorttabel1,2,FALSE))-catfd_1_IZV_40)/catpn_1_IZB_1+catfd_1_IZV_40/catpn_1_IZV_40),0)</f>
        <v>0</v>
      </c>
      <c r="K23" s="34">
        <f>IF(OR(ISBLANK(G23),G23=0),0,F23/ROUND(G23,4))</f>
        <v>0</v>
      </c>
      <c r="L23" s="37">
        <f>ROUND(J23,2)*K23</f>
        <v>0</v>
      </c>
      <c r="M23" s="34">
        <f>K23*dagenperjaar1</f>
        <v>0</v>
      </c>
      <c r="N23" s="37">
        <f>M23*ROUND(J23,2)</f>
        <v>0</v>
      </c>
    </row>
    <row r="24" spans="1:14" x14ac:dyDescent="0.2">
      <c r="A24" s="20" t="s">
        <v>227</v>
      </c>
      <c r="B24" s="20" t="s">
        <v>10</v>
      </c>
      <c r="C24" s="20" t="s">
        <v>201</v>
      </c>
      <c r="D24" s="20" t="s">
        <v>228</v>
      </c>
      <c r="E24" s="34">
        <v>790.15</v>
      </c>
      <c r="F24" s="34">
        <f>E24*VLOOKUP(B24,dagsoorttabel1,2,FALSE)</f>
        <v>790.15</v>
      </c>
      <c r="G24" s="35">
        <f>IF(AND(catpn_1_KHB_1&gt;0,catpn_1_KHV_40&gt;0),(dagenperjaar1*VLOOKUP(B24,dagsoorttabel1,2,FALSE))/(((dagenperjaar1*VLOOKUP(B24,dagsoorttabel1,2,FALSE))-catfd_1_KHV_40)/catpn_1_KHB_1+catfd_1_KHV_40/catpn_1_KHV_40),0)</f>
        <v>0</v>
      </c>
      <c r="H24" s="36">
        <f>IF(AND(catpn_1_KHB_1&gt;0,catpn_1_KHV_40&gt;0),(catdw_1_KHB_1*((dagenperjaar1*VLOOKUP(B24,dagsoorttabel1,2,FALSE))-catfd_1_KHV_40)/catpn_1_KHB_1+catdw_1_KHV_40*catfd_1_KHV_40/catpn_1_KHV_40)/(((dagenperjaar1*VLOOKUP(B24,dagsoorttabel1,2,FALSE))-catfd_1_KHV_40)/catpn_1_KHB_1+catfd_1_KHV_40/catpn_1_KHV_40),0)</f>
        <v>0</v>
      </c>
      <c r="I24" s="20" t="s">
        <v>38</v>
      </c>
      <c r="J24" s="37">
        <f>IF(AND(catpn_1_KHB_1&gt;0,catpn_1_KHV_40&gt;0),(cattf_1_KHB_1*((dagenperjaar1*VLOOKUP(B24,dagsoorttabel1,2,FALSE))-catfd_1_KHV_40)/catpn_1_KHB_1+cattf_1_KHV_40*catfd_1_KHV_40/catpn_1_KHV_40)/(((dagenperjaar1*VLOOKUP(B24,dagsoorttabel1,2,FALSE))-catfd_1_KHV_40)/catpn_1_KHB_1+catfd_1_KHV_40/catpn_1_KHV_40),0)</f>
        <v>0</v>
      </c>
      <c r="K24" s="34">
        <f>IF(OR(ISBLANK(G24),G24=0),0,F24/ROUND(G24,4))</f>
        <v>0</v>
      </c>
      <c r="L24" s="37">
        <f>ROUND(J24,2)*K24</f>
        <v>0</v>
      </c>
      <c r="M24" s="34">
        <f>K24*dagenperjaar1</f>
        <v>0</v>
      </c>
      <c r="N24" s="37">
        <f>M24*ROUND(J24,2)</f>
        <v>0</v>
      </c>
    </row>
    <row r="25" spans="1:14" x14ac:dyDescent="0.2">
      <c r="A25" s="20" t="s">
        <v>229</v>
      </c>
      <c r="B25" s="20" t="s">
        <v>10</v>
      </c>
      <c r="C25" s="20" t="s">
        <v>201</v>
      </c>
      <c r="D25" s="20" t="s">
        <v>230</v>
      </c>
      <c r="E25" s="34">
        <v>28765.579999999994</v>
      </c>
      <c r="F25" s="34">
        <f>E25*VLOOKUP(B25,dagsoorttabel1,2,FALSE)</f>
        <v>28765.579999999994</v>
      </c>
      <c r="G25" s="35">
        <f>IF(AND(catpn_1_LHB_1&gt;0,catpn_1_LHV_40&gt;0),(dagenperjaar1*VLOOKUP(B25,dagsoorttabel1,2,FALSE))/(((dagenperjaar1*VLOOKUP(B25,dagsoorttabel1,2,FALSE))-catfd_1_LHV_40)/catpn_1_LHB_1+catfd_1_LHV_40/catpn_1_LHV_40),0)</f>
        <v>0</v>
      </c>
      <c r="H25" s="36">
        <f>IF(AND(catpn_1_LHB_1&gt;0,catpn_1_LHV_40&gt;0),(catdw_1_LHB_1*((dagenperjaar1*VLOOKUP(B25,dagsoorttabel1,2,FALSE))-catfd_1_LHV_40)/catpn_1_LHB_1+catdw_1_LHV_40*catfd_1_LHV_40/catpn_1_LHV_40)/(((dagenperjaar1*VLOOKUP(B25,dagsoorttabel1,2,FALSE))-catfd_1_LHV_40)/catpn_1_LHB_1+catfd_1_LHV_40/catpn_1_LHV_40),0)</f>
        <v>0</v>
      </c>
      <c r="I25" s="20" t="s">
        <v>38</v>
      </c>
      <c r="J25" s="37">
        <f>IF(AND(catpn_1_LHB_1&gt;0,catpn_1_LHV_40&gt;0),(cattf_1_LHB_1*((dagenperjaar1*VLOOKUP(B25,dagsoorttabel1,2,FALSE))-catfd_1_LHV_40)/catpn_1_LHB_1+cattf_1_LHV_40*catfd_1_LHV_40/catpn_1_LHV_40)/(((dagenperjaar1*VLOOKUP(B25,dagsoorttabel1,2,FALSE))-catfd_1_LHV_40)/catpn_1_LHB_1+catfd_1_LHV_40/catpn_1_LHV_40),0)</f>
        <v>0</v>
      </c>
      <c r="K25" s="34">
        <f>IF(OR(ISBLANK(G25),G25=0),0,F25/ROUND(G25,4))</f>
        <v>0</v>
      </c>
      <c r="L25" s="37">
        <f>ROUND(J25,2)*K25</f>
        <v>0</v>
      </c>
      <c r="M25" s="34">
        <f>K25*dagenperjaar1</f>
        <v>0</v>
      </c>
      <c r="N25" s="37">
        <f>M25*ROUND(J25,2)</f>
        <v>0</v>
      </c>
    </row>
    <row r="26" spans="1:14" x14ac:dyDescent="0.2">
      <c r="A26" s="20" t="s">
        <v>231</v>
      </c>
      <c r="B26" s="20" t="s">
        <v>10</v>
      </c>
      <c r="C26" s="20" t="s">
        <v>201</v>
      </c>
      <c r="D26" s="20" t="s">
        <v>232</v>
      </c>
      <c r="E26" s="34">
        <v>2432.94</v>
      </c>
      <c r="F26" s="34">
        <f>E26*VLOOKUP(B26,dagsoorttabel1,2,FALSE)</f>
        <v>2432.94</v>
      </c>
      <c r="G26" s="35">
        <f>IF(AND(catpn_1_LZB_1&gt;0,catpn_1_LZV_40&gt;0),(dagenperjaar1*VLOOKUP(B26,dagsoorttabel1,2,FALSE))/(((dagenperjaar1*VLOOKUP(B26,dagsoorttabel1,2,FALSE))-catfd_1_LZV_40)/catpn_1_LZB_1+catfd_1_LZV_40/catpn_1_LZV_40),0)</f>
        <v>0</v>
      </c>
      <c r="H26" s="36">
        <f>IF(AND(catpn_1_LZB_1&gt;0,catpn_1_LZV_40&gt;0),(catdw_1_LZB_1*((dagenperjaar1*VLOOKUP(B26,dagsoorttabel1,2,FALSE))-catfd_1_LZV_40)/catpn_1_LZB_1+catdw_1_LZV_40*catfd_1_LZV_40/catpn_1_LZV_40)/(((dagenperjaar1*VLOOKUP(B26,dagsoorttabel1,2,FALSE))-catfd_1_LZV_40)/catpn_1_LZB_1+catfd_1_LZV_40/catpn_1_LZV_40),0)</f>
        <v>0</v>
      </c>
      <c r="I26" s="20" t="s">
        <v>38</v>
      </c>
      <c r="J26" s="37">
        <f>IF(AND(catpn_1_LZB_1&gt;0,catpn_1_LZV_40&gt;0),(cattf_1_LZB_1*((dagenperjaar1*VLOOKUP(B26,dagsoorttabel1,2,FALSE))-catfd_1_LZV_40)/catpn_1_LZB_1+cattf_1_LZV_40*catfd_1_LZV_40/catpn_1_LZV_40)/(((dagenperjaar1*VLOOKUP(B26,dagsoorttabel1,2,FALSE))-catfd_1_LZV_40)/catpn_1_LZB_1+catfd_1_LZV_40/catpn_1_LZV_40),0)</f>
        <v>0</v>
      </c>
      <c r="K26" s="34">
        <f>IF(OR(ISBLANK(G26),G26=0),0,F26/ROUND(G26,4))</f>
        <v>0</v>
      </c>
      <c r="L26" s="37">
        <f>ROUND(J26,2)*K26</f>
        <v>0</v>
      </c>
      <c r="M26" s="34">
        <f>K26*dagenperjaar1</f>
        <v>0</v>
      </c>
      <c r="N26" s="37">
        <f>M26*ROUND(J26,2)</f>
        <v>0</v>
      </c>
    </row>
    <row r="27" spans="1:14" x14ac:dyDescent="0.2">
      <c r="A27" s="20" t="s">
        <v>233</v>
      </c>
      <c r="B27" s="20" t="s">
        <v>10</v>
      </c>
      <c r="C27" s="20" t="s">
        <v>201</v>
      </c>
      <c r="D27" s="20" t="s">
        <v>234</v>
      </c>
      <c r="E27" s="34">
        <v>468.17999999999995</v>
      </c>
      <c r="F27" s="34">
        <f>E27*VLOOKUP(B27,dagsoorttabel1,2,FALSE)</f>
        <v>468.17999999999995</v>
      </c>
      <c r="G27" s="35">
        <f>IF(AND(catpn_1_MHB_1&gt;0,catpn_1_MHV_40&gt;0),(dagenperjaar1*VLOOKUP(B27,dagsoorttabel1,2,FALSE))/(((dagenperjaar1*VLOOKUP(B27,dagsoorttabel1,2,FALSE))-catfd_1_MHV_40)/catpn_1_MHB_1+catfd_1_MHV_40/catpn_1_MHV_40),0)</f>
        <v>0</v>
      </c>
      <c r="H27" s="36">
        <f>IF(AND(catpn_1_MHB_1&gt;0,catpn_1_MHV_40&gt;0),(catdw_1_MHB_1*((dagenperjaar1*VLOOKUP(B27,dagsoorttabel1,2,FALSE))-catfd_1_MHV_40)/catpn_1_MHB_1+catdw_1_MHV_40*catfd_1_MHV_40/catpn_1_MHV_40)/(((dagenperjaar1*VLOOKUP(B27,dagsoorttabel1,2,FALSE))-catfd_1_MHV_40)/catpn_1_MHB_1+catfd_1_MHV_40/catpn_1_MHV_40),0)</f>
        <v>0</v>
      </c>
      <c r="I27" s="20" t="s">
        <v>38</v>
      </c>
      <c r="J27" s="37">
        <f>IF(AND(catpn_1_MHB_1&gt;0,catpn_1_MHV_40&gt;0),(cattf_1_MHB_1*((dagenperjaar1*VLOOKUP(B27,dagsoorttabel1,2,FALSE))-catfd_1_MHV_40)/catpn_1_MHB_1+cattf_1_MHV_40*catfd_1_MHV_40/catpn_1_MHV_40)/(((dagenperjaar1*VLOOKUP(B27,dagsoorttabel1,2,FALSE))-catfd_1_MHV_40)/catpn_1_MHB_1+catfd_1_MHV_40/catpn_1_MHV_40),0)</f>
        <v>0</v>
      </c>
      <c r="K27" s="34">
        <f>IF(OR(ISBLANK(G27),G27=0),0,F27/ROUND(G27,4))</f>
        <v>0</v>
      </c>
      <c r="L27" s="37">
        <f>ROUND(J27,2)*K27</f>
        <v>0</v>
      </c>
      <c r="M27" s="34">
        <f>K27*dagenperjaar1</f>
        <v>0</v>
      </c>
      <c r="N27" s="37">
        <f>M27*ROUND(J27,2)</f>
        <v>0</v>
      </c>
    </row>
    <row r="28" spans="1:14" x14ac:dyDescent="0.2">
      <c r="A28" s="20" t="s">
        <v>235</v>
      </c>
      <c r="B28" s="20" t="s">
        <v>10</v>
      </c>
      <c r="C28" s="20" t="s">
        <v>201</v>
      </c>
      <c r="D28" s="20" t="s">
        <v>236</v>
      </c>
      <c r="E28" s="34">
        <v>100</v>
      </c>
      <c r="F28" s="34">
        <f>E28*VLOOKUP(B28,dagsoorttabel1,2,FALSE)</f>
        <v>100</v>
      </c>
      <c r="G28" s="35">
        <f>IF(AND(catpn_1_MZB_1&gt;0,catpn_1_MZV_40&gt;0),(dagenperjaar1*VLOOKUP(B28,dagsoorttabel1,2,FALSE))/(((dagenperjaar1*VLOOKUP(B28,dagsoorttabel1,2,FALSE))-catfd_1_MZV_40)/catpn_1_MZB_1+catfd_1_MZV_40/catpn_1_MZV_40),0)</f>
        <v>0</v>
      </c>
      <c r="H28" s="36">
        <f>IF(AND(catpn_1_MZB_1&gt;0,catpn_1_MZV_40&gt;0),(catdw_1_MZB_1*((dagenperjaar1*VLOOKUP(B28,dagsoorttabel1,2,FALSE))-catfd_1_MZV_40)/catpn_1_MZB_1+catdw_1_MZV_40*catfd_1_MZV_40/catpn_1_MZV_40)/(((dagenperjaar1*VLOOKUP(B28,dagsoorttabel1,2,FALSE))-catfd_1_MZV_40)/catpn_1_MZB_1+catfd_1_MZV_40/catpn_1_MZV_40),0)</f>
        <v>0</v>
      </c>
      <c r="I28" s="20" t="s">
        <v>38</v>
      </c>
      <c r="J28" s="37">
        <f>IF(AND(catpn_1_MZB_1&gt;0,catpn_1_MZV_40&gt;0),(cattf_1_MZB_1*((dagenperjaar1*VLOOKUP(B28,dagsoorttabel1,2,FALSE))-catfd_1_MZV_40)/catpn_1_MZB_1+cattf_1_MZV_40*catfd_1_MZV_40/catpn_1_MZV_40)/(((dagenperjaar1*VLOOKUP(B28,dagsoorttabel1,2,FALSE))-catfd_1_MZV_40)/catpn_1_MZB_1+catfd_1_MZV_40/catpn_1_MZV_40),0)</f>
        <v>0</v>
      </c>
      <c r="K28" s="34">
        <f>IF(OR(ISBLANK(G28),G28=0),0,F28/ROUND(G28,4))</f>
        <v>0</v>
      </c>
      <c r="L28" s="37">
        <f>ROUND(J28,2)*K28</f>
        <v>0</v>
      </c>
      <c r="M28" s="34">
        <f>K28*dagenperjaar1</f>
        <v>0</v>
      </c>
      <c r="N28" s="37">
        <f>M28*ROUND(J28,2)</f>
        <v>0</v>
      </c>
    </row>
    <row r="29" spans="1:14" x14ac:dyDescent="0.2">
      <c r="A29" s="20" t="s">
        <v>237</v>
      </c>
      <c r="B29" s="20" t="s">
        <v>19</v>
      </c>
      <c r="C29" s="20" t="s">
        <v>201</v>
      </c>
      <c r="D29" s="20" t="s">
        <v>238</v>
      </c>
      <c r="E29" s="34">
        <v>653.70000000000005</v>
      </c>
      <c r="F29" s="34">
        <f>E29*VLOOKUP(B29,dagsoorttabel1,2,FALSE)</f>
        <v>32.685000000000002</v>
      </c>
      <c r="G29" s="35">
        <f>catpn_1_OHB_1</f>
        <v>0</v>
      </c>
      <c r="H29" s="36">
        <f>catdw_1_OHB_1</f>
        <v>0</v>
      </c>
      <c r="I29" s="20" t="s">
        <v>38</v>
      </c>
      <c r="J29" s="37">
        <f>cattf_1_OHB_1</f>
        <v>0</v>
      </c>
      <c r="K29" s="34">
        <f>IF(OR(ISBLANK(G29),G29=0),0,F29/ROUND(G29,4))</f>
        <v>0</v>
      </c>
      <c r="L29" s="37">
        <f>ROUND(J29,2)*K29</f>
        <v>0</v>
      </c>
      <c r="M29" s="34">
        <f>K29*dagenperjaar1</f>
        <v>0</v>
      </c>
      <c r="N29" s="37">
        <f>M29*ROUND(J29,2)</f>
        <v>0</v>
      </c>
    </row>
    <row r="30" spans="1:14" x14ac:dyDescent="0.2">
      <c r="A30" s="20" t="s">
        <v>237</v>
      </c>
      <c r="B30" s="20" t="s">
        <v>10</v>
      </c>
      <c r="C30" s="20" t="s">
        <v>201</v>
      </c>
      <c r="D30" s="20" t="s">
        <v>238</v>
      </c>
      <c r="E30" s="34">
        <v>70</v>
      </c>
      <c r="F30" s="34">
        <f>E30*VLOOKUP(B30,dagsoorttabel1,2,FALSE)</f>
        <v>70</v>
      </c>
      <c r="G30" s="35">
        <f>IF(AND(catpn_1_OHB_1&gt;0,catpn_1_OHV_40&gt;0),(dagenperjaar1*VLOOKUP(B30,dagsoorttabel1,2,FALSE))/(((dagenperjaar1*VLOOKUP(B30,dagsoorttabel1,2,FALSE))-catfd_1_OHV_40)/catpn_1_OHB_1+catfd_1_OHV_40/catpn_1_OHV_40),0)</f>
        <v>0</v>
      </c>
      <c r="H30" s="36">
        <f>IF(AND(catpn_1_OHB_1&gt;0,catpn_1_OHV_40&gt;0),(catdw_1_OHB_1*((dagenperjaar1*VLOOKUP(B30,dagsoorttabel1,2,FALSE))-catfd_1_OHV_40)/catpn_1_OHB_1+catdw_1_OHV_40*catfd_1_OHV_40/catpn_1_OHV_40)/(((dagenperjaar1*VLOOKUP(B30,dagsoorttabel1,2,FALSE))-catfd_1_OHV_40)/catpn_1_OHB_1+catfd_1_OHV_40/catpn_1_OHV_40),0)</f>
        <v>0</v>
      </c>
      <c r="I30" s="20" t="s">
        <v>38</v>
      </c>
      <c r="J30" s="37">
        <f>IF(AND(catpn_1_OHB_1&gt;0,catpn_1_OHV_40&gt;0),(cattf_1_OHB_1*((dagenperjaar1*VLOOKUP(B30,dagsoorttabel1,2,FALSE))-catfd_1_OHV_40)/catpn_1_OHB_1+cattf_1_OHV_40*catfd_1_OHV_40/catpn_1_OHV_40)/(((dagenperjaar1*VLOOKUP(B30,dagsoorttabel1,2,FALSE))-catfd_1_OHV_40)/catpn_1_OHB_1+catfd_1_OHV_40/catpn_1_OHV_40),0)</f>
        <v>0</v>
      </c>
      <c r="K30" s="34">
        <f>IF(OR(ISBLANK(G30),G30=0),0,F30/ROUND(G30,4))</f>
        <v>0</v>
      </c>
      <c r="L30" s="37">
        <f>ROUND(J30,2)*K30</f>
        <v>0</v>
      </c>
      <c r="M30" s="34">
        <f>K30*dagenperjaar1</f>
        <v>0</v>
      </c>
      <c r="N30" s="37">
        <f>M30*ROUND(J30,2)</f>
        <v>0</v>
      </c>
    </row>
    <row r="31" spans="1:14" x14ac:dyDescent="0.2">
      <c r="A31" s="20" t="s">
        <v>237</v>
      </c>
      <c r="B31" s="20" t="s">
        <v>16</v>
      </c>
      <c r="C31" s="20" t="s">
        <v>201</v>
      </c>
      <c r="D31" s="20" t="s">
        <v>238</v>
      </c>
      <c r="E31" s="34">
        <v>20.2</v>
      </c>
      <c r="F31" s="34">
        <f>E31*VLOOKUP(B31,dagsoorttabel1,2,FALSE)</f>
        <v>4.04</v>
      </c>
      <c r="G31" s="35">
        <f>IF(AND(catpn_1_OHB_1&gt;0,catpn_1_OHV_40&gt;0),(dagenperjaar1*VLOOKUP(B31,dagsoorttabel1,2,FALSE))/(((dagenperjaar1*VLOOKUP(B31,dagsoorttabel1,2,FALSE))-catfd_1_OHV_40)/catpn_1_OHB_1+catfd_1_OHV_40/catpn_1_OHV_40),0)</f>
        <v>0</v>
      </c>
      <c r="H31" s="36">
        <f>IF(AND(catpn_1_OHB_1&gt;0,catpn_1_OHV_40&gt;0),(catdw_1_OHB_1*((dagenperjaar1*VLOOKUP(B31,dagsoorttabel1,2,FALSE))-catfd_1_OHV_40)/catpn_1_OHB_1+catdw_1_OHV_40*catfd_1_OHV_40/catpn_1_OHV_40)/(((dagenperjaar1*VLOOKUP(B31,dagsoorttabel1,2,FALSE))-catfd_1_OHV_40)/catpn_1_OHB_1+catfd_1_OHV_40/catpn_1_OHV_40),0)</f>
        <v>0</v>
      </c>
      <c r="I31" s="20" t="s">
        <v>38</v>
      </c>
      <c r="J31" s="37">
        <f>IF(AND(catpn_1_OHB_1&gt;0,catpn_1_OHV_40&gt;0),(cattf_1_OHB_1*((dagenperjaar1*VLOOKUP(B31,dagsoorttabel1,2,FALSE))-catfd_1_OHV_40)/catpn_1_OHB_1+cattf_1_OHV_40*catfd_1_OHV_40/catpn_1_OHV_40)/(((dagenperjaar1*VLOOKUP(B31,dagsoorttabel1,2,FALSE))-catfd_1_OHV_40)/catpn_1_OHB_1+catfd_1_OHV_40/catpn_1_OHV_40),0)</f>
        <v>0</v>
      </c>
      <c r="K31" s="34">
        <f>IF(OR(ISBLANK(G31),G31=0),0,F31/ROUND(G31,4))</f>
        <v>0</v>
      </c>
      <c r="L31" s="37">
        <f>ROUND(J31,2)*K31</f>
        <v>0</v>
      </c>
      <c r="M31" s="34">
        <f>K31*dagenperjaar1</f>
        <v>0</v>
      </c>
      <c r="N31" s="37">
        <f>M31*ROUND(J31,2)</f>
        <v>0</v>
      </c>
    </row>
    <row r="32" spans="1:14" x14ac:dyDescent="0.2">
      <c r="A32" s="20" t="s">
        <v>239</v>
      </c>
      <c r="B32" s="20" t="s">
        <v>10</v>
      </c>
      <c r="C32" s="20" t="s">
        <v>201</v>
      </c>
      <c r="D32" s="20" t="s">
        <v>240</v>
      </c>
      <c r="E32" s="34">
        <v>3466.05</v>
      </c>
      <c r="F32" s="34">
        <f>E32*VLOOKUP(B32,dagsoorttabel1,2,FALSE)</f>
        <v>3466.05</v>
      </c>
      <c r="G32" s="35">
        <f>IF(AND(catpn_1_OLHB_1&gt;0,catpn_1_OLHV_40&gt;0),(dagenperjaar1*VLOOKUP(B32,dagsoorttabel1,2,FALSE))/(((dagenperjaar1*VLOOKUP(B32,dagsoorttabel1,2,FALSE))-catfd_1_OLHV_40)/catpn_1_OLHB_1+catfd_1_OLHV_40/catpn_1_OLHV_40),0)</f>
        <v>0</v>
      </c>
      <c r="H32" s="36">
        <f>IF(AND(catpn_1_OLHB_1&gt;0,catpn_1_OLHV_40&gt;0),(catdw_1_OLHB_1*((dagenperjaar1*VLOOKUP(B32,dagsoorttabel1,2,FALSE))-catfd_1_OLHV_40)/catpn_1_OLHB_1+catdw_1_OLHV_40*catfd_1_OLHV_40/catpn_1_OLHV_40)/(((dagenperjaar1*VLOOKUP(B32,dagsoorttabel1,2,FALSE))-catfd_1_OLHV_40)/catpn_1_OLHB_1+catfd_1_OLHV_40/catpn_1_OLHV_40),0)</f>
        <v>0</v>
      </c>
      <c r="I32" s="20" t="s">
        <v>38</v>
      </c>
      <c r="J32" s="37">
        <f>IF(AND(catpn_1_OLHB_1&gt;0,catpn_1_OLHV_40&gt;0),(cattf_1_OLHB_1*((dagenperjaar1*VLOOKUP(B32,dagsoorttabel1,2,FALSE))-catfd_1_OLHV_40)/catpn_1_OLHB_1+cattf_1_OLHV_40*catfd_1_OLHV_40/catpn_1_OLHV_40)/(((dagenperjaar1*VLOOKUP(B32,dagsoorttabel1,2,FALSE))-catfd_1_OLHV_40)/catpn_1_OLHB_1+catfd_1_OLHV_40/catpn_1_OLHV_40),0)</f>
        <v>0</v>
      </c>
      <c r="K32" s="34">
        <f>IF(OR(ISBLANK(G32),G32=0),0,F32/ROUND(G32,4))</f>
        <v>0</v>
      </c>
      <c r="L32" s="37">
        <f>ROUND(J32,2)*K32</f>
        <v>0</v>
      </c>
      <c r="M32" s="34">
        <f>K32*dagenperjaar1</f>
        <v>0</v>
      </c>
      <c r="N32" s="37">
        <f>M32*ROUND(J32,2)</f>
        <v>0</v>
      </c>
    </row>
    <row r="33" spans="1:14" x14ac:dyDescent="0.2">
      <c r="A33" s="20" t="s">
        <v>241</v>
      </c>
      <c r="B33" s="20" t="s">
        <v>10</v>
      </c>
      <c r="C33" s="20" t="s">
        <v>201</v>
      </c>
      <c r="D33" s="20" t="s">
        <v>242</v>
      </c>
      <c r="E33" s="34">
        <v>194.68</v>
      </c>
      <c r="F33" s="34">
        <f>E33*VLOOKUP(B33,dagsoorttabel1,2,FALSE)</f>
        <v>194.68</v>
      </c>
      <c r="G33" s="35">
        <f>IF(AND(catpn_1_PHB_1&gt;0,catpn_1_PHV_40&gt;0),(dagenperjaar1*VLOOKUP(B33,dagsoorttabel1,2,FALSE))/(((dagenperjaar1*VLOOKUP(B33,dagsoorttabel1,2,FALSE))-catfd_1_PHV_40)/catpn_1_PHB_1+catfd_1_PHV_40/catpn_1_PHV_40),0)</f>
        <v>0</v>
      </c>
      <c r="H33" s="36">
        <f>IF(AND(catpn_1_PHB_1&gt;0,catpn_1_PHV_40&gt;0),(catdw_1_PHB_1*((dagenperjaar1*VLOOKUP(B33,dagsoorttabel1,2,FALSE))-catfd_1_PHV_40)/catpn_1_PHB_1+catdw_1_PHV_40*catfd_1_PHV_40/catpn_1_PHV_40)/(((dagenperjaar1*VLOOKUP(B33,dagsoorttabel1,2,FALSE))-catfd_1_PHV_40)/catpn_1_PHB_1+catfd_1_PHV_40/catpn_1_PHV_40),0)</f>
        <v>0</v>
      </c>
      <c r="I33" s="20" t="s">
        <v>38</v>
      </c>
      <c r="J33" s="37">
        <f>IF(AND(catpn_1_PHB_1&gt;0,catpn_1_PHV_40&gt;0),(cattf_1_PHB_1*((dagenperjaar1*VLOOKUP(B33,dagsoorttabel1,2,FALSE))-catfd_1_PHV_40)/catpn_1_PHB_1+cattf_1_PHV_40*catfd_1_PHV_40/catpn_1_PHV_40)/(((dagenperjaar1*VLOOKUP(B33,dagsoorttabel1,2,FALSE))-catfd_1_PHV_40)/catpn_1_PHB_1+catfd_1_PHV_40/catpn_1_PHV_40),0)</f>
        <v>0</v>
      </c>
      <c r="K33" s="34">
        <f>IF(OR(ISBLANK(G33),G33=0),0,F33/ROUND(G33,4))</f>
        <v>0</v>
      </c>
      <c r="L33" s="37">
        <f>ROUND(J33,2)*K33</f>
        <v>0</v>
      </c>
      <c r="M33" s="34">
        <f>K33*dagenperjaar1</f>
        <v>0</v>
      </c>
      <c r="N33" s="37">
        <f>M33*ROUND(J33,2)</f>
        <v>0</v>
      </c>
    </row>
    <row r="34" spans="1:14" x14ac:dyDescent="0.2">
      <c r="A34" s="20" t="s">
        <v>243</v>
      </c>
      <c r="B34" s="20" t="s">
        <v>10</v>
      </c>
      <c r="C34" s="20" t="s">
        <v>201</v>
      </c>
      <c r="D34" s="20" t="s">
        <v>244</v>
      </c>
      <c r="E34" s="34">
        <v>2664.67</v>
      </c>
      <c r="F34" s="34">
        <f>E34*VLOOKUP(B34,dagsoorttabel1,2,FALSE)</f>
        <v>2664.67</v>
      </c>
      <c r="G34" s="35">
        <f>IF(AND(catpn_1_PMHB_1&gt;0,catpn_1_PMHV_40&gt;0),(dagenperjaar1*VLOOKUP(B34,dagsoorttabel1,2,FALSE))/(((dagenperjaar1*VLOOKUP(B34,dagsoorttabel1,2,FALSE))-catfd_1_PMHV_40)/catpn_1_PMHB_1+catfd_1_PMHV_40/catpn_1_PMHV_40),0)</f>
        <v>0</v>
      </c>
      <c r="H34" s="36">
        <f>IF(AND(catpn_1_PMHB_1&gt;0,catpn_1_PMHV_40&gt;0),(catdw_1_PMHB_1*((dagenperjaar1*VLOOKUP(B34,dagsoorttabel1,2,FALSE))-catfd_1_PMHV_40)/catpn_1_PMHB_1+catdw_1_PMHV_40*catfd_1_PMHV_40/catpn_1_PMHV_40)/(((dagenperjaar1*VLOOKUP(B34,dagsoorttabel1,2,FALSE))-catfd_1_PMHV_40)/catpn_1_PMHB_1+catfd_1_PMHV_40/catpn_1_PMHV_40),0)</f>
        <v>0</v>
      </c>
      <c r="I34" s="20" t="s">
        <v>38</v>
      </c>
      <c r="J34" s="37">
        <f>IF(AND(catpn_1_PMHB_1&gt;0,catpn_1_PMHV_40&gt;0),(cattf_1_PMHB_1*((dagenperjaar1*VLOOKUP(B34,dagsoorttabel1,2,FALSE))-catfd_1_PMHV_40)/catpn_1_PMHB_1+cattf_1_PMHV_40*catfd_1_PMHV_40/catpn_1_PMHV_40)/(((dagenperjaar1*VLOOKUP(B34,dagsoorttabel1,2,FALSE))-catfd_1_PMHV_40)/catpn_1_PMHB_1+catfd_1_PMHV_40/catpn_1_PMHV_40),0)</f>
        <v>0</v>
      </c>
      <c r="K34" s="34">
        <f>IF(OR(ISBLANK(G34),G34=0),0,F34/ROUND(G34,4))</f>
        <v>0</v>
      </c>
      <c r="L34" s="37">
        <f>ROUND(J34,2)*K34</f>
        <v>0</v>
      </c>
      <c r="M34" s="34">
        <f>K34*dagenperjaar1</f>
        <v>0</v>
      </c>
      <c r="N34" s="37">
        <f>M34*ROUND(J34,2)</f>
        <v>0</v>
      </c>
    </row>
    <row r="35" spans="1:14" x14ac:dyDescent="0.2">
      <c r="A35" s="20" t="s">
        <v>243</v>
      </c>
      <c r="B35" s="20" t="s">
        <v>16</v>
      </c>
      <c r="C35" s="20" t="s">
        <v>201</v>
      </c>
      <c r="D35" s="20" t="s">
        <v>244</v>
      </c>
      <c r="E35" s="34">
        <v>116.8</v>
      </c>
      <c r="F35" s="34">
        <f>E35*VLOOKUP(B35,dagsoorttabel1,2,FALSE)</f>
        <v>23.36</v>
      </c>
      <c r="G35" s="35">
        <f>IF(AND(catpn_1_PMHB_1&gt;0,catpn_1_PMHV_40&gt;0),(dagenperjaar1*VLOOKUP(B35,dagsoorttabel1,2,FALSE))/(((dagenperjaar1*VLOOKUP(B35,dagsoorttabel1,2,FALSE))-catfd_1_PMHV_40)/catpn_1_PMHB_1+catfd_1_PMHV_40/catpn_1_PMHV_40),0)</f>
        <v>0</v>
      </c>
      <c r="H35" s="36">
        <f>IF(AND(catpn_1_PMHB_1&gt;0,catpn_1_PMHV_40&gt;0),(catdw_1_PMHB_1*((dagenperjaar1*VLOOKUP(B35,dagsoorttabel1,2,FALSE))-catfd_1_PMHV_40)/catpn_1_PMHB_1+catdw_1_PMHV_40*catfd_1_PMHV_40/catpn_1_PMHV_40)/(((dagenperjaar1*VLOOKUP(B35,dagsoorttabel1,2,FALSE))-catfd_1_PMHV_40)/catpn_1_PMHB_1+catfd_1_PMHV_40/catpn_1_PMHV_40),0)</f>
        <v>0</v>
      </c>
      <c r="I35" s="20" t="s">
        <v>38</v>
      </c>
      <c r="J35" s="37">
        <f>IF(AND(catpn_1_PMHB_1&gt;0,catpn_1_PMHV_40&gt;0),(cattf_1_PMHB_1*((dagenperjaar1*VLOOKUP(B35,dagsoorttabel1,2,FALSE))-catfd_1_PMHV_40)/catpn_1_PMHB_1+cattf_1_PMHV_40*catfd_1_PMHV_40/catpn_1_PMHV_40)/(((dagenperjaar1*VLOOKUP(B35,dagsoorttabel1,2,FALSE))-catfd_1_PMHV_40)/catpn_1_PMHB_1+catfd_1_PMHV_40/catpn_1_PMHV_40),0)</f>
        <v>0</v>
      </c>
      <c r="K35" s="34">
        <f>IF(OR(ISBLANK(G35),G35=0),0,F35/ROUND(G35,4))</f>
        <v>0</v>
      </c>
      <c r="L35" s="37">
        <f>ROUND(J35,2)*K35</f>
        <v>0</v>
      </c>
      <c r="M35" s="34">
        <f>K35*dagenperjaar1</f>
        <v>0</v>
      </c>
      <c r="N35" s="37">
        <f>M35*ROUND(J35,2)</f>
        <v>0</v>
      </c>
    </row>
    <row r="36" spans="1:14" x14ac:dyDescent="0.2">
      <c r="A36" s="20" t="s">
        <v>245</v>
      </c>
      <c r="B36" s="20" t="s">
        <v>10</v>
      </c>
      <c r="C36" s="20" t="s">
        <v>201</v>
      </c>
      <c r="D36" s="20" t="s">
        <v>246</v>
      </c>
      <c r="E36" s="34">
        <v>491.83000000000004</v>
      </c>
      <c r="F36" s="34">
        <f>E36*VLOOKUP(B36,dagsoorttabel1,2,FALSE)</f>
        <v>491.83000000000004</v>
      </c>
      <c r="G36" s="35">
        <f>IF(AND(catpn_1_PMZB_1&gt;0,catpn_1_PMZV_40&gt;0),(dagenperjaar1*VLOOKUP(B36,dagsoorttabel1,2,FALSE))/(((dagenperjaar1*VLOOKUP(B36,dagsoorttabel1,2,FALSE))-catfd_1_PMZV_40)/catpn_1_PMZB_1+catfd_1_PMZV_40/catpn_1_PMZV_40),0)</f>
        <v>0</v>
      </c>
      <c r="H36" s="36">
        <f>IF(AND(catpn_1_PMZB_1&gt;0,catpn_1_PMZV_40&gt;0),(catdw_1_PMZB_1*((dagenperjaar1*VLOOKUP(B36,dagsoorttabel1,2,FALSE))-catfd_1_PMZV_40)/catpn_1_PMZB_1+catdw_1_PMZV_40*catfd_1_PMZV_40/catpn_1_PMZV_40)/(((dagenperjaar1*VLOOKUP(B36,dagsoorttabel1,2,FALSE))-catfd_1_PMZV_40)/catpn_1_PMZB_1+catfd_1_PMZV_40/catpn_1_PMZV_40),0)</f>
        <v>0</v>
      </c>
      <c r="I36" s="20" t="s">
        <v>38</v>
      </c>
      <c r="J36" s="37">
        <f>IF(AND(catpn_1_PMZB_1&gt;0,catpn_1_PMZV_40&gt;0),(cattf_1_PMZB_1*((dagenperjaar1*VLOOKUP(B36,dagsoorttabel1,2,FALSE))-catfd_1_PMZV_40)/catpn_1_PMZB_1+cattf_1_PMZV_40*catfd_1_PMZV_40/catpn_1_PMZV_40)/(((dagenperjaar1*VLOOKUP(B36,dagsoorttabel1,2,FALSE))-catfd_1_PMZV_40)/catpn_1_PMZB_1+catfd_1_PMZV_40/catpn_1_PMZV_40),0)</f>
        <v>0</v>
      </c>
      <c r="K36" s="34">
        <f>IF(OR(ISBLANK(G36),G36=0),0,F36/ROUND(G36,4))</f>
        <v>0</v>
      </c>
      <c r="L36" s="37">
        <f>ROUND(J36,2)*K36</f>
        <v>0</v>
      </c>
      <c r="M36" s="34">
        <f>K36*dagenperjaar1</f>
        <v>0</v>
      </c>
      <c r="N36" s="37">
        <f>M36*ROUND(J36,2)</f>
        <v>0</v>
      </c>
    </row>
    <row r="37" spans="1:14" x14ac:dyDescent="0.2">
      <c r="A37" s="20" t="s">
        <v>247</v>
      </c>
      <c r="B37" s="20" t="s">
        <v>10</v>
      </c>
      <c r="C37" s="20" t="s">
        <v>201</v>
      </c>
      <c r="D37" s="20" t="s">
        <v>248</v>
      </c>
      <c r="E37" s="34">
        <v>1068.53</v>
      </c>
      <c r="F37" s="34">
        <f>E37*VLOOKUP(B37,dagsoorttabel1,2,FALSE)</f>
        <v>1068.53</v>
      </c>
      <c r="G37" s="35">
        <f>IF(AND(catpn_1_PSHB_1&gt;0,catpn_1_PSHV_40&gt;0),(dagenperjaar1*VLOOKUP(B37,dagsoorttabel1,2,FALSE))/(((dagenperjaar1*VLOOKUP(B37,dagsoorttabel1,2,FALSE))-catfd_1_PSHV_40)/catpn_1_PSHB_1+catfd_1_PSHV_40/catpn_1_PSHV_40),0)</f>
        <v>0</v>
      </c>
      <c r="H37" s="36">
        <f>IF(AND(catpn_1_PSHB_1&gt;0,catpn_1_PSHV_40&gt;0),(catdw_1_PSHB_1*((dagenperjaar1*VLOOKUP(B37,dagsoorttabel1,2,FALSE))-catfd_1_PSHV_40)/catpn_1_PSHB_1+catdw_1_PSHV_40*catfd_1_PSHV_40/catpn_1_PSHV_40)/(((dagenperjaar1*VLOOKUP(B37,dagsoorttabel1,2,FALSE))-catfd_1_PSHV_40)/catpn_1_PSHB_1+catfd_1_PSHV_40/catpn_1_PSHV_40),0)</f>
        <v>0</v>
      </c>
      <c r="I37" s="20" t="s">
        <v>38</v>
      </c>
      <c r="J37" s="37">
        <f>IF(AND(catpn_1_PSHB_1&gt;0,catpn_1_PSHV_40&gt;0),(cattf_1_PSHB_1*((dagenperjaar1*VLOOKUP(B37,dagsoorttabel1,2,FALSE))-catfd_1_PSHV_40)/catpn_1_PSHB_1+cattf_1_PSHV_40*catfd_1_PSHV_40/catpn_1_PSHV_40)/(((dagenperjaar1*VLOOKUP(B37,dagsoorttabel1,2,FALSE))-catfd_1_PSHV_40)/catpn_1_PSHB_1+catfd_1_PSHV_40/catpn_1_PSHV_40),0)</f>
        <v>0</v>
      </c>
      <c r="K37" s="34">
        <f>IF(OR(ISBLANK(G37),G37=0),0,F37/ROUND(G37,4))</f>
        <v>0</v>
      </c>
      <c r="L37" s="37">
        <f>ROUND(J37,2)*K37</f>
        <v>0</v>
      </c>
      <c r="M37" s="34">
        <f>K37*dagenperjaar1</f>
        <v>0</v>
      </c>
      <c r="N37" s="37">
        <f>M37*ROUND(J37,2)</f>
        <v>0</v>
      </c>
    </row>
    <row r="38" spans="1:14" x14ac:dyDescent="0.2">
      <c r="A38" s="20" t="s">
        <v>249</v>
      </c>
      <c r="B38" s="20" t="s">
        <v>10</v>
      </c>
      <c r="C38" s="20" t="s">
        <v>201</v>
      </c>
      <c r="D38" s="20" t="s">
        <v>250</v>
      </c>
      <c r="E38" s="34">
        <v>3323.6</v>
      </c>
      <c r="F38" s="34">
        <f>E38*VLOOKUP(B38,dagsoorttabel1,2,FALSE)</f>
        <v>3323.6</v>
      </c>
      <c r="G38" s="35">
        <f>IF(AND(catpn_1_PTHB_1&gt;0,catpn_1_PTHV_40&gt;0),(dagenperjaar1*VLOOKUP(B38,dagsoorttabel1,2,FALSE))/(((dagenperjaar1*VLOOKUP(B38,dagsoorttabel1,2,FALSE))-catfd_1_PTHV_40)/catpn_1_PTHB_1+catfd_1_PTHV_40/catpn_1_PTHV_40),0)</f>
        <v>0</v>
      </c>
      <c r="H38" s="36">
        <f>IF(AND(catpn_1_PTHB_1&gt;0,catpn_1_PTHV_40&gt;0),(catdw_1_PTHB_1*((dagenperjaar1*VLOOKUP(B38,dagsoorttabel1,2,FALSE))-catfd_1_PTHV_40)/catpn_1_PTHB_1+catdw_1_PTHV_40*catfd_1_PTHV_40/catpn_1_PTHV_40)/(((dagenperjaar1*VLOOKUP(B38,dagsoorttabel1,2,FALSE))-catfd_1_PTHV_40)/catpn_1_PTHB_1+catfd_1_PTHV_40/catpn_1_PTHV_40),0)</f>
        <v>0</v>
      </c>
      <c r="I38" s="20" t="s">
        <v>38</v>
      </c>
      <c r="J38" s="37">
        <f>IF(AND(catpn_1_PTHB_1&gt;0,catpn_1_PTHV_40&gt;0),(cattf_1_PTHB_1*((dagenperjaar1*VLOOKUP(B38,dagsoorttabel1,2,FALSE))-catfd_1_PTHV_40)/catpn_1_PTHB_1+cattf_1_PTHV_40*catfd_1_PTHV_40/catpn_1_PTHV_40)/(((dagenperjaar1*VLOOKUP(B38,dagsoorttabel1,2,FALSE))-catfd_1_PTHV_40)/catpn_1_PTHB_1+catfd_1_PTHV_40/catpn_1_PTHV_40),0)</f>
        <v>0</v>
      </c>
      <c r="K38" s="34">
        <f>IF(OR(ISBLANK(G38),G38=0),0,F38/ROUND(G38,4))</f>
        <v>0</v>
      </c>
      <c r="L38" s="37">
        <f>ROUND(J38,2)*K38</f>
        <v>0</v>
      </c>
      <c r="M38" s="34">
        <f>K38*dagenperjaar1</f>
        <v>0</v>
      </c>
      <c r="N38" s="37">
        <f>M38*ROUND(J38,2)</f>
        <v>0</v>
      </c>
    </row>
    <row r="39" spans="1:14" x14ac:dyDescent="0.2">
      <c r="A39" s="20" t="s">
        <v>251</v>
      </c>
      <c r="B39" s="20" t="s">
        <v>10</v>
      </c>
      <c r="C39" s="20" t="s">
        <v>201</v>
      </c>
      <c r="D39" s="20" t="s">
        <v>252</v>
      </c>
      <c r="E39" s="34">
        <v>3419.2</v>
      </c>
      <c r="F39" s="34">
        <f>E39*VLOOKUP(B39,dagsoorttabel1,2,FALSE)</f>
        <v>3419.2</v>
      </c>
      <c r="G39" s="35">
        <f>IF(AND(catpn_1_PUHB_1&gt;0,catpn_1_PUHV_40&gt;0),(dagenperjaar1*VLOOKUP(B39,dagsoorttabel1,2,FALSE))/(((dagenperjaar1*VLOOKUP(B39,dagsoorttabel1,2,FALSE))-catfd_1_PUHV_40)/catpn_1_PUHB_1+catfd_1_PUHV_40/catpn_1_PUHV_40),0)</f>
        <v>0</v>
      </c>
      <c r="H39" s="36">
        <f>IF(AND(catpn_1_PUHB_1&gt;0,catpn_1_PUHV_40&gt;0),(catdw_1_PUHB_1*((dagenperjaar1*VLOOKUP(B39,dagsoorttabel1,2,FALSE))-catfd_1_PUHV_40)/catpn_1_PUHB_1+catdw_1_PUHV_40*catfd_1_PUHV_40/catpn_1_PUHV_40)/(((dagenperjaar1*VLOOKUP(B39,dagsoorttabel1,2,FALSE))-catfd_1_PUHV_40)/catpn_1_PUHB_1+catfd_1_PUHV_40/catpn_1_PUHV_40),0)</f>
        <v>0</v>
      </c>
      <c r="I39" s="20" t="s">
        <v>38</v>
      </c>
      <c r="J39" s="37">
        <f>IF(AND(catpn_1_PUHB_1&gt;0,catpn_1_PUHV_40&gt;0),(cattf_1_PUHB_1*((dagenperjaar1*VLOOKUP(B39,dagsoorttabel1,2,FALSE))-catfd_1_PUHV_40)/catpn_1_PUHB_1+cattf_1_PUHV_40*catfd_1_PUHV_40/catpn_1_PUHV_40)/(((dagenperjaar1*VLOOKUP(B39,dagsoorttabel1,2,FALSE))-catfd_1_PUHV_40)/catpn_1_PUHB_1+catfd_1_PUHV_40/catpn_1_PUHV_40),0)</f>
        <v>0</v>
      </c>
      <c r="K39" s="34">
        <f>IF(OR(ISBLANK(G39),G39=0),0,F39/ROUND(G39,4))</f>
        <v>0</v>
      </c>
      <c r="L39" s="37">
        <f>ROUND(J39,2)*K39</f>
        <v>0</v>
      </c>
      <c r="M39" s="34">
        <f>K39*dagenperjaar1</f>
        <v>0</v>
      </c>
      <c r="N39" s="37">
        <f>M39*ROUND(J39,2)</f>
        <v>0</v>
      </c>
    </row>
    <row r="40" spans="1:14" x14ac:dyDescent="0.2">
      <c r="A40" s="20" t="s">
        <v>253</v>
      </c>
      <c r="B40" s="20" t="s">
        <v>10</v>
      </c>
      <c r="C40" s="20" t="s">
        <v>201</v>
      </c>
      <c r="D40" s="20" t="s">
        <v>254</v>
      </c>
      <c r="E40" s="34">
        <v>8</v>
      </c>
      <c r="F40" s="34">
        <f>E40*VLOOKUP(B40,dagsoorttabel1,2,FALSE)</f>
        <v>8</v>
      </c>
      <c r="G40" s="35">
        <f>IF(AND(catpn_1_PZB_1&gt;0,catpn_1_PZV_40&gt;0),(dagenperjaar1*VLOOKUP(B40,dagsoorttabel1,2,FALSE))/(((dagenperjaar1*VLOOKUP(B40,dagsoorttabel1,2,FALSE))-catfd_1_PZV_40)/catpn_1_PZB_1+catfd_1_PZV_40/catpn_1_PZV_40),0)</f>
        <v>0</v>
      </c>
      <c r="H40" s="36">
        <f>IF(AND(catpn_1_PZB_1&gt;0,catpn_1_PZV_40&gt;0),(catdw_1_PZB_1*((dagenperjaar1*VLOOKUP(B40,dagsoorttabel1,2,FALSE))-catfd_1_PZV_40)/catpn_1_PZB_1+catdw_1_PZV_40*catfd_1_PZV_40/catpn_1_PZV_40)/(((dagenperjaar1*VLOOKUP(B40,dagsoorttabel1,2,FALSE))-catfd_1_PZV_40)/catpn_1_PZB_1+catfd_1_PZV_40/catpn_1_PZV_40),0)</f>
        <v>0</v>
      </c>
      <c r="I40" s="20" t="s">
        <v>38</v>
      </c>
      <c r="J40" s="37">
        <f>IF(AND(catpn_1_PZB_1&gt;0,catpn_1_PZV_40&gt;0),(cattf_1_PZB_1*((dagenperjaar1*VLOOKUP(B40,dagsoorttabel1,2,FALSE))-catfd_1_PZV_40)/catpn_1_PZB_1+cattf_1_PZV_40*catfd_1_PZV_40/catpn_1_PZV_40)/(((dagenperjaar1*VLOOKUP(B40,dagsoorttabel1,2,FALSE))-catfd_1_PZV_40)/catpn_1_PZB_1+catfd_1_PZV_40/catpn_1_PZV_40),0)</f>
        <v>0</v>
      </c>
      <c r="K40" s="34">
        <f>IF(OR(ISBLANK(G40),G40=0),0,F40/ROUND(G40,4))</f>
        <v>0</v>
      </c>
      <c r="L40" s="37">
        <f>ROUND(J40,2)*K40</f>
        <v>0</v>
      </c>
      <c r="M40" s="34">
        <f>K40*dagenperjaar1</f>
        <v>0</v>
      </c>
      <c r="N40" s="37">
        <f>M40*ROUND(J40,2)</f>
        <v>0</v>
      </c>
    </row>
    <row r="41" spans="1:14" x14ac:dyDescent="0.2">
      <c r="A41" s="20" t="s">
        <v>255</v>
      </c>
      <c r="B41" s="20" t="s">
        <v>10</v>
      </c>
      <c r="C41" s="20" t="s">
        <v>201</v>
      </c>
      <c r="D41" s="20" t="s">
        <v>256</v>
      </c>
      <c r="E41" s="34">
        <v>2477.2899999999995</v>
      </c>
      <c r="F41" s="34">
        <f>E41*VLOOKUP(B41,dagsoorttabel1,2,FALSE)</f>
        <v>2477.2899999999995</v>
      </c>
      <c r="G41" s="35">
        <f>IF(AND(catpn_1_SHB_1&gt;0,catpn_1_SHV_40&gt;0),(dagenperjaar1*VLOOKUP(B41,dagsoorttabel1,2,FALSE))/(((dagenperjaar1*VLOOKUP(B41,dagsoorttabel1,2,FALSE))-catfd_1_SHV_40)/catpn_1_SHB_1+catfd_1_SHV_40/catpn_1_SHV_40),0)</f>
        <v>0</v>
      </c>
      <c r="H41" s="36">
        <f>IF(AND(catpn_1_SHB_1&gt;0,catpn_1_SHV_40&gt;0),(catdw_1_SHB_1*((dagenperjaar1*VLOOKUP(B41,dagsoorttabel1,2,FALSE))-catfd_1_SHV_40)/catpn_1_SHB_1+catdw_1_SHV_40*catfd_1_SHV_40/catpn_1_SHV_40)/(((dagenperjaar1*VLOOKUP(B41,dagsoorttabel1,2,FALSE))-catfd_1_SHV_40)/catpn_1_SHB_1+catfd_1_SHV_40/catpn_1_SHV_40),0)</f>
        <v>0</v>
      </c>
      <c r="I41" s="20" t="s">
        <v>38</v>
      </c>
      <c r="J41" s="37">
        <f>IF(AND(catpn_1_SHB_1&gt;0,catpn_1_SHV_40&gt;0),(cattf_1_SHB_1*((dagenperjaar1*VLOOKUP(B41,dagsoorttabel1,2,FALSE))-catfd_1_SHV_40)/catpn_1_SHB_1+cattf_1_SHV_40*catfd_1_SHV_40/catpn_1_SHV_40)/(((dagenperjaar1*VLOOKUP(B41,dagsoorttabel1,2,FALSE))-catfd_1_SHV_40)/catpn_1_SHB_1+catfd_1_SHV_40/catpn_1_SHV_40),0)</f>
        <v>0</v>
      </c>
      <c r="K41" s="34">
        <f>IF(OR(ISBLANK(G41),G41=0),0,F41/ROUND(G41,4))</f>
        <v>0</v>
      </c>
      <c r="L41" s="37">
        <f>ROUND(J41,2)*K41</f>
        <v>0</v>
      </c>
      <c r="M41" s="34">
        <f>K41*dagenperjaar1</f>
        <v>0</v>
      </c>
      <c r="N41" s="37">
        <f>M41*ROUND(J41,2)</f>
        <v>0</v>
      </c>
    </row>
    <row r="42" spans="1:14" x14ac:dyDescent="0.2">
      <c r="A42" s="20" t="s">
        <v>257</v>
      </c>
      <c r="B42" s="20" t="s">
        <v>10</v>
      </c>
      <c r="C42" s="20" t="s">
        <v>201</v>
      </c>
      <c r="D42" s="20" t="s">
        <v>258</v>
      </c>
      <c r="E42" s="34">
        <v>711.13000000000011</v>
      </c>
      <c r="F42" s="34">
        <f>E42*VLOOKUP(B42,dagsoorttabel1,2,FALSE)</f>
        <v>711.13000000000011</v>
      </c>
      <c r="G42" s="35">
        <f>catpn_1_SHB_1</f>
        <v>0</v>
      </c>
      <c r="H42" s="36">
        <f>catdw_1_SHB_1</f>
        <v>0</v>
      </c>
      <c r="I42" s="20" t="s">
        <v>38</v>
      </c>
      <c r="J42" s="37">
        <f>cattf_1_SHB_1</f>
        <v>0</v>
      </c>
      <c r="K42" s="34">
        <f>IF(OR(ISBLANK(G42),G42=0),0,F42/ROUND(G42,4))</f>
        <v>0</v>
      </c>
      <c r="L42" s="37">
        <f>ROUND(J42,2)*K42</f>
        <v>0</v>
      </c>
      <c r="M42" s="34">
        <f>K42*dagenperjaar1</f>
        <v>0</v>
      </c>
      <c r="N42" s="37">
        <f>M42*ROUND(J42,2)</f>
        <v>0</v>
      </c>
    </row>
    <row r="43" spans="1:14" x14ac:dyDescent="0.2">
      <c r="A43" s="20" t="s">
        <v>259</v>
      </c>
      <c r="B43" s="20" t="s">
        <v>10</v>
      </c>
      <c r="C43" s="20" t="s">
        <v>201</v>
      </c>
      <c r="D43" s="20" t="s">
        <v>260</v>
      </c>
      <c r="E43" s="34">
        <v>131.5</v>
      </c>
      <c r="F43" s="34">
        <f>E43*VLOOKUP(B43,dagsoorttabel1,2,FALSE)</f>
        <v>131.5</v>
      </c>
      <c r="G43" s="35">
        <f>IF(AND(catpn_1_STHB_1&gt;0,catpn_1_STHV_40&gt;0),(dagenperjaar1*VLOOKUP(B43,dagsoorttabel1,2,FALSE))/(((dagenperjaar1*VLOOKUP(B43,dagsoorttabel1,2,FALSE))-catfd_1_STHV_40)/catpn_1_STHB_1+catfd_1_STHV_40/catpn_1_STHV_40),0)</f>
        <v>0</v>
      </c>
      <c r="H43" s="36">
        <f>IF(AND(catpn_1_STHB_1&gt;0,catpn_1_STHV_40&gt;0),(catdw_1_STHB_1*((dagenperjaar1*VLOOKUP(B43,dagsoorttabel1,2,FALSE))-catfd_1_STHV_40)/catpn_1_STHB_1+catdw_1_STHV_40*catfd_1_STHV_40/catpn_1_STHV_40)/(((dagenperjaar1*VLOOKUP(B43,dagsoorttabel1,2,FALSE))-catfd_1_STHV_40)/catpn_1_STHB_1+catfd_1_STHV_40/catpn_1_STHV_40),0)</f>
        <v>0</v>
      </c>
      <c r="I43" s="20" t="s">
        <v>38</v>
      </c>
      <c r="J43" s="37">
        <f>IF(AND(catpn_1_STHB_1&gt;0,catpn_1_STHV_40&gt;0),(cattf_1_STHB_1*((dagenperjaar1*VLOOKUP(B43,dagsoorttabel1,2,FALSE))-catfd_1_STHV_40)/catpn_1_STHB_1+cattf_1_STHV_40*catfd_1_STHV_40/catpn_1_STHV_40)/(((dagenperjaar1*VLOOKUP(B43,dagsoorttabel1,2,FALSE))-catfd_1_STHV_40)/catpn_1_STHB_1+catfd_1_STHV_40/catpn_1_STHV_40),0)</f>
        <v>0</v>
      </c>
      <c r="K43" s="34">
        <f>IF(OR(ISBLANK(G43),G43=0),0,F43/ROUND(G43,4))</f>
        <v>0</v>
      </c>
      <c r="L43" s="37">
        <f>ROUND(J43,2)*K43</f>
        <v>0</v>
      </c>
      <c r="M43" s="34">
        <f>K43*dagenperjaar1</f>
        <v>0</v>
      </c>
      <c r="N43" s="37">
        <f>M43*ROUND(J43,2)</f>
        <v>0</v>
      </c>
    </row>
    <row r="44" spans="1:14" x14ac:dyDescent="0.2">
      <c r="A44" s="20" t="s">
        <v>261</v>
      </c>
      <c r="B44" s="20" t="s">
        <v>10</v>
      </c>
      <c r="C44" s="20" t="s">
        <v>201</v>
      </c>
      <c r="D44" s="20" t="s">
        <v>262</v>
      </c>
      <c r="E44" s="34">
        <v>81.099999999999994</v>
      </c>
      <c r="F44" s="34">
        <f>E44*VLOOKUP(B44,dagsoorttabel1,2,FALSE)</f>
        <v>81.099999999999994</v>
      </c>
      <c r="G44" s="35">
        <f>IF(AND(catpn_1_STZB_1&gt;0,catpn_1_STZV_40&gt;0),(dagenperjaar1*VLOOKUP(B44,dagsoorttabel1,2,FALSE))/(((dagenperjaar1*VLOOKUP(B44,dagsoorttabel1,2,FALSE))-catfd_1_STZV_40)/catpn_1_STZB_1+catfd_1_STZV_40/catpn_1_STZV_40),0)</f>
        <v>0</v>
      </c>
      <c r="H44" s="36">
        <f>IF(AND(catpn_1_STZB_1&gt;0,catpn_1_STZV_40&gt;0),(catdw_1_STZB_1*((dagenperjaar1*VLOOKUP(B44,dagsoorttabel1,2,FALSE))-catfd_1_STZV_40)/catpn_1_STZB_1+catdw_1_STZV_40*catfd_1_STZV_40/catpn_1_STZV_40)/(((dagenperjaar1*VLOOKUP(B44,dagsoorttabel1,2,FALSE))-catfd_1_STZV_40)/catpn_1_STZB_1+catfd_1_STZV_40/catpn_1_STZV_40),0)</f>
        <v>0</v>
      </c>
      <c r="I44" s="20" t="s">
        <v>38</v>
      </c>
      <c r="J44" s="37">
        <f>IF(AND(catpn_1_STZB_1&gt;0,catpn_1_STZV_40&gt;0),(cattf_1_STZB_1*((dagenperjaar1*VLOOKUP(B44,dagsoorttabel1,2,FALSE))-catfd_1_STZV_40)/catpn_1_STZB_1+cattf_1_STZV_40*catfd_1_STZV_40/catpn_1_STZV_40)/(((dagenperjaar1*VLOOKUP(B44,dagsoorttabel1,2,FALSE))-catfd_1_STZV_40)/catpn_1_STZB_1+catfd_1_STZV_40/catpn_1_STZV_40),0)</f>
        <v>0</v>
      </c>
      <c r="K44" s="34">
        <f>IF(OR(ISBLANK(G44),G44=0),0,F44/ROUND(G44,4))</f>
        <v>0</v>
      </c>
      <c r="L44" s="37">
        <f>ROUND(J44,2)*K44</f>
        <v>0</v>
      </c>
      <c r="M44" s="34">
        <f>K44*dagenperjaar1</f>
        <v>0</v>
      </c>
      <c r="N44" s="37">
        <f>M44*ROUND(J44,2)</f>
        <v>0</v>
      </c>
    </row>
    <row r="45" spans="1:14" x14ac:dyDescent="0.2">
      <c r="A45" s="20" t="s">
        <v>263</v>
      </c>
      <c r="B45" s="20" t="s">
        <v>10</v>
      </c>
      <c r="C45" s="20" t="s">
        <v>201</v>
      </c>
      <c r="D45" s="20" t="s">
        <v>264</v>
      </c>
      <c r="E45" s="34">
        <v>2226.5</v>
      </c>
      <c r="F45" s="34">
        <f>E45*VLOOKUP(B45,dagsoorttabel1,2,FALSE)</f>
        <v>2226.5</v>
      </c>
      <c r="G45" s="35">
        <f>IF(AND(catpn_1_THB_1&gt;0,catpn_1_THV_40&gt;0),(dagenperjaar1*VLOOKUP(B45,dagsoorttabel1,2,FALSE))/(((dagenperjaar1*VLOOKUP(B45,dagsoorttabel1,2,FALSE))-catfd_1_THV_40)/catpn_1_THB_1+catfd_1_THV_40/catpn_1_THV_40),0)</f>
        <v>0</v>
      </c>
      <c r="H45" s="36">
        <f>IF(AND(catpn_1_THB_1&gt;0,catpn_1_THV_40&gt;0),(catdw_1_THB_1*((dagenperjaar1*VLOOKUP(B45,dagsoorttabel1,2,FALSE))-catfd_1_THV_40)/catpn_1_THB_1+catdw_1_THV_40*catfd_1_THV_40/catpn_1_THV_40)/(((dagenperjaar1*VLOOKUP(B45,dagsoorttabel1,2,FALSE))-catfd_1_THV_40)/catpn_1_THB_1+catfd_1_THV_40/catpn_1_THV_40),0)</f>
        <v>0</v>
      </c>
      <c r="I45" s="20" t="s">
        <v>38</v>
      </c>
      <c r="J45" s="37">
        <f>IF(AND(catpn_1_THB_1&gt;0,catpn_1_THV_40&gt;0),(cattf_1_THB_1*((dagenperjaar1*VLOOKUP(B45,dagsoorttabel1,2,FALSE))-catfd_1_THV_40)/catpn_1_THB_1+cattf_1_THV_40*catfd_1_THV_40/catpn_1_THV_40)/(((dagenperjaar1*VLOOKUP(B45,dagsoorttabel1,2,FALSE))-catfd_1_THV_40)/catpn_1_THB_1+catfd_1_THV_40/catpn_1_THV_40),0)</f>
        <v>0</v>
      </c>
      <c r="K45" s="34">
        <f>IF(OR(ISBLANK(G45),G45=0),0,F45/ROUND(G45,4))</f>
        <v>0</v>
      </c>
      <c r="L45" s="37">
        <f>ROUND(J45,2)*K45</f>
        <v>0</v>
      </c>
      <c r="M45" s="34">
        <f>K45*dagenperjaar1</f>
        <v>0</v>
      </c>
      <c r="N45" s="37">
        <f>M45*ROUND(J45,2)</f>
        <v>0</v>
      </c>
    </row>
    <row r="46" spans="1:14" x14ac:dyDescent="0.2">
      <c r="A46" s="20" t="s">
        <v>265</v>
      </c>
      <c r="B46" s="20" t="s">
        <v>10</v>
      </c>
      <c r="C46" s="20" t="s">
        <v>201</v>
      </c>
      <c r="D46" s="20" t="s">
        <v>266</v>
      </c>
      <c r="E46" s="34">
        <v>133.62</v>
      </c>
      <c r="F46" s="34">
        <f>E46*VLOOKUP(B46,dagsoorttabel1,2,FALSE)</f>
        <v>133.62</v>
      </c>
      <c r="G46" s="35">
        <f>IF(AND(catpn_1_TZB_1&gt;0,catpn_1_TZV_40&gt;0),(dagenperjaar1*VLOOKUP(B46,dagsoorttabel1,2,FALSE))/(((dagenperjaar1*VLOOKUP(B46,dagsoorttabel1,2,FALSE))-catfd_1_TZV_40)/catpn_1_TZB_1+catfd_1_TZV_40/catpn_1_TZV_40),0)</f>
        <v>0</v>
      </c>
      <c r="H46" s="36">
        <f>IF(AND(catpn_1_TZB_1&gt;0,catpn_1_TZV_40&gt;0),(catdw_1_TZB_1*((dagenperjaar1*VLOOKUP(B46,dagsoorttabel1,2,FALSE))-catfd_1_TZV_40)/catpn_1_TZB_1+catdw_1_TZV_40*catfd_1_TZV_40/catpn_1_TZV_40)/(((dagenperjaar1*VLOOKUP(B46,dagsoorttabel1,2,FALSE))-catfd_1_TZV_40)/catpn_1_TZB_1+catfd_1_TZV_40/catpn_1_TZV_40),0)</f>
        <v>0</v>
      </c>
      <c r="I46" s="20" t="s">
        <v>38</v>
      </c>
      <c r="J46" s="37">
        <f>IF(AND(catpn_1_TZB_1&gt;0,catpn_1_TZV_40&gt;0),(cattf_1_TZB_1*((dagenperjaar1*VLOOKUP(B46,dagsoorttabel1,2,FALSE))-catfd_1_TZV_40)/catpn_1_TZB_1+cattf_1_TZV_40*catfd_1_TZV_40/catpn_1_TZV_40)/(((dagenperjaar1*VLOOKUP(B46,dagsoorttabel1,2,FALSE))-catfd_1_TZV_40)/catpn_1_TZB_1+catfd_1_TZV_40/catpn_1_TZV_40),0)</f>
        <v>0</v>
      </c>
      <c r="K46" s="34">
        <f>IF(OR(ISBLANK(G46),G46=0),0,F46/ROUND(G46,4))</f>
        <v>0</v>
      </c>
      <c r="L46" s="37">
        <f>ROUND(J46,2)*K46</f>
        <v>0</v>
      </c>
      <c r="M46" s="34">
        <f>K46*dagenperjaar1</f>
        <v>0</v>
      </c>
      <c r="N46" s="37">
        <f>M46*ROUND(J46,2)</f>
        <v>0</v>
      </c>
    </row>
    <row r="47" spans="1:14" x14ac:dyDescent="0.2">
      <c r="A47" s="20" t="s">
        <v>267</v>
      </c>
      <c r="B47" s="20" t="s">
        <v>10</v>
      </c>
      <c r="C47" s="20" t="s">
        <v>201</v>
      </c>
      <c r="D47" s="20" t="s">
        <v>268</v>
      </c>
      <c r="E47" s="34">
        <v>17671.54</v>
      </c>
      <c r="F47" s="34">
        <f>E47*VLOOKUP(B47,dagsoorttabel1,2,FALSE)</f>
        <v>17671.54</v>
      </c>
      <c r="G47" s="35">
        <f>IF(AND(catpn_1_VHB_1&gt;0,catpn_1_VHV_40&gt;0),(dagenperjaar1*VLOOKUP(B47,dagsoorttabel1,2,FALSE))/(((dagenperjaar1*VLOOKUP(B47,dagsoorttabel1,2,FALSE))-catfd_1_VHV_40)/catpn_1_VHB_1+catfd_1_VHV_40/catpn_1_VHV_40),0)</f>
        <v>0</v>
      </c>
      <c r="H47" s="36">
        <f>IF(AND(catpn_1_VHB_1&gt;0,catpn_1_VHV_40&gt;0),(catdw_1_VHB_1*((dagenperjaar1*VLOOKUP(B47,dagsoorttabel1,2,FALSE))-catfd_1_VHV_40)/catpn_1_VHB_1+catdw_1_VHV_40*catfd_1_VHV_40/catpn_1_VHV_40)/(((dagenperjaar1*VLOOKUP(B47,dagsoorttabel1,2,FALSE))-catfd_1_VHV_40)/catpn_1_VHB_1+catfd_1_VHV_40/catpn_1_VHV_40),0)</f>
        <v>0</v>
      </c>
      <c r="I47" s="20" t="s">
        <v>38</v>
      </c>
      <c r="J47" s="37">
        <f>IF(AND(catpn_1_VHB_1&gt;0,catpn_1_VHV_40&gt;0),(cattf_1_VHB_1*((dagenperjaar1*VLOOKUP(B47,dagsoorttabel1,2,FALSE))-catfd_1_VHV_40)/catpn_1_VHB_1+cattf_1_VHV_40*catfd_1_VHV_40/catpn_1_VHV_40)/(((dagenperjaar1*VLOOKUP(B47,dagsoorttabel1,2,FALSE))-catfd_1_VHV_40)/catpn_1_VHB_1+catfd_1_VHV_40/catpn_1_VHV_40),0)</f>
        <v>0</v>
      </c>
      <c r="K47" s="34">
        <f>IF(OR(ISBLANK(G47),G47=0),0,F47/ROUND(G47,4))</f>
        <v>0</v>
      </c>
      <c r="L47" s="37">
        <f>ROUND(J47,2)*K47</f>
        <v>0</v>
      </c>
      <c r="M47" s="34">
        <f>K47*dagenperjaar1</f>
        <v>0</v>
      </c>
      <c r="N47" s="37">
        <f>M47*ROUND(J47,2)</f>
        <v>0</v>
      </c>
    </row>
    <row r="48" spans="1:14" x14ac:dyDescent="0.2">
      <c r="A48" s="20" t="s">
        <v>267</v>
      </c>
      <c r="B48" s="20" t="s">
        <v>16</v>
      </c>
      <c r="C48" s="20" t="s">
        <v>201</v>
      </c>
      <c r="D48" s="20" t="s">
        <v>268</v>
      </c>
      <c r="E48" s="34">
        <v>169.9</v>
      </c>
      <c r="F48" s="34">
        <f>E48*VLOOKUP(B48,dagsoorttabel1,2,FALSE)</f>
        <v>33.980000000000004</v>
      </c>
      <c r="G48" s="35">
        <f>IF(AND(catpn_1_VHB_1&gt;0,catpn_1_VHV_40&gt;0),(dagenperjaar1*VLOOKUP(B48,dagsoorttabel1,2,FALSE))/(((dagenperjaar1*VLOOKUP(B48,dagsoorttabel1,2,FALSE))-catfd_1_VHV_40)/catpn_1_VHB_1+catfd_1_VHV_40/catpn_1_VHV_40),0)</f>
        <v>0</v>
      </c>
      <c r="H48" s="36">
        <f>IF(AND(catpn_1_VHB_1&gt;0,catpn_1_VHV_40&gt;0),(catdw_1_VHB_1*((dagenperjaar1*VLOOKUP(B48,dagsoorttabel1,2,FALSE))-catfd_1_VHV_40)/catpn_1_VHB_1+catdw_1_VHV_40*catfd_1_VHV_40/catpn_1_VHV_40)/(((dagenperjaar1*VLOOKUP(B48,dagsoorttabel1,2,FALSE))-catfd_1_VHV_40)/catpn_1_VHB_1+catfd_1_VHV_40/catpn_1_VHV_40),0)</f>
        <v>0</v>
      </c>
      <c r="I48" s="20" t="s">
        <v>38</v>
      </c>
      <c r="J48" s="37">
        <f>IF(AND(catpn_1_VHB_1&gt;0,catpn_1_VHV_40&gt;0),(cattf_1_VHB_1*((dagenperjaar1*VLOOKUP(B48,dagsoorttabel1,2,FALSE))-catfd_1_VHV_40)/catpn_1_VHB_1+cattf_1_VHV_40*catfd_1_VHV_40/catpn_1_VHV_40)/(((dagenperjaar1*VLOOKUP(B48,dagsoorttabel1,2,FALSE))-catfd_1_VHV_40)/catpn_1_VHB_1+catfd_1_VHV_40/catpn_1_VHV_40),0)</f>
        <v>0</v>
      </c>
      <c r="K48" s="34">
        <f>IF(OR(ISBLANK(G48),G48=0),0,F48/ROUND(G48,4))</f>
        <v>0</v>
      </c>
      <c r="L48" s="37">
        <f>ROUND(J48,2)*K48</f>
        <v>0</v>
      </c>
      <c r="M48" s="34">
        <f>K48*dagenperjaar1</f>
        <v>0</v>
      </c>
      <c r="N48" s="37">
        <f>M48*ROUND(J48,2)</f>
        <v>0</v>
      </c>
    </row>
    <row r="49" spans="1:14" x14ac:dyDescent="0.2">
      <c r="A49" s="20" t="s">
        <v>269</v>
      </c>
      <c r="B49" s="20" t="s">
        <v>10</v>
      </c>
      <c r="C49" s="20" t="s">
        <v>201</v>
      </c>
      <c r="D49" s="20" t="s">
        <v>270</v>
      </c>
      <c r="E49" s="34">
        <v>819.15999999999985</v>
      </c>
      <c r="F49" s="34">
        <f>E49*VLOOKUP(B49,dagsoorttabel1,2,FALSE)</f>
        <v>819.15999999999985</v>
      </c>
      <c r="G49" s="35">
        <f>IF(AND(catpn_1_VZB_1&gt;0,catpn_1_VZV_40&gt;0),(dagenperjaar1*VLOOKUP(B49,dagsoorttabel1,2,FALSE))/(((dagenperjaar1*VLOOKUP(B49,dagsoorttabel1,2,FALSE))-catfd_1_VZV_40)/catpn_1_VZB_1+catfd_1_VZV_40/catpn_1_VZV_40),0)</f>
        <v>0</v>
      </c>
      <c r="H49" s="36">
        <f>IF(AND(catpn_1_VZB_1&gt;0,catpn_1_VZV_40&gt;0),(catdw_1_VZB_1*((dagenperjaar1*VLOOKUP(B49,dagsoorttabel1,2,FALSE))-catfd_1_VZV_40)/catpn_1_VZB_1+catdw_1_VZV_40*catfd_1_VZV_40/catpn_1_VZV_40)/(((dagenperjaar1*VLOOKUP(B49,dagsoorttabel1,2,FALSE))-catfd_1_VZV_40)/catpn_1_VZB_1+catfd_1_VZV_40/catpn_1_VZV_40),0)</f>
        <v>0</v>
      </c>
      <c r="I49" s="20" t="s">
        <v>38</v>
      </c>
      <c r="J49" s="37">
        <f>IF(AND(catpn_1_VZB_1&gt;0,catpn_1_VZV_40&gt;0),(cattf_1_VZB_1*((dagenperjaar1*VLOOKUP(B49,dagsoorttabel1,2,FALSE))-catfd_1_VZV_40)/catpn_1_VZB_1+cattf_1_VZV_40*catfd_1_VZV_40/catpn_1_VZV_40)/(((dagenperjaar1*VLOOKUP(B49,dagsoorttabel1,2,FALSE))-catfd_1_VZV_40)/catpn_1_VZB_1+catfd_1_VZV_40/catpn_1_VZV_40),0)</f>
        <v>0</v>
      </c>
      <c r="K49" s="34">
        <f>IF(OR(ISBLANK(G49),G49=0),0,F49/ROUND(G49,4))</f>
        <v>0</v>
      </c>
      <c r="L49" s="37">
        <f>ROUND(J49,2)*K49</f>
        <v>0</v>
      </c>
      <c r="M49" s="34">
        <f>K49*dagenperjaar1</f>
        <v>0</v>
      </c>
      <c r="N49" s="37">
        <f>M49*ROUND(J49,2)</f>
        <v>0</v>
      </c>
    </row>
    <row r="50" spans="1:14" x14ac:dyDescent="0.2">
      <c r="A50" s="20" t="s">
        <v>271</v>
      </c>
      <c r="B50" s="20" t="s">
        <v>10</v>
      </c>
      <c r="C50" s="20" t="s">
        <v>201</v>
      </c>
      <c r="D50" s="20" t="s">
        <v>272</v>
      </c>
      <c r="E50" s="34">
        <v>77</v>
      </c>
      <c r="F50" s="34">
        <f>E50*VLOOKUP(B50,dagsoorttabel1,2,FALSE)</f>
        <v>77</v>
      </c>
      <c r="G50" s="35">
        <f>IF(AND(catpn_1_WPHB_1&gt;0,catpn_1_WPHV_40&gt;0),(dagenperjaar1*VLOOKUP(B50,dagsoorttabel1,2,FALSE))/(((dagenperjaar1*VLOOKUP(B50,dagsoorttabel1,2,FALSE))-catfd_1_WPHV_40)/catpn_1_WPHB_1+catfd_1_WPHV_40/catpn_1_WPHV_40),0)</f>
        <v>0</v>
      </c>
      <c r="H50" s="36">
        <f>IF(AND(catpn_1_WPHB_1&gt;0,catpn_1_WPHV_40&gt;0),(catdw_1_WPHB_1*((dagenperjaar1*VLOOKUP(B50,dagsoorttabel1,2,FALSE))-catfd_1_WPHV_40)/catpn_1_WPHB_1+catdw_1_WPHV_40*catfd_1_WPHV_40/catpn_1_WPHV_40)/(((dagenperjaar1*VLOOKUP(B50,dagsoorttabel1,2,FALSE))-catfd_1_WPHV_40)/catpn_1_WPHB_1+catfd_1_WPHV_40/catpn_1_WPHV_40),0)</f>
        <v>0</v>
      </c>
      <c r="I50" s="20" t="s">
        <v>38</v>
      </c>
      <c r="J50" s="37">
        <f>IF(AND(catpn_1_WPHB_1&gt;0,catpn_1_WPHV_40&gt;0),(cattf_1_WPHB_1*((dagenperjaar1*VLOOKUP(B50,dagsoorttabel1,2,FALSE))-catfd_1_WPHV_40)/catpn_1_WPHB_1+cattf_1_WPHV_40*catfd_1_WPHV_40/catpn_1_WPHV_40)/(((dagenperjaar1*VLOOKUP(B50,dagsoorttabel1,2,FALSE))-catfd_1_WPHV_40)/catpn_1_WPHB_1+catfd_1_WPHV_40/catpn_1_WPHV_40),0)</f>
        <v>0</v>
      </c>
      <c r="K50" s="34">
        <f>IF(OR(ISBLANK(G50),G50=0),0,F50/ROUND(G50,4))</f>
        <v>0</v>
      </c>
      <c r="L50" s="37">
        <f>ROUND(J50,2)*K50</f>
        <v>0</v>
      </c>
      <c r="M50" s="34">
        <f>K50*dagenperjaar1</f>
        <v>0</v>
      </c>
      <c r="N50" s="37">
        <f>M50*ROUND(J50,2)</f>
        <v>0</v>
      </c>
    </row>
    <row r="51" spans="1:14" x14ac:dyDescent="0.2">
      <c r="A51" s="20" t="s">
        <v>273</v>
      </c>
      <c r="B51" s="20" t="s">
        <v>16</v>
      </c>
      <c r="C51" s="20" t="s">
        <v>274</v>
      </c>
      <c r="D51" s="20" t="s">
        <v>275</v>
      </c>
      <c r="E51" s="34">
        <v>3893.4699999999993</v>
      </c>
      <c r="F51" s="34">
        <f>E51*VLOOKUP(B51,dagsoorttabel1,2,FALSE)</f>
        <v>778.69399999999996</v>
      </c>
      <c r="G51" s="38"/>
      <c r="H51" s="23"/>
      <c r="I51" s="20" t="s">
        <v>38</v>
      </c>
      <c r="J51" s="24"/>
      <c r="K51" s="34">
        <f>IF(OR(ISBLANK(G51),G51=0),0,F51/ROUND(G51,4))</f>
        <v>0</v>
      </c>
      <c r="L51" s="37">
        <f>ROUND(J51,2)*K51</f>
        <v>0</v>
      </c>
      <c r="M51" s="34">
        <f>K51*dagenperjaar1</f>
        <v>0</v>
      </c>
      <c r="N51" s="37">
        <f>M51*ROUND(J51,2)</f>
        <v>0</v>
      </c>
    </row>
    <row r="52" spans="1:14" x14ac:dyDescent="0.2">
      <c r="A52" s="20" t="s">
        <v>276</v>
      </c>
      <c r="B52" s="20" t="s">
        <v>10</v>
      </c>
      <c r="C52" s="20" t="s">
        <v>274</v>
      </c>
      <c r="D52" s="20" t="s">
        <v>277</v>
      </c>
      <c r="E52" s="34">
        <v>20</v>
      </c>
      <c r="F52" s="34">
        <f>E52*VLOOKUP(B52,dagsoorttabel1,2,FALSE)</f>
        <v>20</v>
      </c>
      <c r="G52" s="38"/>
      <c r="H52" s="23"/>
      <c r="I52" s="20" t="s">
        <v>278</v>
      </c>
      <c r="J52" s="24"/>
      <c r="K52" s="34">
        <f>F52*ROUND(G52,4)/60</f>
        <v>0</v>
      </c>
      <c r="L52" s="37">
        <f>ROUND(J52,2)*K52</f>
        <v>0</v>
      </c>
      <c r="M52" s="34">
        <f>K52*dagenperjaar1</f>
        <v>0</v>
      </c>
      <c r="N52" s="37">
        <f>M52*ROUND(J52,2)</f>
        <v>0</v>
      </c>
    </row>
    <row r="53" spans="1:14" x14ac:dyDescent="0.2">
      <c r="A53" s="20" t="s">
        <v>279</v>
      </c>
      <c r="B53" s="20" t="s">
        <v>14</v>
      </c>
      <c r="C53" s="20" t="s">
        <v>274</v>
      </c>
      <c r="D53" s="20" t="s">
        <v>280</v>
      </c>
      <c r="E53" s="34">
        <v>20</v>
      </c>
      <c r="F53" s="34">
        <f>E53*VLOOKUP(B53,dagsoorttabel1,2,FALSE)</f>
        <v>8</v>
      </c>
      <c r="G53" s="38"/>
      <c r="H53" s="23"/>
      <c r="I53" s="20" t="s">
        <v>278</v>
      </c>
      <c r="J53" s="24"/>
      <c r="K53" s="34">
        <f>F53*ROUND(G53,4)/60</f>
        <v>0</v>
      </c>
      <c r="L53" s="37">
        <f>ROUND(J53,2)*K53</f>
        <v>0</v>
      </c>
      <c r="M53" s="34">
        <f>K53*dagenperjaar1</f>
        <v>0</v>
      </c>
      <c r="N53" s="37">
        <f>M53*ROUND(J53,2)</f>
        <v>0</v>
      </c>
    </row>
    <row r="54" spans="1:14" x14ac:dyDescent="0.2">
      <c r="A54" s="20" t="s">
        <v>281</v>
      </c>
      <c r="B54" s="20" t="s">
        <v>10</v>
      </c>
      <c r="C54" s="20" t="s">
        <v>274</v>
      </c>
      <c r="D54" s="20" t="s">
        <v>282</v>
      </c>
      <c r="E54" s="34">
        <v>80</v>
      </c>
      <c r="F54" s="34">
        <f>E54*VLOOKUP(B54,dagsoorttabel1,2,FALSE)</f>
        <v>80</v>
      </c>
      <c r="G54" s="38"/>
      <c r="H54" s="23"/>
      <c r="I54" s="20" t="s">
        <v>38</v>
      </c>
      <c r="J54" s="24"/>
      <c r="K54" s="34">
        <f>IF(OR(ISBLANK(G54),G54=0),0,F54/ROUND(G54,4))</f>
        <v>0</v>
      </c>
      <c r="L54" s="37">
        <f>ROUND(J54,2)*K54</f>
        <v>0</v>
      </c>
      <c r="M54" s="34">
        <f>K54*dagenperjaar1</f>
        <v>0</v>
      </c>
      <c r="N54" s="37">
        <f>M54*ROUND(J54,2)</f>
        <v>0</v>
      </c>
    </row>
    <row r="55" spans="1:14" x14ac:dyDescent="0.2">
      <c r="A55" s="20" t="s">
        <v>283</v>
      </c>
      <c r="B55" s="20" t="s">
        <v>10</v>
      </c>
      <c r="C55" s="20" t="s">
        <v>274</v>
      </c>
      <c r="D55" s="20" t="s">
        <v>284</v>
      </c>
      <c r="E55" s="34">
        <v>3</v>
      </c>
      <c r="F55" s="34">
        <f>E55*VLOOKUP(B55,dagsoorttabel1,2,FALSE)</f>
        <v>3</v>
      </c>
      <c r="G55" s="35"/>
      <c r="H55" s="23"/>
      <c r="I55" s="20" t="s">
        <v>285</v>
      </c>
      <c r="J55" s="24"/>
      <c r="K55" s="34">
        <f>F55</f>
        <v>3</v>
      </c>
      <c r="L55" s="37">
        <f>ROUND(J55,2)*K55</f>
        <v>0</v>
      </c>
      <c r="M55" s="34">
        <f>K55*dagenperjaar1</f>
        <v>600</v>
      </c>
      <c r="N55" s="37">
        <f>M55*ROUND(J55,2)</f>
        <v>0</v>
      </c>
    </row>
    <row r="56" spans="1:14" x14ac:dyDescent="0.2">
      <c r="A56" s="20" t="s">
        <v>286</v>
      </c>
      <c r="B56" s="20" t="s">
        <v>19</v>
      </c>
      <c r="C56" s="20" t="s">
        <v>274</v>
      </c>
      <c r="D56" s="20" t="s">
        <v>287</v>
      </c>
      <c r="E56" s="34">
        <v>915.5</v>
      </c>
      <c r="F56" s="34">
        <f>E56*VLOOKUP(B56,dagsoorttabel1,2,FALSE)</f>
        <v>45.775000000000006</v>
      </c>
      <c r="G56" s="38"/>
      <c r="H56" s="23"/>
      <c r="I56" s="20" t="s">
        <v>38</v>
      </c>
      <c r="J56" s="24"/>
      <c r="K56" s="34">
        <f>IF(OR(ISBLANK(G56),G56=0),0,F56/ROUND(G56,4))</f>
        <v>0</v>
      </c>
      <c r="L56" s="37">
        <f>ROUND(J56,2)*K56</f>
        <v>0</v>
      </c>
      <c r="M56" s="34">
        <f>K56*dagenperjaar1</f>
        <v>0</v>
      </c>
      <c r="N56" s="37">
        <f>M56*ROUND(J56,2)</f>
        <v>0</v>
      </c>
    </row>
    <row r="57" spans="1:14" x14ac:dyDescent="0.2">
      <c r="A57" s="20" t="s">
        <v>288</v>
      </c>
      <c r="B57" s="20" t="s">
        <v>10</v>
      </c>
      <c r="C57" s="20" t="s">
        <v>274</v>
      </c>
      <c r="D57" s="20" t="s">
        <v>289</v>
      </c>
      <c r="E57" s="34">
        <v>3</v>
      </c>
      <c r="F57" s="34">
        <f>E57*VLOOKUP(B57,dagsoorttabel1,2,FALSE)</f>
        <v>3</v>
      </c>
      <c r="G57" s="38"/>
      <c r="H57" s="23"/>
      <c r="I57" s="20" t="s">
        <v>278</v>
      </c>
      <c r="J57" s="24"/>
      <c r="K57" s="34">
        <f>F57*ROUND(G57,4)/60</f>
        <v>0</v>
      </c>
      <c r="L57" s="37">
        <f>ROUND(J57,2)*K57</f>
        <v>0</v>
      </c>
      <c r="M57" s="34">
        <f>K57*dagenperjaar1</f>
        <v>0</v>
      </c>
      <c r="N57" s="37">
        <f>M57*ROUND(J57,2)</f>
        <v>0</v>
      </c>
    </row>
    <row r="58" spans="1:14" x14ac:dyDescent="0.2">
      <c r="A58" s="20" t="s">
        <v>290</v>
      </c>
      <c r="B58" s="20" t="s">
        <v>25</v>
      </c>
      <c r="C58" s="20" t="s">
        <v>274</v>
      </c>
      <c r="D58" s="20" t="s">
        <v>291</v>
      </c>
      <c r="E58" s="34">
        <v>38</v>
      </c>
      <c r="F58" s="34">
        <f>E58*VLOOKUP(B58,dagsoorttabel1,2,FALSE)</f>
        <v>0.19</v>
      </c>
      <c r="G58" s="38"/>
      <c r="H58" s="23"/>
      <c r="I58" s="20" t="s">
        <v>278</v>
      </c>
      <c r="J58" s="24"/>
      <c r="K58" s="34">
        <f>F58*ROUND(G58,4)/60</f>
        <v>0</v>
      </c>
      <c r="L58" s="37">
        <f>ROUND(J58,2)*K58</f>
        <v>0</v>
      </c>
      <c r="M58" s="34">
        <f>K58*dagenperjaar1</f>
        <v>0</v>
      </c>
      <c r="N58" s="37">
        <f>M58*ROUND(J58,2)</f>
        <v>0</v>
      </c>
    </row>
    <row r="59" spans="1:14" x14ac:dyDescent="0.2">
      <c r="A59" s="20" t="s">
        <v>292</v>
      </c>
      <c r="B59" s="20" t="s">
        <v>24</v>
      </c>
      <c r="C59" s="20" t="s">
        <v>274</v>
      </c>
      <c r="D59" s="20" t="s">
        <v>293</v>
      </c>
      <c r="E59" s="34">
        <v>3</v>
      </c>
      <c r="F59" s="34">
        <f>E59*VLOOKUP(B59,dagsoorttabel1,2,FALSE)</f>
        <v>0.03</v>
      </c>
      <c r="G59" s="38"/>
      <c r="H59" s="23"/>
      <c r="I59" s="20" t="s">
        <v>278</v>
      </c>
      <c r="J59" s="24"/>
      <c r="K59" s="34">
        <f>F59*ROUND(G59,4)/60</f>
        <v>0</v>
      </c>
      <c r="L59" s="37">
        <f>ROUND(J59,2)*K59</f>
        <v>0</v>
      </c>
      <c r="M59" s="34">
        <f>K59*dagenperjaar1</f>
        <v>0</v>
      </c>
      <c r="N59" s="37">
        <f>M59*ROUND(J59,2)</f>
        <v>0</v>
      </c>
    </row>
    <row r="60" spans="1:14" x14ac:dyDescent="0.2">
      <c r="A60" s="20" t="s">
        <v>294</v>
      </c>
      <c r="B60" s="20" t="s">
        <v>19</v>
      </c>
      <c r="C60" s="20" t="s">
        <v>274</v>
      </c>
      <c r="D60" s="20" t="s">
        <v>295</v>
      </c>
      <c r="E60" s="34">
        <v>70</v>
      </c>
      <c r="F60" s="34">
        <f>E60*VLOOKUP(B60,dagsoorttabel1,2,FALSE)</f>
        <v>3.5</v>
      </c>
      <c r="G60" s="38"/>
      <c r="H60" s="23"/>
      <c r="I60" s="20" t="s">
        <v>38</v>
      </c>
      <c r="J60" s="24"/>
      <c r="K60" s="34">
        <f>IF(OR(ISBLANK(G60),G60=0),0,F60/ROUND(G60,4))</f>
        <v>0</v>
      </c>
      <c r="L60" s="37">
        <f>ROUND(J60,2)*K60</f>
        <v>0</v>
      </c>
      <c r="M60" s="34">
        <f>K60*dagenperjaar1</f>
        <v>0</v>
      </c>
      <c r="N60" s="37">
        <f>M60*ROUND(J60,2)</f>
        <v>0</v>
      </c>
    </row>
    <row r="61" spans="1:14" x14ac:dyDescent="0.2">
      <c r="A61" s="20" t="s">
        <v>296</v>
      </c>
      <c r="B61" s="20" t="s">
        <v>24</v>
      </c>
      <c r="C61" s="20" t="s">
        <v>274</v>
      </c>
      <c r="D61" s="20" t="s">
        <v>297</v>
      </c>
      <c r="E61" s="34">
        <v>1</v>
      </c>
      <c r="F61" s="34">
        <f>E61*VLOOKUP(B61,dagsoorttabel1,2,FALSE)</f>
        <v>0.01</v>
      </c>
      <c r="G61" s="38"/>
      <c r="H61" s="23"/>
      <c r="I61" s="20" t="s">
        <v>278</v>
      </c>
      <c r="J61" s="24"/>
      <c r="K61" s="34">
        <f>F61*ROUND(G61,4)/60</f>
        <v>0</v>
      </c>
      <c r="L61" s="37">
        <f>ROUND(J61,2)*K61</f>
        <v>0</v>
      </c>
      <c r="M61" s="34">
        <f>K61*dagenperjaar1</f>
        <v>0</v>
      </c>
      <c r="N61" s="37">
        <f>M61*ROUND(J61,2)</f>
        <v>0</v>
      </c>
    </row>
    <row r="62" spans="1:14" x14ac:dyDescent="0.2">
      <c r="A62" s="25" t="s">
        <v>298</v>
      </c>
      <c r="B62" s="25" t="s">
        <v>18</v>
      </c>
      <c r="C62" s="25" t="s">
        <v>274</v>
      </c>
      <c r="D62" s="25" t="s">
        <v>299</v>
      </c>
      <c r="E62" s="39">
        <v>1</v>
      </c>
      <c r="F62" s="39">
        <f>E62*VLOOKUP(B62,dagsoorttabel1,2,FALSE)</f>
        <v>0.06</v>
      </c>
      <c r="G62" s="40"/>
      <c r="H62" s="28"/>
      <c r="I62" s="25" t="s">
        <v>278</v>
      </c>
      <c r="J62" s="29"/>
      <c r="K62" s="39">
        <f>F62*ROUND(G62,4)/60</f>
        <v>0</v>
      </c>
      <c r="L62" s="41">
        <f>ROUND(J62,2)*K62</f>
        <v>0</v>
      </c>
      <c r="M62" s="39">
        <f>K62*dagenperjaar1</f>
        <v>0</v>
      </c>
      <c r="N62" s="41">
        <f>M62*ROUND(J62,2)</f>
        <v>0</v>
      </c>
    </row>
    <row r="63" spans="1:14" x14ac:dyDescent="0.2">
      <c r="A63" s="43" t="s">
        <v>300</v>
      </c>
      <c r="B63" s="44"/>
      <c r="C63" s="44"/>
      <c r="D63" s="44"/>
      <c r="E63" s="44"/>
      <c r="F63" s="44"/>
      <c r="G63" s="44"/>
      <c r="H63" s="44"/>
      <c r="I63" s="44"/>
      <c r="J63" s="44"/>
      <c r="K63" s="45">
        <f>SUM(K6:K62)</f>
        <v>3</v>
      </c>
      <c r="L63" s="46">
        <f>SUM(L6:L62)</f>
        <v>0</v>
      </c>
      <c r="M63" s="45">
        <f>SUM(M6:M62)</f>
        <v>600</v>
      </c>
      <c r="N63" s="47">
        <f>SUM(N6:N62)</f>
        <v>0</v>
      </c>
    </row>
    <row r="64" spans="1:14" x14ac:dyDescent="0.2">
      <c r="A64" s="48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9"/>
    </row>
    <row r="65" spans="1:14" x14ac:dyDescent="0.2">
      <c r="A65" s="43" t="s">
        <v>301</v>
      </c>
      <c r="B65" s="44"/>
      <c r="C65" s="44"/>
      <c r="D65" s="44"/>
      <c r="E65" s="44"/>
      <c r="F65" s="44"/>
      <c r="G65" s="44"/>
      <c r="H65" s="44"/>
      <c r="I65" s="44"/>
      <c r="J65" s="46">
        <f>IF(urenjaar1&gt;0,SUMIF(M6:M62,"&gt;0",N6:N62)/urenjaar1,0)</f>
        <v>0</v>
      </c>
      <c r="K65" s="44"/>
      <c r="L65" s="44"/>
      <c r="M65" s="44"/>
      <c r="N65" s="49"/>
    </row>
    <row r="66" spans="1:14" x14ac:dyDescent="0.2">
      <c r="A66" s="48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9"/>
    </row>
    <row r="67" spans="1:14" x14ac:dyDescent="0.2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1"/>
    </row>
    <row r="68" spans="1:14" x14ac:dyDescent="0.2">
      <c r="A68" s="12" t="s">
        <v>183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4"/>
    </row>
    <row r="69" spans="1:14" x14ac:dyDescent="0.2">
      <c r="A69" s="15" t="s">
        <v>302</v>
      </c>
      <c r="B69" s="15" t="s">
        <v>21</v>
      </c>
      <c r="C69" s="15" t="s">
        <v>201</v>
      </c>
      <c r="D69" s="15" t="s">
        <v>206</v>
      </c>
      <c r="E69" s="30">
        <v>803.82</v>
      </c>
      <c r="F69" s="30">
        <f>E69*VLOOKUP(B69,dagsoorttabel1,2,FALSE)</f>
        <v>20.095500000000001</v>
      </c>
      <c r="G69" s="31">
        <f>catpn_3_VBHB_1</f>
        <v>0</v>
      </c>
      <c r="H69" s="32">
        <f>catdw_3_VBHB_1</f>
        <v>0</v>
      </c>
      <c r="I69" s="15" t="s">
        <v>38</v>
      </c>
      <c r="J69" s="33">
        <f>cattf_3_VBHB_1</f>
        <v>0</v>
      </c>
      <c r="K69" s="30">
        <f>IF(OR(ISBLANK(G69),G69=0),0,F69/ROUND(G69,4))</f>
        <v>0</v>
      </c>
      <c r="L69" s="33">
        <f>ROUND(J69,2)*K69</f>
        <v>0</v>
      </c>
      <c r="M69" s="30">
        <f>K69*dagenperjaar1</f>
        <v>0</v>
      </c>
      <c r="N69" s="33">
        <f>M69*ROUND(J69,2)</f>
        <v>0</v>
      </c>
    </row>
    <row r="70" spans="1:14" x14ac:dyDescent="0.2">
      <c r="A70" s="20" t="s">
        <v>303</v>
      </c>
      <c r="B70" s="20" t="s">
        <v>21</v>
      </c>
      <c r="C70" s="20" t="s">
        <v>201</v>
      </c>
      <c r="D70" s="20" t="s">
        <v>208</v>
      </c>
      <c r="E70" s="34">
        <v>215.6</v>
      </c>
      <c r="F70" s="34">
        <f>E70*VLOOKUP(B70,dagsoorttabel1,2,FALSE)</f>
        <v>5.3900000000000006</v>
      </c>
      <c r="G70" s="35">
        <f>catpn_3_VBZB_1</f>
        <v>0</v>
      </c>
      <c r="H70" s="36">
        <f>catdw_3_VBZB_1</f>
        <v>0</v>
      </c>
      <c r="I70" s="20" t="s">
        <v>38</v>
      </c>
      <c r="J70" s="37">
        <f>cattf_3_VBZB_1</f>
        <v>0</v>
      </c>
      <c r="K70" s="34">
        <f>IF(OR(ISBLANK(G70),G70=0),0,F70/ROUND(G70,4))</f>
        <v>0</v>
      </c>
      <c r="L70" s="37">
        <f>ROUND(J70,2)*K70</f>
        <v>0</v>
      </c>
      <c r="M70" s="34">
        <f>K70*dagenperjaar1</f>
        <v>0</v>
      </c>
      <c r="N70" s="37">
        <f>M70*ROUND(J70,2)</f>
        <v>0</v>
      </c>
    </row>
    <row r="71" spans="1:14" x14ac:dyDescent="0.2">
      <c r="A71" s="20" t="s">
        <v>304</v>
      </c>
      <c r="B71" s="20" t="s">
        <v>21</v>
      </c>
      <c r="C71" s="20" t="s">
        <v>201</v>
      </c>
      <c r="D71" s="20" t="s">
        <v>216</v>
      </c>
      <c r="E71" s="34">
        <v>82.83</v>
      </c>
      <c r="F71" s="34">
        <f>E71*VLOOKUP(B71,dagsoorttabel1,2,FALSE)</f>
        <v>2.0707499999999999</v>
      </c>
      <c r="G71" s="35">
        <f>catpn_3_VEHB_1</f>
        <v>0</v>
      </c>
      <c r="H71" s="36">
        <f>catdw_3_VEHB_1</f>
        <v>0</v>
      </c>
      <c r="I71" s="20" t="s">
        <v>38</v>
      </c>
      <c r="J71" s="37">
        <f>cattf_3_VEHB_1</f>
        <v>0</v>
      </c>
      <c r="K71" s="34">
        <f>IF(OR(ISBLANK(G71),G71=0),0,F71/ROUND(G71,4))</f>
        <v>0</v>
      </c>
      <c r="L71" s="37">
        <f>ROUND(J71,2)*K71</f>
        <v>0</v>
      </c>
      <c r="M71" s="34">
        <f>K71*dagenperjaar1</f>
        <v>0</v>
      </c>
      <c r="N71" s="37">
        <f>M71*ROUND(J71,2)</f>
        <v>0</v>
      </c>
    </row>
    <row r="72" spans="1:14" x14ac:dyDescent="0.2">
      <c r="A72" s="20" t="s">
        <v>305</v>
      </c>
      <c r="B72" s="20" t="s">
        <v>21</v>
      </c>
      <c r="C72" s="20" t="s">
        <v>201</v>
      </c>
      <c r="D72" s="20" t="s">
        <v>256</v>
      </c>
      <c r="E72" s="34">
        <v>194.51</v>
      </c>
      <c r="F72" s="34">
        <f>E72*VLOOKUP(B72,dagsoorttabel1,2,FALSE)</f>
        <v>4.8627500000000001</v>
      </c>
      <c r="G72" s="35">
        <f>catpn_3_VSHB_1</f>
        <v>0</v>
      </c>
      <c r="H72" s="36">
        <f>catdw_3_VSHB_1</f>
        <v>0</v>
      </c>
      <c r="I72" s="20" t="s">
        <v>38</v>
      </c>
      <c r="J72" s="37">
        <f>cattf_3_VSHB_1</f>
        <v>0</v>
      </c>
      <c r="K72" s="34">
        <f>IF(OR(ISBLANK(G72),G72=0),0,F72/ROUND(G72,4))</f>
        <v>0</v>
      </c>
      <c r="L72" s="37">
        <f>ROUND(J72,2)*K72</f>
        <v>0</v>
      </c>
      <c r="M72" s="34">
        <f>K72*dagenperjaar1</f>
        <v>0</v>
      </c>
      <c r="N72" s="37">
        <f>M72*ROUND(J72,2)</f>
        <v>0</v>
      </c>
    </row>
    <row r="73" spans="1:14" x14ac:dyDescent="0.2">
      <c r="A73" s="20" t="s">
        <v>306</v>
      </c>
      <c r="B73" s="20" t="s">
        <v>21</v>
      </c>
      <c r="C73" s="20" t="s">
        <v>201</v>
      </c>
      <c r="D73" s="20" t="s">
        <v>307</v>
      </c>
      <c r="E73" s="34">
        <v>73.16</v>
      </c>
      <c r="F73" s="34">
        <f>E73*VLOOKUP(B73,dagsoorttabel1,2,FALSE)</f>
        <v>1.829</v>
      </c>
      <c r="G73" s="35">
        <f>catpn_3_VTHB_1</f>
        <v>0</v>
      </c>
      <c r="H73" s="36">
        <f>catdw_3_VTHB_1</f>
        <v>0</v>
      </c>
      <c r="I73" s="20" t="s">
        <v>38</v>
      </c>
      <c r="J73" s="37">
        <f>cattf_3_VTHB_1</f>
        <v>0</v>
      </c>
      <c r="K73" s="34">
        <f>IF(OR(ISBLANK(G73),G73=0),0,F73/ROUND(G73,4))</f>
        <v>0</v>
      </c>
      <c r="L73" s="37">
        <f>ROUND(J73,2)*K73</f>
        <v>0</v>
      </c>
      <c r="M73" s="34">
        <f>K73*dagenperjaar1</f>
        <v>0</v>
      </c>
      <c r="N73" s="37">
        <f>M73*ROUND(J73,2)</f>
        <v>0</v>
      </c>
    </row>
    <row r="74" spans="1:14" x14ac:dyDescent="0.2">
      <c r="A74" s="20" t="s">
        <v>308</v>
      </c>
      <c r="B74" s="20" t="s">
        <v>21</v>
      </c>
      <c r="C74" s="20" t="s">
        <v>201</v>
      </c>
      <c r="D74" s="20" t="s">
        <v>268</v>
      </c>
      <c r="E74" s="34">
        <v>1768.66</v>
      </c>
      <c r="F74" s="34">
        <f>E74*VLOOKUP(B74,dagsoorttabel1,2,FALSE)</f>
        <v>44.216500000000003</v>
      </c>
      <c r="G74" s="35">
        <f>catpn_3_VVHB_1</f>
        <v>0</v>
      </c>
      <c r="H74" s="36">
        <f>catdw_3_VVHB_1</f>
        <v>0</v>
      </c>
      <c r="I74" s="20" t="s">
        <v>38</v>
      </c>
      <c r="J74" s="37">
        <f>cattf_3_VVHB_1</f>
        <v>0</v>
      </c>
      <c r="K74" s="34">
        <f>IF(OR(ISBLANK(G74),G74=0),0,F74/ROUND(G74,4))</f>
        <v>0</v>
      </c>
      <c r="L74" s="37">
        <f>ROUND(J74,2)*K74</f>
        <v>0</v>
      </c>
      <c r="M74" s="34">
        <f>K74*dagenperjaar1</f>
        <v>0</v>
      </c>
      <c r="N74" s="37">
        <f>M74*ROUND(J74,2)</f>
        <v>0</v>
      </c>
    </row>
    <row r="75" spans="1:14" x14ac:dyDescent="0.2">
      <c r="A75" s="25" t="s">
        <v>309</v>
      </c>
      <c r="B75" s="25" t="s">
        <v>21</v>
      </c>
      <c r="C75" s="25" t="s">
        <v>201</v>
      </c>
      <c r="D75" s="25" t="s">
        <v>270</v>
      </c>
      <c r="E75" s="39">
        <v>103.80000000000001</v>
      </c>
      <c r="F75" s="39">
        <f>E75*VLOOKUP(B75,dagsoorttabel1,2,FALSE)</f>
        <v>2.5950000000000006</v>
      </c>
      <c r="G75" s="50">
        <f>catpn_3_VVZB_1</f>
        <v>0</v>
      </c>
      <c r="H75" s="51">
        <f>catdw_3_VVZB_1</f>
        <v>0</v>
      </c>
      <c r="I75" s="25" t="s">
        <v>38</v>
      </c>
      <c r="J75" s="41">
        <f>cattf_3_VVZB_1</f>
        <v>0</v>
      </c>
      <c r="K75" s="39">
        <f>IF(OR(ISBLANK(G75),G75=0),0,F75/ROUND(G75,4))</f>
        <v>0</v>
      </c>
      <c r="L75" s="41">
        <f>ROUND(J75,2)*K75</f>
        <v>0</v>
      </c>
      <c r="M75" s="39">
        <f>K75*dagenperjaar1</f>
        <v>0</v>
      </c>
      <c r="N75" s="41">
        <f>M75*ROUND(J75,2)</f>
        <v>0</v>
      </c>
    </row>
    <row r="76" spans="1:14" x14ac:dyDescent="0.2">
      <c r="A76" s="43" t="s">
        <v>310</v>
      </c>
      <c r="B76" s="44"/>
      <c r="C76" s="44"/>
      <c r="D76" s="44"/>
      <c r="E76" s="44"/>
      <c r="F76" s="44"/>
      <c r="G76" s="44"/>
      <c r="H76" s="44"/>
      <c r="I76" s="44"/>
      <c r="J76" s="44"/>
      <c r="K76" s="45">
        <f>SUM(K69:K75)</f>
        <v>0</v>
      </c>
      <c r="L76" s="46">
        <f>SUM(L69:L75)</f>
        <v>0</v>
      </c>
      <c r="M76" s="45">
        <f>SUM(M69:M75)</f>
        <v>0</v>
      </c>
      <c r="N76" s="47">
        <f>SUM(N69:N75)</f>
        <v>0</v>
      </c>
    </row>
    <row r="77" spans="1:14" x14ac:dyDescent="0.2">
      <c r="A77" s="48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9"/>
    </row>
    <row r="78" spans="1:14" x14ac:dyDescent="0.2">
      <c r="A78" s="43" t="s">
        <v>311</v>
      </c>
      <c r="B78" s="44"/>
      <c r="C78" s="44"/>
      <c r="D78" s="44"/>
      <c r="E78" s="44"/>
      <c r="F78" s="44"/>
      <c r="G78" s="44"/>
      <c r="H78" s="44"/>
      <c r="I78" s="44"/>
      <c r="J78" s="46">
        <f>IF(urenjaar3&gt;0,SUMIF(M69:M75,"&gt;0",N69:N75)/urenjaar3,0)</f>
        <v>0</v>
      </c>
      <c r="K78" s="44"/>
      <c r="L78" s="44"/>
      <c r="M78" s="44"/>
      <c r="N78" s="49"/>
    </row>
    <row r="79" spans="1:14" x14ac:dyDescent="0.2">
      <c r="A79" s="48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9"/>
    </row>
    <row r="81" spans="1:14" x14ac:dyDescent="0.2">
      <c r="A81" s="43" t="s">
        <v>312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5">
        <f>urenjaar1+urenjaar3</f>
        <v>600</v>
      </c>
      <c r="N81" s="46">
        <f>prijsjaar1+prijsjaar3</f>
        <v>0</v>
      </c>
    </row>
  </sheetData>
  <pageMargins left="0.7" right="0.7" top="0.75" bottom="0.75" header="0.3" footer="0.3"/>
  <pageSetup paperSize="9" scale="70" orientation="landscape" r:id="rId1"/>
  <headerFooter>
    <oddFooter>&amp;LNUOVO Scholengroep EA 2023                                  &amp;ROpmaakdatum: 21-07-2023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E6CDB-C092-4395-812F-7729CE7090F2}">
  <dimension ref="A1:U2298"/>
  <sheetViews>
    <sheetView workbookViewId="0"/>
  </sheetViews>
  <sheetFormatPr defaultRowHeight="12.75" x14ac:dyDescent="0.2"/>
  <cols>
    <col min="1" max="1" width="8.625" customWidth="1"/>
    <col min="2" max="3" width="7.625" customWidth="1"/>
    <col min="4" max="5" width="10.625" customWidth="1"/>
    <col min="6" max="6" width="25.625" customWidth="1"/>
    <col min="7" max="7" width="11.625" customWidth="1"/>
    <col min="8" max="8" width="7.625" customWidth="1"/>
    <col min="9" max="9" width="6.625" customWidth="1"/>
    <col min="10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I.3: ",tabeltype," ruimten werkdag")</f>
        <v>Bijlage I.3: Invultabel ruimten werkdag</v>
      </c>
    </row>
    <row r="3" spans="1:21" ht="38.25" x14ac:dyDescent="0.2">
      <c r="A3" s="52" t="s">
        <v>313</v>
      </c>
      <c r="B3" s="8" t="s">
        <v>314</v>
      </c>
      <c r="C3" s="8" t="s">
        <v>315</v>
      </c>
      <c r="D3" s="8" t="s">
        <v>316</v>
      </c>
      <c r="E3" s="8" t="s">
        <v>317</v>
      </c>
      <c r="F3" s="8" t="s">
        <v>318</v>
      </c>
      <c r="G3" s="8" t="s">
        <v>319</v>
      </c>
      <c r="H3" s="8" t="s">
        <v>192</v>
      </c>
      <c r="I3" s="8" t="s">
        <v>7</v>
      </c>
      <c r="J3" s="8" t="s">
        <v>320</v>
      </c>
      <c r="K3" s="8" t="s">
        <v>194</v>
      </c>
      <c r="L3" s="8" t="s">
        <v>195</v>
      </c>
      <c r="M3" s="8" t="s">
        <v>30</v>
      </c>
      <c r="N3" s="8" t="s">
        <v>31</v>
      </c>
      <c r="O3" s="8" t="s">
        <v>32</v>
      </c>
      <c r="P3" s="8" t="s">
        <v>33</v>
      </c>
      <c r="Q3" s="8" t="s">
        <v>196</v>
      </c>
      <c r="R3" s="8" t="s">
        <v>321</v>
      </c>
      <c r="S3" s="8" t="s">
        <v>197</v>
      </c>
      <c r="T3" s="8" t="s">
        <v>198</v>
      </c>
      <c r="U3" s="53" t="s">
        <v>199</v>
      </c>
    </row>
    <row r="4" spans="1:21" x14ac:dyDescent="0.2">
      <c r="A4" s="54" t="s">
        <v>322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2"/>
    </row>
    <row r="5" spans="1:21" x14ac:dyDescent="0.2">
      <c r="A5" s="55" t="s">
        <v>323</v>
      </c>
      <c r="B5" s="56" t="s">
        <v>324</v>
      </c>
      <c r="C5" s="56" t="s">
        <v>325</v>
      </c>
      <c r="D5" s="56" t="s">
        <v>326</v>
      </c>
      <c r="E5" s="56" t="s">
        <v>324</v>
      </c>
      <c r="F5" s="57" t="s">
        <v>327</v>
      </c>
      <c r="G5" s="56" t="s">
        <v>328</v>
      </c>
      <c r="H5" s="56" t="s">
        <v>223</v>
      </c>
      <c r="I5" s="56" t="s">
        <v>10</v>
      </c>
      <c r="J5" s="56" t="s">
        <v>201</v>
      </c>
      <c r="K5" s="58">
        <v>2.5</v>
      </c>
      <c r="L5" s="58">
        <f>K5*VLOOKUP(I5,dagsoorttabel1,2,FALSE)</f>
        <v>2.5</v>
      </c>
      <c r="M5" s="59">
        <f>prodnorm39</f>
        <v>0</v>
      </c>
      <c r="N5" s="60">
        <f>dagwerk39</f>
        <v>0</v>
      </c>
      <c r="O5" s="56" t="s">
        <v>38</v>
      </c>
      <c r="P5" s="61">
        <f>uurtarief39</f>
        <v>0</v>
      </c>
      <c r="Q5" s="58" t="e">
        <f>IF(ISBLANK(M5),0,L5/ROUND(M5,4))</f>
        <v>#DIV/0!</v>
      </c>
      <c r="R5" s="58" t="e">
        <f>IF(ISBLANK(M5),0,Q5*ROUND(N5,2))</f>
        <v>#DIV/0!</v>
      </c>
      <c r="S5" s="61" t="e">
        <f>ROUND(P5,2)*Q5</f>
        <v>#DIV/0!</v>
      </c>
      <c r="T5" s="58" t="e">
        <f>Q5*dagenperjaar1</f>
        <v>#DIV/0!</v>
      </c>
      <c r="U5" s="62" t="e">
        <f>T5*ROUND(P5,2)</f>
        <v>#DIV/0!</v>
      </c>
    </row>
    <row r="6" spans="1:21" x14ac:dyDescent="0.2">
      <c r="A6" s="63" t="s">
        <v>323</v>
      </c>
      <c r="B6" s="64" t="s">
        <v>324</v>
      </c>
      <c r="C6" s="64" t="s">
        <v>325</v>
      </c>
      <c r="D6" s="64" t="s">
        <v>329</v>
      </c>
      <c r="E6" s="64" t="s">
        <v>330</v>
      </c>
      <c r="F6" s="65" t="s">
        <v>331</v>
      </c>
      <c r="G6" s="64" t="s">
        <v>332</v>
      </c>
      <c r="H6" s="64" t="s">
        <v>286</v>
      </c>
      <c r="I6" s="64" t="s">
        <v>19</v>
      </c>
      <c r="J6" s="64" t="s">
        <v>274</v>
      </c>
      <c r="K6" s="66">
        <v>915.5</v>
      </c>
      <c r="L6" s="66">
        <f>K6*VLOOKUP(I6,dagsoorttabel1,2,FALSE)</f>
        <v>45.775000000000006</v>
      </c>
      <c r="M6" s="67">
        <f>prodnorm17</f>
        <v>0</v>
      </c>
      <c r="N6" s="68">
        <f>dagwerk17</f>
        <v>0</v>
      </c>
      <c r="O6" s="64" t="s">
        <v>38</v>
      </c>
      <c r="P6" s="69">
        <f>uurtarief17</f>
        <v>0</v>
      </c>
      <c r="Q6" s="66" t="e">
        <f>IF(ISBLANK(M6),0,L6/ROUND(M6,4))</f>
        <v>#DIV/0!</v>
      </c>
      <c r="R6" s="66" t="e">
        <f>IF(ISBLANK(M6),0,Q6*ROUND(N6,2))</f>
        <v>#DIV/0!</v>
      </c>
      <c r="S6" s="69" t="e">
        <f>ROUND(P6,2)*Q6</f>
        <v>#DIV/0!</v>
      </c>
      <c r="T6" s="66" t="e">
        <f>Q6*dagenperjaar1</f>
        <v>#DIV/0!</v>
      </c>
      <c r="U6" s="70" t="e">
        <f>T6*ROUND(P6,2)</f>
        <v>#DIV/0!</v>
      </c>
    </row>
    <row r="7" spans="1:21" x14ac:dyDescent="0.2">
      <c r="A7" s="63" t="s">
        <v>323</v>
      </c>
      <c r="B7" s="64" t="s">
        <v>324</v>
      </c>
      <c r="C7" s="64" t="s">
        <v>325</v>
      </c>
      <c r="D7" s="64" t="s">
        <v>333</v>
      </c>
      <c r="E7" s="64" t="s">
        <v>334</v>
      </c>
      <c r="F7" s="65" t="s">
        <v>335</v>
      </c>
      <c r="G7" s="64" t="s">
        <v>332</v>
      </c>
      <c r="H7" s="64" t="s">
        <v>267</v>
      </c>
      <c r="I7" s="64" t="s">
        <v>16</v>
      </c>
      <c r="J7" s="64" t="s">
        <v>201</v>
      </c>
      <c r="K7" s="66">
        <v>40</v>
      </c>
      <c r="L7" s="66">
        <f>K7*VLOOKUP(I7,dagsoorttabel1,2,FALSE)</f>
        <v>8</v>
      </c>
      <c r="M7" s="67">
        <f>prodnorm66</f>
        <v>0</v>
      </c>
      <c r="N7" s="68">
        <f>dagwerk66</f>
        <v>0</v>
      </c>
      <c r="O7" s="64" t="s">
        <v>38</v>
      </c>
      <c r="P7" s="69">
        <f>uurtarief66</f>
        <v>0</v>
      </c>
      <c r="Q7" s="66" t="e">
        <f>IF(ISBLANK(M7),0,L7/ROUND(M7,4))</f>
        <v>#DIV/0!</v>
      </c>
      <c r="R7" s="66" t="e">
        <f>IF(ISBLANK(M7),0,Q7*ROUND(N7,2))</f>
        <v>#DIV/0!</v>
      </c>
      <c r="S7" s="69" t="e">
        <f>ROUND(P7,2)*Q7</f>
        <v>#DIV/0!</v>
      </c>
      <c r="T7" s="66" t="e">
        <f>Q7*dagenperjaar1</f>
        <v>#DIV/0!</v>
      </c>
      <c r="U7" s="70" t="e">
        <f>T7*ROUND(P7,2)</f>
        <v>#DIV/0!</v>
      </c>
    </row>
    <row r="8" spans="1:21" x14ac:dyDescent="0.2">
      <c r="A8" s="63" t="s">
        <v>323</v>
      </c>
      <c r="B8" s="64" t="s">
        <v>324</v>
      </c>
      <c r="C8" s="64" t="s">
        <v>325</v>
      </c>
      <c r="D8" s="64" t="s">
        <v>336</v>
      </c>
      <c r="E8" s="64" t="s">
        <v>337</v>
      </c>
      <c r="F8" s="65" t="s">
        <v>338</v>
      </c>
      <c r="G8" s="64" t="s">
        <v>339</v>
      </c>
      <c r="H8" s="64" t="s">
        <v>263</v>
      </c>
      <c r="I8" s="64" t="s">
        <v>10</v>
      </c>
      <c r="J8" s="64" t="s">
        <v>201</v>
      </c>
      <c r="K8" s="66">
        <v>8.1999999999999993</v>
      </c>
      <c r="L8" s="66">
        <f>K8*VLOOKUP(I8,dagsoorttabel1,2,FALSE)</f>
        <v>8.1999999999999993</v>
      </c>
      <c r="M8" s="67">
        <f>prodnorm63</f>
        <v>0</v>
      </c>
      <c r="N8" s="68">
        <f>dagwerk63</f>
        <v>0</v>
      </c>
      <c r="O8" s="64" t="s">
        <v>38</v>
      </c>
      <c r="P8" s="69">
        <f>uurtarief63</f>
        <v>0</v>
      </c>
      <c r="Q8" s="66" t="e">
        <f>IF(ISBLANK(M8),0,L8/ROUND(M8,4))</f>
        <v>#DIV/0!</v>
      </c>
      <c r="R8" s="66" t="e">
        <f>IF(ISBLANK(M8),0,Q8*ROUND(N8,2))</f>
        <v>#DIV/0!</v>
      </c>
      <c r="S8" s="69" t="e">
        <f>ROUND(P8,2)*Q8</f>
        <v>#DIV/0!</v>
      </c>
      <c r="T8" s="66" t="e">
        <f>Q8*dagenperjaar1</f>
        <v>#DIV/0!</v>
      </c>
      <c r="U8" s="70" t="e">
        <f>T8*ROUND(P8,2)</f>
        <v>#DIV/0!</v>
      </c>
    </row>
    <row r="9" spans="1:21" x14ac:dyDescent="0.2">
      <c r="A9" s="63" t="s">
        <v>323</v>
      </c>
      <c r="B9" s="64" t="s">
        <v>324</v>
      </c>
      <c r="C9" s="64" t="s">
        <v>325</v>
      </c>
      <c r="D9" s="64" t="s">
        <v>340</v>
      </c>
      <c r="E9" s="64" t="s">
        <v>341</v>
      </c>
      <c r="F9" s="65" t="s">
        <v>335</v>
      </c>
      <c r="G9" s="64" t="s">
        <v>339</v>
      </c>
      <c r="H9" s="64" t="s">
        <v>267</v>
      </c>
      <c r="I9" s="64" t="s">
        <v>16</v>
      </c>
      <c r="J9" s="64" t="s">
        <v>201</v>
      </c>
      <c r="K9" s="66">
        <v>36</v>
      </c>
      <c r="L9" s="66">
        <f>K9*VLOOKUP(I9,dagsoorttabel1,2,FALSE)</f>
        <v>7.2</v>
      </c>
      <c r="M9" s="67">
        <f>prodnorm66</f>
        <v>0</v>
      </c>
      <c r="N9" s="68">
        <f>dagwerk66</f>
        <v>0</v>
      </c>
      <c r="O9" s="64" t="s">
        <v>38</v>
      </c>
      <c r="P9" s="69">
        <f>uurtarief66</f>
        <v>0</v>
      </c>
      <c r="Q9" s="66" t="e">
        <f>IF(ISBLANK(M9),0,L9/ROUND(M9,4))</f>
        <v>#DIV/0!</v>
      </c>
      <c r="R9" s="66" t="e">
        <f>IF(ISBLANK(M9),0,Q9*ROUND(N9,2))</f>
        <v>#DIV/0!</v>
      </c>
      <c r="S9" s="69" t="e">
        <f>ROUND(P9,2)*Q9</f>
        <v>#DIV/0!</v>
      </c>
      <c r="T9" s="66" t="e">
        <f>Q9*dagenperjaar1</f>
        <v>#DIV/0!</v>
      </c>
      <c r="U9" s="70" t="e">
        <f>T9*ROUND(P9,2)</f>
        <v>#DIV/0!</v>
      </c>
    </row>
    <row r="10" spans="1:21" x14ac:dyDescent="0.2">
      <c r="A10" s="63" t="s">
        <v>323</v>
      </c>
      <c r="B10" s="64" t="s">
        <v>324</v>
      </c>
      <c r="C10" s="64" t="s">
        <v>325</v>
      </c>
      <c r="D10" s="64" t="s">
        <v>342</v>
      </c>
      <c r="E10" s="64" t="s">
        <v>343</v>
      </c>
      <c r="F10" s="65" t="s">
        <v>344</v>
      </c>
      <c r="G10" s="64" t="s">
        <v>339</v>
      </c>
      <c r="H10" s="64" t="s">
        <v>263</v>
      </c>
      <c r="I10" s="64" t="s">
        <v>10</v>
      </c>
      <c r="J10" s="64" t="s">
        <v>201</v>
      </c>
      <c r="K10" s="66">
        <v>7.7</v>
      </c>
      <c r="L10" s="66">
        <f>K10*VLOOKUP(I10,dagsoorttabel1,2,FALSE)</f>
        <v>7.7</v>
      </c>
      <c r="M10" s="67">
        <f>prodnorm63</f>
        <v>0</v>
      </c>
      <c r="N10" s="68">
        <f>dagwerk63</f>
        <v>0</v>
      </c>
      <c r="O10" s="64" t="s">
        <v>38</v>
      </c>
      <c r="P10" s="69">
        <f>uurtarief63</f>
        <v>0</v>
      </c>
      <c r="Q10" s="66" t="e">
        <f>IF(ISBLANK(M10),0,L10/ROUND(M10,4))</f>
        <v>#DIV/0!</v>
      </c>
      <c r="R10" s="66" t="e">
        <f>IF(ISBLANK(M10),0,Q10*ROUND(N10,2))</f>
        <v>#DIV/0!</v>
      </c>
      <c r="S10" s="69" t="e">
        <f>ROUND(P10,2)*Q10</f>
        <v>#DIV/0!</v>
      </c>
      <c r="T10" s="66" t="e">
        <f>Q10*dagenperjaar1</f>
        <v>#DIV/0!</v>
      </c>
      <c r="U10" s="70" t="e">
        <f>T10*ROUND(P10,2)</f>
        <v>#DIV/0!</v>
      </c>
    </row>
    <row r="11" spans="1:21" x14ac:dyDescent="0.2">
      <c r="A11" s="63" t="s">
        <v>323</v>
      </c>
      <c r="B11" s="64" t="s">
        <v>324</v>
      </c>
      <c r="C11" s="64" t="s">
        <v>345</v>
      </c>
      <c r="D11" s="64" t="s">
        <v>346</v>
      </c>
      <c r="E11" s="64" t="s">
        <v>324</v>
      </c>
      <c r="F11" s="65" t="s">
        <v>347</v>
      </c>
      <c r="G11" s="64" t="s">
        <v>332</v>
      </c>
      <c r="H11" s="64" t="s">
        <v>281</v>
      </c>
      <c r="I11" s="64" t="s">
        <v>10</v>
      </c>
      <c r="J11" s="64" t="s">
        <v>274</v>
      </c>
      <c r="K11" s="66">
        <v>20</v>
      </c>
      <c r="L11" s="66">
        <f>K11*VLOOKUP(I11,dagsoorttabel1,2,FALSE)</f>
        <v>20</v>
      </c>
      <c r="M11" s="67">
        <f>prodnorm15</f>
        <v>0</v>
      </c>
      <c r="N11" s="68">
        <f>dagwerk15</f>
        <v>0</v>
      </c>
      <c r="O11" s="64" t="s">
        <v>38</v>
      </c>
      <c r="P11" s="69">
        <f>uurtarief15</f>
        <v>0</v>
      </c>
      <c r="Q11" s="66" t="e">
        <f>IF(ISBLANK(M11),0,L11/ROUND(M11,4))</f>
        <v>#DIV/0!</v>
      </c>
      <c r="R11" s="66" t="e">
        <f>IF(ISBLANK(M11),0,Q11*ROUND(N11,2))</f>
        <v>#DIV/0!</v>
      </c>
      <c r="S11" s="69" t="e">
        <f>ROUND(P11,2)*Q11</f>
        <v>#DIV/0!</v>
      </c>
      <c r="T11" s="66" t="e">
        <f>Q11*dagenperjaar1</f>
        <v>#DIV/0!</v>
      </c>
      <c r="U11" s="70" t="e">
        <f>T11*ROUND(P11,2)</f>
        <v>#DIV/0!</v>
      </c>
    </row>
    <row r="12" spans="1:21" x14ac:dyDescent="0.2">
      <c r="A12" s="63" t="s">
        <v>323</v>
      </c>
      <c r="B12" s="64" t="s">
        <v>324</v>
      </c>
      <c r="C12" s="64" t="s">
        <v>345</v>
      </c>
      <c r="D12" s="64" t="s">
        <v>348</v>
      </c>
      <c r="E12" s="64" t="s">
        <v>349</v>
      </c>
      <c r="F12" s="65" t="s">
        <v>350</v>
      </c>
      <c r="G12" s="64" t="s">
        <v>351</v>
      </c>
      <c r="H12" s="64" t="s">
        <v>217</v>
      </c>
      <c r="I12" s="64" t="s">
        <v>10</v>
      </c>
      <c r="J12" s="64" t="s">
        <v>201</v>
      </c>
      <c r="K12" s="66">
        <v>19.399999999999999</v>
      </c>
      <c r="L12" s="66">
        <f>K12*VLOOKUP(I12,dagsoorttabel1,2,FALSE)</f>
        <v>19.399999999999999</v>
      </c>
      <c r="M12" s="67">
        <f>prodnorm35</f>
        <v>0</v>
      </c>
      <c r="N12" s="68">
        <f>dagwerk35</f>
        <v>0</v>
      </c>
      <c r="O12" s="64" t="s">
        <v>38</v>
      </c>
      <c r="P12" s="69">
        <f>uurtarief35</f>
        <v>0</v>
      </c>
      <c r="Q12" s="66" t="e">
        <f>IF(ISBLANK(M12),0,L12/ROUND(M12,4))</f>
        <v>#DIV/0!</v>
      </c>
      <c r="R12" s="66" t="e">
        <f>IF(ISBLANK(M12),0,Q12*ROUND(N12,2))</f>
        <v>#DIV/0!</v>
      </c>
      <c r="S12" s="69" t="e">
        <f>ROUND(P12,2)*Q12</f>
        <v>#DIV/0!</v>
      </c>
      <c r="T12" s="66" t="e">
        <f>Q12*dagenperjaar1</f>
        <v>#DIV/0!</v>
      </c>
      <c r="U12" s="70" t="e">
        <f>T12*ROUND(P12,2)</f>
        <v>#DIV/0!</v>
      </c>
    </row>
    <row r="13" spans="1:21" x14ac:dyDescent="0.2">
      <c r="A13" s="63" t="s">
        <v>323</v>
      </c>
      <c r="B13" s="64" t="s">
        <v>324</v>
      </c>
      <c r="C13" s="64" t="s">
        <v>345</v>
      </c>
      <c r="D13" s="64" t="s">
        <v>352</v>
      </c>
      <c r="E13" s="64" t="s">
        <v>353</v>
      </c>
      <c r="F13" s="65" t="s">
        <v>354</v>
      </c>
      <c r="G13" s="64" t="s">
        <v>328</v>
      </c>
      <c r="H13" s="64" t="s">
        <v>215</v>
      </c>
      <c r="I13" s="64" t="s">
        <v>10</v>
      </c>
      <c r="J13" s="64" t="s">
        <v>201</v>
      </c>
      <c r="K13" s="66">
        <v>47</v>
      </c>
      <c r="L13" s="66">
        <f>K13*VLOOKUP(I13,dagsoorttabel1,2,FALSE)</f>
        <v>47</v>
      </c>
      <c r="M13" s="67">
        <f>prodnorm34</f>
        <v>0</v>
      </c>
      <c r="N13" s="68">
        <f>dagwerk34</f>
        <v>0</v>
      </c>
      <c r="O13" s="64" t="s">
        <v>38</v>
      </c>
      <c r="P13" s="69">
        <f>uurtarief34</f>
        <v>0</v>
      </c>
      <c r="Q13" s="66" t="e">
        <f>IF(ISBLANK(M13),0,L13/ROUND(M13,4))</f>
        <v>#DIV/0!</v>
      </c>
      <c r="R13" s="66" t="e">
        <f>IF(ISBLANK(M13),0,Q13*ROUND(N13,2))</f>
        <v>#DIV/0!</v>
      </c>
      <c r="S13" s="69" t="e">
        <f>ROUND(P13,2)*Q13</f>
        <v>#DIV/0!</v>
      </c>
      <c r="T13" s="66" t="e">
        <f>Q13*dagenperjaar1</f>
        <v>#DIV/0!</v>
      </c>
      <c r="U13" s="70" t="e">
        <f>T13*ROUND(P13,2)</f>
        <v>#DIV/0!</v>
      </c>
    </row>
    <row r="14" spans="1:21" x14ac:dyDescent="0.2">
      <c r="A14" s="63" t="s">
        <v>323</v>
      </c>
      <c r="B14" s="64" t="s">
        <v>324</v>
      </c>
      <c r="C14" s="64" t="s">
        <v>345</v>
      </c>
      <c r="D14" s="64" t="s">
        <v>355</v>
      </c>
      <c r="E14" s="64" t="s">
        <v>356</v>
      </c>
      <c r="F14" s="65" t="s">
        <v>335</v>
      </c>
      <c r="G14" s="64" t="s">
        <v>328</v>
      </c>
      <c r="H14" s="64" t="s">
        <v>267</v>
      </c>
      <c r="I14" s="64" t="s">
        <v>10</v>
      </c>
      <c r="J14" s="64" t="s">
        <v>201</v>
      </c>
      <c r="K14" s="66">
        <v>108.3</v>
      </c>
      <c r="L14" s="66">
        <f>K14*VLOOKUP(I14,dagsoorttabel1,2,FALSE)</f>
        <v>108.3</v>
      </c>
      <c r="M14" s="67">
        <f>prodnorm65</f>
        <v>0</v>
      </c>
      <c r="N14" s="68">
        <f>dagwerk65</f>
        <v>0</v>
      </c>
      <c r="O14" s="64" t="s">
        <v>38</v>
      </c>
      <c r="P14" s="69">
        <f>uurtarief65</f>
        <v>0</v>
      </c>
      <c r="Q14" s="66" t="e">
        <f>IF(ISBLANK(M14),0,L14/ROUND(M14,4))</f>
        <v>#DIV/0!</v>
      </c>
      <c r="R14" s="66" t="e">
        <f>IF(ISBLANK(M14),0,Q14*ROUND(N14,2))</f>
        <v>#DIV/0!</v>
      </c>
      <c r="S14" s="69" t="e">
        <f>ROUND(P14,2)*Q14</f>
        <v>#DIV/0!</v>
      </c>
      <c r="T14" s="66" t="e">
        <f>Q14*dagenperjaar1</f>
        <v>#DIV/0!</v>
      </c>
      <c r="U14" s="70" t="e">
        <f>T14*ROUND(P14,2)</f>
        <v>#DIV/0!</v>
      </c>
    </row>
    <row r="15" spans="1:21" x14ac:dyDescent="0.2">
      <c r="A15" s="63" t="s">
        <v>323</v>
      </c>
      <c r="B15" s="64" t="s">
        <v>324</v>
      </c>
      <c r="C15" s="64" t="s">
        <v>345</v>
      </c>
      <c r="D15" s="64" t="s">
        <v>357</v>
      </c>
      <c r="E15" s="64" t="s">
        <v>358</v>
      </c>
      <c r="F15" s="65" t="s">
        <v>335</v>
      </c>
      <c r="G15" s="64" t="s">
        <v>328</v>
      </c>
      <c r="H15" s="64" t="s">
        <v>267</v>
      </c>
      <c r="I15" s="64" t="s">
        <v>10</v>
      </c>
      <c r="J15" s="64" t="s">
        <v>201</v>
      </c>
      <c r="K15" s="66">
        <v>54.3</v>
      </c>
      <c r="L15" s="66">
        <f>K15*VLOOKUP(I15,dagsoorttabel1,2,FALSE)</f>
        <v>54.3</v>
      </c>
      <c r="M15" s="67">
        <f>prodnorm65</f>
        <v>0</v>
      </c>
      <c r="N15" s="68">
        <f>dagwerk65</f>
        <v>0</v>
      </c>
      <c r="O15" s="64" t="s">
        <v>38</v>
      </c>
      <c r="P15" s="69">
        <f>uurtarief65</f>
        <v>0</v>
      </c>
      <c r="Q15" s="66" t="e">
        <f>IF(ISBLANK(M15),0,L15/ROUND(M15,4))</f>
        <v>#DIV/0!</v>
      </c>
      <c r="R15" s="66" t="e">
        <f>IF(ISBLANK(M15),0,Q15*ROUND(N15,2))</f>
        <v>#DIV/0!</v>
      </c>
      <c r="S15" s="69" t="e">
        <f>ROUND(P15,2)*Q15</f>
        <v>#DIV/0!</v>
      </c>
      <c r="T15" s="66" t="e">
        <f>Q15*dagenperjaar1</f>
        <v>#DIV/0!</v>
      </c>
      <c r="U15" s="70" t="e">
        <f>T15*ROUND(P15,2)</f>
        <v>#DIV/0!</v>
      </c>
    </row>
    <row r="16" spans="1:21" x14ac:dyDescent="0.2">
      <c r="A16" s="63" t="s">
        <v>323</v>
      </c>
      <c r="B16" s="64" t="s">
        <v>324</v>
      </c>
      <c r="C16" s="64" t="s">
        <v>345</v>
      </c>
      <c r="D16" s="64" t="s">
        <v>359</v>
      </c>
      <c r="E16" s="64" t="s">
        <v>360</v>
      </c>
      <c r="F16" s="65" t="s">
        <v>361</v>
      </c>
      <c r="G16" s="64" t="s">
        <v>351</v>
      </c>
      <c r="H16" s="64" t="s">
        <v>207</v>
      </c>
      <c r="I16" s="64" t="s">
        <v>10</v>
      </c>
      <c r="J16" s="64" t="s">
        <v>201</v>
      </c>
      <c r="K16" s="66">
        <v>25.2</v>
      </c>
      <c r="L16" s="66">
        <f>K16*VLOOKUP(I16,dagsoorttabel1,2,FALSE)</f>
        <v>25.2</v>
      </c>
      <c r="M16" s="67">
        <f>prodnorm28</f>
        <v>0</v>
      </c>
      <c r="N16" s="68">
        <f>dagwerk28</f>
        <v>0</v>
      </c>
      <c r="O16" s="64" t="s">
        <v>38</v>
      </c>
      <c r="P16" s="69">
        <f>uurtarief28</f>
        <v>0</v>
      </c>
      <c r="Q16" s="66" t="e">
        <f>IF(ISBLANK(M16),0,L16/ROUND(M16,4))</f>
        <v>#DIV/0!</v>
      </c>
      <c r="R16" s="66" t="e">
        <f>IF(ISBLANK(M16),0,Q16*ROUND(N16,2))</f>
        <v>#DIV/0!</v>
      </c>
      <c r="S16" s="69" t="e">
        <f>ROUND(P16,2)*Q16</f>
        <v>#DIV/0!</v>
      </c>
      <c r="T16" s="66" t="e">
        <f>Q16*dagenperjaar1</f>
        <v>#DIV/0!</v>
      </c>
      <c r="U16" s="70" t="e">
        <f>T16*ROUND(P16,2)</f>
        <v>#DIV/0!</v>
      </c>
    </row>
    <row r="17" spans="1:21" x14ac:dyDescent="0.2">
      <c r="A17" s="63" t="s">
        <v>323</v>
      </c>
      <c r="B17" s="64" t="s">
        <v>324</v>
      </c>
      <c r="C17" s="64" t="s">
        <v>345</v>
      </c>
      <c r="D17" s="64" t="s">
        <v>362</v>
      </c>
      <c r="E17" s="64" t="s">
        <v>363</v>
      </c>
      <c r="F17" s="65" t="s">
        <v>364</v>
      </c>
      <c r="G17" s="64" t="s">
        <v>365</v>
      </c>
      <c r="H17" s="64" t="s">
        <v>255</v>
      </c>
      <c r="I17" s="64" t="s">
        <v>10</v>
      </c>
      <c r="J17" s="64" t="s">
        <v>201</v>
      </c>
      <c r="K17" s="66">
        <v>3.4</v>
      </c>
      <c r="L17" s="66">
        <f>K17*VLOOKUP(I17,dagsoorttabel1,2,FALSE)</f>
        <v>3.4</v>
      </c>
      <c r="M17" s="67">
        <f>prodnorm59</f>
        <v>0</v>
      </c>
      <c r="N17" s="68">
        <f>dagwerk59</f>
        <v>0</v>
      </c>
      <c r="O17" s="64" t="s">
        <v>38</v>
      </c>
      <c r="P17" s="69">
        <f>uurtarief59</f>
        <v>0</v>
      </c>
      <c r="Q17" s="66" t="e">
        <f>IF(ISBLANK(M17),0,L17/ROUND(M17,4))</f>
        <v>#DIV/0!</v>
      </c>
      <c r="R17" s="66" t="e">
        <f>IF(ISBLANK(M17),0,Q17*ROUND(N17,2))</f>
        <v>#DIV/0!</v>
      </c>
      <c r="S17" s="69" t="e">
        <f>ROUND(P17,2)*Q17</f>
        <v>#DIV/0!</v>
      </c>
      <c r="T17" s="66" t="e">
        <f>Q17*dagenperjaar1</f>
        <v>#DIV/0!</v>
      </c>
      <c r="U17" s="70" t="e">
        <f>T17*ROUND(P17,2)</f>
        <v>#DIV/0!</v>
      </c>
    </row>
    <row r="18" spans="1:21" x14ac:dyDescent="0.2">
      <c r="A18" s="63" t="s">
        <v>323</v>
      </c>
      <c r="B18" s="64" t="s">
        <v>324</v>
      </c>
      <c r="C18" s="64" t="s">
        <v>345</v>
      </c>
      <c r="D18" s="64" t="s">
        <v>366</v>
      </c>
      <c r="E18" s="64" t="s">
        <v>367</v>
      </c>
      <c r="F18" s="65" t="s">
        <v>335</v>
      </c>
      <c r="G18" s="64" t="s">
        <v>328</v>
      </c>
      <c r="H18" s="64" t="s">
        <v>267</v>
      </c>
      <c r="I18" s="64" t="s">
        <v>10</v>
      </c>
      <c r="J18" s="64" t="s">
        <v>201</v>
      </c>
      <c r="K18" s="66">
        <v>10.6</v>
      </c>
      <c r="L18" s="66">
        <f>K18*VLOOKUP(I18,dagsoorttabel1,2,FALSE)</f>
        <v>10.6</v>
      </c>
      <c r="M18" s="67">
        <f>prodnorm65</f>
        <v>0</v>
      </c>
      <c r="N18" s="68">
        <f>dagwerk65</f>
        <v>0</v>
      </c>
      <c r="O18" s="64" t="s">
        <v>38</v>
      </c>
      <c r="P18" s="69">
        <f>uurtarief65</f>
        <v>0</v>
      </c>
      <c r="Q18" s="66" t="e">
        <f>IF(ISBLANK(M18),0,L18/ROUND(M18,4))</f>
        <v>#DIV/0!</v>
      </c>
      <c r="R18" s="66" t="e">
        <f>IF(ISBLANK(M18),0,Q18*ROUND(N18,2))</f>
        <v>#DIV/0!</v>
      </c>
      <c r="S18" s="69" t="e">
        <f>ROUND(P18,2)*Q18</f>
        <v>#DIV/0!</v>
      </c>
      <c r="T18" s="66" t="e">
        <f>Q18*dagenperjaar1</f>
        <v>#DIV/0!</v>
      </c>
      <c r="U18" s="70" t="e">
        <f>T18*ROUND(P18,2)</f>
        <v>#DIV/0!</v>
      </c>
    </row>
    <row r="19" spans="1:21" x14ac:dyDescent="0.2">
      <c r="A19" s="63" t="s">
        <v>323</v>
      </c>
      <c r="B19" s="64" t="s">
        <v>324</v>
      </c>
      <c r="C19" s="64" t="s">
        <v>345</v>
      </c>
      <c r="D19" s="64" t="s">
        <v>368</v>
      </c>
      <c r="E19" s="64" t="s">
        <v>369</v>
      </c>
      <c r="F19" s="65" t="s">
        <v>370</v>
      </c>
      <c r="G19" s="64" t="s">
        <v>365</v>
      </c>
      <c r="H19" s="64" t="s">
        <v>255</v>
      </c>
      <c r="I19" s="64" t="s">
        <v>10</v>
      </c>
      <c r="J19" s="64" t="s">
        <v>201</v>
      </c>
      <c r="K19" s="66">
        <v>24.3</v>
      </c>
      <c r="L19" s="66">
        <f>K19*VLOOKUP(I19,dagsoorttabel1,2,FALSE)</f>
        <v>24.3</v>
      </c>
      <c r="M19" s="67">
        <f>prodnorm59</f>
        <v>0</v>
      </c>
      <c r="N19" s="68">
        <f>dagwerk59</f>
        <v>0</v>
      </c>
      <c r="O19" s="64" t="s">
        <v>38</v>
      </c>
      <c r="P19" s="69">
        <f>uurtarief59</f>
        <v>0</v>
      </c>
      <c r="Q19" s="66" t="e">
        <f>IF(ISBLANK(M19),0,L19/ROUND(M19,4))</f>
        <v>#DIV/0!</v>
      </c>
      <c r="R19" s="66" t="e">
        <f>IF(ISBLANK(M19),0,Q19*ROUND(N19,2))</f>
        <v>#DIV/0!</v>
      </c>
      <c r="S19" s="69" t="e">
        <f>ROUND(P19,2)*Q19</f>
        <v>#DIV/0!</v>
      </c>
      <c r="T19" s="66" t="e">
        <f>Q19*dagenperjaar1</f>
        <v>#DIV/0!</v>
      </c>
      <c r="U19" s="70" t="e">
        <f>T19*ROUND(P19,2)</f>
        <v>#DIV/0!</v>
      </c>
    </row>
    <row r="20" spans="1:21" x14ac:dyDescent="0.2">
      <c r="A20" s="63" t="s">
        <v>323</v>
      </c>
      <c r="B20" s="64" t="s">
        <v>324</v>
      </c>
      <c r="C20" s="64" t="s">
        <v>345</v>
      </c>
      <c r="D20" s="64" t="s">
        <v>371</v>
      </c>
      <c r="E20" s="64" t="s">
        <v>372</v>
      </c>
      <c r="F20" s="65" t="s">
        <v>373</v>
      </c>
      <c r="G20" s="64" t="s">
        <v>365</v>
      </c>
      <c r="H20" s="64" t="s">
        <v>255</v>
      </c>
      <c r="I20" s="64" t="s">
        <v>10</v>
      </c>
      <c r="J20" s="64" t="s">
        <v>201</v>
      </c>
      <c r="K20" s="66">
        <v>17.600000000000001</v>
      </c>
      <c r="L20" s="66">
        <f>K20*VLOOKUP(I20,dagsoorttabel1,2,FALSE)</f>
        <v>17.600000000000001</v>
      </c>
      <c r="M20" s="67">
        <f>prodnorm59</f>
        <v>0</v>
      </c>
      <c r="N20" s="68">
        <f>dagwerk59</f>
        <v>0</v>
      </c>
      <c r="O20" s="64" t="s">
        <v>38</v>
      </c>
      <c r="P20" s="69">
        <f>uurtarief59</f>
        <v>0</v>
      </c>
      <c r="Q20" s="66" t="e">
        <f>IF(ISBLANK(M20),0,L20/ROUND(M20,4))</f>
        <v>#DIV/0!</v>
      </c>
      <c r="R20" s="66" t="e">
        <f>IF(ISBLANK(M20),0,Q20*ROUND(N20,2))</f>
        <v>#DIV/0!</v>
      </c>
      <c r="S20" s="69" t="e">
        <f>ROUND(P20,2)*Q20</f>
        <v>#DIV/0!</v>
      </c>
      <c r="T20" s="66" t="e">
        <f>Q20*dagenperjaar1</f>
        <v>#DIV/0!</v>
      </c>
      <c r="U20" s="70" t="e">
        <f>T20*ROUND(P20,2)</f>
        <v>#DIV/0!</v>
      </c>
    </row>
    <row r="21" spans="1:21" x14ac:dyDescent="0.2">
      <c r="A21" s="63" t="s">
        <v>323</v>
      </c>
      <c r="B21" s="64" t="s">
        <v>324</v>
      </c>
      <c r="C21" s="64" t="s">
        <v>345</v>
      </c>
      <c r="D21" s="64" t="s">
        <v>374</v>
      </c>
      <c r="E21" s="64" t="s">
        <v>375</v>
      </c>
      <c r="F21" s="65" t="s">
        <v>376</v>
      </c>
      <c r="G21" s="64" t="s">
        <v>365</v>
      </c>
      <c r="H21" s="64" t="s">
        <v>255</v>
      </c>
      <c r="I21" s="64" t="s">
        <v>10</v>
      </c>
      <c r="J21" s="64" t="s">
        <v>201</v>
      </c>
      <c r="K21" s="66">
        <v>4.2</v>
      </c>
      <c r="L21" s="66">
        <f>K21*VLOOKUP(I21,dagsoorttabel1,2,FALSE)</f>
        <v>4.2</v>
      </c>
      <c r="M21" s="67">
        <f>prodnorm59</f>
        <v>0</v>
      </c>
      <c r="N21" s="68">
        <f>dagwerk59</f>
        <v>0</v>
      </c>
      <c r="O21" s="64" t="s">
        <v>38</v>
      </c>
      <c r="P21" s="69">
        <f>uurtarief59</f>
        <v>0</v>
      </c>
      <c r="Q21" s="66" t="e">
        <f>IF(ISBLANK(M21),0,L21/ROUND(M21,4))</f>
        <v>#DIV/0!</v>
      </c>
      <c r="R21" s="66" t="e">
        <f>IF(ISBLANK(M21),0,Q21*ROUND(N21,2))</f>
        <v>#DIV/0!</v>
      </c>
      <c r="S21" s="69" t="e">
        <f>ROUND(P21,2)*Q21</f>
        <v>#DIV/0!</v>
      </c>
      <c r="T21" s="66" t="e">
        <f>Q21*dagenperjaar1</f>
        <v>#DIV/0!</v>
      </c>
      <c r="U21" s="70" t="e">
        <f>T21*ROUND(P21,2)</f>
        <v>#DIV/0!</v>
      </c>
    </row>
    <row r="22" spans="1:21" x14ac:dyDescent="0.2">
      <c r="A22" s="63" t="s">
        <v>323</v>
      </c>
      <c r="B22" s="64" t="s">
        <v>324</v>
      </c>
      <c r="C22" s="64" t="s">
        <v>345</v>
      </c>
      <c r="D22" s="64" t="s">
        <v>377</v>
      </c>
      <c r="E22" s="64" t="s">
        <v>378</v>
      </c>
      <c r="F22" s="65" t="s">
        <v>379</v>
      </c>
      <c r="G22" s="64" t="s">
        <v>328</v>
      </c>
      <c r="H22" s="64" t="s">
        <v>241</v>
      </c>
      <c r="I22" s="64" t="s">
        <v>10</v>
      </c>
      <c r="J22" s="64" t="s">
        <v>201</v>
      </c>
      <c r="K22" s="66">
        <v>11.3</v>
      </c>
      <c r="L22" s="66">
        <f>K22*VLOOKUP(I22,dagsoorttabel1,2,FALSE)</f>
        <v>11.3</v>
      </c>
      <c r="M22" s="67">
        <f>prodnorm51</f>
        <v>0</v>
      </c>
      <c r="N22" s="68">
        <f>dagwerk51</f>
        <v>0</v>
      </c>
      <c r="O22" s="64" t="s">
        <v>38</v>
      </c>
      <c r="P22" s="69">
        <f>uurtarief51</f>
        <v>0</v>
      </c>
      <c r="Q22" s="66" t="e">
        <f>IF(ISBLANK(M22),0,L22/ROUND(M22,4))</f>
        <v>#DIV/0!</v>
      </c>
      <c r="R22" s="66" t="e">
        <f>IF(ISBLANK(M22),0,Q22*ROUND(N22,2))</f>
        <v>#DIV/0!</v>
      </c>
      <c r="S22" s="69" t="e">
        <f>ROUND(P22,2)*Q22</f>
        <v>#DIV/0!</v>
      </c>
      <c r="T22" s="66" t="e">
        <f>Q22*dagenperjaar1</f>
        <v>#DIV/0!</v>
      </c>
      <c r="U22" s="70" t="e">
        <f>T22*ROUND(P22,2)</f>
        <v>#DIV/0!</v>
      </c>
    </row>
    <row r="23" spans="1:21" x14ac:dyDescent="0.2">
      <c r="A23" s="63" t="s">
        <v>323</v>
      </c>
      <c r="B23" s="64" t="s">
        <v>324</v>
      </c>
      <c r="C23" s="64" t="s">
        <v>345</v>
      </c>
      <c r="D23" s="64" t="s">
        <v>380</v>
      </c>
      <c r="E23" s="64" t="s">
        <v>378</v>
      </c>
      <c r="F23" s="65" t="s">
        <v>381</v>
      </c>
      <c r="G23" s="64" t="s">
        <v>328</v>
      </c>
      <c r="H23" s="64" t="s">
        <v>205</v>
      </c>
      <c r="I23" s="64" t="s">
        <v>10</v>
      </c>
      <c r="J23" s="64" t="s">
        <v>201</v>
      </c>
      <c r="K23" s="66">
        <v>11.3</v>
      </c>
      <c r="L23" s="66">
        <f>K23*VLOOKUP(I23,dagsoorttabel1,2,FALSE)</f>
        <v>11.3</v>
      </c>
      <c r="M23" s="67">
        <f>prodnorm26</f>
        <v>0</v>
      </c>
      <c r="N23" s="68">
        <f>dagwerk26</f>
        <v>0</v>
      </c>
      <c r="O23" s="64" t="s">
        <v>38</v>
      </c>
      <c r="P23" s="69">
        <f>uurtarief26</f>
        <v>0</v>
      </c>
      <c r="Q23" s="66" t="e">
        <f>IF(ISBLANK(M23),0,L23/ROUND(M23,4))</f>
        <v>#DIV/0!</v>
      </c>
      <c r="R23" s="66" t="e">
        <f>IF(ISBLANK(M23),0,Q23*ROUND(N23,2))</f>
        <v>#DIV/0!</v>
      </c>
      <c r="S23" s="69" t="e">
        <f>ROUND(P23,2)*Q23</f>
        <v>#DIV/0!</v>
      </c>
      <c r="T23" s="66" t="e">
        <f>Q23*dagenperjaar1</f>
        <v>#DIV/0!</v>
      </c>
      <c r="U23" s="70" t="e">
        <f>T23*ROUND(P23,2)</f>
        <v>#DIV/0!</v>
      </c>
    </row>
    <row r="24" spans="1:21" x14ac:dyDescent="0.2">
      <c r="A24" s="63" t="s">
        <v>323</v>
      </c>
      <c r="B24" s="64" t="s">
        <v>324</v>
      </c>
      <c r="C24" s="64" t="s">
        <v>345</v>
      </c>
      <c r="D24" s="64" t="s">
        <v>382</v>
      </c>
      <c r="E24" s="64" t="s">
        <v>383</v>
      </c>
      <c r="F24" s="65" t="s">
        <v>338</v>
      </c>
      <c r="G24" s="64" t="s">
        <v>328</v>
      </c>
      <c r="H24" s="64" t="s">
        <v>263</v>
      </c>
      <c r="I24" s="64" t="s">
        <v>10</v>
      </c>
      <c r="J24" s="64" t="s">
        <v>201</v>
      </c>
      <c r="K24" s="66">
        <v>17.8</v>
      </c>
      <c r="L24" s="66">
        <f>K24*VLOOKUP(I24,dagsoorttabel1,2,FALSE)</f>
        <v>17.8</v>
      </c>
      <c r="M24" s="67">
        <f>prodnorm63</f>
        <v>0</v>
      </c>
      <c r="N24" s="68">
        <f>dagwerk63</f>
        <v>0</v>
      </c>
      <c r="O24" s="64" t="s">
        <v>38</v>
      </c>
      <c r="P24" s="69">
        <f>uurtarief63</f>
        <v>0</v>
      </c>
      <c r="Q24" s="66" t="e">
        <f>IF(ISBLANK(M24),0,L24/ROUND(M24,4))</f>
        <v>#DIV/0!</v>
      </c>
      <c r="R24" s="66" t="e">
        <f>IF(ISBLANK(M24),0,Q24*ROUND(N24,2))</f>
        <v>#DIV/0!</v>
      </c>
      <c r="S24" s="69" t="e">
        <f>ROUND(P24,2)*Q24</f>
        <v>#DIV/0!</v>
      </c>
      <c r="T24" s="66" t="e">
        <f>Q24*dagenperjaar1</f>
        <v>#DIV/0!</v>
      </c>
      <c r="U24" s="70" t="e">
        <f>T24*ROUND(P24,2)</f>
        <v>#DIV/0!</v>
      </c>
    </row>
    <row r="25" spans="1:21" x14ac:dyDescent="0.2">
      <c r="A25" s="63" t="s">
        <v>323</v>
      </c>
      <c r="B25" s="64" t="s">
        <v>324</v>
      </c>
      <c r="C25" s="64" t="s">
        <v>345</v>
      </c>
      <c r="D25" s="64" t="s">
        <v>384</v>
      </c>
      <c r="E25" s="64" t="s">
        <v>385</v>
      </c>
      <c r="F25" s="65" t="s">
        <v>386</v>
      </c>
      <c r="G25" s="64" t="s">
        <v>328</v>
      </c>
      <c r="H25" s="64" t="s">
        <v>237</v>
      </c>
      <c r="I25" s="64" t="s">
        <v>19</v>
      </c>
      <c r="J25" s="64" t="s">
        <v>201</v>
      </c>
      <c r="K25" s="66">
        <v>4.8</v>
      </c>
      <c r="L25" s="66">
        <f>K25*VLOOKUP(I25,dagsoorttabel1,2,FALSE)</f>
        <v>0.24</v>
      </c>
      <c r="M25" s="67">
        <f>prodnorm47</f>
        <v>0</v>
      </c>
      <c r="N25" s="68">
        <f>dagwerk47</f>
        <v>0</v>
      </c>
      <c r="O25" s="64" t="s">
        <v>38</v>
      </c>
      <c r="P25" s="69">
        <f>uurtarief47</f>
        <v>0</v>
      </c>
      <c r="Q25" s="66" t="e">
        <f>IF(ISBLANK(M25),0,L25/ROUND(M25,4))</f>
        <v>#DIV/0!</v>
      </c>
      <c r="R25" s="66" t="e">
        <f>IF(ISBLANK(M25),0,Q25*ROUND(N25,2))</f>
        <v>#DIV/0!</v>
      </c>
      <c r="S25" s="69" t="e">
        <f>ROUND(P25,2)*Q25</f>
        <v>#DIV/0!</v>
      </c>
      <c r="T25" s="66" t="e">
        <f>Q25*dagenperjaar1</f>
        <v>#DIV/0!</v>
      </c>
      <c r="U25" s="70" t="e">
        <f>T25*ROUND(P25,2)</f>
        <v>#DIV/0!</v>
      </c>
    </row>
    <row r="26" spans="1:21" x14ac:dyDescent="0.2">
      <c r="A26" s="63" t="s">
        <v>323</v>
      </c>
      <c r="B26" s="64" t="s">
        <v>324</v>
      </c>
      <c r="C26" s="64" t="s">
        <v>345</v>
      </c>
      <c r="D26" s="64" t="s">
        <v>387</v>
      </c>
      <c r="E26" s="64" t="s">
        <v>388</v>
      </c>
      <c r="F26" s="65" t="s">
        <v>389</v>
      </c>
      <c r="G26" s="64" t="s">
        <v>328</v>
      </c>
      <c r="H26" s="64" t="s">
        <v>243</v>
      </c>
      <c r="I26" s="64" t="s">
        <v>10</v>
      </c>
      <c r="J26" s="64" t="s">
        <v>201</v>
      </c>
      <c r="K26" s="66">
        <v>50.1</v>
      </c>
      <c r="L26" s="66">
        <f>K26*VLOOKUP(I26,dagsoorttabel1,2,FALSE)</f>
        <v>50.1</v>
      </c>
      <c r="M26" s="67">
        <f>prodnorm52</f>
        <v>0</v>
      </c>
      <c r="N26" s="68">
        <f>dagwerk52</f>
        <v>0</v>
      </c>
      <c r="O26" s="64" t="s">
        <v>38</v>
      </c>
      <c r="P26" s="69">
        <f>uurtarief52</f>
        <v>0</v>
      </c>
      <c r="Q26" s="66" t="e">
        <f>IF(ISBLANK(M26),0,L26/ROUND(M26,4))</f>
        <v>#DIV/0!</v>
      </c>
      <c r="R26" s="66" t="e">
        <f>IF(ISBLANK(M26),0,Q26*ROUND(N26,2))</f>
        <v>#DIV/0!</v>
      </c>
      <c r="S26" s="69" t="e">
        <f>ROUND(P26,2)*Q26</f>
        <v>#DIV/0!</v>
      </c>
      <c r="T26" s="66" t="e">
        <f>Q26*dagenperjaar1</f>
        <v>#DIV/0!</v>
      </c>
      <c r="U26" s="70" t="e">
        <f>T26*ROUND(P26,2)</f>
        <v>#DIV/0!</v>
      </c>
    </row>
    <row r="27" spans="1:21" x14ac:dyDescent="0.2">
      <c r="A27" s="63" t="s">
        <v>323</v>
      </c>
      <c r="B27" s="64" t="s">
        <v>324</v>
      </c>
      <c r="C27" s="64" t="s">
        <v>345</v>
      </c>
      <c r="D27" s="64" t="s">
        <v>390</v>
      </c>
      <c r="E27" s="64" t="s">
        <v>391</v>
      </c>
      <c r="F27" s="65" t="s">
        <v>392</v>
      </c>
      <c r="G27" s="64" t="s">
        <v>351</v>
      </c>
      <c r="H27" s="64" t="s">
        <v>207</v>
      </c>
      <c r="I27" s="64" t="s">
        <v>10</v>
      </c>
      <c r="J27" s="64" t="s">
        <v>201</v>
      </c>
      <c r="K27" s="66">
        <v>19.350000000000001</v>
      </c>
      <c r="L27" s="66">
        <f>K27*VLOOKUP(I27,dagsoorttabel1,2,FALSE)</f>
        <v>19.350000000000001</v>
      </c>
      <c r="M27" s="67">
        <f>prodnorm28</f>
        <v>0</v>
      </c>
      <c r="N27" s="68">
        <f>dagwerk28</f>
        <v>0</v>
      </c>
      <c r="O27" s="64" t="s">
        <v>38</v>
      </c>
      <c r="P27" s="69">
        <f>uurtarief28</f>
        <v>0</v>
      </c>
      <c r="Q27" s="66" t="e">
        <f>IF(ISBLANK(M27),0,L27/ROUND(M27,4))</f>
        <v>#DIV/0!</v>
      </c>
      <c r="R27" s="66" t="e">
        <f>IF(ISBLANK(M27),0,Q27*ROUND(N27,2))</f>
        <v>#DIV/0!</v>
      </c>
      <c r="S27" s="69" t="e">
        <f>ROUND(P27,2)*Q27</f>
        <v>#DIV/0!</v>
      </c>
      <c r="T27" s="66" t="e">
        <f>Q27*dagenperjaar1</f>
        <v>#DIV/0!</v>
      </c>
      <c r="U27" s="70" t="e">
        <f>T27*ROUND(P27,2)</f>
        <v>#DIV/0!</v>
      </c>
    </row>
    <row r="28" spans="1:21" x14ac:dyDescent="0.2">
      <c r="A28" s="63" t="s">
        <v>323</v>
      </c>
      <c r="B28" s="64" t="s">
        <v>324</v>
      </c>
      <c r="C28" s="64" t="s">
        <v>345</v>
      </c>
      <c r="D28" s="64" t="s">
        <v>393</v>
      </c>
      <c r="E28" s="64" t="s">
        <v>391</v>
      </c>
      <c r="F28" s="65" t="s">
        <v>394</v>
      </c>
      <c r="G28" s="64" t="s">
        <v>351</v>
      </c>
      <c r="H28" s="64" t="s">
        <v>207</v>
      </c>
      <c r="I28" s="64" t="s">
        <v>10</v>
      </c>
      <c r="J28" s="64" t="s">
        <v>201</v>
      </c>
      <c r="K28" s="66">
        <v>19.350000000000001</v>
      </c>
      <c r="L28" s="66">
        <f>K28*VLOOKUP(I28,dagsoorttabel1,2,FALSE)</f>
        <v>19.350000000000001</v>
      </c>
      <c r="M28" s="67">
        <f>prodnorm28</f>
        <v>0</v>
      </c>
      <c r="N28" s="68">
        <f>dagwerk28</f>
        <v>0</v>
      </c>
      <c r="O28" s="64" t="s">
        <v>38</v>
      </c>
      <c r="P28" s="69">
        <f>uurtarief28</f>
        <v>0</v>
      </c>
      <c r="Q28" s="66" t="e">
        <f>IF(ISBLANK(M28),0,L28/ROUND(M28,4))</f>
        <v>#DIV/0!</v>
      </c>
      <c r="R28" s="66" t="e">
        <f>IF(ISBLANK(M28),0,Q28*ROUND(N28,2))</f>
        <v>#DIV/0!</v>
      </c>
      <c r="S28" s="69" t="e">
        <f>ROUND(P28,2)*Q28</f>
        <v>#DIV/0!</v>
      </c>
      <c r="T28" s="66" t="e">
        <f>Q28*dagenperjaar1</f>
        <v>#DIV/0!</v>
      </c>
      <c r="U28" s="70" t="e">
        <f>T28*ROUND(P28,2)</f>
        <v>#DIV/0!</v>
      </c>
    </row>
    <row r="29" spans="1:21" x14ac:dyDescent="0.2">
      <c r="A29" s="63" t="s">
        <v>323</v>
      </c>
      <c r="B29" s="64" t="s">
        <v>324</v>
      </c>
      <c r="C29" s="64" t="s">
        <v>345</v>
      </c>
      <c r="D29" s="64" t="s">
        <v>395</v>
      </c>
      <c r="E29" s="64" t="s">
        <v>396</v>
      </c>
      <c r="F29" s="65" t="s">
        <v>397</v>
      </c>
      <c r="G29" s="64" t="s">
        <v>328</v>
      </c>
      <c r="H29" s="64" t="s">
        <v>237</v>
      </c>
      <c r="I29" s="64" t="s">
        <v>19</v>
      </c>
      <c r="J29" s="64" t="s">
        <v>201</v>
      </c>
      <c r="K29" s="66">
        <v>10</v>
      </c>
      <c r="L29" s="66">
        <f>K29*VLOOKUP(I29,dagsoorttabel1,2,FALSE)</f>
        <v>0.5</v>
      </c>
      <c r="M29" s="67">
        <f>prodnorm47</f>
        <v>0</v>
      </c>
      <c r="N29" s="68">
        <f>dagwerk47</f>
        <v>0</v>
      </c>
      <c r="O29" s="64" t="s">
        <v>38</v>
      </c>
      <c r="P29" s="69">
        <f>uurtarief47</f>
        <v>0</v>
      </c>
      <c r="Q29" s="66" t="e">
        <f>IF(ISBLANK(M29),0,L29/ROUND(M29,4))</f>
        <v>#DIV/0!</v>
      </c>
      <c r="R29" s="66" t="e">
        <f>IF(ISBLANK(M29),0,Q29*ROUND(N29,2))</f>
        <v>#DIV/0!</v>
      </c>
      <c r="S29" s="69" t="e">
        <f>ROUND(P29,2)*Q29</f>
        <v>#DIV/0!</v>
      </c>
      <c r="T29" s="66" t="e">
        <f>Q29*dagenperjaar1</f>
        <v>#DIV/0!</v>
      </c>
      <c r="U29" s="70" t="e">
        <f>T29*ROUND(P29,2)</f>
        <v>#DIV/0!</v>
      </c>
    </row>
    <row r="30" spans="1:21" x14ac:dyDescent="0.2">
      <c r="A30" s="63" t="s">
        <v>323</v>
      </c>
      <c r="B30" s="64" t="s">
        <v>324</v>
      </c>
      <c r="C30" s="64" t="s">
        <v>345</v>
      </c>
      <c r="D30" s="64" t="s">
        <v>398</v>
      </c>
      <c r="E30" s="64" t="s">
        <v>396</v>
      </c>
      <c r="F30" s="65" t="s">
        <v>399</v>
      </c>
      <c r="G30" s="64" t="s">
        <v>351</v>
      </c>
      <c r="H30" s="64" t="s">
        <v>207</v>
      </c>
      <c r="I30" s="64" t="s">
        <v>10</v>
      </c>
      <c r="J30" s="64" t="s">
        <v>201</v>
      </c>
      <c r="K30" s="66">
        <v>4.8</v>
      </c>
      <c r="L30" s="66">
        <f>K30*VLOOKUP(I30,dagsoorttabel1,2,FALSE)</f>
        <v>4.8</v>
      </c>
      <c r="M30" s="67">
        <f>prodnorm28</f>
        <v>0</v>
      </c>
      <c r="N30" s="68">
        <f>dagwerk28</f>
        <v>0</v>
      </c>
      <c r="O30" s="64" t="s">
        <v>38</v>
      </c>
      <c r="P30" s="69">
        <f>uurtarief28</f>
        <v>0</v>
      </c>
      <c r="Q30" s="66" t="e">
        <f>IF(ISBLANK(M30),0,L30/ROUND(M30,4))</f>
        <v>#DIV/0!</v>
      </c>
      <c r="R30" s="66" t="e">
        <f>IF(ISBLANK(M30),0,Q30*ROUND(N30,2))</f>
        <v>#DIV/0!</v>
      </c>
      <c r="S30" s="69" t="e">
        <f>ROUND(P30,2)*Q30</f>
        <v>#DIV/0!</v>
      </c>
      <c r="T30" s="66" t="e">
        <f>Q30*dagenperjaar1</f>
        <v>#DIV/0!</v>
      </c>
      <c r="U30" s="70" t="e">
        <f>T30*ROUND(P30,2)</f>
        <v>#DIV/0!</v>
      </c>
    </row>
    <row r="31" spans="1:21" x14ac:dyDescent="0.2">
      <c r="A31" s="63" t="s">
        <v>323</v>
      </c>
      <c r="B31" s="64" t="s">
        <v>324</v>
      </c>
      <c r="C31" s="64" t="s">
        <v>345</v>
      </c>
      <c r="D31" s="64" t="s">
        <v>400</v>
      </c>
      <c r="E31" s="64" t="s">
        <v>401</v>
      </c>
      <c r="F31" s="65" t="s">
        <v>389</v>
      </c>
      <c r="G31" s="64" t="s">
        <v>328</v>
      </c>
      <c r="H31" s="64" t="s">
        <v>251</v>
      </c>
      <c r="I31" s="64" t="s">
        <v>10</v>
      </c>
      <c r="J31" s="64" t="s">
        <v>201</v>
      </c>
      <c r="K31" s="66">
        <v>76.2</v>
      </c>
      <c r="L31" s="66">
        <f>K31*VLOOKUP(I31,dagsoorttabel1,2,FALSE)</f>
        <v>76.2</v>
      </c>
      <c r="M31" s="67">
        <f>prodnorm57</f>
        <v>0</v>
      </c>
      <c r="N31" s="68">
        <f>dagwerk57</f>
        <v>0</v>
      </c>
      <c r="O31" s="64" t="s">
        <v>38</v>
      </c>
      <c r="P31" s="69">
        <f>uurtarief57</f>
        <v>0</v>
      </c>
      <c r="Q31" s="66" t="e">
        <f>IF(ISBLANK(M31),0,L31/ROUND(M31,4))</f>
        <v>#DIV/0!</v>
      </c>
      <c r="R31" s="66" t="e">
        <f>IF(ISBLANK(M31),0,Q31*ROUND(N31,2))</f>
        <v>#DIV/0!</v>
      </c>
      <c r="S31" s="69" t="e">
        <f>ROUND(P31,2)*Q31</f>
        <v>#DIV/0!</v>
      </c>
      <c r="T31" s="66" t="e">
        <f>Q31*dagenperjaar1</f>
        <v>#DIV/0!</v>
      </c>
      <c r="U31" s="70" t="e">
        <f>T31*ROUND(P31,2)</f>
        <v>#DIV/0!</v>
      </c>
    </row>
    <row r="32" spans="1:21" x14ac:dyDescent="0.2">
      <c r="A32" s="63" t="s">
        <v>323</v>
      </c>
      <c r="B32" s="64" t="s">
        <v>324</v>
      </c>
      <c r="C32" s="64" t="s">
        <v>345</v>
      </c>
      <c r="D32" s="64" t="s">
        <v>402</v>
      </c>
      <c r="E32" s="64" t="s">
        <v>403</v>
      </c>
      <c r="F32" s="65" t="s">
        <v>404</v>
      </c>
      <c r="G32" s="64" t="s">
        <v>328</v>
      </c>
      <c r="H32" s="64" t="s">
        <v>200</v>
      </c>
      <c r="I32" s="64" t="s">
        <v>10</v>
      </c>
      <c r="J32" s="64" t="s">
        <v>201</v>
      </c>
      <c r="K32" s="66">
        <v>140.6</v>
      </c>
      <c r="L32" s="66">
        <f>K32*VLOOKUP(I32,dagsoorttabel1,2,FALSE)</f>
        <v>140.6</v>
      </c>
      <c r="M32" s="67">
        <f>prodnorm24</f>
        <v>0</v>
      </c>
      <c r="N32" s="68">
        <f>dagwerk24</f>
        <v>0</v>
      </c>
      <c r="O32" s="64" t="s">
        <v>38</v>
      </c>
      <c r="P32" s="69">
        <f>uurtarief24</f>
        <v>0</v>
      </c>
      <c r="Q32" s="66" t="e">
        <f>IF(ISBLANK(M32),0,L32/ROUND(M32,4))</f>
        <v>#DIV/0!</v>
      </c>
      <c r="R32" s="66" t="e">
        <f>IF(ISBLANK(M32),0,Q32*ROUND(N32,2))</f>
        <v>#DIV/0!</v>
      </c>
      <c r="S32" s="69" t="e">
        <f>ROUND(P32,2)*Q32</f>
        <v>#DIV/0!</v>
      </c>
      <c r="T32" s="66" t="e">
        <f>Q32*dagenperjaar1</f>
        <v>#DIV/0!</v>
      </c>
      <c r="U32" s="70" t="e">
        <f>T32*ROUND(P32,2)</f>
        <v>#DIV/0!</v>
      </c>
    </row>
    <row r="33" spans="1:21" x14ac:dyDescent="0.2">
      <c r="A33" s="63" t="s">
        <v>323</v>
      </c>
      <c r="B33" s="64" t="s">
        <v>324</v>
      </c>
      <c r="C33" s="64" t="s">
        <v>345</v>
      </c>
      <c r="D33" s="64" t="s">
        <v>405</v>
      </c>
      <c r="E33" s="64" t="s">
        <v>406</v>
      </c>
      <c r="F33" s="65" t="s">
        <v>397</v>
      </c>
      <c r="G33" s="64" t="s">
        <v>328</v>
      </c>
      <c r="H33" s="64" t="s">
        <v>237</v>
      </c>
      <c r="I33" s="64" t="s">
        <v>19</v>
      </c>
      <c r="J33" s="64" t="s">
        <v>201</v>
      </c>
      <c r="K33" s="66">
        <v>28.1</v>
      </c>
      <c r="L33" s="66">
        <f>K33*VLOOKUP(I33,dagsoorttabel1,2,FALSE)</f>
        <v>1.4050000000000002</v>
      </c>
      <c r="M33" s="67">
        <f>prodnorm47</f>
        <v>0</v>
      </c>
      <c r="N33" s="68">
        <f>dagwerk47</f>
        <v>0</v>
      </c>
      <c r="O33" s="64" t="s">
        <v>38</v>
      </c>
      <c r="P33" s="69">
        <f>uurtarief47</f>
        <v>0</v>
      </c>
      <c r="Q33" s="66" t="e">
        <f>IF(ISBLANK(M33),0,L33/ROUND(M33,4))</f>
        <v>#DIV/0!</v>
      </c>
      <c r="R33" s="66" t="e">
        <f>IF(ISBLANK(M33),0,Q33*ROUND(N33,2))</f>
        <v>#DIV/0!</v>
      </c>
      <c r="S33" s="69" t="e">
        <f>ROUND(P33,2)*Q33</f>
        <v>#DIV/0!</v>
      </c>
      <c r="T33" s="66" t="e">
        <f>Q33*dagenperjaar1</f>
        <v>#DIV/0!</v>
      </c>
      <c r="U33" s="70" t="e">
        <f>T33*ROUND(P33,2)</f>
        <v>#DIV/0!</v>
      </c>
    </row>
    <row r="34" spans="1:21" x14ac:dyDescent="0.2">
      <c r="A34" s="63" t="s">
        <v>323</v>
      </c>
      <c r="B34" s="64" t="s">
        <v>324</v>
      </c>
      <c r="C34" s="64" t="s">
        <v>345</v>
      </c>
      <c r="D34" s="64" t="s">
        <v>407</v>
      </c>
      <c r="E34" s="64" t="s">
        <v>408</v>
      </c>
      <c r="F34" s="65" t="s">
        <v>409</v>
      </c>
      <c r="G34" s="64" t="s">
        <v>328</v>
      </c>
      <c r="H34" s="64" t="s">
        <v>243</v>
      </c>
      <c r="I34" s="64" t="s">
        <v>10</v>
      </c>
      <c r="J34" s="64" t="s">
        <v>201</v>
      </c>
      <c r="K34" s="66">
        <v>22.7</v>
      </c>
      <c r="L34" s="66">
        <f>K34*VLOOKUP(I34,dagsoorttabel1,2,FALSE)</f>
        <v>22.7</v>
      </c>
      <c r="M34" s="67">
        <f>prodnorm52</f>
        <v>0</v>
      </c>
      <c r="N34" s="68">
        <f>dagwerk52</f>
        <v>0</v>
      </c>
      <c r="O34" s="64" t="s">
        <v>38</v>
      </c>
      <c r="P34" s="69">
        <f>uurtarief52</f>
        <v>0</v>
      </c>
      <c r="Q34" s="66" t="e">
        <f>IF(ISBLANK(M34),0,L34/ROUND(M34,4))</f>
        <v>#DIV/0!</v>
      </c>
      <c r="R34" s="66" t="e">
        <f>IF(ISBLANK(M34),0,Q34*ROUND(N34,2))</f>
        <v>#DIV/0!</v>
      </c>
      <c r="S34" s="69" t="e">
        <f>ROUND(P34,2)*Q34</f>
        <v>#DIV/0!</v>
      </c>
      <c r="T34" s="66" t="e">
        <f>Q34*dagenperjaar1</f>
        <v>#DIV/0!</v>
      </c>
      <c r="U34" s="70" t="e">
        <f>T34*ROUND(P34,2)</f>
        <v>#DIV/0!</v>
      </c>
    </row>
    <row r="35" spans="1:21" x14ac:dyDescent="0.2">
      <c r="A35" s="63" t="s">
        <v>323</v>
      </c>
      <c r="B35" s="64" t="s">
        <v>324</v>
      </c>
      <c r="C35" s="64" t="s">
        <v>345</v>
      </c>
      <c r="D35" s="64" t="s">
        <v>410</v>
      </c>
      <c r="E35" s="64" t="s">
        <v>411</v>
      </c>
      <c r="F35" s="65" t="s">
        <v>412</v>
      </c>
      <c r="G35" s="64" t="s">
        <v>328</v>
      </c>
      <c r="H35" s="64" t="s">
        <v>243</v>
      </c>
      <c r="I35" s="64" t="s">
        <v>10</v>
      </c>
      <c r="J35" s="64" t="s">
        <v>201</v>
      </c>
      <c r="K35" s="66">
        <v>33.700000000000003</v>
      </c>
      <c r="L35" s="66">
        <f>K35*VLOOKUP(I35,dagsoorttabel1,2,FALSE)</f>
        <v>33.700000000000003</v>
      </c>
      <c r="M35" s="67">
        <f>prodnorm52</f>
        <v>0</v>
      </c>
      <c r="N35" s="68">
        <f>dagwerk52</f>
        <v>0</v>
      </c>
      <c r="O35" s="64" t="s">
        <v>38</v>
      </c>
      <c r="P35" s="69">
        <f>uurtarief52</f>
        <v>0</v>
      </c>
      <c r="Q35" s="66" t="e">
        <f>IF(ISBLANK(M35),0,L35/ROUND(M35,4))</f>
        <v>#DIV/0!</v>
      </c>
      <c r="R35" s="66" t="e">
        <f>IF(ISBLANK(M35),0,Q35*ROUND(N35,2))</f>
        <v>#DIV/0!</v>
      </c>
      <c r="S35" s="69" t="e">
        <f>ROUND(P35,2)*Q35</f>
        <v>#DIV/0!</v>
      </c>
      <c r="T35" s="66" t="e">
        <f>Q35*dagenperjaar1</f>
        <v>#DIV/0!</v>
      </c>
      <c r="U35" s="70" t="e">
        <f>T35*ROUND(P35,2)</f>
        <v>#DIV/0!</v>
      </c>
    </row>
    <row r="36" spans="1:21" x14ac:dyDescent="0.2">
      <c r="A36" s="63" t="s">
        <v>323</v>
      </c>
      <c r="B36" s="64" t="s">
        <v>324</v>
      </c>
      <c r="C36" s="64" t="s">
        <v>345</v>
      </c>
      <c r="D36" s="64" t="s">
        <v>413</v>
      </c>
      <c r="E36" s="64" t="s">
        <v>414</v>
      </c>
      <c r="F36" s="65" t="s">
        <v>415</v>
      </c>
      <c r="G36" s="64" t="s">
        <v>328</v>
      </c>
      <c r="H36" s="64" t="s">
        <v>243</v>
      </c>
      <c r="I36" s="64" t="s">
        <v>10</v>
      </c>
      <c r="J36" s="64" t="s">
        <v>201</v>
      </c>
      <c r="K36" s="66">
        <v>36.4</v>
      </c>
      <c r="L36" s="66">
        <f>K36*VLOOKUP(I36,dagsoorttabel1,2,FALSE)</f>
        <v>36.4</v>
      </c>
      <c r="M36" s="67">
        <f>prodnorm52</f>
        <v>0</v>
      </c>
      <c r="N36" s="68">
        <f>dagwerk52</f>
        <v>0</v>
      </c>
      <c r="O36" s="64" t="s">
        <v>38</v>
      </c>
      <c r="P36" s="69">
        <f>uurtarief52</f>
        <v>0</v>
      </c>
      <c r="Q36" s="66" t="e">
        <f>IF(ISBLANK(M36),0,L36/ROUND(M36,4))</f>
        <v>#DIV/0!</v>
      </c>
      <c r="R36" s="66" t="e">
        <f>IF(ISBLANK(M36),0,Q36*ROUND(N36,2))</f>
        <v>#DIV/0!</v>
      </c>
      <c r="S36" s="69" t="e">
        <f>ROUND(P36,2)*Q36</f>
        <v>#DIV/0!</v>
      </c>
      <c r="T36" s="66" t="e">
        <f>Q36*dagenperjaar1</f>
        <v>#DIV/0!</v>
      </c>
      <c r="U36" s="70" t="e">
        <f>T36*ROUND(P36,2)</f>
        <v>#DIV/0!</v>
      </c>
    </row>
    <row r="37" spans="1:21" x14ac:dyDescent="0.2">
      <c r="A37" s="63" t="s">
        <v>323</v>
      </c>
      <c r="B37" s="64" t="s">
        <v>324</v>
      </c>
      <c r="C37" s="64" t="s">
        <v>345</v>
      </c>
      <c r="D37" s="64" t="s">
        <v>416</v>
      </c>
      <c r="E37" s="64" t="s">
        <v>417</v>
      </c>
      <c r="F37" s="65" t="s">
        <v>344</v>
      </c>
      <c r="G37" s="64" t="s">
        <v>328</v>
      </c>
      <c r="H37" s="64" t="s">
        <v>263</v>
      </c>
      <c r="I37" s="64" t="s">
        <v>10</v>
      </c>
      <c r="J37" s="64" t="s">
        <v>201</v>
      </c>
      <c r="K37" s="66">
        <v>14.3</v>
      </c>
      <c r="L37" s="66">
        <f>K37*VLOOKUP(I37,dagsoorttabel1,2,FALSE)</f>
        <v>14.3</v>
      </c>
      <c r="M37" s="67">
        <f>prodnorm63</f>
        <v>0</v>
      </c>
      <c r="N37" s="68">
        <f>dagwerk63</f>
        <v>0</v>
      </c>
      <c r="O37" s="64" t="s">
        <v>38</v>
      </c>
      <c r="P37" s="69">
        <f>uurtarief63</f>
        <v>0</v>
      </c>
      <c r="Q37" s="66" t="e">
        <f>IF(ISBLANK(M37),0,L37/ROUND(M37,4))</f>
        <v>#DIV/0!</v>
      </c>
      <c r="R37" s="66" t="e">
        <f>IF(ISBLANK(M37),0,Q37*ROUND(N37,2))</f>
        <v>#DIV/0!</v>
      </c>
      <c r="S37" s="69" t="e">
        <f>ROUND(P37,2)*Q37</f>
        <v>#DIV/0!</v>
      </c>
      <c r="T37" s="66" t="e">
        <f>Q37*dagenperjaar1</f>
        <v>#DIV/0!</v>
      </c>
      <c r="U37" s="70" t="e">
        <f>T37*ROUND(P37,2)</f>
        <v>#DIV/0!</v>
      </c>
    </row>
    <row r="38" spans="1:21" x14ac:dyDescent="0.2">
      <c r="A38" s="63" t="s">
        <v>323</v>
      </c>
      <c r="B38" s="64" t="s">
        <v>324</v>
      </c>
      <c r="C38" s="64" t="s">
        <v>345</v>
      </c>
      <c r="D38" s="64" t="s">
        <v>418</v>
      </c>
      <c r="E38" s="64" t="s">
        <v>419</v>
      </c>
      <c r="F38" s="65" t="s">
        <v>420</v>
      </c>
      <c r="G38" s="64" t="s">
        <v>328</v>
      </c>
      <c r="H38" s="64" t="s">
        <v>251</v>
      </c>
      <c r="I38" s="64" t="s">
        <v>10</v>
      </c>
      <c r="J38" s="64" t="s">
        <v>201</v>
      </c>
      <c r="K38" s="66">
        <v>260.7</v>
      </c>
      <c r="L38" s="66">
        <f>K38*VLOOKUP(I38,dagsoorttabel1,2,FALSE)</f>
        <v>260.7</v>
      </c>
      <c r="M38" s="67">
        <f>prodnorm57</f>
        <v>0</v>
      </c>
      <c r="N38" s="68">
        <f>dagwerk57</f>
        <v>0</v>
      </c>
      <c r="O38" s="64" t="s">
        <v>38</v>
      </c>
      <c r="P38" s="69">
        <f>uurtarief57</f>
        <v>0</v>
      </c>
      <c r="Q38" s="66" t="e">
        <f>IF(ISBLANK(M38),0,L38/ROUND(M38,4))</f>
        <v>#DIV/0!</v>
      </c>
      <c r="R38" s="66" t="e">
        <f>IF(ISBLANK(M38),0,Q38*ROUND(N38,2))</f>
        <v>#DIV/0!</v>
      </c>
      <c r="S38" s="69" t="e">
        <f>ROUND(P38,2)*Q38</f>
        <v>#DIV/0!</v>
      </c>
      <c r="T38" s="66" t="e">
        <f>Q38*dagenperjaar1</f>
        <v>#DIV/0!</v>
      </c>
      <c r="U38" s="70" t="e">
        <f>T38*ROUND(P38,2)</f>
        <v>#DIV/0!</v>
      </c>
    </row>
    <row r="39" spans="1:21" x14ac:dyDescent="0.2">
      <c r="A39" s="63" t="s">
        <v>323</v>
      </c>
      <c r="B39" s="64" t="s">
        <v>324</v>
      </c>
      <c r="C39" s="64" t="s">
        <v>345</v>
      </c>
      <c r="D39" s="64" t="s">
        <v>421</v>
      </c>
      <c r="E39" s="64" t="s">
        <v>422</v>
      </c>
      <c r="F39" s="65" t="s">
        <v>386</v>
      </c>
      <c r="G39" s="64" t="s">
        <v>328</v>
      </c>
      <c r="H39" s="64" t="s">
        <v>237</v>
      </c>
      <c r="I39" s="64" t="s">
        <v>19</v>
      </c>
      <c r="J39" s="64" t="s">
        <v>201</v>
      </c>
      <c r="K39" s="66">
        <v>17.8</v>
      </c>
      <c r="L39" s="66">
        <f>K39*VLOOKUP(I39,dagsoorttabel1,2,FALSE)</f>
        <v>0.89000000000000012</v>
      </c>
      <c r="M39" s="67">
        <f>prodnorm47</f>
        <v>0</v>
      </c>
      <c r="N39" s="68">
        <f>dagwerk47</f>
        <v>0</v>
      </c>
      <c r="O39" s="64" t="s">
        <v>38</v>
      </c>
      <c r="P39" s="69">
        <f>uurtarief47</f>
        <v>0</v>
      </c>
      <c r="Q39" s="66" t="e">
        <f>IF(ISBLANK(M39),0,L39/ROUND(M39,4))</f>
        <v>#DIV/0!</v>
      </c>
      <c r="R39" s="66" t="e">
        <f>IF(ISBLANK(M39),0,Q39*ROUND(N39,2))</f>
        <v>#DIV/0!</v>
      </c>
      <c r="S39" s="69" t="e">
        <f>ROUND(P39,2)*Q39</f>
        <v>#DIV/0!</v>
      </c>
      <c r="T39" s="66" t="e">
        <f>Q39*dagenperjaar1</f>
        <v>#DIV/0!</v>
      </c>
      <c r="U39" s="70" t="e">
        <f>T39*ROUND(P39,2)</f>
        <v>#DIV/0!</v>
      </c>
    </row>
    <row r="40" spans="1:21" x14ac:dyDescent="0.2">
      <c r="A40" s="63" t="s">
        <v>323</v>
      </c>
      <c r="B40" s="64" t="s">
        <v>324</v>
      </c>
      <c r="C40" s="64" t="s">
        <v>345</v>
      </c>
      <c r="D40" s="64" t="s">
        <v>423</v>
      </c>
      <c r="E40" s="64" t="s">
        <v>424</v>
      </c>
      <c r="F40" s="65" t="s">
        <v>425</v>
      </c>
      <c r="G40" s="64" t="s">
        <v>328</v>
      </c>
      <c r="H40" s="64" t="s">
        <v>251</v>
      </c>
      <c r="I40" s="64" t="s">
        <v>10</v>
      </c>
      <c r="J40" s="64" t="s">
        <v>201</v>
      </c>
      <c r="K40" s="66">
        <v>40.4</v>
      </c>
      <c r="L40" s="66">
        <f>K40*VLOOKUP(I40,dagsoorttabel1,2,FALSE)</f>
        <v>40.4</v>
      </c>
      <c r="M40" s="67">
        <f>prodnorm57</f>
        <v>0</v>
      </c>
      <c r="N40" s="68">
        <f>dagwerk57</f>
        <v>0</v>
      </c>
      <c r="O40" s="64" t="s">
        <v>38</v>
      </c>
      <c r="P40" s="69">
        <f>uurtarief57</f>
        <v>0</v>
      </c>
      <c r="Q40" s="66" t="e">
        <f>IF(ISBLANK(M40),0,L40/ROUND(M40,4))</f>
        <v>#DIV/0!</v>
      </c>
      <c r="R40" s="66" t="e">
        <f>IF(ISBLANK(M40),0,Q40*ROUND(N40,2))</f>
        <v>#DIV/0!</v>
      </c>
      <c r="S40" s="69" t="e">
        <f>ROUND(P40,2)*Q40</f>
        <v>#DIV/0!</v>
      </c>
      <c r="T40" s="66" t="e">
        <f>Q40*dagenperjaar1</f>
        <v>#DIV/0!</v>
      </c>
      <c r="U40" s="70" t="e">
        <f>T40*ROUND(P40,2)</f>
        <v>#DIV/0!</v>
      </c>
    </row>
    <row r="41" spans="1:21" x14ac:dyDescent="0.2">
      <c r="A41" s="63" t="s">
        <v>323</v>
      </c>
      <c r="B41" s="64" t="s">
        <v>324</v>
      </c>
      <c r="C41" s="64" t="s">
        <v>323</v>
      </c>
      <c r="D41" s="64" t="s">
        <v>426</v>
      </c>
      <c r="E41" s="64" t="s">
        <v>427</v>
      </c>
      <c r="F41" s="65" t="s">
        <v>428</v>
      </c>
      <c r="G41" s="64" t="s">
        <v>328</v>
      </c>
      <c r="H41" s="64" t="s">
        <v>267</v>
      </c>
      <c r="I41" s="64" t="s">
        <v>10</v>
      </c>
      <c r="J41" s="64" t="s">
        <v>201</v>
      </c>
      <c r="K41" s="66">
        <v>141.80000000000001</v>
      </c>
      <c r="L41" s="66">
        <f>K41*VLOOKUP(I41,dagsoorttabel1,2,FALSE)</f>
        <v>141.80000000000001</v>
      </c>
      <c r="M41" s="67">
        <f>prodnorm65</f>
        <v>0</v>
      </c>
      <c r="N41" s="68">
        <f>dagwerk65</f>
        <v>0</v>
      </c>
      <c r="O41" s="64" t="s">
        <v>38</v>
      </c>
      <c r="P41" s="69">
        <f>uurtarief65</f>
        <v>0</v>
      </c>
      <c r="Q41" s="66" t="e">
        <f>IF(ISBLANK(M41),0,L41/ROUND(M41,4))</f>
        <v>#DIV/0!</v>
      </c>
      <c r="R41" s="66" t="e">
        <f>IF(ISBLANK(M41),0,Q41*ROUND(N41,2))</f>
        <v>#DIV/0!</v>
      </c>
      <c r="S41" s="69" t="e">
        <f>ROUND(P41,2)*Q41</f>
        <v>#DIV/0!</v>
      </c>
      <c r="T41" s="66" t="e">
        <f>Q41*dagenperjaar1</f>
        <v>#DIV/0!</v>
      </c>
      <c r="U41" s="70" t="e">
        <f>T41*ROUND(P41,2)</f>
        <v>#DIV/0!</v>
      </c>
    </row>
    <row r="42" spans="1:21" x14ac:dyDescent="0.2">
      <c r="A42" s="63" t="s">
        <v>323</v>
      </c>
      <c r="B42" s="64" t="s">
        <v>324</v>
      </c>
      <c r="C42" s="64" t="s">
        <v>323</v>
      </c>
      <c r="D42" s="64" t="s">
        <v>429</v>
      </c>
      <c r="E42" s="64" t="s">
        <v>430</v>
      </c>
      <c r="F42" s="65" t="s">
        <v>335</v>
      </c>
      <c r="G42" s="64" t="s">
        <v>328</v>
      </c>
      <c r="H42" s="64" t="s">
        <v>267</v>
      </c>
      <c r="I42" s="64" t="s">
        <v>10</v>
      </c>
      <c r="J42" s="64" t="s">
        <v>201</v>
      </c>
      <c r="K42" s="66">
        <v>87.4</v>
      </c>
      <c r="L42" s="66">
        <f>K42*VLOOKUP(I42,dagsoorttabel1,2,FALSE)</f>
        <v>87.4</v>
      </c>
      <c r="M42" s="67">
        <f>prodnorm65</f>
        <v>0</v>
      </c>
      <c r="N42" s="68">
        <f>dagwerk65</f>
        <v>0</v>
      </c>
      <c r="O42" s="64" t="s">
        <v>38</v>
      </c>
      <c r="P42" s="69">
        <f>uurtarief65</f>
        <v>0</v>
      </c>
      <c r="Q42" s="66" t="e">
        <f>IF(ISBLANK(M42),0,L42/ROUND(M42,4))</f>
        <v>#DIV/0!</v>
      </c>
      <c r="R42" s="66" t="e">
        <f>IF(ISBLANK(M42),0,Q42*ROUND(N42,2))</f>
        <v>#DIV/0!</v>
      </c>
      <c r="S42" s="69" t="e">
        <f>ROUND(P42,2)*Q42</f>
        <v>#DIV/0!</v>
      </c>
      <c r="T42" s="66" t="e">
        <f>Q42*dagenperjaar1</f>
        <v>#DIV/0!</v>
      </c>
      <c r="U42" s="70" t="e">
        <f>T42*ROUND(P42,2)</f>
        <v>#DIV/0!</v>
      </c>
    </row>
    <row r="43" spans="1:21" x14ac:dyDescent="0.2">
      <c r="A43" s="63" t="s">
        <v>323</v>
      </c>
      <c r="B43" s="64" t="s">
        <v>324</v>
      </c>
      <c r="C43" s="64" t="s">
        <v>323</v>
      </c>
      <c r="D43" s="64" t="s">
        <v>431</v>
      </c>
      <c r="E43" s="64" t="s">
        <v>432</v>
      </c>
      <c r="F43" s="65" t="s">
        <v>335</v>
      </c>
      <c r="G43" s="64" t="s">
        <v>328</v>
      </c>
      <c r="H43" s="64" t="s">
        <v>267</v>
      </c>
      <c r="I43" s="64" t="s">
        <v>10</v>
      </c>
      <c r="J43" s="64" t="s">
        <v>201</v>
      </c>
      <c r="K43" s="66">
        <v>127.1</v>
      </c>
      <c r="L43" s="66">
        <f>K43*VLOOKUP(I43,dagsoorttabel1,2,FALSE)</f>
        <v>127.1</v>
      </c>
      <c r="M43" s="67">
        <f>prodnorm65</f>
        <v>0</v>
      </c>
      <c r="N43" s="68">
        <f>dagwerk65</f>
        <v>0</v>
      </c>
      <c r="O43" s="64" t="s">
        <v>38</v>
      </c>
      <c r="P43" s="69">
        <f>uurtarief65</f>
        <v>0</v>
      </c>
      <c r="Q43" s="66" t="e">
        <f>IF(ISBLANK(M43),0,L43/ROUND(M43,4))</f>
        <v>#DIV/0!</v>
      </c>
      <c r="R43" s="66" t="e">
        <f>IF(ISBLANK(M43),0,Q43*ROUND(N43,2))</f>
        <v>#DIV/0!</v>
      </c>
      <c r="S43" s="69" t="e">
        <f>ROUND(P43,2)*Q43</f>
        <v>#DIV/0!</v>
      </c>
      <c r="T43" s="66" t="e">
        <f>Q43*dagenperjaar1</f>
        <v>#DIV/0!</v>
      </c>
      <c r="U43" s="70" t="e">
        <f>T43*ROUND(P43,2)</f>
        <v>#DIV/0!</v>
      </c>
    </row>
    <row r="44" spans="1:21" x14ac:dyDescent="0.2">
      <c r="A44" s="63" t="s">
        <v>323</v>
      </c>
      <c r="B44" s="64" t="s">
        <v>324</v>
      </c>
      <c r="C44" s="64" t="s">
        <v>323</v>
      </c>
      <c r="D44" s="64" t="s">
        <v>433</v>
      </c>
      <c r="E44" s="64" t="s">
        <v>434</v>
      </c>
      <c r="F44" s="65" t="s">
        <v>435</v>
      </c>
      <c r="G44" s="64" t="s">
        <v>328</v>
      </c>
      <c r="H44" s="64" t="s">
        <v>239</v>
      </c>
      <c r="I44" s="64" t="s">
        <v>10</v>
      </c>
      <c r="J44" s="64" t="s">
        <v>201</v>
      </c>
      <c r="K44" s="66">
        <v>17.600000000000001</v>
      </c>
      <c r="L44" s="66">
        <f>K44*VLOOKUP(I44,dagsoorttabel1,2,FALSE)</f>
        <v>17.600000000000001</v>
      </c>
      <c r="M44" s="67">
        <f>prodnorm50</f>
        <v>0</v>
      </c>
      <c r="N44" s="68">
        <f>dagwerk50</f>
        <v>0</v>
      </c>
      <c r="O44" s="64" t="s">
        <v>38</v>
      </c>
      <c r="P44" s="69">
        <f>uurtarief50</f>
        <v>0</v>
      </c>
      <c r="Q44" s="66" t="e">
        <f>IF(ISBLANK(M44),0,L44/ROUND(M44,4))</f>
        <v>#DIV/0!</v>
      </c>
      <c r="R44" s="66" t="e">
        <f>IF(ISBLANK(M44),0,Q44*ROUND(N44,2))</f>
        <v>#DIV/0!</v>
      </c>
      <c r="S44" s="69" t="e">
        <f>ROUND(P44,2)*Q44</f>
        <v>#DIV/0!</v>
      </c>
      <c r="T44" s="66" t="e">
        <f>Q44*dagenperjaar1</f>
        <v>#DIV/0!</v>
      </c>
      <c r="U44" s="70" t="e">
        <f>T44*ROUND(P44,2)</f>
        <v>#DIV/0!</v>
      </c>
    </row>
    <row r="45" spans="1:21" x14ac:dyDescent="0.2">
      <c r="A45" s="63" t="s">
        <v>323</v>
      </c>
      <c r="B45" s="64" t="s">
        <v>324</v>
      </c>
      <c r="C45" s="64" t="s">
        <v>323</v>
      </c>
      <c r="D45" s="64" t="s">
        <v>436</v>
      </c>
      <c r="E45" s="64" t="s">
        <v>437</v>
      </c>
      <c r="F45" s="65" t="s">
        <v>435</v>
      </c>
      <c r="G45" s="64" t="s">
        <v>328</v>
      </c>
      <c r="H45" s="64" t="s">
        <v>239</v>
      </c>
      <c r="I45" s="64" t="s">
        <v>10</v>
      </c>
      <c r="J45" s="64" t="s">
        <v>201</v>
      </c>
      <c r="K45" s="66">
        <v>17.899999999999999</v>
      </c>
      <c r="L45" s="66">
        <f>K45*VLOOKUP(I45,dagsoorttabel1,2,FALSE)</f>
        <v>17.899999999999999</v>
      </c>
      <c r="M45" s="67">
        <f>prodnorm50</f>
        <v>0</v>
      </c>
      <c r="N45" s="68">
        <f>dagwerk50</f>
        <v>0</v>
      </c>
      <c r="O45" s="64" t="s">
        <v>38</v>
      </c>
      <c r="P45" s="69">
        <f>uurtarief50</f>
        <v>0</v>
      </c>
      <c r="Q45" s="66" t="e">
        <f>IF(ISBLANK(M45),0,L45/ROUND(M45,4))</f>
        <v>#DIV/0!</v>
      </c>
      <c r="R45" s="66" t="e">
        <f>IF(ISBLANK(M45),0,Q45*ROUND(N45,2))</f>
        <v>#DIV/0!</v>
      </c>
      <c r="S45" s="69" t="e">
        <f>ROUND(P45,2)*Q45</f>
        <v>#DIV/0!</v>
      </c>
      <c r="T45" s="66" t="e">
        <f>Q45*dagenperjaar1</f>
        <v>#DIV/0!</v>
      </c>
      <c r="U45" s="70" t="e">
        <f>T45*ROUND(P45,2)</f>
        <v>#DIV/0!</v>
      </c>
    </row>
    <row r="46" spans="1:21" ht="25.5" x14ac:dyDescent="0.2">
      <c r="A46" s="63" t="s">
        <v>323</v>
      </c>
      <c r="B46" s="64" t="s">
        <v>324</v>
      </c>
      <c r="C46" s="64" t="s">
        <v>323</v>
      </c>
      <c r="D46" s="64" t="s">
        <v>438</v>
      </c>
      <c r="E46" s="64" t="s">
        <v>439</v>
      </c>
      <c r="F46" s="65" t="s">
        <v>440</v>
      </c>
      <c r="G46" s="64" t="s">
        <v>328</v>
      </c>
      <c r="H46" s="64" t="s">
        <v>239</v>
      </c>
      <c r="I46" s="64" t="s">
        <v>10</v>
      </c>
      <c r="J46" s="64" t="s">
        <v>201</v>
      </c>
      <c r="K46" s="66">
        <v>135.80000000000001</v>
      </c>
      <c r="L46" s="66">
        <f>K46*VLOOKUP(I46,dagsoorttabel1,2,FALSE)</f>
        <v>135.80000000000001</v>
      </c>
      <c r="M46" s="67">
        <f>prodnorm50</f>
        <v>0</v>
      </c>
      <c r="N46" s="68">
        <f>dagwerk50</f>
        <v>0</v>
      </c>
      <c r="O46" s="64" t="s">
        <v>38</v>
      </c>
      <c r="P46" s="69">
        <f>uurtarief50</f>
        <v>0</v>
      </c>
      <c r="Q46" s="66" t="e">
        <f>IF(ISBLANK(M46),0,L46/ROUND(M46,4))</f>
        <v>#DIV/0!</v>
      </c>
      <c r="R46" s="66" t="e">
        <f>IF(ISBLANK(M46),0,Q46*ROUND(N46,2))</f>
        <v>#DIV/0!</v>
      </c>
      <c r="S46" s="69" t="e">
        <f>ROUND(P46,2)*Q46</f>
        <v>#DIV/0!</v>
      </c>
      <c r="T46" s="66" t="e">
        <f>Q46*dagenperjaar1</f>
        <v>#DIV/0!</v>
      </c>
      <c r="U46" s="70" t="e">
        <f>T46*ROUND(P46,2)</f>
        <v>#DIV/0!</v>
      </c>
    </row>
    <row r="47" spans="1:21" x14ac:dyDescent="0.2">
      <c r="A47" s="63" t="s">
        <v>323</v>
      </c>
      <c r="B47" s="64" t="s">
        <v>324</v>
      </c>
      <c r="C47" s="64" t="s">
        <v>323</v>
      </c>
      <c r="D47" s="64" t="s">
        <v>441</v>
      </c>
      <c r="E47" s="64" t="s">
        <v>430</v>
      </c>
      <c r="F47" s="65" t="s">
        <v>338</v>
      </c>
      <c r="G47" s="64" t="s">
        <v>328</v>
      </c>
      <c r="H47" s="64" t="s">
        <v>263</v>
      </c>
      <c r="I47" s="64" t="s">
        <v>10</v>
      </c>
      <c r="J47" s="64" t="s">
        <v>201</v>
      </c>
      <c r="K47" s="66">
        <v>17.8</v>
      </c>
      <c r="L47" s="66">
        <f>K47*VLOOKUP(I47,dagsoorttabel1,2,FALSE)</f>
        <v>17.8</v>
      </c>
      <c r="M47" s="67">
        <f>prodnorm63</f>
        <v>0</v>
      </c>
      <c r="N47" s="68">
        <f>dagwerk63</f>
        <v>0</v>
      </c>
      <c r="O47" s="64" t="s">
        <v>38</v>
      </c>
      <c r="P47" s="69">
        <f>uurtarief63</f>
        <v>0</v>
      </c>
      <c r="Q47" s="66" t="e">
        <f>IF(ISBLANK(M47),0,L47/ROUND(M47,4))</f>
        <v>#DIV/0!</v>
      </c>
      <c r="R47" s="66" t="e">
        <f>IF(ISBLANK(M47),0,Q47*ROUND(N47,2))</f>
        <v>#DIV/0!</v>
      </c>
      <c r="S47" s="69" t="e">
        <f>ROUND(P47,2)*Q47</f>
        <v>#DIV/0!</v>
      </c>
      <c r="T47" s="66" t="e">
        <f>Q47*dagenperjaar1</f>
        <v>#DIV/0!</v>
      </c>
      <c r="U47" s="70" t="e">
        <f>T47*ROUND(P47,2)</f>
        <v>#DIV/0!</v>
      </c>
    </row>
    <row r="48" spans="1:21" x14ac:dyDescent="0.2">
      <c r="A48" s="63" t="s">
        <v>323</v>
      </c>
      <c r="B48" s="64" t="s">
        <v>324</v>
      </c>
      <c r="C48" s="64" t="s">
        <v>323</v>
      </c>
      <c r="D48" s="64" t="s">
        <v>442</v>
      </c>
      <c r="E48" s="64" t="s">
        <v>443</v>
      </c>
      <c r="F48" s="65" t="s">
        <v>381</v>
      </c>
      <c r="G48" s="64" t="s">
        <v>328</v>
      </c>
      <c r="H48" s="64" t="s">
        <v>205</v>
      </c>
      <c r="I48" s="64" t="s">
        <v>10</v>
      </c>
      <c r="J48" s="64" t="s">
        <v>201</v>
      </c>
      <c r="K48" s="66">
        <v>22.7</v>
      </c>
      <c r="L48" s="66">
        <f>K48*VLOOKUP(I48,dagsoorttabel1,2,FALSE)</f>
        <v>22.7</v>
      </c>
      <c r="M48" s="67">
        <f>prodnorm26</f>
        <v>0</v>
      </c>
      <c r="N48" s="68">
        <f>dagwerk26</f>
        <v>0</v>
      </c>
      <c r="O48" s="64" t="s">
        <v>38</v>
      </c>
      <c r="P48" s="69">
        <f>uurtarief26</f>
        <v>0</v>
      </c>
      <c r="Q48" s="66" t="e">
        <f>IF(ISBLANK(M48),0,L48/ROUND(M48,4))</f>
        <v>#DIV/0!</v>
      </c>
      <c r="R48" s="66" t="e">
        <f>IF(ISBLANK(M48),0,Q48*ROUND(N48,2))</f>
        <v>#DIV/0!</v>
      </c>
      <c r="S48" s="69" t="e">
        <f>ROUND(P48,2)*Q48</f>
        <v>#DIV/0!</v>
      </c>
      <c r="T48" s="66" t="e">
        <f>Q48*dagenperjaar1</f>
        <v>#DIV/0!</v>
      </c>
      <c r="U48" s="70" t="e">
        <f>T48*ROUND(P48,2)</f>
        <v>#DIV/0!</v>
      </c>
    </row>
    <row r="49" spans="1:21" x14ac:dyDescent="0.2">
      <c r="A49" s="63" t="s">
        <v>323</v>
      </c>
      <c r="B49" s="64" t="s">
        <v>324</v>
      </c>
      <c r="C49" s="64" t="s">
        <v>323</v>
      </c>
      <c r="D49" s="64" t="s">
        <v>444</v>
      </c>
      <c r="E49" s="64" t="s">
        <v>445</v>
      </c>
      <c r="F49" s="65" t="s">
        <v>373</v>
      </c>
      <c r="G49" s="64" t="s">
        <v>365</v>
      </c>
      <c r="H49" s="64" t="s">
        <v>255</v>
      </c>
      <c r="I49" s="64" t="s">
        <v>10</v>
      </c>
      <c r="J49" s="64" t="s">
        <v>201</v>
      </c>
      <c r="K49" s="66">
        <v>16.8</v>
      </c>
      <c r="L49" s="66">
        <f>K49*VLOOKUP(I49,dagsoorttabel1,2,FALSE)</f>
        <v>16.8</v>
      </c>
      <c r="M49" s="67">
        <f>prodnorm59</f>
        <v>0</v>
      </c>
      <c r="N49" s="68">
        <f>dagwerk59</f>
        <v>0</v>
      </c>
      <c r="O49" s="64" t="s">
        <v>38</v>
      </c>
      <c r="P49" s="69">
        <f>uurtarief59</f>
        <v>0</v>
      </c>
      <c r="Q49" s="66" t="e">
        <f>IF(ISBLANK(M49),0,L49/ROUND(M49,4))</f>
        <v>#DIV/0!</v>
      </c>
      <c r="R49" s="66" t="e">
        <f>IF(ISBLANK(M49),0,Q49*ROUND(N49,2))</f>
        <v>#DIV/0!</v>
      </c>
      <c r="S49" s="69" t="e">
        <f>ROUND(P49,2)*Q49</f>
        <v>#DIV/0!</v>
      </c>
      <c r="T49" s="66" t="e">
        <f>Q49*dagenperjaar1</f>
        <v>#DIV/0!</v>
      </c>
      <c r="U49" s="70" t="e">
        <f>T49*ROUND(P49,2)</f>
        <v>#DIV/0!</v>
      </c>
    </row>
    <row r="50" spans="1:21" x14ac:dyDescent="0.2">
      <c r="A50" s="63" t="s">
        <v>323</v>
      </c>
      <c r="B50" s="64" t="s">
        <v>324</v>
      </c>
      <c r="C50" s="64" t="s">
        <v>323</v>
      </c>
      <c r="D50" s="64" t="s">
        <v>446</v>
      </c>
      <c r="E50" s="64" t="s">
        <v>447</v>
      </c>
      <c r="F50" s="65" t="s">
        <v>370</v>
      </c>
      <c r="G50" s="64" t="s">
        <v>365</v>
      </c>
      <c r="H50" s="64" t="s">
        <v>255</v>
      </c>
      <c r="I50" s="64" t="s">
        <v>10</v>
      </c>
      <c r="J50" s="64" t="s">
        <v>201</v>
      </c>
      <c r="K50" s="66">
        <v>18.399999999999999</v>
      </c>
      <c r="L50" s="66">
        <f>K50*VLOOKUP(I50,dagsoorttabel1,2,FALSE)</f>
        <v>18.399999999999999</v>
      </c>
      <c r="M50" s="67">
        <f>prodnorm59</f>
        <v>0</v>
      </c>
      <c r="N50" s="68">
        <f>dagwerk59</f>
        <v>0</v>
      </c>
      <c r="O50" s="64" t="s">
        <v>38</v>
      </c>
      <c r="P50" s="69">
        <f>uurtarief59</f>
        <v>0</v>
      </c>
      <c r="Q50" s="66" t="e">
        <f>IF(ISBLANK(M50),0,L50/ROUND(M50,4))</f>
        <v>#DIV/0!</v>
      </c>
      <c r="R50" s="66" t="e">
        <f>IF(ISBLANK(M50),0,Q50*ROUND(N50,2))</f>
        <v>#DIV/0!</v>
      </c>
      <c r="S50" s="69" t="e">
        <f>ROUND(P50,2)*Q50</f>
        <v>#DIV/0!</v>
      </c>
      <c r="T50" s="66" t="e">
        <f>Q50*dagenperjaar1</f>
        <v>#DIV/0!</v>
      </c>
      <c r="U50" s="70" t="e">
        <f>T50*ROUND(P50,2)</f>
        <v>#DIV/0!</v>
      </c>
    </row>
    <row r="51" spans="1:21" ht="25.5" x14ac:dyDescent="0.2">
      <c r="A51" s="63" t="s">
        <v>323</v>
      </c>
      <c r="B51" s="64" t="s">
        <v>324</v>
      </c>
      <c r="C51" s="64" t="s">
        <v>323</v>
      </c>
      <c r="D51" s="64" t="s">
        <v>448</v>
      </c>
      <c r="E51" s="64" t="s">
        <v>449</v>
      </c>
      <c r="F51" s="65" t="s">
        <v>450</v>
      </c>
      <c r="G51" s="64" t="s">
        <v>328</v>
      </c>
      <c r="H51" s="64" t="s">
        <v>229</v>
      </c>
      <c r="I51" s="64" t="s">
        <v>10</v>
      </c>
      <c r="J51" s="64" t="s">
        <v>201</v>
      </c>
      <c r="K51" s="66">
        <v>49.4</v>
      </c>
      <c r="L51" s="66">
        <f>K51*VLOOKUP(I51,dagsoorttabel1,2,FALSE)</f>
        <v>49.4</v>
      </c>
      <c r="M51" s="67">
        <f>prodnorm43</f>
        <v>0</v>
      </c>
      <c r="N51" s="68">
        <f>dagwerk43</f>
        <v>0</v>
      </c>
      <c r="O51" s="64" t="s">
        <v>38</v>
      </c>
      <c r="P51" s="69">
        <f>uurtarief43</f>
        <v>0</v>
      </c>
      <c r="Q51" s="66" t="e">
        <f>IF(ISBLANK(M51),0,L51/ROUND(M51,4))</f>
        <v>#DIV/0!</v>
      </c>
      <c r="R51" s="66" t="e">
        <f>IF(ISBLANK(M51),0,Q51*ROUND(N51,2))</f>
        <v>#DIV/0!</v>
      </c>
      <c r="S51" s="69" t="e">
        <f>ROUND(P51,2)*Q51</f>
        <v>#DIV/0!</v>
      </c>
      <c r="T51" s="66" t="e">
        <f>Q51*dagenperjaar1</f>
        <v>#DIV/0!</v>
      </c>
      <c r="U51" s="70" t="e">
        <f>T51*ROUND(P51,2)</f>
        <v>#DIV/0!</v>
      </c>
    </row>
    <row r="52" spans="1:21" ht="25.5" x14ac:dyDescent="0.2">
      <c r="A52" s="63" t="s">
        <v>323</v>
      </c>
      <c r="B52" s="64" t="s">
        <v>324</v>
      </c>
      <c r="C52" s="64" t="s">
        <v>323</v>
      </c>
      <c r="D52" s="64" t="s">
        <v>451</v>
      </c>
      <c r="E52" s="64" t="s">
        <v>452</v>
      </c>
      <c r="F52" s="65" t="s">
        <v>450</v>
      </c>
      <c r="G52" s="64" t="s">
        <v>328</v>
      </c>
      <c r="H52" s="64" t="s">
        <v>229</v>
      </c>
      <c r="I52" s="64" t="s">
        <v>10</v>
      </c>
      <c r="J52" s="64" t="s">
        <v>201</v>
      </c>
      <c r="K52" s="66">
        <v>44.9</v>
      </c>
      <c r="L52" s="66">
        <f>K52*VLOOKUP(I52,dagsoorttabel1,2,FALSE)</f>
        <v>44.9</v>
      </c>
      <c r="M52" s="67">
        <f>prodnorm43</f>
        <v>0</v>
      </c>
      <c r="N52" s="68">
        <f>dagwerk43</f>
        <v>0</v>
      </c>
      <c r="O52" s="64" t="s">
        <v>38</v>
      </c>
      <c r="P52" s="69">
        <f>uurtarief43</f>
        <v>0</v>
      </c>
      <c r="Q52" s="66" t="e">
        <f>IF(ISBLANK(M52),0,L52/ROUND(M52,4))</f>
        <v>#DIV/0!</v>
      </c>
      <c r="R52" s="66" t="e">
        <f>IF(ISBLANK(M52),0,Q52*ROUND(N52,2))</f>
        <v>#DIV/0!</v>
      </c>
      <c r="S52" s="69" t="e">
        <f>ROUND(P52,2)*Q52</f>
        <v>#DIV/0!</v>
      </c>
      <c r="T52" s="66" t="e">
        <f>Q52*dagenperjaar1</f>
        <v>#DIV/0!</v>
      </c>
      <c r="U52" s="70" t="e">
        <f>T52*ROUND(P52,2)</f>
        <v>#DIV/0!</v>
      </c>
    </row>
    <row r="53" spans="1:21" ht="25.5" x14ac:dyDescent="0.2">
      <c r="A53" s="63" t="s">
        <v>323</v>
      </c>
      <c r="B53" s="64" t="s">
        <v>324</v>
      </c>
      <c r="C53" s="64" t="s">
        <v>323</v>
      </c>
      <c r="D53" s="64" t="s">
        <v>453</v>
      </c>
      <c r="E53" s="64" t="s">
        <v>454</v>
      </c>
      <c r="F53" s="65" t="s">
        <v>450</v>
      </c>
      <c r="G53" s="64" t="s">
        <v>328</v>
      </c>
      <c r="H53" s="64" t="s">
        <v>229</v>
      </c>
      <c r="I53" s="64" t="s">
        <v>10</v>
      </c>
      <c r="J53" s="64" t="s">
        <v>201</v>
      </c>
      <c r="K53" s="66">
        <v>45.8</v>
      </c>
      <c r="L53" s="66">
        <f>K53*VLOOKUP(I53,dagsoorttabel1,2,FALSE)</f>
        <v>45.8</v>
      </c>
      <c r="M53" s="67">
        <f>prodnorm43</f>
        <v>0</v>
      </c>
      <c r="N53" s="68">
        <f>dagwerk43</f>
        <v>0</v>
      </c>
      <c r="O53" s="64" t="s">
        <v>38</v>
      </c>
      <c r="P53" s="69">
        <f>uurtarief43</f>
        <v>0</v>
      </c>
      <c r="Q53" s="66" t="e">
        <f>IF(ISBLANK(M53),0,L53/ROUND(M53,4))</f>
        <v>#DIV/0!</v>
      </c>
      <c r="R53" s="66" t="e">
        <f>IF(ISBLANK(M53),0,Q53*ROUND(N53,2))</f>
        <v>#DIV/0!</v>
      </c>
      <c r="S53" s="69" t="e">
        <f>ROUND(P53,2)*Q53</f>
        <v>#DIV/0!</v>
      </c>
      <c r="T53" s="66" t="e">
        <f>Q53*dagenperjaar1</f>
        <v>#DIV/0!</v>
      </c>
      <c r="U53" s="70" t="e">
        <f>T53*ROUND(P53,2)</f>
        <v>#DIV/0!</v>
      </c>
    </row>
    <row r="54" spans="1:21" x14ac:dyDescent="0.2">
      <c r="A54" s="63" t="s">
        <v>323</v>
      </c>
      <c r="B54" s="64" t="s">
        <v>324</v>
      </c>
      <c r="C54" s="64" t="s">
        <v>323</v>
      </c>
      <c r="D54" s="64" t="s">
        <v>455</v>
      </c>
      <c r="E54" s="64" t="s">
        <v>456</v>
      </c>
      <c r="F54" s="65" t="s">
        <v>457</v>
      </c>
      <c r="G54" s="64" t="s">
        <v>458</v>
      </c>
      <c r="H54" s="64" t="s">
        <v>229</v>
      </c>
      <c r="I54" s="64" t="s">
        <v>10</v>
      </c>
      <c r="J54" s="64" t="s">
        <v>201</v>
      </c>
      <c r="K54" s="66">
        <v>46.3</v>
      </c>
      <c r="L54" s="66">
        <f>K54*VLOOKUP(I54,dagsoorttabel1,2,FALSE)</f>
        <v>46.3</v>
      </c>
      <c r="M54" s="67">
        <f>prodnorm43</f>
        <v>0</v>
      </c>
      <c r="N54" s="68">
        <f>dagwerk43</f>
        <v>0</v>
      </c>
      <c r="O54" s="64" t="s">
        <v>38</v>
      </c>
      <c r="P54" s="69">
        <f>uurtarief43</f>
        <v>0</v>
      </c>
      <c r="Q54" s="66" t="e">
        <f>IF(ISBLANK(M54),0,L54/ROUND(M54,4))</f>
        <v>#DIV/0!</v>
      </c>
      <c r="R54" s="66" t="e">
        <f>IF(ISBLANK(M54),0,Q54*ROUND(N54,2))</f>
        <v>#DIV/0!</v>
      </c>
      <c r="S54" s="69" t="e">
        <f>ROUND(P54,2)*Q54</f>
        <v>#DIV/0!</v>
      </c>
      <c r="T54" s="66" t="e">
        <f>Q54*dagenperjaar1</f>
        <v>#DIV/0!</v>
      </c>
      <c r="U54" s="70" t="e">
        <f>T54*ROUND(P54,2)</f>
        <v>#DIV/0!</v>
      </c>
    </row>
    <row r="55" spans="1:21" x14ac:dyDescent="0.2">
      <c r="A55" s="63" t="s">
        <v>323</v>
      </c>
      <c r="B55" s="64" t="s">
        <v>324</v>
      </c>
      <c r="C55" s="64" t="s">
        <v>323</v>
      </c>
      <c r="D55" s="64" t="s">
        <v>459</v>
      </c>
      <c r="E55" s="64" t="s">
        <v>460</v>
      </c>
      <c r="F55" s="65" t="s">
        <v>457</v>
      </c>
      <c r="G55" s="64" t="s">
        <v>458</v>
      </c>
      <c r="H55" s="64" t="s">
        <v>229</v>
      </c>
      <c r="I55" s="64" t="s">
        <v>10</v>
      </c>
      <c r="J55" s="64" t="s">
        <v>201</v>
      </c>
      <c r="K55" s="66">
        <v>45.5</v>
      </c>
      <c r="L55" s="66">
        <f>K55*VLOOKUP(I55,dagsoorttabel1,2,FALSE)</f>
        <v>45.5</v>
      </c>
      <c r="M55" s="67">
        <f>prodnorm43</f>
        <v>0</v>
      </c>
      <c r="N55" s="68">
        <f>dagwerk43</f>
        <v>0</v>
      </c>
      <c r="O55" s="64" t="s">
        <v>38</v>
      </c>
      <c r="P55" s="69">
        <f>uurtarief43</f>
        <v>0</v>
      </c>
      <c r="Q55" s="66" t="e">
        <f>IF(ISBLANK(M55),0,L55/ROUND(M55,4))</f>
        <v>#DIV/0!</v>
      </c>
      <c r="R55" s="66" t="e">
        <f>IF(ISBLANK(M55),0,Q55*ROUND(N55,2))</f>
        <v>#DIV/0!</v>
      </c>
      <c r="S55" s="69" t="e">
        <f>ROUND(P55,2)*Q55</f>
        <v>#DIV/0!</v>
      </c>
      <c r="T55" s="66" t="e">
        <f>Q55*dagenperjaar1</f>
        <v>#DIV/0!</v>
      </c>
      <c r="U55" s="70" t="e">
        <f>T55*ROUND(P55,2)</f>
        <v>#DIV/0!</v>
      </c>
    </row>
    <row r="56" spans="1:21" x14ac:dyDescent="0.2">
      <c r="A56" s="63" t="s">
        <v>323</v>
      </c>
      <c r="B56" s="64" t="s">
        <v>324</v>
      </c>
      <c r="C56" s="64" t="s">
        <v>323</v>
      </c>
      <c r="D56" s="64" t="s">
        <v>461</v>
      </c>
      <c r="E56" s="64" t="s">
        <v>462</v>
      </c>
      <c r="F56" s="65" t="s">
        <v>344</v>
      </c>
      <c r="G56" s="64" t="s">
        <v>328</v>
      </c>
      <c r="H56" s="64" t="s">
        <v>263</v>
      </c>
      <c r="I56" s="64" t="s">
        <v>10</v>
      </c>
      <c r="J56" s="64" t="s">
        <v>201</v>
      </c>
      <c r="K56" s="66">
        <v>14.6</v>
      </c>
      <c r="L56" s="66">
        <f>K56*VLOOKUP(I56,dagsoorttabel1,2,FALSE)</f>
        <v>14.6</v>
      </c>
      <c r="M56" s="67">
        <f>prodnorm63</f>
        <v>0</v>
      </c>
      <c r="N56" s="68">
        <f>dagwerk63</f>
        <v>0</v>
      </c>
      <c r="O56" s="64" t="s">
        <v>38</v>
      </c>
      <c r="P56" s="69">
        <f>uurtarief63</f>
        <v>0</v>
      </c>
      <c r="Q56" s="66" t="e">
        <f>IF(ISBLANK(M56),0,L56/ROUND(M56,4))</f>
        <v>#DIV/0!</v>
      </c>
      <c r="R56" s="66" t="e">
        <f>IF(ISBLANK(M56),0,Q56*ROUND(N56,2))</f>
        <v>#DIV/0!</v>
      </c>
      <c r="S56" s="69" t="e">
        <f>ROUND(P56,2)*Q56</f>
        <v>#DIV/0!</v>
      </c>
      <c r="T56" s="66" t="e">
        <f>Q56*dagenperjaar1</f>
        <v>#DIV/0!</v>
      </c>
      <c r="U56" s="70" t="e">
        <f>T56*ROUND(P56,2)</f>
        <v>#DIV/0!</v>
      </c>
    </row>
    <row r="57" spans="1:21" x14ac:dyDescent="0.2">
      <c r="A57" s="63" t="s">
        <v>323</v>
      </c>
      <c r="B57" s="64" t="s">
        <v>324</v>
      </c>
      <c r="C57" s="64" t="s">
        <v>323</v>
      </c>
      <c r="D57" s="64" t="s">
        <v>463</v>
      </c>
      <c r="E57" s="64" t="s">
        <v>464</v>
      </c>
      <c r="F57" s="65" t="s">
        <v>457</v>
      </c>
      <c r="G57" s="64" t="s">
        <v>458</v>
      </c>
      <c r="H57" s="64" t="s">
        <v>229</v>
      </c>
      <c r="I57" s="64" t="s">
        <v>10</v>
      </c>
      <c r="J57" s="64" t="s">
        <v>201</v>
      </c>
      <c r="K57" s="66">
        <v>113.4</v>
      </c>
      <c r="L57" s="66">
        <f>K57*VLOOKUP(I57,dagsoorttabel1,2,FALSE)</f>
        <v>113.4</v>
      </c>
      <c r="M57" s="67">
        <f>prodnorm43</f>
        <v>0</v>
      </c>
      <c r="N57" s="68">
        <f>dagwerk43</f>
        <v>0</v>
      </c>
      <c r="O57" s="64" t="s">
        <v>38</v>
      </c>
      <c r="P57" s="69">
        <f>uurtarief43</f>
        <v>0</v>
      </c>
      <c r="Q57" s="66" t="e">
        <f>IF(ISBLANK(M57),0,L57/ROUND(M57,4))</f>
        <v>#DIV/0!</v>
      </c>
      <c r="R57" s="66" t="e">
        <f>IF(ISBLANK(M57),0,Q57*ROUND(N57,2))</f>
        <v>#DIV/0!</v>
      </c>
      <c r="S57" s="69" t="e">
        <f>ROUND(P57,2)*Q57</f>
        <v>#DIV/0!</v>
      </c>
      <c r="T57" s="66" t="e">
        <f>Q57*dagenperjaar1</f>
        <v>#DIV/0!</v>
      </c>
      <c r="U57" s="70" t="e">
        <f>T57*ROUND(P57,2)</f>
        <v>#DIV/0!</v>
      </c>
    </row>
    <row r="58" spans="1:21" ht="25.5" x14ac:dyDescent="0.2">
      <c r="A58" s="63" t="s">
        <v>323</v>
      </c>
      <c r="B58" s="64" t="s">
        <v>324</v>
      </c>
      <c r="C58" s="64" t="s">
        <v>323</v>
      </c>
      <c r="D58" s="64" t="s">
        <v>465</v>
      </c>
      <c r="E58" s="64" t="s">
        <v>466</v>
      </c>
      <c r="F58" s="65" t="s">
        <v>440</v>
      </c>
      <c r="G58" s="64" t="s">
        <v>328</v>
      </c>
      <c r="H58" s="64" t="s">
        <v>239</v>
      </c>
      <c r="I58" s="64" t="s">
        <v>10</v>
      </c>
      <c r="J58" s="64" t="s">
        <v>201</v>
      </c>
      <c r="K58" s="66">
        <v>135.5</v>
      </c>
      <c r="L58" s="66">
        <f>K58*VLOOKUP(I58,dagsoorttabel1,2,FALSE)</f>
        <v>135.5</v>
      </c>
      <c r="M58" s="67">
        <f>prodnorm50</f>
        <v>0</v>
      </c>
      <c r="N58" s="68">
        <f>dagwerk50</f>
        <v>0</v>
      </c>
      <c r="O58" s="64" t="s">
        <v>38</v>
      </c>
      <c r="P58" s="69">
        <f>uurtarief50</f>
        <v>0</v>
      </c>
      <c r="Q58" s="66" t="e">
        <f>IF(ISBLANK(M58),0,L58/ROUND(M58,4))</f>
        <v>#DIV/0!</v>
      </c>
      <c r="R58" s="66" t="e">
        <f>IF(ISBLANK(M58),0,Q58*ROUND(N58,2))</f>
        <v>#DIV/0!</v>
      </c>
      <c r="S58" s="69" t="e">
        <f>ROUND(P58,2)*Q58</f>
        <v>#DIV/0!</v>
      </c>
      <c r="T58" s="66" t="e">
        <f>Q58*dagenperjaar1</f>
        <v>#DIV/0!</v>
      </c>
      <c r="U58" s="70" t="e">
        <f>T58*ROUND(P58,2)</f>
        <v>#DIV/0!</v>
      </c>
    </row>
    <row r="59" spans="1:21" x14ac:dyDescent="0.2">
      <c r="A59" s="63" t="s">
        <v>323</v>
      </c>
      <c r="B59" s="64" t="s">
        <v>324</v>
      </c>
      <c r="C59" s="64" t="s">
        <v>323</v>
      </c>
      <c r="D59" s="64" t="s">
        <v>467</v>
      </c>
      <c r="E59" s="64" t="s">
        <v>468</v>
      </c>
      <c r="F59" s="65" t="s">
        <v>469</v>
      </c>
      <c r="G59" s="64" t="s">
        <v>328</v>
      </c>
      <c r="H59" s="64" t="s">
        <v>205</v>
      </c>
      <c r="I59" s="64" t="s">
        <v>10</v>
      </c>
      <c r="J59" s="64" t="s">
        <v>201</v>
      </c>
      <c r="K59" s="66">
        <v>12.8</v>
      </c>
      <c r="L59" s="66">
        <f>K59*VLOOKUP(I59,dagsoorttabel1,2,FALSE)</f>
        <v>12.8</v>
      </c>
      <c r="M59" s="67">
        <f>prodnorm26</f>
        <v>0</v>
      </c>
      <c r="N59" s="68">
        <f>dagwerk26</f>
        <v>0</v>
      </c>
      <c r="O59" s="64" t="s">
        <v>38</v>
      </c>
      <c r="P59" s="69">
        <f>uurtarief26</f>
        <v>0</v>
      </c>
      <c r="Q59" s="66" t="e">
        <f>IF(ISBLANK(M59),0,L59/ROUND(M59,4))</f>
        <v>#DIV/0!</v>
      </c>
      <c r="R59" s="66" t="e">
        <f>IF(ISBLANK(M59),0,Q59*ROUND(N59,2))</f>
        <v>#DIV/0!</v>
      </c>
      <c r="S59" s="69" t="e">
        <f>ROUND(P59,2)*Q59</f>
        <v>#DIV/0!</v>
      </c>
      <c r="T59" s="66" t="e">
        <f>Q59*dagenperjaar1</f>
        <v>#DIV/0!</v>
      </c>
      <c r="U59" s="70" t="e">
        <f>T59*ROUND(P59,2)</f>
        <v>#DIV/0!</v>
      </c>
    </row>
    <row r="60" spans="1:21" x14ac:dyDescent="0.2">
      <c r="A60" s="63" t="s">
        <v>323</v>
      </c>
      <c r="B60" s="64" t="s">
        <v>324</v>
      </c>
      <c r="C60" s="64" t="s">
        <v>323</v>
      </c>
      <c r="D60" s="64" t="s">
        <v>470</v>
      </c>
      <c r="E60" s="64" t="s">
        <v>471</v>
      </c>
      <c r="F60" s="65" t="s">
        <v>469</v>
      </c>
      <c r="G60" s="64" t="s">
        <v>328</v>
      </c>
      <c r="H60" s="64" t="s">
        <v>205</v>
      </c>
      <c r="I60" s="64" t="s">
        <v>10</v>
      </c>
      <c r="J60" s="64" t="s">
        <v>201</v>
      </c>
      <c r="K60" s="66">
        <v>12.8</v>
      </c>
      <c r="L60" s="66">
        <f>K60*VLOOKUP(I60,dagsoorttabel1,2,FALSE)</f>
        <v>12.8</v>
      </c>
      <c r="M60" s="67">
        <f>prodnorm26</f>
        <v>0</v>
      </c>
      <c r="N60" s="68">
        <f>dagwerk26</f>
        <v>0</v>
      </c>
      <c r="O60" s="64" t="s">
        <v>38</v>
      </c>
      <c r="P60" s="69">
        <f>uurtarief26</f>
        <v>0</v>
      </c>
      <c r="Q60" s="66" t="e">
        <f>IF(ISBLANK(M60),0,L60/ROUND(M60,4))</f>
        <v>#DIV/0!</v>
      </c>
      <c r="R60" s="66" t="e">
        <f>IF(ISBLANK(M60),0,Q60*ROUND(N60,2))</f>
        <v>#DIV/0!</v>
      </c>
      <c r="S60" s="69" t="e">
        <f>ROUND(P60,2)*Q60</f>
        <v>#DIV/0!</v>
      </c>
      <c r="T60" s="66" t="e">
        <f>Q60*dagenperjaar1</f>
        <v>#DIV/0!</v>
      </c>
      <c r="U60" s="70" t="e">
        <f>T60*ROUND(P60,2)</f>
        <v>#DIV/0!</v>
      </c>
    </row>
    <row r="61" spans="1:21" x14ac:dyDescent="0.2">
      <c r="A61" s="63" t="s">
        <v>323</v>
      </c>
      <c r="B61" s="64" t="s">
        <v>324</v>
      </c>
      <c r="C61" s="64" t="s">
        <v>472</v>
      </c>
      <c r="D61" s="64" t="s">
        <v>473</v>
      </c>
      <c r="E61" s="64" t="s">
        <v>474</v>
      </c>
      <c r="F61" s="65" t="s">
        <v>335</v>
      </c>
      <c r="G61" s="64" t="s">
        <v>328</v>
      </c>
      <c r="H61" s="64" t="s">
        <v>267</v>
      </c>
      <c r="I61" s="64" t="s">
        <v>10</v>
      </c>
      <c r="J61" s="64" t="s">
        <v>201</v>
      </c>
      <c r="K61" s="66">
        <v>156.1</v>
      </c>
      <c r="L61" s="66">
        <f>K61*VLOOKUP(I61,dagsoorttabel1,2,FALSE)</f>
        <v>156.1</v>
      </c>
      <c r="M61" s="67">
        <f>prodnorm65</f>
        <v>0</v>
      </c>
      <c r="N61" s="68">
        <f>dagwerk65</f>
        <v>0</v>
      </c>
      <c r="O61" s="64" t="s">
        <v>38</v>
      </c>
      <c r="P61" s="69">
        <f>uurtarief65</f>
        <v>0</v>
      </c>
      <c r="Q61" s="66" t="e">
        <f>IF(ISBLANK(M61),0,L61/ROUND(M61,4))</f>
        <v>#DIV/0!</v>
      </c>
      <c r="R61" s="66" t="e">
        <f>IF(ISBLANK(M61),0,Q61*ROUND(N61,2))</f>
        <v>#DIV/0!</v>
      </c>
      <c r="S61" s="69" t="e">
        <f>ROUND(P61,2)*Q61</f>
        <v>#DIV/0!</v>
      </c>
      <c r="T61" s="66" t="e">
        <f>Q61*dagenperjaar1</f>
        <v>#DIV/0!</v>
      </c>
      <c r="U61" s="70" t="e">
        <f>T61*ROUND(P61,2)</f>
        <v>#DIV/0!</v>
      </c>
    </row>
    <row r="62" spans="1:21" x14ac:dyDescent="0.2">
      <c r="A62" s="63" t="s">
        <v>323</v>
      </c>
      <c r="B62" s="64" t="s">
        <v>324</v>
      </c>
      <c r="C62" s="64" t="s">
        <v>472</v>
      </c>
      <c r="D62" s="64" t="s">
        <v>475</v>
      </c>
      <c r="E62" s="64" t="s">
        <v>476</v>
      </c>
      <c r="F62" s="65" t="s">
        <v>477</v>
      </c>
      <c r="G62" s="64" t="s">
        <v>328</v>
      </c>
      <c r="H62" s="64" t="s">
        <v>239</v>
      </c>
      <c r="I62" s="64" t="s">
        <v>10</v>
      </c>
      <c r="J62" s="64" t="s">
        <v>201</v>
      </c>
      <c r="K62" s="66">
        <v>46.1</v>
      </c>
      <c r="L62" s="66">
        <f>K62*VLOOKUP(I62,dagsoorttabel1,2,FALSE)</f>
        <v>46.1</v>
      </c>
      <c r="M62" s="67">
        <f>prodnorm50</f>
        <v>0</v>
      </c>
      <c r="N62" s="68">
        <f>dagwerk50</f>
        <v>0</v>
      </c>
      <c r="O62" s="64" t="s">
        <v>38</v>
      </c>
      <c r="P62" s="69">
        <f>uurtarief50</f>
        <v>0</v>
      </c>
      <c r="Q62" s="66" t="e">
        <f>IF(ISBLANK(M62),0,L62/ROUND(M62,4))</f>
        <v>#DIV/0!</v>
      </c>
      <c r="R62" s="66" t="e">
        <f>IF(ISBLANK(M62),0,Q62*ROUND(N62,2))</f>
        <v>#DIV/0!</v>
      </c>
      <c r="S62" s="69" t="e">
        <f>ROUND(P62,2)*Q62</f>
        <v>#DIV/0!</v>
      </c>
      <c r="T62" s="66" t="e">
        <f>Q62*dagenperjaar1</f>
        <v>#DIV/0!</v>
      </c>
      <c r="U62" s="70" t="e">
        <f>T62*ROUND(P62,2)</f>
        <v>#DIV/0!</v>
      </c>
    </row>
    <row r="63" spans="1:21" x14ac:dyDescent="0.2">
      <c r="A63" s="63" t="s">
        <v>323</v>
      </c>
      <c r="B63" s="64" t="s">
        <v>324</v>
      </c>
      <c r="C63" s="64" t="s">
        <v>472</v>
      </c>
      <c r="D63" s="64" t="s">
        <v>478</v>
      </c>
      <c r="E63" s="64" t="s">
        <v>479</v>
      </c>
      <c r="F63" s="65" t="s">
        <v>480</v>
      </c>
      <c r="G63" s="64" t="s">
        <v>328</v>
      </c>
      <c r="H63" s="64" t="s">
        <v>239</v>
      </c>
      <c r="I63" s="64" t="s">
        <v>10</v>
      </c>
      <c r="J63" s="64" t="s">
        <v>201</v>
      </c>
      <c r="K63" s="66">
        <v>21.6</v>
      </c>
      <c r="L63" s="66">
        <f>K63*VLOOKUP(I63,dagsoorttabel1,2,FALSE)</f>
        <v>21.6</v>
      </c>
      <c r="M63" s="67">
        <f>prodnorm50</f>
        <v>0</v>
      </c>
      <c r="N63" s="68">
        <f>dagwerk50</f>
        <v>0</v>
      </c>
      <c r="O63" s="64" t="s">
        <v>38</v>
      </c>
      <c r="P63" s="69">
        <f>uurtarief50</f>
        <v>0</v>
      </c>
      <c r="Q63" s="66" t="e">
        <f>IF(ISBLANK(M63),0,L63/ROUND(M63,4))</f>
        <v>#DIV/0!</v>
      </c>
      <c r="R63" s="66" t="e">
        <f>IF(ISBLANK(M63),0,Q63*ROUND(N63,2))</f>
        <v>#DIV/0!</v>
      </c>
      <c r="S63" s="69" t="e">
        <f>ROUND(P63,2)*Q63</f>
        <v>#DIV/0!</v>
      </c>
      <c r="T63" s="66" t="e">
        <f>Q63*dagenperjaar1</f>
        <v>#DIV/0!</v>
      </c>
      <c r="U63" s="70" t="e">
        <f>T63*ROUND(P63,2)</f>
        <v>#DIV/0!</v>
      </c>
    </row>
    <row r="64" spans="1:21" x14ac:dyDescent="0.2">
      <c r="A64" s="63" t="s">
        <v>323</v>
      </c>
      <c r="B64" s="64" t="s">
        <v>324</v>
      </c>
      <c r="C64" s="64" t="s">
        <v>472</v>
      </c>
      <c r="D64" s="64" t="s">
        <v>481</v>
      </c>
      <c r="E64" s="64" t="s">
        <v>482</v>
      </c>
      <c r="F64" s="65" t="s">
        <v>480</v>
      </c>
      <c r="G64" s="64" t="s">
        <v>328</v>
      </c>
      <c r="H64" s="64" t="s">
        <v>239</v>
      </c>
      <c r="I64" s="64" t="s">
        <v>10</v>
      </c>
      <c r="J64" s="64" t="s">
        <v>201</v>
      </c>
      <c r="K64" s="66">
        <v>23.6</v>
      </c>
      <c r="L64" s="66">
        <f>K64*VLOOKUP(I64,dagsoorttabel1,2,FALSE)</f>
        <v>23.6</v>
      </c>
      <c r="M64" s="67">
        <f>prodnorm50</f>
        <v>0</v>
      </c>
      <c r="N64" s="68">
        <f>dagwerk50</f>
        <v>0</v>
      </c>
      <c r="O64" s="64" t="s">
        <v>38</v>
      </c>
      <c r="P64" s="69">
        <f>uurtarief50</f>
        <v>0</v>
      </c>
      <c r="Q64" s="66" t="e">
        <f>IF(ISBLANK(M64),0,L64/ROUND(M64,4))</f>
        <v>#DIV/0!</v>
      </c>
      <c r="R64" s="66" t="e">
        <f>IF(ISBLANK(M64),0,Q64*ROUND(N64,2))</f>
        <v>#DIV/0!</v>
      </c>
      <c r="S64" s="69" t="e">
        <f>ROUND(P64,2)*Q64</f>
        <v>#DIV/0!</v>
      </c>
      <c r="T64" s="66" t="e">
        <f>Q64*dagenperjaar1</f>
        <v>#DIV/0!</v>
      </c>
      <c r="U64" s="70" t="e">
        <f>T64*ROUND(P64,2)</f>
        <v>#DIV/0!</v>
      </c>
    </row>
    <row r="65" spans="1:21" x14ac:dyDescent="0.2">
      <c r="A65" s="63" t="s">
        <v>323</v>
      </c>
      <c r="B65" s="64" t="s">
        <v>324</v>
      </c>
      <c r="C65" s="64" t="s">
        <v>472</v>
      </c>
      <c r="D65" s="64" t="s">
        <v>483</v>
      </c>
      <c r="E65" s="64" t="s">
        <v>484</v>
      </c>
      <c r="F65" s="65" t="s">
        <v>480</v>
      </c>
      <c r="G65" s="64" t="s">
        <v>328</v>
      </c>
      <c r="H65" s="64" t="s">
        <v>239</v>
      </c>
      <c r="I65" s="64" t="s">
        <v>10</v>
      </c>
      <c r="J65" s="64" t="s">
        <v>201</v>
      </c>
      <c r="K65" s="66">
        <v>17.8</v>
      </c>
      <c r="L65" s="66">
        <f>K65*VLOOKUP(I65,dagsoorttabel1,2,FALSE)</f>
        <v>17.8</v>
      </c>
      <c r="M65" s="67">
        <f>prodnorm50</f>
        <v>0</v>
      </c>
      <c r="N65" s="68">
        <f>dagwerk50</f>
        <v>0</v>
      </c>
      <c r="O65" s="64" t="s">
        <v>38</v>
      </c>
      <c r="P65" s="69">
        <f>uurtarief50</f>
        <v>0</v>
      </c>
      <c r="Q65" s="66" t="e">
        <f>IF(ISBLANK(M65),0,L65/ROUND(M65,4))</f>
        <v>#DIV/0!</v>
      </c>
      <c r="R65" s="66" t="e">
        <f>IF(ISBLANK(M65),0,Q65*ROUND(N65,2))</f>
        <v>#DIV/0!</v>
      </c>
      <c r="S65" s="69" t="e">
        <f>ROUND(P65,2)*Q65</f>
        <v>#DIV/0!</v>
      </c>
      <c r="T65" s="66" t="e">
        <f>Q65*dagenperjaar1</f>
        <v>#DIV/0!</v>
      </c>
      <c r="U65" s="70" t="e">
        <f>T65*ROUND(P65,2)</f>
        <v>#DIV/0!</v>
      </c>
    </row>
    <row r="66" spans="1:21" x14ac:dyDescent="0.2">
      <c r="A66" s="63" t="s">
        <v>323</v>
      </c>
      <c r="B66" s="64" t="s">
        <v>324</v>
      </c>
      <c r="C66" s="64" t="s">
        <v>472</v>
      </c>
      <c r="D66" s="64" t="s">
        <v>485</v>
      </c>
      <c r="E66" s="64" t="s">
        <v>486</v>
      </c>
      <c r="F66" s="65" t="s">
        <v>480</v>
      </c>
      <c r="G66" s="64" t="s">
        <v>328</v>
      </c>
      <c r="H66" s="64" t="s">
        <v>239</v>
      </c>
      <c r="I66" s="64" t="s">
        <v>10</v>
      </c>
      <c r="J66" s="64" t="s">
        <v>201</v>
      </c>
      <c r="K66" s="66">
        <v>17.8</v>
      </c>
      <c r="L66" s="66">
        <f>K66*VLOOKUP(I66,dagsoorttabel1,2,FALSE)</f>
        <v>17.8</v>
      </c>
      <c r="M66" s="67">
        <f>prodnorm50</f>
        <v>0</v>
      </c>
      <c r="N66" s="68">
        <f>dagwerk50</f>
        <v>0</v>
      </c>
      <c r="O66" s="64" t="s">
        <v>38</v>
      </c>
      <c r="P66" s="69">
        <f>uurtarief50</f>
        <v>0</v>
      </c>
      <c r="Q66" s="66" t="e">
        <f>IF(ISBLANK(M66),0,L66/ROUND(M66,4))</f>
        <v>#DIV/0!</v>
      </c>
      <c r="R66" s="66" t="e">
        <f>IF(ISBLANK(M66),0,Q66*ROUND(N66,2))</f>
        <v>#DIV/0!</v>
      </c>
      <c r="S66" s="69" t="e">
        <f>ROUND(P66,2)*Q66</f>
        <v>#DIV/0!</v>
      </c>
      <c r="T66" s="66" t="e">
        <f>Q66*dagenperjaar1</f>
        <v>#DIV/0!</v>
      </c>
      <c r="U66" s="70" t="e">
        <f>T66*ROUND(P66,2)</f>
        <v>#DIV/0!</v>
      </c>
    </row>
    <row r="67" spans="1:21" ht="25.5" x14ac:dyDescent="0.2">
      <c r="A67" s="63" t="s">
        <v>323</v>
      </c>
      <c r="B67" s="64" t="s">
        <v>324</v>
      </c>
      <c r="C67" s="64" t="s">
        <v>472</v>
      </c>
      <c r="D67" s="64" t="s">
        <v>487</v>
      </c>
      <c r="E67" s="64" t="s">
        <v>488</v>
      </c>
      <c r="F67" s="65" t="s">
        <v>489</v>
      </c>
      <c r="G67" s="64" t="s">
        <v>328</v>
      </c>
      <c r="H67" s="64" t="s">
        <v>239</v>
      </c>
      <c r="I67" s="64" t="s">
        <v>10</v>
      </c>
      <c r="J67" s="64" t="s">
        <v>201</v>
      </c>
      <c r="K67" s="66">
        <v>121.7</v>
      </c>
      <c r="L67" s="66">
        <f>K67*VLOOKUP(I67,dagsoorttabel1,2,FALSE)</f>
        <v>121.7</v>
      </c>
      <c r="M67" s="67">
        <f>prodnorm50</f>
        <v>0</v>
      </c>
      <c r="N67" s="68">
        <f>dagwerk50</f>
        <v>0</v>
      </c>
      <c r="O67" s="64" t="s">
        <v>38</v>
      </c>
      <c r="P67" s="69">
        <f>uurtarief50</f>
        <v>0</v>
      </c>
      <c r="Q67" s="66" t="e">
        <f>IF(ISBLANK(M67),0,L67/ROUND(M67,4))</f>
        <v>#DIV/0!</v>
      </c>
      <c r="R67" s="66" t="e">
        <f>IF(ISBLANK(M67),0,Q67*ROUND(N67,2))</f>
        <v>#DIV/0!</v>
      </c>
      <c r="S67" s="69" t="e">
        <f>ROUND(P67,2)*Q67</f>
        <v>#DIV/0!</v>
      </c>
      <c r="T67" s="66" t="e">
        <f>Q67*dagenperjaar1</f>
        <v>#DIV/0!</v>
      </c>
      <c r="U67" s="70" t="e">
        <f>T67*ROUND(P67,2)</f>
        <v>#DIV/0!</v>
      </c>
    </row>
    <row r="68" spans="1:21" ht="25.5" x14ac:dyDescent="0.2">
      <c r="A68" s="63" t="s">
        <v>323</v>
      </c>
      <c r="B68" s="64" t="s">
        <v>324</v>
      </c>
      <c r="C68" s="64" t="s">
        <v>472</v>
      </c>
      <c r="D68" s="64" t="s">
        <v>490</v>
      </c>
      <c r="E68" s="64" t="s">
        <v>491</v>
      </c>
      <c r="F68" s="65" t="s">
        <v>492</v>
      </c>
      <c r="G68" s="64" t="s">
        <v>328</v>
      </c>
      <c r="H68" s="64" t="s">
        <v>239</v>
      </c>
      <c r="I68" s="64" t="s">
        <v>10</v>
      </c>
      <c r="J68" s="64" t="s">
        <v>201</v>
      </c>
      <c r="K68" s="66">
        <v>14.5</v>
      </c>
      <c r="L68" s="66">
        <f>K68*VLOOKUP(I68,dagsoorttabel1,2,FALSE)</f>
        <v>14.5</v>
      </c>
      <c r="M68" s="67">
        <f>prodnorm50</f>
        <v>0</v>
      </c>
      <c r="N68" s="68">
        <f>dagwerk50</f>
        <v>0</v>
      </c>
      <c r="O68" s="64" t="s">
        <v>38</v>
      </c>
      <c r="P68" s="69">
        <f>uurtarief50</f>
        <v>0</v>
      </c>
      <c r="Q68" s="66" t="e">
        <f>IF(ISBLANK(M68),0,L68/ROUND(M68,4))</f>
        <v>#DIV/0!</v>
      </c>
      <c r="R68" s="66" t="e">
        <f>IF(ISBLANK(M68),0,Q68*ROUND(N68,2))</f>
        <v>#DIV/0!</v>
      </c>
      <c r="S68" s="69" t="e">
        <f>ROUND(P68,2)*Q68</f>
        <v>#DIV/0!</v>
      </c>
      <c r="T68" s="66" t="e">
        <f>Q68*dagenperjaar1</f>
        <v>#DIV/0!</v>
      </c>
      <c r="U68" s="70" t="e">
        <f>T68*ROUND(P68,2)</f>
        <v>#DIV/0!</v>
      </c>
    </row>
    <row r="69" spans="1:21" x14ac:dyDescent="0.2">
      <c r="A69" s="63" t="s">
        <v>323</v>
      </c>
      <c r="B69" s="64" t="s">
        <v>324</v>
      </c>
      <c r="C69" s="64" t="s">
        <v>472</v>
      </c>
      <c r="D69" s="64" t="s">
        <v>493</v>
      </c>
      <c r="E69" s="64" t="s">
        <v>494</v>
      </c>
      <c r="F69" s="65" t="s">
        <v>338</v>
      </c>
      <c r="G69" s="64" t="s">
        <v>328</v>
      </c>
      <c r="H69" s="64" t="s">
        <v>263</v>
      </c>
      <c r="I69" s="64" t="s">
        <v>10</v>
      </c>
      <c r="J69" s="64" t="s">
        <v>201</v>
      </c>
      <c r="K69" s="66">
        <v>18.2</v>
      </c>
      <c r="L69" s="66">
        <f>K69*VLOOKUP(I69,dagsoorttabel1,2,FALSE)</f>
        <v>18.2</v>
      </c>
      <c r="M69" s="67">
        <f>prodnorm63</f>
        <v>0</v>
      </c>
      <c r="N69" s="68">
        <f>dagwerk63</f>
        <v>0</v>
      </c>
      <c r="O69" s="64" t="s">
        <v>38</v>
      </c>
      <c r="P69" s="69">
        <f>uurtarief63</f>
        <v>0</v>
      </c>
      <c r="Q69" s="66" t="e">
        <f>IF(ISBLANK(M69),0,L69/ROUND(M69,4))</f>
        <v>#DIV/0!</v>
      </c>
      <c r="R69" s="66" t="e">
        <f>IF(ISBLANK(M69),0,Q69*ROUND(N69,2))</f>
        <v>#DIV/0!</v>
      </c>
      <c r="S69" s="69" t="e">
        <f>ROUND(P69,2)*Q69</f>
        <v>#DIV/0!</v>
      </c>
      <c r="T69" s="66" t="e">
        <f>Q69*dagenperjaar1</f>
        <v>#DIV/0!</v>
      </c>
      <c r="U69" s="70" t="e">
        <f>T69*ROUND(P69,2)</f>
        <v>#DIV/0!</v>
      </c>
    </row>
    <row r="70" spans="1:21" x14ac:dyDescent="0.2">
      <c r="A70" s="63" t="s">
        <v>323</v>
      </c>
      <c r="B70" s="64" t="s">
        <v>324</v>
      </c>
      <c r="C70" s="64" t="s">
        <v>472</v>
      </c>
      <c r="D70" s="64" t="s">
        <v>495</v>
      </c>
      <c r="E70" s="64" t="s">
        <v>496</v>
      </c>
      <c r="F70" s="65" t="s">
        <v>381</v>
      </c>
      <c r="G70" s="64" t="s">
        <v>328</v>
      </c>
      <c r="H70" s="64" t="s">
        <v>205</v>
      </c>
      <c r="I70" s="64" t="s">
        <v>10</v>
      </c>
      <c r="J70" s="64" t="s">
        <v>201</v>
      </c>
      <c r="K70" s="66">
        <v>23.1</v>
      </c>
      <c r="L70" s="66">
        <f>K70*VLOOKUP(I70,dagsoorttabel1,2,FALSE)</f>
        <v>23.1</v>
      </c>
      <c r="M70" s="67">
        <f>prodnorm26</f>
        <v>0</v>
      </c>
      <c r="N70" s="68">
        <f>dagwerk26</f>
        <v>0</v>
      </c>
      <c r="O70" s="64" t="s">
        <v>38</v>
      </c>
      <c r="P70" s="69">
        <f>uurtarief26</f>
        <v>0</v>
      </c>
      <c r="Q70" s="66" t="e">
        <f>IF(ISBLANK(M70),0,L70/ROUND(M70,4))</f>
        <v>#DIV/0!</v>
      </c>
      <c r="R70" s="66" t="e">
        <f>IF(ISBLANK(M70),0,Q70*ROUND(N70,2))</f>
        <v>#DIV/0!</v>
      </c>
      <c r="S70" s="69" t="e">
        <f>ROUND(P70,2)*Q70</f>
        <v>#DIV/0!</v>
      </c>
      <c r="T70" s="66" t="e">
        <f>Q70*dagenperjaar1</f>
        <v>#DIV/0!</v>
      </c>
      <c r="U70" s="70" t="e">
        <f>T70*ROUND(P70,2)</f>
        <v>#DIV/0!</v>
      </c>
    </row>
    <row r="71" spans="1:21" x14ac:dyDescent="0.2">
      <c r="A71" s="63" t="s">
        <v>323</v>
      </c>
      <c r="B71" s="64" t="s">
        <v>324</v>
      </c>
      <c r="C71" s="64" t="s">
        <v>472</v>
      </c>
      <c r="D71" s="64" t="s">
        <v>497</v>
      </c>
      <c r="E71" s="64" t="s">
        <v>498</v>
      </c>
      <c r="F71" s="65" t="s">
        <v>373</v>
      </c>
      <c r="G71" s="64" t="s">
        <v>365</v>
      </c>
      <c r="H71" s="64" t="s">
        <v>255</v>
      </c>
      <c r="I71" s="64" t="s">
        <v>10</v>
      </c>
      <c r="J71" s="64" t="s">
        <v>201</v>
      </c>
      <c r="K71" s="66">
        <v>16.8</v>
      </c>
      <c r="L71" s="66">
        <f>K71*VLOOKUP(I71,dagsoorttabel1,2,FALSE)</f>
        <v>16.8</v>
      </c>
      <c r="M71" s="67">
        <f>prodnorm59</f>
        <v>0</v>
      </c>
      <c r="N71" s="68">
        <f>dagwerk59</f>
        <v>0</v>
      </c>
      <c r="O71" s="64" t="s">
        <v>38</v>
      </c>
      <c r="P71" s="69">
        <f>uurtarief59</f>
        <v>0</v>
      </c>
      <c r="Q71" s="66" t="e">
        <f>IF(ISBLANK(M71),0,L71/ROUND(M71,4))</f>
        <v>#DIV/0!</v>
      </c>
      <c r="R71" s="66" t="e">
        <f>IF(ISBLANK(M71),0,Q71*ROUND(N71,2))</f>
        <v>#DIV/0!</v>
      </c>
      <c r="S71" s="69" t="e">
        <f>ROUND(P71,2)*Q71</f>
        <v>#DIV/0!</v>
      </c>
      <c r="T71" s="66" t="e">
        <f>Q71*dagenperjaar1</f>
        <v>#DIV/0!</v>
      </c>
      <c r="U71" s="70" t="e">
        <f>T71*ROUND(P71,2)</f>
        <v>#DIV/0!</v>
      </c>
    </row>
    <row r="72" spans="1:21" x14ac:dyDescent="0.2">
      <c r="A72" s="63" t="s">
        <v>323</v>
      </c>
      <c r="B72" s="64" t="s">
        <v>324</v>
      </c>
      <c r="C72" s="64" t="s">
        <v>472</v>
      </c>
      <c r="D72" s="64" t="s">
        <v>499</v>
      </c>
      <c r="E72" s="64" t="s">
        <v>500</v>
      </c>
      <c r="F72" s="65" t="s">
        <v>370</v>
      </c>
      <c r="G72" s="64" t="s">
        <v>365</v>
      </c>
      <c r="H72" s="64" t="s">
        <v>255</v>
      </c>
      <c r="I72" s="64" t="s">
        <v>10</v>
      </c>
      <c r="J72" s="64" t="s">
        <v>201</v>
      </c>
      <c r="K72" s="66">
        <v>18.3</v>
      </c>
      <c r="L72" s="66">
        <f>K72*VLOOKUP(I72,dagsoorttabel1,2,FALSE)</f>
        <v>18.3</v>
      </c>
      <c r="M72" s="67">
        <f>prodnorm59</f>
        <v>0</v>
      </c>
      <c r="N72" s="68">
        <f>dagwerk59</f>
        <v>0</v>
      </c>
      <c r="O72" s="64" t="s">
        <v>38</v>
      </c>
      <c r="P72" s="69">
        <f>uurtarief59</f>
        <v>0</v>
      </c>
      <c r="Q72" s="66" t="e">
        <f>IF(ISBLANK(M72),0,L72/ROUND(M72,4))</f>
        <v>#DIV/0!</v>
      </c>
      <c r="R72" s="66" t="e">
        <f>IF(ISBLANK(M72),0,Q72*ROUND(N72,2))</f>
        <v>#DIV/0!</v>
      </c>
      <c r="S72" s="69" t="e">
        <f>ROUND(P72,2)*Q72</f>
        <v>#DIV/0!</v>
      </c>
      <c r="T72" s="66" t="e">
        <f>Q72*dagenperjaar1</f>
        <v>#DIV/0!</v>
      </c>
      <c r="U72" s="70" t="e">
        <f>T72*ROUND(P72,2)</f>
        <v>#DIV/0!</v>
      </c>
    </row>
    <row r="73" spans="1:21" x14ac:dyDescent="0.2">
      <c r="A73" s="63" t="s">
        <v>323</v>
      </c>
      <c r="B73" s="64" t="s">
        <v>324</v>
      </c>
      <c r="C73" s="64" t="s">
        <v>472</v>
      </c>
      <c r="D73" s="64" t="s">
        <v>501</v>
      </c>
      <c r="E73" s="64" t="s">
        <v>502</v>
      </c>
      <c r="F73" s="65" t="s">
        <v>503</v>
      </c>
      <c r="G73" s="64" t="s">
        <v>328</v>
      </c>
      <c r="H73" s="64" t="s">
        <v>229</v>
      </c>
      <c r="I73" s="64" t="s">
        <v>10</v>
      </c>
      <c r="J73" s="64" t="s">
        <v>201</v>
      </c>
      <c r="K73" s="66">
        <v>49.4</v>
      </c>
      <c r="L73" s="66">
        <f>K73*VLOOKUP(I73,dagsoorttabel1,2,FALSE)</f>
        <v>49.4</v>
      </c>
      <c r="M73" s="67">
        <f>prodnorm43</f>
        <v>0</v>
      </c>
      <c r="N73" s="68">
        <f>dagwerk43</f>
        <v>0</v>
      </c>
      <c r="O73" s="64" t="s">
        <v>38</v>
      </c>
      <c r="P73" s="69">
        <f>uurtarief43</f>
        <v>0</v>
      </c>
      <c r="Q73" s="66" t="e">
        <f>IF(ISBLANK(M73),0,L73/ROUND(M73,4))</f>
        <v>#DIV/0!</v>
      </c>
      <c r="R73" s="66" t="e">
        <f>IF(ISBLANK(M73),0,Q73*ROUND(N73,2))</f>
        <v>#DIV/0!</v>
      </c>
      <c r="S73" s="69" t="e">
        <f>ROUND(P73,2)*Q73</f>
        <v>#DIV/0!</v>
      </c>
      <c r="T73" s="66" t="e">
        <f>Q73*dagenperjaar1</f>
        <v>#DIV/0!</v>
      </c>
      <c r="U73" s="70" t="e">
        <f>T73*ROUND(P73,2)</f>
        <v>#DIV/0!</v>
      </c>
    </row>
    <row r="74" spans="1:21" x14ac:dyDescent="0.2">
      <c r="A74" s="63" t="s">
        <v>323</v>
      </c>
      <c r="B74" s="64" t="s">
        <v>324</v>
      </c>
      <c r="C74" s="64" t="s">
        <v>472</v>
      </c>
      <c r="D74" s="64" t="s">
        <v>504</v>
      </c>
      <c r="E74" s="64" t="s">
        <v>505</v>
      </c>
      <c r="F74" s="65" t="s">
        <v>381</v>
      </c>
      <c r="G74" s="64" t="s">
        <v>328</v>
      </c>
      <c r="H74" s="64" t="s">
        <v>205</v>
      </c>
      <c r="I74" s="64" t="s">
        <v>10</v>
      </c>
      <c r="J74" s="64" t="s">
        <v>201</v>
      </c>
      <c r="K74" s="66">
        <v>23.1</v>
      </c>
      <c r="L74" s="66">
        <f>K74*VLOOKUP(I74,dagsoorttabel1,2,FALSE)</f>
        <v>23.1</v>
      </c>
      <c r="M74" s="67">
        <f>prodnorm26</f>
        <v>0</v>
      </c>
      <c r="N74" s="68">
        <f>dagwerk26</f>
        <v>0</v>
      </c>
      <c r="O74" s="64" t="s">
        <v>38</v>
      </c>
      <c r="P74" s="69">
        <f>uurtarief26</f>
        <v>0</v>
      </c>
      <c r="Q74" s="66" t="e">
        <f>IF(ISBLANK(M74),0,L74/ROUND(M74,4))</f>
        <v>#DIV/0!</v>
      </c>
      <c r="R74" s="66" t="e">
        <f>IF(ISBLANK(M74),0,Q74*ROUND(N74,2))</f>
        <v>#DIV/0!</v>
      </c>
      <c r="S74" s="69" t="e">
        <f>ROUND(P74,2)*Q74</f>
        <v>#DIV/0!</v>
      </c>
      <c r="T74" s="66" t="e">
        <f>Q74*dagenperjaar1</f>
        <v>#DIV/0!</v>
      </c>
      <c r="U74" s="70" t="e">
        <f>T74*ROUND(P74,2)</f>
        <v>#DIV/0!</v>
      </c>
    </row>
    <row r="75" spans="1:21" ht="25.5" x14ac:dyDescent="0.2">
      <c r="A75" s="63" t="s">
        <v>323</v>
      </c>
      <c r="B75" s="64" t="s">
        <v>324</v>
      </c>
      <c r="C75" s="64" t="s">
        <v>472</v>
      </c>
      <c r="D75" s="64" t="s">
        <v>506</v>
      </c>
      <c r="E75" s="64" t="s">
        <v>507</v>
      </c>
      <c r="F75" s="65" t="s">
        <v>489</v>
      </c>
      <c r="G75" s="64" t="s">
        <v>328</v>
      </c>
      <c r="H75" s="64" t="s">
        <v>239</v>
      </c>
      <c r="I75" s="64" t="s">
        <v>10</v>
      </c>
      <c r="J75" s="64" t="s">
        <v>201</v>
      </c>
      <c r="K75" s="66">
        <v>122.7</v>
      </c>
      <c r="L75" s="66">
        <f>K75*VLOOKUP(I75,dagsoorttabel1,2,FALSE)</f>
        <v>122.7</v>
      </c>
      <c r="M75" s="67">
        <f>prodnorm50</f>
        <v>0</v>
      </c>
      <c r="N75" s="68">
        <f>dagwerk50</f>
        <v>0</v>
      </c>
      <c r="O75" s="64" t="s">
        <v>38</v>
      </c>
      <c r="P75" s="69">
        <f>uurtarief50</f>
        <v>0</v>
      </c>
      <c r="Q75" s="66" t="e">
        <f>IF(ISBLANK(M75),0,L75/ROUND(M75,4))</f>
        <v>#DIV/0!</v>
      </c>
      <c r="R75" s="66" t="e">
        <f>IF(ISBLANK(M75),0,Q75*ROUND(N75,2))</f>
        <v>#DIV/0!</v>
      </c>
      <c r="S75" s="69" t="e">
        <f>ROUND(P75,2)*Q75</f>
        <v>#DIV/0!</v>
      </c>
      <c r="T75" s="66" t="e">
        <f>Q75*dagenperjaar1</f>
        <v>#DIV/0!</v>
      </c>
      <c r="U75" s="70" t="e">
        <f>T75*ROUND(P75,2)</f>
        <v>#DIV/0!</v>
      </c>
    </row>
    <row r="76" spans="1:21" ht="25.5" x14ac:dyDescent="0.2">
      <c r="A76" s="63" t="s">
        <v>323</v>
      </c>
      <c r="B76" s="64" t="s">
        <v>324</v>
      </c>
      <c r="C76" s="64" t="s">
        <v>472</v>
      </c>
      <c r="D76" s="64" t="s">
        <v>508</v>
      </c>
      <c r="E76" s="64" t="s">
        <v>509</v>
      </c>
      <c r="F76" s="65" t="s">
        <v>492</v>
      </c>
      <c r="G76" s="64" t="s">
        <v>328</v>
      </c>
      <c r="H76" s="64" t="s">
        <v>239</v>
      </c>
      <c r="I76" s="64" t="s">
        <v>10</v>
      </c>
      <c r="J76" s="64" t="s">
        <v>201</v>
      </c>
      <c r="K76" s="66">
        <v>14.7</v>
      </c>
      <c r="L76" s="66">
        <f>K76*VLOOKUP(I76,dagsoorttabel1,2,FALSE)</f>
        <v>14.7</v>
      </c>
      <c r="M76" s="67">
        <f>prodnorm50</f>
        <v>0</v>
      </c>
      <c r="N76" s="68">
        <f>dagwerk50</f>
        <v>0</v>
      </c>
      <c r="O76" s="64" t="s">
        <v>38</v>
      </c>
      <c r="P76" s="69">
        <f>uurtarief50</f>
        <v>0</v>
      </c>
      <c r="Q76" s="66" t="e">
        <f>IF(ISBLANK(M76),0,L76/ROUND(M76,4))</f>
        <v>#DIV/0!</v>
      </c>
      <c r="R76" s="66" t="e">
        <f>IF(ISBLANK(M76),0,Q76*ROUND(N76,2))</f>
        <v>#DIV/0!</v>
      </c>
      <c r="S76" s="69" t="e">
        <f>ROUND(P76,2)*Q76</f>
        <v>#DIV/0!</v>
      </c>
      <c r="T76" s="66" t="e">
        <f>Q76*dagenperjaar1</f>
        <v>#DIV/0!</v>
      </c>
      <c r="U76" s="70" t="e">
        <f>T76*ROUND(P76,2)</f>
        <v>#DIV/0!</v>
      </c>
    </row>
    <row r="77" spans="1:21" ht="25.5" x14ac:dyDescent="0.2">
      <c r="A77" s="63" t="s">
        <v>323</v>
      </c>
      <c r="B77" s="64" t="s">
        <v>324</v>
      </c>
      <c r="C77" s="64" t="s">
        <v>472</v>
      </c>
      <c r="D77" s="64" t="s">
        <v>510</v>
      </c>
      <c r="E77" s="64" t="s">
        <v>511</v>
      </c>
      <c r="F77" s="65" t="s">
        <v>489</v>
      </c>
      <c r="G77" s="64" t="s">
        <v>328</v>
      </c>
      <c r="H77" s="64" t="s">
        <v>239</v>
      </c>
      <c r="I77" s="64" t="s">
        <v>10</v>
      </c>
      <c r="J77" s="64" t="s">
        <v>201</v>
      </c>
      <c r="K77" s="66">
        <v>122.4</v>
      </c>
      <c r="L77" s="66">
        <f>K77*VLOOKUP(I77,dagsoorttabel1,2,FALSE)</f>
        <v>122.4</v>
      </c>
      <c r="M77" s="67">
        <f>prodnorm50</f>
        <v>0</v>
      </c>
      <c r="N77" s="68">
        <f>dagwerk50</f>
        <v>0</v>
      </c>
      <c r="O77" s="64" t="s">
        <v>38</v>
      </c>
      <c r="P77" s="69">
        <f>uurtarief50</f>
        <v>0</v>
      </c>
      <c r="Q77" s="66" t="e">
        <f>IF(ISBLANK(M77),0,L77/ROUND(M77,4))</f>
        <v>#DIV/0!</v>
      </c>
      <c r="R77" s="66" t="e">
        <f>IF(ISBLANK(M77),0,Q77*ROUND(N77,2))</f>
        <v>#DIV/0!</v>
      </c>
      <c r="S77" s="69" t="e">
        <f>ROUND(P77,2)*Q77</f>
        <v>#DIV/0!</v>
      </c>
      <c r="T77" s="66" t="e">
        <f>Q77*dagenperjaar1</f>
        <v>#DIV/0!</v>
      </c>
      <c r="U77" s="70" t="e">
        <f>T77*ROUND(P77,2)</f>
        <v>#DIV/0!</v>
      </c>
    </row>
    <row r="78" spans="1:21" ht="25.5" x14ac:dyDescent="0.2">
      <c r="A78" s="63" t="s">
        <v>323</v>
      </c>
      <c r="B78" s="64" t="s">
        <v>324</v>
      </c>
      <c r="C78" s="64" t="s">
        <v>472</v>
      </c>
      <c r="D78" s="64" t="s">
        <v>512</v>
      </c>
      <c r="E78" s="64" t="s">
        <v>513</v>
      </c>
      <c r="F78" s="65" t="s">
        <v>492</v>
      </c>
      <c r="G78" s="64" t="s">
        <v>328</v>
      </c>
      <c r="H78" s="64" t="s">
        <v>239</v>
      </c>
      <c r="I78" s="64" t="s">
        <v>10</v>
      </c>
      <c r="J78" s="64" t="s">
        <v>201</v>
      </c>
      <c r="K78" s="66">
        <v>14.6</v>
      </c>
      <c r="L78" s="66">
        <f>K78*VLOOKUP(I78,dagsoorttabel1,2,FALSE)</f>
        <v>14.6</v>
      </c>
      <c r="M78" s="67">
        <f>prodnorm50</f>
        <v>0</v>
      </c>
      <c r="N78" s="68">
        <f>dagwerk50</f>
        <v>0</v>
      </c>
      <c r="O78" s="64" t="s">
        <v>38</v>
      </c>
      <c r="P78" s="69">
        <f>uurtarief50</f>
        <v>0</v>
      </c>
      <c r="Q78" s="66" t="e">
        <f>IF(ISBLANK(M78),0,L78/ROUND(M78,4))</f>
        <v>#DIV/0!</v>
      </c>
      <c r="R78" s="66" t="e">
        <f>IF(ISBLANK(M78),0,Q78*ROUND(N78,2))</f>
        <v>#DIV/0!</v>
      </c>
      <c r="S78" s="69" t="e">
        <f>ROUND(P78,2)*Q78</f>
        <v>#DIV/0!</v>
      </c>
      <c r="T78" s="66" t="e">
        <f>Q78*dagenperjaar1</f>
        <v>#DIV/0!</v>
      </c>
      <c r="U78" s="70" t="e">
        <f>T78*ROUND(P78,2)</f>
        <v>#DIV/0!</v>
      </c>
    </row>
    <row r="79" spans="1:21" x14ac:dyDescent="0.2">
      <c r="A79" s="63" t="s">
        <v>323</v>
      </c>
      <c r="B79" s="64" t="s">
        <v>324</v>
      </c>
      <c r="C79" s="64" t="s">
        <v>472</v>
      </c>
      <c r="D79" s="64" t="s">
        <v>514</v>
      </c>
      <c r="E79" s="64" t="s">
        <v>515</v>
      </c>
      <c r="F79" s="65" t="s">
        <v>344</v>
      </c>
      <c r="G79" s="64" t="s">
        <v>328</v>
      </c>
      <c r="H79" s="64" t="s">
        <v>263</v>
      </c>
      <c r="I79" s="64" t="s">
        <v>10</v>
      </c>
      <c r="J79" s="64" t="s">
        <v>201</v>
      </c>
      <c r="K79" s="66">
        <v>22.4</v>
      </c>
      <c r="L79" s="66">
        <f>K79*VLOOKUP(I79,dagsoorttabel1,2,FALSE)</f>
        <v>22.4</v>
      </c>
      <c r="M79" s="67">
        <f>prodnorm63</f>
        <v>0</v>
      </c>
      <c r="N79" s="68">
        <f>dagwerk63</f>
        <v>0</v>
      </c>
      <c r="O79" s="64" t="s">
        <v>38</v>
      </c>
      <c r="P79" s="69">
        <f>uurtarief63</f>
        <v>0</v>
      </c>
      <c r="Q79" s="66" t="e">
        <f>IF(ISBLANK(M79),0,L79/ROUND(M79,4))</f>
        <v>#DIV/0!</v>
      </c>
      <c r="R79" s="66" t="e">
        <f>IF(ISBLANK(M79),0,Q79*ROUND(N79,2))</f>
        <v>#DIV/0!</v>
      </c>
      <c r="S79" s="69" t="e">
        <f>ROUND(P79,2)*Q79</f>
        <v>#DIV/0!</v>
      </c>
      <c r="T79" s="66" t="e">
        <f>Q79*dagenperjaar1</f>
        <v>#DIV/0!</v>
      </c>
      <c r="U79" s="70" t="e">
        <f>T79*ROUND(P79,2)</f>
        <v>#DIV/0!</v>
      </c>
    </row>
    <row r="80" spans="1:21" x14ac:dyDescent="0.2">
      <c r="A80" s="63" t="s">
        <v>323</v>
      </c>
      <c r="B80" s="64" t="s">
        <v>324</v>
      </c>
      <c r="C80" s="64" t="s">
        <v>472</v>
      </c>
      <c r="D80" s="64" t="s">
        <v>516</v>
      </c>
      <c r="E80" s="64" t="s">
        <v>517</v>
      </c>
      <c r="F80" s="65" t="s">
        <v>381</v>
      </c>
      <c r="G80" s="64" t="s">
        <v>328</v>
      </c>
      <c r="H80" s="64" t="s">
        <v>205</v>
      </c>
      <c r="I80" s="64" t="s">
        <v>10</v>
      </c>
      <c r="J80" s="64" t="s">
        <v>201</v>
      </c>
      <c r="K80" s="66">
        <v>15.1</v>
      </c>
      <c r="L80" s="66">
        <f>K80*VLOOKUP(I80,dagsoorttabel1,2,FALSE)</f>
        <v>15.1</v>
      </c>
      <c r="M80" s="67">
        <f>prodnorm26</f>
        <v>0</v>
      </c>
      <c r="N80" s="68">
        <f>dagwerk26</f>
        <v>0</v>
      </c>
      <c r="O80" s="64" t="s">
        <v>38</v>
      </c>
      <c r="P80" s="69">
        <f>uurtarief26</f>
        <v>0</v>
      </c>
      <c r="Q80" s="66" t="e">
        <f>IF(ISBLANK(M80),0,L80/ROUND(M80,4))</f>
        <v>#DIV/0!</v>
      </c>
      <c r="R80" s="66" t="e">
        <f>IF(ISBLANK(M80),0,Q80*ROUND(N80,2))</f>
        <v>#DIV/0!</v>
      </c>
      <c r="S80" s="69" t="e">
        <f>ROUND(P80,2)*Q80</f>
        <v>#DIV/0!</v>
      </c>
      <c r="T80" s="66" t="e">
        <f>Q80*dagenperjaar1</f>
        <v>#DIV/0!</v>
      </c>
      <c r="U80" s="70" t="e">
        <f>T80*ROUND(P80,2)</f>
        <v>#DIV/0!</v>
      </c>
    </row>
    <row r="81" spans="1:21" x14ac:dyDescent="0.2">
      <c r="A81" s="63" t="s">
        <v>323</v>
      </c>
      <c r="B81" s="64" t="s">
        <v>324</v>
      </c>
      <c r="C81" s="64" t="s">
        <v>472</v>
      </c>
      <c r="D81" s="64" t="s">
        <v>518</v>
      </c>
      <c r="E81" s="64" t="s">
        <v>519</v>
      </c>
      <c r="F81" s="65" t="s">
        <v>520</v>
      </c>
      <c r="G81" s="64" t="s">
        <v>328</v>
      </c>
      <c r="H81" s="64" t="s">
        <v>229</v>
      </c>
      <c r="I81" s="64" t="s">
        <v>10</v>
      </c>
      <c r="J81" s="64" t="s">
        <v>201</v>
      </c>
      <c r="K81" s="66">
        <v>45.7</v>
      </c>
      <c r="L81" s="66">
        <f>K81*VLOOKUP(I81,dagsoorttabel1,2,FALSE)</f>
        <v>45.7</v>
      </c>
      <c r="M81" s="67">
        <f>prodnorm43</f>
        <v>0</v>
      </c>
      <c r="N81" s="68">
        <f>dagwerk43</f>
        <v>0</v>
      </c>
      <c r="O81" s="64" t="s">
        <v>38</v>
      </c>
      <c r="P81" s="69">
        <f>uurtarief43</f>
        <v>0</v>
      </c>
      <c r="Q81" s="66" t="e">
        <f>IF(ISBLANK(M81),0,L81/ROUND(M81,4))</f>
        <v>#DIV/0!</v>
      </c>
      <c r="R81" s="66" t="e">
        <f>IF(ISBLANK(M81),0,Q81*ROUND(N81,2))</f>
        <v>#DIV/0!</v>
      </c>
      <c r="S81" s="69" t="e">
        <f>ROUND(P81,2)*Q81</f>
        <v>#DIV/0!</v>
      </c>
      <c r="T81" s="66" t="e">
        <f>Q81*dagenperjaar1</f>
        <v>#DIV/0!</v>
      </c>
      <c r="U81" s="70" t="e">
        <f>T81*ROUND(P81,2)</f>
        <v>#DIV/0!</v>
      </c>
    </row>
    <row r="82" spans="1:21" x14ac:dyDescent="0.2">
      <c r="A82" s="63" t="s">
        <v>323</v>
      </c>
      <c r="B82" s="64" t="s">
        <v>324</v>
      </c>
      <c r="C82" s="64" t="s">
        <v>472</v>
      </c>
      <c r="D82" s="64" t="s">
        <v>521</v>
      </c>
      <c r="E82" s="64" t="s">
        <v>522</v>
      </c>
      <c r="F82" s="65" t="s">
        <v>520</v>
      </c>
      <c r="G82" s="64" t="s">
        <v>328</v>
      </c>
      <c r="H82" s="64" t="s">
        <v>229</v>
      </c>
      <c r="I82" s="64" t="s">
        <v>10</v>
      </c>
      <c r="J82" s="64" t="s">
        <v>201</v>
      </c>
      <c r="K82" s="66">
        <v>47.2</v>
      </c>
      <c r="L82" s="66">
        <f>K82*VLOOKUP(I82,dagsoorttabel1,2,FALSE)</f>
        <v>47.2</v>
      </c>
      <c r="M82" s="67">
        <f>prodnorm43</f>
        <v>0</v>
      </c>
      <c r="N82" s="68">
        <f>dagwerk43</f>
        <v>0</v>
      </c>
      <c r="O82" s="64" t="s">
        <v>38</v>
      </c>
      <c r="P82" s="69">
        <f>uurtarief43</f>
        <v>0</v>
      </c>
      <c r="Q82" s="66" t="e">
        <f>IF(ISBLANK(M82),0,L82/ROUND(M82,4))</f>
        <v>#DIV/0!</v>
      </c>
      <c r="R82" s="66" t="e">
        <f>IF(ISBLANK(M82),0,Q82*ROUND(N82,2))</f>
        <v>#DIV/0!</v>
      </c>
      <c r="S82" s="69" t="e">
        <f>ROUND(P82,2)*Q82</f>
        <v>#DIV/0!</v>
      </c>
      <c r="T82" s="66" t="e">
        <f>Q82*dagenperjaar1</f>
        <v>#DIV/0!</v>
      </c>
      <c r="U82" s="70" t="e">
        <f>T82*ROUND(P82,2)</f>
        <v>#DIV/0!</v>
      </c>
    </row>
    <row r="83" spans="1:21" x14ac:dyDescent="0.2">
      <c r="A83" s="63" t="s">
        <v>323</v>
      </c>
      <c r="B83" s="64" t="s">
        <v>324</v>
      </c>
      <c r="C83" s="64" t="s">
        <v>472</v>
      </c>
      <c r="D83" s="64" t="s">
        <v>523</v>
      </c>
      <c r="E83" s="64" t="s">
        <v>524</v>
      </c>
      <c r="F83" s="65" t="s">
        <v>381</v>
      </c>
      <c r="G83" s="64" t="s">
        <v>328</v>
      </c>
      <c r="H83" s="64" t="s">
        <v>205</v>
      </c>
      <c r="I83" s="64" t="s">
        <v>10</v>
      </c>
      <c r="J83" s="64" t="s">
        <v>201</v>
      </c>
      <c r="K83" s="66">
        <v>23.1</v>
      </c>
      <c r="L83" s="66">
        <f>K83*VLOOKUP(I83,dagsoorttabel1,2,FALSE)</f>
        <v>23.1</v>
      </c>
      <c r="M83" s="67">
        <f>prodnorm26</f>
        <v>0</v>
      </c>
      <c r="N83" s="68">
        <f>dagwerk26</f>
        <v>0</v>
      </c>
      <c r="O83" s="64" t="s">
        <v>38</v>
      </c>
      <c r="P83" s="69">
        <f>uurtarief26</f>
        <v>0</v>
      </c>
      <c r="Q83" s="66" t="e">
        <f>IF(ISBLANK(M83),0,L83/ROUND(M83,4))</f>
        <v>#DIV/0!</v>
      </c>
      <c r="R83" s="66" t="e">
        <f>IF(ISBLANK(M83),0,Q83*ROUND(N83,2))</f>
        <v>#DIV/0!</v>
      </c>
      <c r="S83" s="69" t="e">
        <f>ROUND(P83,2)*Q83</f>
        <v>#DIV/0!</v>
      </c>
      <c r="T83" s="66" t="e">
        <f>Q83*dagenperjaar1</f>
        <v>#DIV/0!</v>
      </c>
      <c r="U83" s="70" t="e">
        <f>T83*ROUND(P83,2)</f>
        <v>#DIV/0!</v>
      </c>
    </row>
    <row r="84" spans="1:21" ht="25.5" x14ac:dyDescent="0.2">
      <c r="A84" s="63" t="s">
        <v>323</v>
      </c>
      <c r="B84" s="64" t="s">
        <v>324</v>
      </c>
      <c r="C84" s="64" t="s">
        <v>472</v>
      </c>
      <c r="D84" s="64" t="s">
        <v>525</v>
      </c>
      <c r="E84" s="64" t="s">
        <v>526</v>
      </c>
      <c r="F84" s="65" t="s">
        <v>489</v>
      </c>
      <c r="G84" s="64" t="s">
        <v>328</v>
      </c>
      <c r="H84" s="64" t="s">
        <v>239</v>
      </c>
      <c r="I84" s="64" t="s">
        <v>10</v>
      </c>
      <c r="J84" s="64" t="s">
        <v>201</v>
      </c>
      <c r="K84" s="66">
        <v>135.4</v>
      </c>
      <c r="L84" s="66">
        <f>K84*VLOOKUP(I84,dagsoorttabel1,2,FALSE)</f>
        <v>135.4</v>
      </c>
      <c r="M84" s="67">
        <f>prodnorm50</f>
        <v>0</v>
      </c>
      <c r="N84" s="68">
        <f>dagwerk50</f>
        <v>0</v>
      </c>
      <c r="O84" s="64" t="s">
        <v>38</v>
      </c>
      <c r="P84" s="69">
        <f>uurtarief50</f>
        <v>0</v>
      </c>
      <c r="Q84" s="66" t="e">
        <f>IF(ISBLANK(M84),0,L84/ROUND(M84,4))</f>
        <v>#DIV/0!</v>
      </c>
      <c r="R84" s="66" t="e">
        <f>IF(ISBLANK(M84),0,Q84*ROUND(N84,2))</f>
        <v>#DIV/0!</v>
      </c>
      <c r="S84" s="69" t="e">
        <f>ROUND(P84,2)*Q84</f>
        <v>#DIV/0!</v>
      </c>
      <c r="T84" s="66" t="e">
        <f>Q84*dagenperjaar1</f>
        <v>#DIV/0!</v>
      </c>
      <c r="U84" s="70" t="e">
        <f>T84*ROUND(P84,2)</f>
        <v>#DIV/0!</v>
      </c>
    </row>
    <row r="85" spans="1:21" x14ac:dyDescent="0.2">
      <c r="A85" s="63" t="s">
        <v>323</v>
      </c>
      <c r="B85" s="64" t="s">
        <v>324</v>
      </c>
      <c r="C85" s="64" t="s">
        <v>472</v>
      </c>
      <c r="D85" s="64" t="s">
        <v>527</v>
      </c>
      <c r="E85" s="64" t="s">
        <v>528</v>
      </c>
      <c r="F85" s="65" t="s">
        <v>529</v>
      </c>
      <c r="G85" s="64" t="s">
        <v>328</v>
      </c>
      <c r="H85" s="64" t="s">
        <v>205</v>
      </c>
      <c r="I85" s="64" t="s">
        <v>10</v>
      </c>
      <c r="J85" s="64" t="s">
        <v>201</v>
      </c>
      <c r="K85" s="66">
        <v>15.1</v>
      </c>
      <c r="L85" s="66">
        <f>K85*VLOOKUP(I85,dagsoorttabel1,2,FALSE)</f>
        <v>15.1</v>
      </c>
      <c r="M85" s="67">
        <f>prodnorm26</f>
        <v>0</v>
      </c>
      <c r="N85" s="68">
        <f>dagwerk26</f>
        <v>0</v>
      </c>
      <c r="O85" s="64" t="s">
        <v>38</v>
      </c>
      <c r="P85" s="69">
        <f>uurtarief26</f>
        <v>0</v>
      </c>
      <c r="Q85" s="66" t="e">
        <f>IF(ISBLANK(M85),0,L85/ROUND(M85,4))</f>
        <v>#DIV/0!</v>
      </c>
      <c r="R85" s="66" t="e">
        <f>IF(ISBLANK(M85),0,Q85*ROUND(N85,2))</f>
        <v>#DIV/0!</v>
      </c>
      <c r="S85" s="69" t="e">
        <f>ROUND(P85,2)*Q85</f>
        <v>#DIV/0!</v>
      </c>
      <c r="T85" s="66" t="e">
        <f>Q85*dagenperjaar1</f>
        <v>#DIV/0!</v>
      </c>
      <c r="U85" s="70" t="e">
        <f>T85*ROUND(P85,2)</f>
        <v>#DIV/0!</v>
      </c>
    </row>
    <row r="86" spans="1:21" x14ac:dyDescent="0.2">
      <c r="A86" s="63" t="s">
        <v>323</v>
      </c>
      <c r="B86" s="64" t="s">
        <v>324</v>
      </c>
      <c r="C86" s="64" t="s">
        <v>530</v>
      </c>
      <c r="D86" s="64" t="s">
        <v>531</v>
      </c>
      <c r="E86" s="64" t="s">
        <v>532</v>
      </c>
      <c r="F86" s="65" t="s">
        <v>335</v>
      </c>
      <c r="G86" s="64" t="s">
        <v>328</v>
      </c>
      <c r="H86" s="64" t="s">
        <v>267</v>
      </c>
      <c r="I86" s="64" t="s">
        <v>10</v>
      </c>
      <c r="J86" s="64" t="s">
        <v>201</v>
      </c>
      <c r="K86" s="66">
        <v>92.8</v>
      </c>
      <c r="L86" s="66">
        <f>K86*VLOOKUP(I86,dagsoorttabel1,2,FALSE)</f>
        <v>92.8</v>
      </c>
      <c r="M86" s="67">
        <f>prodnorm65</f>
        <v>0</v>
      </c>
      <c r="N86" s="68">
        <f>dagwerk65</f>
        <v>0</v>
      </c>
      <c r="O86" s="64" t="s">
        <v>38</v>
      </c>
      <c r="P86" s="69">
        <f>uurtarief65</f>
        <v>0</v>
      </c>
      <c r="Q86" s="66" t="e">
        <f>IF(ISBLANK(M86),0,L86/ROUND(M86,4))</f>
        <v>#DIV/0!</v>
      </c>
      <c r="R86" s="66" t="e">
        <f>IF(ISBLANK(M86),0,Q86*ROUND(N86,2))</f>
        <v>#DIV/0!</v>
      </c>
      <c r="S86" s="69" t="e">
        <f>ROUND(P86,2)*Q86</f>
        <v>#DIV/0!</v>
      </c>
      <c r="T86" s="66" t="e">
        <f>Q86*dagenperjaar1</f>
        <v>#DIV/0!</v>
      </c>
      <c r="U86" s="70" t="e">
        <f>T86*ROUND(P86,2)</f>
        <v>#DIV/0!</v>
      </c>
    </row>
    <row r="87" spans="1:21" x14ac:dyDescent="0.2">
      <c r="A87" s="63" t="s">
        <v>323</v>
      </c>
      <c r="B87" s="64" t="s">
        <v>324</v>
      </c>
      <c r="C87" s="64" t="s">
        <v>530</v>
      </c>
      <c r="D87" s="64" t="s">
        <v>533</v>
      </c>
      <c r="E87" s="64" t="s">
        <v>534</v>
      </c>
      <c r="F87" s="65" t="s">
        <v>535</v>
      </c>
      <c r="G87" s="64" t="s">
        <v>328</v>
      </c>
      <c r="H87" s="64" t="s">
        <v>239</v>
      </c>
      <c r="I87" s="64" t="s">
        <v>10</v>
      </c>
      <c r="J87" s="64" t="s">
        <v>201</v>
      </c>
      <c r="K87" s="66">
        <v>76.7</v>
      </c>
      <c r="L87" s="66">
        <f>K87*VLOOKUP(I87,dagsoorttabel1,2,FALSE)</f>
        <v>76.7</v>
      </c>
      <c r="M87" s="67">
        <f>prodnorm50</f>
        <v>0</v>
      </c>
      <c r="N87" s="68">
        <f>dagwerk50</f>
        <v>0</v>
      </c>
      <c r="O87" s="64" t="s">
        <v>38</v>
      </c>
      <c r="P87" s="69">
        <f>uurtarief50</f>
        <v>0</v>
      </c>
      <c r="Q87" s="66" t="e">
        <f>IF(ISBLANK(M87),0,L87/ROUND(M87,4))</f>
        <v>#DIV/0!</v>
      </c>
      <c r="R87" s="66" t="e">
        <f>IF(ISBLANK(M87),0,Q87*ROUND(N87,2))</f>
        <v>#DIV/0!</v>
      </c>
      <c r="S87" s="69" t="e">
        <f>ROUND(P87,2)*Q87</f>
        <v>#DIV/0!</v>
      </c>
      <c r="T87" s="66" t="e">
        <f>Q87*dagenperjaar1</f>
        <v>#DIV/0!</v>
      </c>
      <c r="U87" s="70" t="e">
        <f>T87*ROUND(P87,2)</f>
        <v>#DIV/0!</v>
      </c>
    </row>
    <row r="88" spans="1:21" x14ac:dyDescent="0.2">
      <c r="A88" s="63" t="s">
        <v>323</v>
      </c>
      <c r="B88" s="64" t="s">
        <v>324</v>
      </c>
      <c r="C88" s="64" t="s">
        <v>530</v>
      </c>
      <c r="D88" s="64" t="s">
        <v>536</v>
      </c>
      <c r="E88" s="64" t="s">
        <v>537</v>
      </c>
      <c r="F88" s="65" t="s">
        <v>477</v>
      </c>
      <c r="G88" s="64" t="s">
        <v>538</v>
      </c>
      <c r="H88" s="64" t="s">
        <v>259</v>
      </c>
      <c r="I88" s="64" t="s">
        <v>10</v>
      </c>
      <c r="J88" s="64" t="s">
        <v>201</v>
      </c>
      <c r="K88" s="66">
        <v>12.1</v>
      </c>
      <c r="L88" s="66">
        <f>K88*VLOOKUP(I88,dagsoorttabel1,2,FALSE)</f>
        <v>12.1</v>
      </c>
      <c r="M88" s="67">
        <f>prodnorm61</f>
        <v>0</v>
      </c>
      <c r="N88" s="68">
        <f>dagwerk61</f>
        <v>0</v>
      </c>
      <c r="O88" s="64" t="s">
        <v>38</v>
      </c>
      <c r="P88" s="69">
        <f>uurtarief61</f>
        <v>0</v>
      </c>
      <c r="Q88" s="66" t="e">
        <f>IF(ISBLANK(M88),0,L88/ROUND(M88,4))</f>
        <v>#DIV/0!</v>
      </c>
      <c r="R88" s="66" t="e">
        <f>IF(ISBLANK(M88),0,Q88*ROUND(N88,2))</f>
        <v>#DIV/0!</v>
      </c>
      <c r="S88" s="69" t="e">
        <f>ROUND(P88,2)*Q88</f>
        <v>#DIV/0!</v>
      </c>
      <c r="T88" s="66" t="e">
        <f>Q88*dagenperjaar1</f>
        <v>#DIV/0!</v>
      </c>
      <c r="U88" s="70" t="e">
        <f>T88*ROUND(P88,2)</f>
        <v>#DIV/0!</v>
      </c>
    </row>
    <row r="89" spans="1:21" x14ac:dyDescent="0.2">
      <c r="A89" s="63" t="s">
        <v>323</v>
      </c>
      <c r="B89" s="64" t="s">
        <v>324</v>
      </c>
      <c r="C89" s="64" t="s">
        <v>530</v>
      </c>
      <c r="D89" s="64" t="s">
        <v>539</v>
      </c>
      <c r="E89" s="64" t="s">
        <v>540</v>
      </c>
      <c r="F89" s="65" t="s">
        <v>477</v>
      </c>
      <c r="G89" s="64" t="s">
        <v>538</v>
      </c>
      <c r="H89" s="64" t="s">
        <v>259</v>
      </c>
      <c r="I89" s="64" t="s">
        <v>10</v>
      </c>
      <c r="J89" s="64" t="s">
        <v>201</v>
      </c>
      <c r="K89" s="66">
        <v>64.400000000000006</v>
      </c>
      <c r="L89" s="66">
        <f>K89*VLOOKUP(I89,dagsoorttabel1,2,FALSE)</f>
        <v>64.400000000000006</v>
      </c>
      <c r="M89" s="67">
        <f>prodnorm61</f>
        <v>0</v>
      </c>
      <c r="N89" s="68">
        <f>dagwerk61</f>
        <v>0</v>
      </c>
      <c r="O89" s="64" t="s">
        <v>38</v>
      </c>
      <c r="P89" s="69">
        <f>uurtarief61</f>
        <v>0</v>
      </c>
      <c r="Q89" s="66" t="e">
        <f>IF(ISBLANK(M89),0,L89/ROUND(M89,4))</f>
        <v>#DIV/0!</v>
      </c>
      <c r="R89" s="66" t="e">
        <f>IF(ISBLANK(M89),0,Q89*ROUND(N89,2))</f>
        <v>#DIV/0!</v>
      </c>
      <c r="S89" s="69" t="e">
        <f>ROUND(P89,2)*Q89</f>
        <v>#DIV/0!</v>
      </c>
      <c r="T89" s="66" t="e">
        <f>Q89*dagenperjaar1</f>
        <v>#DIV/0!</v>
      </c>
      <c r="U89" s="70" t="e">
        <f>T89*ROUND(P89,2)</f>
        <v>#DIV/0!</v>
      </c>
    </row>
    <row r="90" spans="1:21" ht="25.5" x14ac:dyDescent="0.2">
      <c r="A90" s="63" t="s">
        <v>323</v>
      </c>
      <c r="B90" s="64" t="s">
        <v>324</v>
      </c>
      <c r="C90" s="64" t="s">
        <v>530</v>
      </c>
      <c r="D90" s="64" t="s">
        <v>541</v>
      </c>
      <c r="E90" s="64" t="s">
        <v>542</v>
      </c>
      <c r="F90" s="65" t="s">
        <v>543</v>
      </c>
      <c r="G90" s="64" t="s">
        <v>328</v>
      </c>
      <c r="H90" s="64" t="s">
        <v>229</v>
      </c>
      <c r="I90" s="64" t="s">
        <v>10</v>
      </c>
      <c r="J90" s="64" t="s">
        <v>201</v>
      </c>
      <c r="K90" s="66">
        <v>45</v>
      </c>
      <c r="L90" s="66">
        <f>K90*VLOOKUP(I90,dagsoorttabel1,2,FALSE)</f>
        <v>45</v>
      </c>
      <c r="M90" s="67">
        <f>prodnorm43</f>
        <v>0</v>
      </c>
      <c r="N90" s="68">
        <f>dagwerk43</f>
        <v>0</v>
      </c>
      <c r="O90" s="64" t="s">
        <v>38</v>
      </c>
      <c r="P90" s="69">
        <f>uurtarief43</f>
        <v>0</v>
      </c>
      <c r="Q90" s="66" t="e">
        <f>IF(ISBLANK(M90),0,L90/ROUND(M90,4))</f>
        <v>#DIV/0!</v>
      </c>
      <c r="R90" s="66" t="e">
        <f>IF(ISBLANK(M90),0,Q90*ROUND(N90,2))</f>
        <v>#DIV/0!</v>
      </c>
      <c r="S90" s="69" t="e">
        <f>ROUND(P90,2)*Q90</f>
        <v>#DIV/0!</v>
      </c>
      <c r="T90" s="66" t="e">
        <f>Q90*dagenperjaar1</f>
        <v>#DIV/0!</v>
      </c>
      <c r="U90" s="70" t="e">
        <f>T90*ROUND(P90,2)</f>
        <v>#DIV/0!</v>
      </c>
    </row>
    <row r="91" spans="1:21" ht="25.5" x14ac:dyDescent="0.2">
      <c r="A91" s="63" t="s">
        <v>323</v>
      </c>
      <c r="B91" s="64" t="s">
        <v>324</v>
      </c>
      <c r="C91" s="64" t="s">
        <v>530</v>
      </c>
      <c r="D91" s="64" t="s">
        <v>544</v>
      </c>
      <c r="E91" s="64" t="s">
        <v>545</v>
      </c>
      <c r="F91" s="65" t="s">
        <v>546</v>
      </c>
      <c r="G91" s="64" t="s">
        <v>328</v>
      </c>
      <c r="H91" s="64" t="s">
        <v>229</v>
      </c>
      <c r="I91" s="64" t="s">
        <v>10</v>
      </c>
      <c r="J91" s="64" t="s">
        <v>201</v>
      </c>
      <c r="K91" s="66">
        <v>43.7</v>
      </c>
      <c r="L91" s="66">
        <f>K91*VLOOKUP(I91,dagsoorttabel1,2,FALSE)</f>
        <v>43.7</v>
      </c>
      <c r="M91" s="67">
        <f>prodnorm43</f>
        <v>0</v>
      </c>
      <c r="N91" s="68">
        <f>dagwerk43</f>
        <v>0</v>
      </c>
      <c r="O91" s="64" t="s">
        <v>38</v>
      </c>
      <c r="P91" s="69">
        <f>uurtarief43</f>
        <v>0</v>
      </c>
      <c r="Q91" s="66" t="e">
        <f>IF(ISBLANK(M91),0,L91/ROUND(M91,4))</f>
        <v>#DIV/0!</v>
      </c>
      <c r="R91" s="66" t="e">
        <f>IF(ISBLANK(M91),0,Q91*ROUND(N91,2))</f>
        <v>#DIV/0!</v>
      </c>
      <c r="S91" s="69" t="e">
        <f>ROUND(P91,2)*Q91</f>
        <v>#DIV/0!</v>
      </c>
      <c r="T91" s="66" t="e">
        <f>Q91*dagenperjaar1</f>
        <v>#DIV/0!</v>
      </c>
      <c r="U91" s="70" t="e">
        <f>T91*ROUND(P91,2)</f>
        <v>#DIV/0!</v>
      </c>
    </row>
    <row r="92" spans="1:21" x14ac:dyDescent="0.2">
      <c r="A92" s="63" t="s">
        <v>323</v>
      </c>
      <c r="B92" s="64" t="s">
        <v>324</v>
      </c>
      <c r="C92" s="64" t="s">
        <v>530</v>
      </c>
      <c r="D92" s="64" t="s">
        <v>547</v>
      </c>
      <c r="E92" s="64" t="s">
        <v>548</v>
      </c>
      <c r="F92" s="65" t="s">
        <v>338</v>
      </c>
      <c r="G92" s="64" t="s">
        <v>328</v>
      </c>
      <c r="H92" s="64" t="s">
        <v>263</v>
      </c>
      <c r="I92" s="64" t="s">
        <v>10</v>
      </c>
      <c r="J92" s="64" t="s">
        <v>201</v>
      </c>
      <c r="K92" s="66">
        <v>17.7</v>
      </c>
      <c r="L92" s="66">
        <f>K92*VLOOKUP(I92,dagsoorttabel1,2,FALSE)</f>
        <v>17.7</v>
      </c>
      <c r="M92" s="67">
        <f>prodnorm63</f>
        <v>0</v>
      </c>
      <c r="N92" s="68">
        <f>dagwerk63</f>
        <v>0</v>
      </c>
      <c r="O92" s="64" t="s">
        <v>38</v>
      </c>
      <c r="P92" s="69">
        <f>uurtarief63</f>
        <v>0</v>
      </c>
      <c r="Q92" s="66" t="e">
        <f>IF(ISBLANK(M92),0,L92/ROUND(M92,4))</f>
        <v>#DIV/0!</v>
      </c>
      <c r="R92" s="66" t="e">
        <f>IF(ISBLANK(M92),0,Q92*ROUND(N92,2))</f>
        <v>#DIV/0!</v>
      </c>
      <c r="S92" s="69" t="e">
        <f>ROUND(P92,2)*Q92</f>
        <v>#DIV/0!</v>
      </c>
      <c r="T92" s="66" t="e">
        <f>Q92*dagenperjaar1</f>
        <v>#DIV/0!</v>
      </c>
      <c r="U92" s="70" t="e">
        <f>T92*ROUND(P92,2)</f>
        <v>#DIV/0!</v>
      </c>
    </row>
    <row r="93" spans="1:21" x14ac:dyDescent="0.2">
      <c r="A93" s="63" t="s">
        <v>323</v>
      </c>
      <c r="B93" s="64" t="s">
        <v>324</v>
      </c>
      <c r="C93" s="64" t="s">
        <v>530</v>
      </c>
      <c r="D93" s="64" t="s">
        <v>549</v>
      </c>
      <c r="E93" s="64" t="s">
        <v>550</v>
      </c>
      <c r="F93" s="65" t="s">
        <v>551</v>
      </c>
      <c r="G93" s="64" t="s">
        <v>458</v>
      </c>
      <c r="H93" s="64" t="s">
        <v>200</v>
      </c>
      <c r="I93" s="64" t="s">
        <v>10</v>
      </c>
      <c r="J93" s="64" t="s">
        <v>201</v>
      </c>
      <c r="K93" s="66">
        <v>40</v>
      </c>
      <c r="L93" s="66">
        <f>K93*VLOOKUP(I93,dagsoorttabel1,2,FALSE)</f>
        <v>40</v>
      </c>
      <c r="M93" s="67">
        <f>prodnorm24</f>
        <v>0</v>
      </c>
      <c r="N93" s="68">
        <f>dagwerk24</f>
        <v>0</v>
      </c>
      <c r="O93" s="64" t="s">
        <v>38</v>
      </c>
      <c r="P93" s="69">
        <f>uurtarief24</f>
        <v>0</v>
      </c>
      <c r="Q93" s="66" t="e">
        <f>IF(ISBLANK(M93),0,L93/ROUND(M93,4))</f>
        <v>#DIV/0!</v>
      </c>
      <c r="R93" s="66" t="e">
        <f>IF(ISBLANK(M93),0,Q93*ROUND(N93,2))</f>
        <v>#DIV/0!</v>
      </c>
      <c r="S93" s="69" t="e">
        <f>ROUND(P93,2)*Q93</f>
        <v>#DIV/0!</v>
      </c>
      <c r="T93" s="66" t="e">
        <f>Q93*dagenperjaar1</f>
        <v>#DIV/0!</v>
      </c>
      <c r="U93" s="70" t="e">
        <f>T93*ROUND(P93,2)</f>
        <v>#DIV/0!</v>
      </c>
    </row>
    <row r="94" spans="1:21" x14ac:dyDescent="0.2">
      <c r="A94" s="63" t="s">
        <v>323</v>
      </c>
      <c r="B94" s="64" t="s">
        <v>324</v>
      </c>
      <c r="C94" s="64" t="s">
        <v>530</v>
      </c>
      <c r="D94" s="64" t="s">
        <v>552</v>
      </c>
      <c r="E94" s="64" t="s">
        <v>553</v>
      </c>
      <c r="F94" s="65" t="s">
        <v>335</v>
      </c>
      <c r="G94" s="64" t="s">
        <v>458</v>
      </c>
      <c r="H94" s="64" t="s">
        <v>267</v>
      </c>
      <c r="I94" s="64" t="s">
        <v>10</v>
      </c>
      <c r="J94" s="64" t="s">
        <v>201</v>
      </c>
      <c r="K94" s="66">
        <v>14.4</v>
      </c>
      <c r="L94" s="66">
        <f>K94*VLOOKUP(I94,dagsoorttabel1,2,FALSE)</f>
        <v>14.4</v>
      </c>
      <c r="M94" s="67">
        <f>prodnorm65</f>
        <v>0</v>
      </c>
      <c r="N94" s="68">
        <f>dagwerk65</f>
        <v>0</v>
      </c>
      <c r="O94" s="64" t="s">
        <v>38</v>
      </c>
      <c r="P94" s="69">
        <f>uurtarief65</f>
        <v>0</v>
      </c>
      <c r="Q94" s="66" t="e">
        <f>IF(ISBLANK(M94),0,L94/ROUND(M94,4))</f>
        <v>#DIV/0!</v>
      </c>
      <c r="R94" s="66" t="e">
        <f>IF(ISBLANK(M94),0,Q94*ROUND(N94,2))</f>
        <v>#DIV/0!</v>
      </c>
      <c r="S94" s="69" t="e">
        <f>ROUND(P94,2)*Q94</f>
        <v>#DIV/0!</v>
      </c>
      <c r="T94" s="66" t="e">
        <f>Q94*dagenperjaar1</f>
        <v>#DIV/0!</v>
      </c>
      <c r="U94" s="70" t="e">
        <f>T94*ROUND(P94,2)</f>
        <v>#DIV/0!</v>
      </c>
    </row>
    <row r="95" spans="1:21" x14ac:dyDescent="0.2">
      <c r="A95" s="63" t="s">
        <v>323</v>
      </c>
      <c r="B95" s="64" t="s">
        <v>324</v>
      </c>
      <c r="C95" s="64" t="s">
        <v>530</v>
      </c>
      <c r="D95" s="64" t="s">
        <v>554</v>
      </c>
      <c r="E95" s="64" t="s">
        <v>550</v>
      </c>
      <c r="F95" s="65" t="s">
        <v>555</v>
      </c>
      <c r="G95" s="64" t="s">
        <v>458</v>
      </c>
      <c r="H95" s="64" t="s">
        <v>241</v>
      </c>
      <c r="I95" s="64" t="s">
        <v>10</v>
      </c>
      <c r="J95" s="64" t="s">
        <v>201</v>
      </c>
      <c r="K95" s="66">
        <v>4.5</v>
      </c>
      <c r="L95" s="66">
        <f>K95*VLOOKUP(I95,dagsoorttabel1,2,FALSE)</f>
        <v>4.5</v>
      </c>
      <c r="M95" s="67">
        <f>prodnorm51</f>
        <v>0</v>
      </c>
      <c r="N95" s="68">
        <f>dagwerk51</f>
        <v>0</v>
      </c>
      <c r="O95" s="64" t="s">
        <v>38</v>
      </c>
      <c r="P95" s="69">
        <f>uurtarief51</f>
        <v>0</v>
      </c>
      <c r="Q95" s="66" t="e">
        <f>IF(ISBLANK(M95),0,L95/ROUND(M95,4))</f>
        <v>#DIV/0!</v>
      </c>
      <c r="R95" s="66" t="e">
        <f>IF(ISBLANK(M95),0,Q95*ROUND(N95,2))</f>
        <v>#DIV/0!</v>
      </c>
      <c r="S95" s="69" t="e">
        <f>ROUND(P95,2)*Q95</f>
        <v>#DIV/0!</v>
      </c>
      <c r="T95" s="66" t="e">
        <f>Q95*dagenperjaar1</f>
        <v>#DIV/0!</v>
      </c>
      <c r="U95" s="70" t="e">
        <f>T95*ROUND(P95,2)</f>
        <v>#DIV/0!</v>
      </c>
    </row>
    <row r="96" spans="1:21" x14ac:dyDescent="0.2">
      <c r="A96" s="63" t="s">
        <v>323</v>
      </c>
      <c r="B96" s="64" t="s">
        <v>324</v>
      </c>
      <c r="C96" s="64" t="s">
        <v>530</v>
      </c>
      <c r="D96" s="64" t="s">
        <v>556</v>
      </c>
      <c r="E96" s="64" t="s">
        <v>557</v>
      </c>
      <c r="F96" s="65" t="s">
        <v>373</v>
      </c>
      <c r="G96" s="64" t="s">
        <v>365</v>
      </c>
      <c r="H96" s="64" t="s">
        <v>255</v>
      </c>
      <c r="I96" s="64" t="s">
        <v>10</v>
      </c>
      <c r="J96" s="64" t="s">
        <v>201</v>
      </c>
      <c r="K96" s="66">
        <v>13.6</v>
      </c>
      <c r="L96" s="66">
        <f>K96*VLOOKUP(I96,dagsoorttabel1,2,FALSE)</f>
        <v>13.6</v>
      </c>
      <c r="M96" s="67">
        <f>prodnorm59</f>
        <v>0</v>
      </c>
      <c r="N96" s="68">
        <f>dagwerk59</f>
        <v>0</v>
      </c>
      <c r="O96" s="64" t="s">
        <v>38</v>
      </c>
      <c r="P96" s="69">
        <f>uurtarief59</f>
        <v>0</v>
      </c>
      <c r="Q96" s="66" t="e">
        <f>IF(ISBLANK(M96),0,L96/ROUND(M96,4))</f>
        <v>#DIV/0!</v>
      </c>
      <c r="R96" s="66" t="e">
        <f>IF(ISBLANK(M96),0,Q96*ROUND(N96,2))</f>
        <v>#DIV/0!</v>
      </c>
      <c r="S96" s="69" t="e">
        <f>ROUND(P96,2)*Q96</f>
        <v>#DIV/0!</v>
      </c>
      <c r="T96" s="66" t="e">
        <f>Q96*dagenperjaar1</f>
        <v>#DIV/0!</v>
      </c>
      <c r="U96" s="70" t="e">
        <f>T96*ROUND(P96,2)</f>
        <v>#DIV/0!</v>
      </c>
    </row>
    <row r="97" spans="1:21" x14ac:dyDescent="0.2">
      <c r="A97" s="63" t="s">
        <v>323</v>
      </c>
      <c r="B97" s="64" t="s">
        <v>324</v>
      </c>
      <c r="C97" s="64" t="s">
        <v>530</v>
      </c>
      <c r="D97" s="64" t="s">
        <v>558</v>
      </c>
      <c r="E97" s="64" t="s">
        <v>559</v>
      </c>
      <c r="F97" s="65" t="s">
        <v>370</v>
      </c>
      <c r="G97" s="64" t="s">
        <v>365</v>
      </c>
      <c r="H97" s="64" t="s">
        <v>255</v>
      </c>
      <c r="I97" s="64" t="s">
        <v>10</v>
      </c>
      <c r="J97" s="64" t="s">
        <v>201</v>
      </c>
      <c r="K97" s="66">
        <v>12.9</v>
      </c>
      <c r="L97" s="66">
        <f>K97*VLOOKUP(I97,dagsoorttabel1,2,FALSE)</f>
        <v>12.9</v>
      </c>
      <c r="M97" s="67">
        <f>prodnorm59</f>
        <v>0</v>
      </c>
      <c r="N97" s="68">
        <f>dagwerk59</f>
        <v>0</v>
      </c>
      <c r="O97" s="64" t="s">
        <v>38</v>
      </c>
      <c r="P97" s="69">
        <f>uurtarief59</f>
        <v>0</v>
      </c>
      <c r="Q97" s="66" t="e">
        <f>IF(ISBLANK(M97),0,L97/ROUND(M97,4))</f>
        <v>#DIV/0!</v>
      </c>
      <c r="R97" s="66" t="e">
        <f>IF(ISBLANK(M97),0,Q97*ROUND(N97,2))</f>
        <v>#DIV/0!</v>
      </c>
      <c r="S97" s="69" t="e">
        <f>ROUND(P97,2)*Q97</f>
        <v>#DIV/0!</v>
      </c>
      <c r="T97" s="66" t="e">
        <f>Q97*dagenperjaar1</f>
        <v>#DIV/0!</v>
      </c>
      <c r="U97" s="70" t="e">
        <f>T97*ROUND(P97,2)</f>
        <v>#DIV/0!</v>
      </c>
    </row>
    <row r="98" spans="1:21" x14ac:dyDescent="0.2">
      <c r="A98" s="63" t="s">
        <v>323</v>
      </c>
      <c r="B98" s="64" t="s">
        <v>324</v>
      </c>
      <c r="C98" s="64" t="s">
        <v>530</v>
      </c>
      <c r="D98" s="64" t="s">
        <v>560</v>
      </c>
      <c r="E98" s="64" t="s">
        <v>561</v>
      </c>
      <c r="F98" s="65" t="s">
        <v>381</v>
      </c>
      <c r="G98" s="64" t="s">
        <v>458</v>
      </c>
      <c r="H98" s="64" t="s">
        <v>205</v>
      </c>
      <c r="I98" s="64" t="s">
        <v>10</v>
      </c>
      <c r="J98" s="64" t="s">
        <v>201</v>
      </c>
      <c r="K98" s="66">
        <v>11.8</v>
      </c>
      <c r="L98" s="66">
        <f>K98*VLOOKUP(I98,dagsoorttabel1,2,FALSE)</f>
        <v>11.8</v>
      </c>
      <c r="M98" s="67">
        <f>prodnorm26</f>
        <v>0</v>
      </c>
      <c r="N98" s="68">
        <f>dagwerk26</f>
        <v>0</v>
      </c>
      <c r="O98" s="64" t="s">
        <v>38</v>
      </c>
      <c r="P98" s="69">
        <f>uurtarief26</f>
        <v>0</v>
      </c>
      <c r="Q98" s="66" t="e">
        <f>IF(ISBLANK(M98),0,L98/ROUND(M98,4))</f>
        <v>#DIV/0!</v>
      </c>
      <c r="R98" s="66" t="e">
        <f>IF(ISBLANK(M98),0,Q98*ROUND(N98,2))</f>
        <v>#DIV/0!</v>
      </c>
      <c r="S98" s="69" t="e">
        <f>ROUND(P98,2)*Q98</f>
        <v>#DIV/0!</v>
      </c>
      <c r="T98" s="66" t="e">
        <f>Q98*dagenperjaar1</f>
        <v>#DIV/0!</v>
      </c>
      <c r="U98" s="70" t="e">
        <f>T98*ROUND(P98,2)</f>
        <v>#DIV/0!</v>
      </c>
    </row>
    <row r="99" spans="1:21" x14ac:dyDescent="0.2">
      <c r="A99" s="63" t="s">
        <v>323</v>
      </c>
      <c r="B99" s="64" t="s">
        <v>324</v>
      </c>
      <c r="C99" s="64" t="s">
        <v>530</v>
      </c>
      <c r="D99" s="64" t="s">
        <v>562</v>
      </c>
      <c r="E99" s="64" t="s">
        <v>563</v>
      </c>
      <c r="F99" s="65" t="s">
        <v>381</v>
      </c>
      <c r="G99" s="64" t="s">
        <v>458</v>
      </c>
      <c r="H99" s="64" t="s">
        <v>205</v>
      </c>
      <c r="I99" s="64" t="s">
        <v>10</v>
      </c>
      <c r="J99" s="64" t="s">
        <v>201</v>
      </c>
      <c r="K99" s="66">
        <v>18.399999999999999</v>
      </c>
      <c r="L99" s="66">
        <f>K99*VLOOKUP(I99,dagsoorttabel1,2,FALSE)</f>
        <v>18.399999999999999</v>
      </c>
      <c r="M99" s="67">
        <f>prodnorm26</f>
        <v>0</v>
      </c>
      <c r="N99" s="68">
        <f>dagwerk26</f>
        <v>0</v>
      </c>
      <c r="O99" s="64" t="s">
        <v>38</v>
      </c>
      <c r="P99" s="69">
        <f>uurtarief26</f>
        <v>0</v>
      </c>
      <c r="Q99" s="66" t="e">
        <f>IF(ISBLANK(M99),0,L99/ROUND(M99,4))</f>
        <v>#DIV/0!</v>
      </c>
      <c r="R99" s="66" t="e">
        <f>IF(ISBLANK(M99),0,Q99*ROUND(N99,2))</f>
        <v>#DIV/0!</v>
      </c>
      <c r="S99" s="69" t="e">
        <f>ROUND(P99,2)*Q99</f>
        <v>#DIV/0!</v>
      </c>
      <c r="T99" s="66" t="e">
        <f>Q99*dagenperjaar1</f>
        <v>#DIV/0!</v>
      </c>
      <c r="U99" s="70" t="e">
        <f>T99*ROUND(P99,2)</f>
        <v>#DIV/0!</v>
      </c>
    </row>
    <row r="100" spans="1:21" x14ac:dyDescent="0.2">
      <c r="A100" s="63" t="s">
        <v>323</v>
      </c>
      <c r="B100" s="64" t="s">
        <v>324</v>
      </c>
      <c r="C100" s="64" t="s">
        <v>530</v>
      </c>
      <c r="D100" s="64" t="s">
        <v>564</v>
      </c>
      <c r="E100" s="64" t="s">
        <v>565</v>
      </c>
      <c r="F100" s="65" t="s">
        <v>381</v>
      </c>
      <c r="G100" s="64" t="s">
        <v>458</v>
      </c>
      <c r="H100" s="64" t="s">
        <v>205</v>
      </c>
      <c r="I100" s="64" t="s">
        <v>10</v>
      </c>
      <c r="J100" s="64" t="s">
        <v>201</v>
      </c>
      <c r="K100" s="66">
        <v>21.3</v>
      </c>
      <c r="L100" s="66">
        <f>K100*VLOOKUP(I100,dagsoorttabel1,2,FALSE)</f>
        <v>21.3</v>
      </c>
      <c r="M100" s="67">
        <f>prodnorm26</f>
        <v>0</v>
      </c>
      <c r="N100" s="68">
        <f>dagwerk26</f>
        <v>0</v>
      </c>
      <c r="O100" s="64" t="s">
        <v>38</v>
      </c>
      <c r="P100" s="69">
        <f>uurtarief26</f>
        <v>0</v>
      </c>
      <c r="Q100" s="66" t="e">
        <f>IF(ISBLANK(M100),0,L100/ROUND(M100,4))</f>
        <v>#DIV/0!</v>
      </c>
      <c r="R100" s="66" t="e">
        <f>IF(ISBLANK(M100),0,Q100*ROUND(N100,2))</f>
        <v>#DIV/0!</v>
      </c>
      <c r="S100" s="69" t="e">
        <f>ROUND(P100,2)*Q100</f>
        <v>#DIV/0!</v>
      </c>
      <c r="T100" s="66" t="e">
        <f>Q100*dagenperjaar1</f>
        <v>#DIV/0!</v>
      </c>
      <c r="U100" s="70" t="e">
        <f>T100*ROUND(P100,2)</f>
        <v>#DIV/0!</v>
      </c>
    </row>
    <row r="101" spans="1:21" x14ac:dyDescent="0.2">
      <c r="A101" s="63" t="s">
        <v>323</v>
      </c>
      <c r="B101" s="64" t="s">
        <v>324</v>
      </c>
      <c r="C101" s="64" t="s">
        <v>530</v>
      </c>
      <c r="D101" s="64" t="s">
        <v>566</v>
      </c>
      <c r="E101" s="64" t="s">
        <v>567</v>
      </c>
      <c r="F101" s="65" t="s">
        <v>381</v>
      </c>
      <c r="G101" s="64" t="s">
        <v>458</v>
      </c>
      <c r="H101" s="64" t="s">
        <v>205</v>
      </c>
      <c r="I101" s="64" t="s">
        <v>10</v>
      </c>
      <c r="J101" s="64" t="s">
        <v>201</v>
      </c>
      <c r="K101" s="66">
        <v>20.5</v>
      </c>
      <c r="L101" s="66">
        <f>K101*VLOOKUP(I101,dagsoorttabel1,2,FALSE)</f>
        <v>20.5</v>
      </c>
      <c r="M101" s="67">
        <f>prodnorm26</f>
        <v>0</v>
      </c>
      <c r="N101" s="68">
        <f>dagwerk26</f>
        <v>0</v>
      </c>
      <c r="O101" s="64" t="s">
        <v>38</v>
      </c>
      <c r="P101" s="69">
        <f>uurtarief26</f>
        <v>0</v>
      </c>
      <c r="Q101" s="66" t="e">
        <f>IF(ISBLANK(M101),0,L101/ROUND(M101,4))</f>
        <v>#DIV/0!</v>
      </c>
      <c r="R101" s="66" t="e">
        <f>IF(ISBLANK(M101),0,Q101*ROUND(N101,2))</f>
        <v>#DIV/0!</v>
      </c>
      <c r="S101" s="69" t="e">
        <f>ROUND(P101,2)*Q101</f>
        <v>#DIV/0!</v>
      </c>
      <c r="T101" s="66" t="e">
        <f>Q101*dagenperjaar1</f>
        <v>#DIV/0!</v>
      </c>
      <c r="U101" s="70" t="e">
        <f>T101*ROUND(P101,2)</f>
        <v>#DIV/0!</v>
      </c>
    </row>
    <row r="102" spans="1:21" x14ac:dyDescent="0.2">
      <c r="A102" s="63" t="s">
        <v>323</v>
      </c>
      <c r="B102" s="64" t="s">
        <v>324</v>
      </c>
      <c r="C102" s="64" t="s">
        <v>530</v>
      </c>
      <c r="D102" s="64" t="s">
        <v>568</v>
      </c>
      <c r="E102" s="64" t="s">
        <v>569</v>
      </c>
      <c r="F102" s="65" t="s">
        <v>570</v>
      </c>
      <c r="G102" s="64" t="s">
        <v>458</v>
      </c>
      <c r="H102" s="64" t="s">
        <v>205</v>
      </c>
      <c r="I102" s="64" t="s">
        <v>10</v>
      </c>
      <c r="J102" s="64" t="s">
        <v>201</v>
      </c>
      <c r="K102" s="66">
        <v>97.4</v>
      </c>
      <c r="L102" s="66">
        <f>K102*VLOOKUP(I102,dagsoorttabel1,2,FALSE)</f>
        <v>97.4</v>
      </c>
      <c r="M102" s="67">
        <f>prodnorm26</f>
        <v>0</v>
      </c>
      <c r="N102" s="68">
        <f>dagwerk26</f>
        <v>0</v>
      </c>
      <c r="O102" s="64" t="s">
        <v>38</v>
      </c>
      <c r="P102" s="69">
        <f>uurtarief26</f>
        <v>0</v>
      </c>
      <c r="Q102" s="66" t="e">
        <f>IF(ISBLANK(M102),0,L102/ROUND(M102,4))</f>
        <v>#DIV/0!</v>
      </c>
      <c r="R102" s="66" t="e">
        <f>IF(ISBLANK(M102),0,Q102*ROUND(N102,2))</f>
        <v>#DIV/0!</v>
      </c>
      <c r="S102" s="69" t="e">
        <f>ROUND(P102,2)*Q102</f>
        <v>#DIV/0!</v>
      </c>
      <c r="T102" s="66" t="e">
        <f>Q102*dagenperjaar1</f>
        <v>#DIV/0!</v>
      </c>
      <c r="U102" s="70" t="e">
        <f>T102*ROUND(P102,2)</f>
        <v>#DIV/0!</v>
      </c>
    </row>
    <row r="103" spans="1:21" x14ac:dyDescent="0.2">
      <c r="A103" s="63" t="s">
        <v>323</v>
      </c>
      <c r="B103" s="64" t="s">
        <v>324</v>
      </c>
      <c r="C103" s="64" t="s">
        <v>530</v>
      </c>
      <c r="D103" s="64" t="s">
        <v>571</v>
      </c>
      <c r="E103" s="64" t="s">
        <v>572</v>
      </c>
      <c r="F103" s="65" t="s">
        <v>573</v>
      </c>
      <c r="G103" s="64" t="s">
        <v>351</v>
      </c>
      <c r="H103" s="64" t="s">
        <v>269</v>
      </c>
      <c r="I103" s="64" t="s">
        <v>10</v>
      </c>
      <c r="J103" s="64" t="s">
        <v>201</v>
      </c>
      <c r="K103" s="66">
        <v>10.5</v>
      </c>
      <c r="L103" s="66">
        <f>K103*VLOOKUP(I103,dagsoorttabel1,2,FALSE)</f>
        <v>10.5</v>
      </c>
      <c r="M103" s="67">
        <f>prodnorm67</f>
        <v>0</v>
      </c>
      <c r="N103" s="68">
        <f>dagwerk67</f>
        <v>0</v>
      </c>
      <c r="O103" s="64" t="s">
        <v>38</v>
      </c>
      <c r="P103" s="69">
        <f>uurtarief67</f>
        <v>0</v>
      </c>
      <c r="Q103" s="66" t="e">
        <f>IF(ISBLANK(M103),0,L103/ROUND(M103,4))</f>
        <v>#DIV/0!</v>
      </c>
      <c r="R103" s="66" t="e">
        <f>IF(ISBLANK(M103),0,Q103*ROUND(N103,2))</f>
        <v>#DIV/0!</v>
      </c>
      <c r="S103" s="69" t="e">
        <f>ROUND(P103,2)*Q103</f>
        <v>#DIV/0!</v>
      </c>
      <c r="T103" s="66" t="e">
        <f>Q103*dagenperjaar1</f>
        <v>#DIV/0!</v>
      </c>
      <c r="U103" s="70" t="e">
        <f>T103*ROUND(P103,2)</f>
        <v>#DIV/0!</v>
      </c>
    </row>
    <row r="104" spans="1:21" x14ac:dyDescent="0.2">
      <c r="A104" s="63" t="s">
        <v>323</v>
      </c>
      <c r="B104" s="64" t="s">
        <v>324</v>
      </c>
      <c r="C104" s="64" t="s">
        <v>530</v>
      </c>
      <c r="D104" s="64" t="s">
        <v>574</v>
      </c>
      <c r="E104" s="64" t="s">
        <v>575</v>
      </c>
      <c r="F104" s="65" t="s">
        <v>386</v>
      </c>
      <c r="G104" s="64" t="s">
        <v>324</v>
      </c>
      <c r="H104" s="64" t="s">
        <v>237</v>
      </c>
      <c r="I104" s="64" t="s">
        <v>19</v>
      </c>
      <c r="J104" s="64" t="s">
        <v>201</v>
      </c>
      <c r="K104" s="66">
        <v>10.9</v>
      </c>
      <c r="L104" s="66">
        <f>K104*VLOOKUP(I104,dagsoorttabel1,2,FALSE)</f>
        <v>0.54500000000000004</v>
      </c>
      <c r="M104" s="67">
        <f>prodnorm47</f>
        <v>0</v>
      </c>
      <c r="N104" s="68">
        <f>dagwerk47</f>
        <v>0</v>
      </c>
      <c r="O104" s="64" t="s">
        <v>38</v>
      </c>
      <c r="P104" s="69">
        <f>uurtarief47</f>
        <v>0</v>
      </c>
      <c r="Q104" s="66" t="e">
        <f>IF(ISBLANK(M104),0,L104/ROUND(M104,4))</f>
        <v>#DIV/0!</v>
      </c>
      <c r="R104" s="66" t="e">
        <f>IF(ISBLANK(M104),0,Q104*ROUND(N104,2))</f>
        <v>#DIV/0!</v>
      </c>
      <c r="S104" s="69" t="e">
        <f>ROUND(P104,2)*Q104</f>
        <v>#DIV/0!</v>
      </c>
      <c r="T104" s="66" t="e">
        <f>Q104*dagenperjaar1</f>
        <v>#DIV/0!</v>
      </c>
      <c r="U104" s="70" t="e">
        <f>T104*ROUND(P104,2)</f>
        <v>#DIV/0!</v>
      </c>
    </row>
    <row r="105" spans="1:21" x14ac:dyDescent="0.2">
      <c r="A105" s="63" t="s">
        <v>323</v>
      </c>
      <c r="B105" s="64" t="s">
        <v>324</v>
      </c>
      <c r="C105" s="64" t="s">
        <v>530</v>
      </c>
      <c r="D105" s="64" t="s">
        <v>576</v>
      </c>
      <c r="E105" s="64" t="s">
        <v>577</v>
      </c>
      <c r="F105" s="65" t="s">
        <v>578</v>
      </c>
      <c r="G105" s="64" t="s">
        <v>458</v>
      </c>
      <c r="H105" s="64" t="s">
        <v>267</v>
      </c>
      <c r="I105" s="64" t="s">
        <v>10</v>
      </c>
      <c r="J105" s="64" t="s">
        <v>201</v>
      </c>
      <c r="K105" s="66">
        <v>29.9</v>
      </c>
      <c r="L105" s="66">
        <f>K105*VLOOKUP(I105,dagsoorttabel1,2,FALSE)</f>
        <v>29.9</v>
      </c>
      <c r="M105" s="67">
        <f>prodnorm65</f>
        <v>0</v>
      </c>
      <c r="N105" s="68">
        <f>dagwerk65</f>
        <v>0</v>
      </c>
      <c r="O105" s="64" t="s">
        <v>38</v>
      </c>
      <c r="P105" s="69">
        <f>uurtarief65</f>
        <v>0</v>
      </c>
      <c r="Q105" s="66" t="e">
        <f>IF(ISBLANK(M105),0,L105/ROUND(M105,4))</f>
        <v>#DIV/0!</v>
      </c>
      <c r="R105" s="66" t="e">
        <f>IF(ISBLANK(M105),0,Q105*ROUND(N105,2))</f>
        <v>#DIV/0!</v>
      </c>
      <c r="S105" s="69" t="e">
        <f>ROUND(P105,2)*Q105</f>
        <v>#DIV/0!</v>
      </c>
      <c r="T105" s="66" t="e">
        <f>Q105*dagenperjaar1</f>
        <v>#DIV/0!</v>
      </c>
      <c r="U105" s="70" t="e">
        <f>T105*ROUND(P105,2)</f>
        <v>#DIV/0!</v>
      </c>
    </row>
    <row r="106" spans="1:21" x14ac:dyDescent="0.2">
      <c r="A106" s="63" t="s">
        <v>323</v>
      </c>
      <c r="B106" s="64" t="s">
        <v>324</v>
      </c>
      <c r="C106" s="64" t="s">
        <v>530</v>
      </c>
      <c r="D106" s="64" t="s">
        <v>579</v>
      </c>
      <c r="E106" s="64" t="s">
        <v>580</v>
      </c>
      <c r="F106" s="65" t="s">
        <v>457</v>
      </c>
      <c r="G106" s="64" t="s">
        <v>458</v>
      </c>
      <c r="H106" s="64" t="s">
        <v>229</v>
      </c>
      <c r="I106" s="64" t="s">
        <v>10</v>
      </c>
      <c r="J106" s="64" t="s">
        <v>201</v>
      </c>
      <c r="K106" s="66">
        <v>116.1</v>
      </c>
      <c r="L106" s="66">
        <f>K106*VLOOKUP(I106,dagsoorttabel1,2,FALSE)</f>
        <v>116.1</v>
      </c>
      <c r="M106" s="67">
        <f>prodnorm43</f>
        <v>0</v>
      </c>
      <c r="N106" s="68">
        <f>dagwerk43</f>
        <v>0</v>
      </c>
      <c r="O106" s="64" t="s">
        <v>38</v>
      </c>
      <c r="P106" s="69">
        <f>uurtarief43</f>
        <v>0</v>
      </c>
      <c r="Q106" s="66" t="e">
        <f>IF(ISBLANK(M106),0,L106/ROUND(M106,4))</f>
        <v>#DIV/0!</v>
      </c>
      <c r="R106" s="66" t="e">
        <f>IF(ISBLANK(M106),0,Q106*ROUND(N106,2))</f>
        <v>#DIV/0!</v>
      </c>
      <c r="S106" s="69" t="e">
        <f>ROUND(P106,2)*Q106</f>
        <v>#DIV/0!</v>
      </c>
      <c r="T106" s="66" t="e">
        <f>Q106*dagenperjaar1</f>
        <v>#DIV/0!</v>
      </c>
      <c r="U106" s="70" t="e">
        <f>T106*ROUND(P106,2)</f>
        <v>#DIV/0!</v>
      </c>
    </row>
    <row r="107" spans="1:21" x14ac:dyDescent="0.2">
      <c r="A107" s="63" t="s">
        <v>323</v>
      </c>
      <c r="B107" s="64" t="s">
        <v>324</v>
      </c>
      <c r="C107" s="64" t="s">
        <v>530</v>
      </c>
      <c r="D107" s="64" t="s">
        <v>581</v>
      </c>
      <c r="E107" s="64" t="s">
        <v>582</v>
      </c>
      <c r="F107" s="65" t="s">
        <v>583</v>
      </c>
      <c r="G107" s="64" t="s">
        <v>458</v>
      </c>
      <c r="H107" s="64" t="s">
        <v>205</v>
      </c>
      <c r="I107" s="64" t="s">
        <v>10</v>
      </c>
      <c r="J107" s="64" t="s">
        <v>201</v>
      </c>
      <c r="K107" s="66">
        <v>18.899999999999999</v>
      </c>
      <c r="L107" s="66">
        <f>K107*VLOOKUP(I107,dagsoorttabel1,2,FALSE)</f>
        <v>18.899999999999999</v>
      </c>
      <c r="M107" s="67">
        <f>prodnorm26</f>
        <v>0</v>
      </c>
      <c r="N107" s="68">
        <f>dagwerk26</f>
        <v>0</v>
      </c>
      <c r="O107" s="64" t="s">
        <v>38</v>
      </c>
      <c r="P107" s="69">
        <f>uurtarief26</f>
        <v>0</v>
      </c>
      <c r="Q107" s="66" t="e">
        <f>IF(ISBLANK(M107),0,L107/ROUND(M107,4))</f>
        <v>#DIV/0!</v>
      </c>
      <c r="R107" s="66" t="e">
        <f>IF(ISBLANK(M107),0,Q107*ROUND(N107,2))</f>
        <v>#DIV/0!</v>
      </c>
      <c r="S107" s="69" t="e">
        <f>ROUND(P107,2)*Q107</f>
        <v>#DIV/0!</v>
      </c>
      <c r="T107" s="66" t="e">
        <f>Q107*dagenperjaar1</f>
        <v>#DIV/0!</v>
      </c>
      <c r="U107" s="70" t="e">
        <f>T107*ROUND(P107,2)</f>
        <v>#DIV/0!</v>
      </c>
    </row>
    <row r="108" spans="1:21" x14ac:dyDescent="0.2">
      <c r="A108" s="63" t="s">
        <v>323</v>
      </c>
      <c r="B108" s="64" t="s">
        <v>324</v>
      </c>
      <c r="C108" s="64" t="s">
        <v>530</v>
      </c>
      <c r="D108" s="64" t="s">
        <v>584</v>
      </c>
      <c r="E108" s="64" t="s">
        <v>585</v>
      </c>
      <c r="F108" s="65" t="s">
        <v>344</v>
      </c>
      <c r="G108" s="64" t="s">
        <v>328</v>
      </c>
      <c r="H108" s="64" t="s">
        <v>263</v>
      </c>
      <c r="I108" s="64" t="s">
        <v>10</v>
      </c>
      <c r="J108" s="64" t="s">
        <v>201</v>
      </c>
      <c r="K108" s="66">
        <v>20</v>
      </c>
      <c r="L108" s="66">
        <f>K108*VLOOKUP(I108,dagsoorttabel1,2,FALSE)</f>
        <v>20</v>
      </c>
      <c r="M108" s="67">
        <f>prodnorm63</f>
        <v>0</v>
      </c>
      <c r="N108" s="68">
        <f>dagwerk63</f>
        <v>0</v>
      </c>
      <c r="O108" s="64" t="s">
        <v>38</v>
      </c>
      <c r="P108" s="69">
        <f>uurtarief63</f>
        <v>0</v>
      </c>
      <c r="Q108" s="66" t="e">
        <f>IF(ISBLANK(M108),0,L108/ROUND(M108,4))</f>
        <v>#DIV/0!</v>
      </c>
      <c r="R108" s="66" t="e">
        <f>IF(ISBLANK(M108),0,Q108*ROUND(N108,2))</f>
        <v>#DIV/0!</v>
      </c>
      <c r="S108" s="69" t="e">
        <f>ROUND(P108,2)*Q108</f>
        <v>#DIV/0!</v>
      </c>
      <c r="T108" s="66" t="e">
        <f>Q108*dagenperjaar1</f>
        <v>#DIV/0!</v>
      </c>
      <c r="U108" s="70" t="e">
        <f>T108*ROUND(P108,2)</f>
        <v>#DIV/0!</v>
      </c>
    </row>
    <row r="109" spans="1:21" x14ac:dyDescent="0.2">
      <c r="A109" s="63" t="s">
        <v>323</v>
      </c>
      <c r="B109" s="64" t="s">
        <v>324</v>
      </c>
      <c r="C109" s="64" t="s">
        <v>530</v>
      </c>
      <c r="D109" s="64" t="s">
        <v>586</v>
      </c>
      <c r="E109" s="64" t="s">
        <v>587</v>
      </c>
      <c r="F109" s="65" t="s">
        <v>588</v>
      </c>
      <c r="G109" s="64" t="s">
        <v>328</v>
      </c>
      <c r="H109" s="64" t="s">
        <v>267</v>
      </c>
      <c r="I109" s="64" t="s">
        <v>10</v>
      </c>
      <c r="J109" s="64" t="s">
        <v>201</v>
      </c>
      <c r="K109" s="66">
        <v>5.9</v>
      </c>
      <c r="L109" s="66">
        <f>K109*VLOOKUP(I109,dagsoorttabel1,2,FALSE)</f>
        <v>5.9</v>
      </c>
      <c r="M109" s="67">
        <f>prodnorm65</f>
        <v>0</v>
      </c>
      <c r="N109" s="68">
        <f>dagwerk65</f>
        <v>0</v>
      </c>
      <c r="O109" s="64" t="s">
        <v>38</v>
      </c>
      <c r="P109" s="69">
        <f>uurtarief65</f>
        <v>0</v>
      </c>
      <c r="Q109" s="66" t="e">
        <f>IF(ISBLANK(M109),0,L109/ROUND(M109,4))</f>
        <v>#DIV/0!</v>
      </c>
      <c r="R109" s="66" t="e">
        <f>IF(ISBLANK(M109),0,Q109*ROUND(N109,2))</f>
        <v>#DIV/0!</v>
      </c>
      <c r="S109" s="69" t="e">
        <f>ROUND(P109,2)*Q109</f>
        <v>#DIV/0!</v>
      </c>
      <c r="T109" s="66" t="e">
        <f>Q109*dagenperjaar1</f>
        <v>#DIV/0!</v>
      </c>
      <c r="U109" s="70" t="e">
        <f>T109*ROUND(P109,2)</f>
        <v>#DIV/0!</v>
      </c>
    </row>
    <row r="110" spans="1:21" x14ac:dyDescent="0.2">
      <c r="A110" s="63" t="s">
        <v>323</v>
      </c>
      <c r="B110" s="64" t="s">
        <v>324</v>
      </c>
      <c r="C110" s="64" t="s">
        <v>530</v>
      </c>
      <c r="D110" s="64" t="s">
        <v>589</v>
      </c>
      <c r="E110" s="64" t="s">
        <v>590</v>
      </c>
      <c r="F110" s="65" t="s">
        <v>373</v>
      </c>
      <c r="G110" s="64" t="s">
        <v>365</v>
      </c>
      <c r="H110" s="64" t="s">
        <v>255</v>
      </c>
      <c r="I110" s="64" t="s">
        <v>10</v>
      </c>
      <c r="J110" s="64" t="s">
        <v>201</v>
      </c>
      <c r="K110" s="66">
        <v>11.7</v>
      </c>
      <c r="L110" s="66">
        <f>K110*VLOOKUP(I110,dagsoorttabel1,2,FALSE)</f>
        <v>11.7</v>
      </c>
      <c r="M110" s="67">
        <f>prodnorm59</f>
        <v>0</v>
      </c>
      <c r="N110" s="68">
        <f>dagwerk59</f>
        <v>0</v>
      </c>
      <c r="O110" s="64" t="s">
        <v>38</v>
      </c>
      <c r="P110" s="69">
        <f>uurtarief59</f>
        <v>0</v>
      </c>
      <c r="Q110" s="66" t="e">
        <f>IF(ISBLANK(M110),0,L110/ROUND(M110,4))</f>
        <v>#DIV/0!</v>
      </c>
      <c r="R110" s="66" t="e">
        <f>IF(ISBLANK(M110),0,Q110*ROUND(N110,2))</f>
        <v>#DIV/0!</v>
      </c>
      <c r="S110" s="69" t="e">
        <f>ROUND(P110,2)*Q110</f>
        <v>#DIV/0!</v>
      </c>
      <c r="T110" s="66" t="e">
        <f>Q110*dagenperjaar1</f>
        <v>#DIV/0!</v>
      </c>
      <c r="U110" s="70" t="e">
        <f>T110*ROUND(P110,2)</f>
        <v>#DIV/0!</v>
      </c>
    </row>
    <row r="111" spans="1:21" x14ac:dyDescent="0.2">
      <c r="A111" s="63" t="s">
        <v>323</v>
      </c>
      <c r="B111" s="64" t="s">
        <v>324</v>
      </c>
      <c r="C111" s="64" t="s">
        <v>530</v>
      </c>
      <c r="D111" s="64" t="s">
        <v>591</v>
      </c>
      <c r="E111" s="64" t="s">
        <v>592</v>
      </c>
      <c r="F111" s="65" t="s">
        <v>370</v>
      </c>
      <c r="G111" s="64" t="s">
        <v>365</v>
      </c>
      <c r="H111" s="64" t="s">
        <v>255</v>
      </c>
      <c r="I111" s="64" t="s">
        <v>10</v>
      </c>
      <c r="J111" s="64" t="s">
        <v>201</v>
      </c>
      <c r="K111" s="66">
        <v>13.3</v>
      </c>
      <c r="L111" s="66">
        <f>K111*VLOOKUP(I111,dagsoorttabel1,2,FALSE)</f>
        <v>13.3</v>
      </c>
      <c r="M111" s="67">
        <f>prodnorm59</f>
        <v>0</v>
      </c>
      <c r="N111" s="68">
        <f>dagwerk59</f>
        <v>0</v>
      </c>
      <c r="O111" s="64" t="s">
        <v>38</v>
      </c>
      <c r="P111" s="69">
        <f>uurtarief59</f>
        <v>0</v>
      </c>
      <c r="Q111" s="66" t="e">
        <f>IF(ISBLANK(M111),0,L111/ROUND(M111,4))</f>
        <v>#DIV/0!</v>
      </c>
      <c r="R111" s="66" t="e">
        <f>IF(ISBLANK(M111),0,Q111*ROUND(N111,2))</f>
        <v>#DIV/0!</v>
      </c>
      <c r="S111" s="69" t="e">
        <f>ROUND(P111,2)*Q111</f>
        <v>#DIV/0!</v>
      </c>
      <c r="T111" s="66" t="e">
        <f>Q111*dagenperjaar1</f>
        <v>#DIV/0!</v>
      </c>
      <c r="U111" s="70" t="e">
        <f>T111*ROUND(P111,2)</f>
        <v>#DIV/0!</v>
      </c>
    </row>
    <row r="112" spans="1:21" x14ac:dyDescent="0.2">
      <c r="A112" s="63" t="s">
        <v>323</v>
      </c>
      <c r="B112" s="64" t="s">
        <v>324</v>
      </c>
      <c r="C112" s="64" t="s">
        <v>530</v>
      </c>
      <c r="D112" s="64" t="s">
        <v>593</v>
      </c>
      <c r="E112" s="64" t="s">
        <v>594</v>
      </c>
      <c r="F112" s="65" t="s">
        <v>595</v>
      </c>
      <c r="G112" s="64" t="s">
        <v>328</v>
      </c>
      <c r="H112" s="64" t="s">
        <v>205</v>
      </c>
      <c r="I112" s="64" t="s">
        <v>10</v>
      </c>
      <c r="J112" s="64" t="s">
        <v>201</v>
      </c>
      <c r="K112" s="66">
        <v>10.6</v>
      </c>
      <c r="L112" s="66">
        <f>K112*VLOOKUP(I112,dagsoorttabel1,2,FALSE)</f>
        <v>10.6</v>
      </c>
      <c r="M112" s="67">
        <f>prodnorm26</f>
        <v>0</v>
      </c>
      <c r="N112" s="68">
        <f>dagwerk26</f>
        <v>0</v>
      </c>
      <c r="O112" s="64" t="s">
        <v>38</v>
      </c>
      <c r="P112" s="69">
        <f>uurtarief26</f>
        <v>0</v>
      </c>
      <c r="Q112" s="66" t="e">
        <f>IF(ISBLANK(M112),0,L112/ROUND(M112,4))</f>
        <v>#DIV/0!</v>
      </c>
      <c r="R112" s="66" t="e">
        <f>IF(ISBLANK(M112),0,Q112*ROUND(N112,2))</f>
        <v>#DIV/0!</v>
      </c>
      <c r="S112" s="69" t="e">
        <f>ROUND(P112,2)*Q112</f>
        <v>#DIV/0!</v>
      </c>
      <c r="T112" s="66" t="e">
        <f>Q112*dagenperjaar1</f>
        <v>#DIV/0!</v>
      </c>
      <c r="U112" s="70" t="e">
        <f>T112*ROUND(P112,2)</f>
        <v>#DIV/0!</v>
      </c>
    </row>
    <row r="113" spans="1:21" x14ac:dyDescent="0.2">
      <c r="A113" s="63" t="s">
        <v>323</v>
      </c>
      <c r="B113" s="64" t="s">
        <v>324</v>
      </c>
      <c r="C113" s="64" t="s">
        <v>530</v>
      </c>
      <c r="D113" s="64" t="s">
        <v>596</v>
      </c>
      <c r="E113" s="64" t="s">
        <v>597</v>
      </c>
      <c r="F113" s="65" t="s">
        <v>598</v>
      </c>
      <c r="G113" s="64" t="s">
        <v>328</v>
      </c>
      <c r="H113" s="64" t="s">
        <v>205</v>
      </c>
      <c r="I113" s="64" t="s">
        <v>10</v>
      </c>
      <c r="J113" s="64" t="s">
        <v>201</v>
      </c>
      <c r="K113" s="66">
        <v>12</v>
      </c>
      <c r="L113" s="66">
        <f>K113*VLOOKUP(I113,dagsoorttabel1,2,FALSE)</f>
        <v>12</v>
      </c>
      <c r="M113" s="67">
        <f>prodnorm26</f>
        <v>0</v>
      </c>
      <c r="N113" s="68">
        <f>dagwerk26</f>
        <v>0</v>
      </c>
      <c r="O113" s="64" t="s">
        <v>38</v>
      </c>
      <c r="P113" s="69">
        <f>uurtarief26</f>
        <v>0</v>
      </c>
      <c r="Q113" s="66" t="e">
        <f>IF(ISBLANK(M113),0,L113/ROUND(M113,4))</f>
        <v>#DIV/0!</v>
      </c>
      <c r="R113" s="66" t="e">
        <f>IF(ISBLANK(M113),0,Q113*ROUND(N113,2))</f>
        <v>#DIV/0!</v>
      </c>
      <c r="S113" s="69" t="e">
        <f>ROUND(P113,2)*Q113</f>
        <v>#DIV/0!</v>
      </c>
      <c r="T113" s="66" t="e">
        <f>Q113*dagenperjaar1</f>
        <v>#DIV/0!</v>
      </c>
      <c r="U113" s="70" t="e">
        <f>T113*ROUND(P113,2)</f>
        <v>#DIV/0!</v>
      </c>
    </row>
    <row r="114" spans="1:21" x14ac:dyDescent="0.2">
      <c r="A114" s="63" t="s">
        <v>323</v>
      </c>
      <c r="B114" s="64" t="s">
        <v>324</v>
      </c>
      <c r="C114" s="64" t="s">
        <v>530</v>
      </c>
      <c r="D114" s="64" t="s">
        <v>599</v>
      </c>
      <c r="E114" s="64" t="s">
        <v>532</v>
      </c>
      <c r="F114" s="65" t="s">
        <v>457</v>
      </c>
      <c r="G114" s="64" t="s">
        <v>458</v>
      </c>
      <c r="H114" s="64" t="s">
        <v>229</v>
      </c>
      <c r="I114" s="64" t="s">
        <v>10</v>
      </c>
      <c r="J114" s="64" t="s">
        <v>201</v>
      </c>
      <c r="K114" s="66">
        <v>125.4</v>
      </c>
      <c r="L114" s="66">
        <f>K114*VLOOKUP(I114,dagsoorttabel1,2,FALSE)</f>
        <v>125.4</v>
      </c>
      <c r="M114" s="67">
        <f>prodnorm43</f>
        <v>0</v>
      </c>
      <c r="N114" s="68">
        <f>dagwerk43</f>
        <v>0</v>
      </c>
      <c r="O114" s="64" t="s">
        <v>38</v>
      </c>
      <c r="P114" s="69">
        <f>uurtarief43</f>
        <v>0</v>
      </c>
      <c r="Q114" s="66" t="e">
        <f>IF(ISBLANK(M114),0,L114/ROUND(M114,4))</f>
        <v>#DIV/0!</v>
      </c>
      <c r="R114" s="66" t="e">
        <f>IF(ISBLANK(M114),0,Q114*ROUND(N114,2))</f>
        <v>#DIV/0!</v>
      </c>
      <c r="S114" s="69" t="e">
        <f>ROUND(P114,2)*Q114</f>
        <v>#DIV/0!</v>
      </c>
      <c r="T114" s="66" t="e">
        <f>Q114*dagenperjaar1</f>
        <v>#DIV/0!</v>
      </c>
      <c r="U114" s="70" t="e">
        <f>T114*ROUND(P114,2)</f>
        <v>#DIV/0!</v>
      </c>
    </row>
    <row r="115" spans="1:21" ht="25.5" x14ac:dyDescent="0.2">
      <c r="A115" s="71" t="s">
        <v>323</v>
      </c>
      <c r="B115" s="72" t="s">
        <v>324</v>
      </c>
      <c r="C115" s="72" t="s">
        <v>600</v>
      </c>
      <c r="D115" s="72" t="s">
        <v>324</v>
      </c>
      <c r="E115" s="72" t="s">
        <v>324</v>
      </c>
      <c r="F115" s="73" t="s">
        <v>601</v>
      </c>
      <c r="G115" s="72" t="s">
        <v>324</v>
      </c>
      <c r="H115" s="72" t="s">
        <v>298</v>
      </c>
      <c r="I115" s="72" t="s">
        <v>18</v>
      </c>
      <c r="J115" s="72" t="s">
        <v>274</v>
      </c>
      <c r="K115" s="74">
        <v>1</v>
      </c>
      <c r="L115" s="74">
        <f>K115*VLOOKUP(I115,dagsoorttabel1,2,FALSE)</f>
        <v>0.06</v>
      </c>
      <c r="M115" s="75">
        <f>prodnorm23</f>
        <v>0</v>
      </c>
      <c r="N115" s="76">
        <f>dagwerk23</f>
        <v>0</v>
      </c>
      <c r="O115" s="72" t="s">
        <v>278</v>
      </c>
      <c r="P115" s="77">
        <f>uurtarief23</f>
        <v>0</v>
      </c>
      <c r="Q115" s="74">
        <f>L115*ROUND(M115,4)/60</f>
        <v>0</v>
      </c>
      <c r="R115" s="74">
        <f>IF(ISBLANK(M115),0,Q115*ROUND(N115,2))</f>
        <v>0</v>
      </c>
      <c r="S115" s="77">
        <f>ROUND(P115,2)*Q115</f>
        <v>0</v>
      </c>
      <c r="T115" s="74">
        <f>Q115*dagenperjaar1</f>
        <v>0</v>
      </c>
      <c r="U115" s="78">
        <f>T115*ROUND(P115,2)</f>
        <v>0</v>
      </c>
    </row>
    <row r="116" spans="1:21" x14ac:dyDescent="0.2">
      <c r="A116" s="79" t="s">
        <v>602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6" t="e">
        <f>IF(_xlfn.SINGLE(object1_urenjaar1)&gt;0,_xlfn.SINGLE(object1_prijsjaar1)/_xlfn.SINGLE(object1_urenjaar1),0)</f>
        <v>#DIV/0!</v>
      </c>
      <c r="Q116" s="45" t="e">
        <f>SUM(Q5:Q115)</f>
        <v>#DIV/0!</v>
      </c>
      <c r="R116" s="45" t="e">
        <f>SUM(R5:R115)</f>
        <v>#DIV/0!</v>
      </c>
      <c r="S116" s="46" t="e">
        <f>SUM(S5:S115)</f>
        <v>#DIV/0!</v>
      </c>
      <c r="T116" s="45" t="e">
        <f>SUM(T5:T115)</f>
        <v>#DIV/0!</v>
      </c>
      <c r="U116" s="47" t="e">
        <f>SUM(U5:U115)</f>
        <v>#DIV/0!</v>
      </c>
    </row>
    <row r="117" spans="1:21" x14ac:dyDescent="0.2">
      <c r="A117" s="54" t="s">
        <v>603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42"/>
    </row>
    <row r="118" spans="1:21" x14ac:dyDescent="0.2">
      <c r="A118" s="55" t="s">
        <v>472</v>
      </c>
      <c r="B118" s="56" t="s">
        <v>323</v>
      </c>
      <c r="C118" s="56" t="s">
        <v>345</v>
      </c>
      <c r="D118" s="56" t="s">
        <v>604</v>
      </c>
      <c r="E118" s="56" t="s">
        <v>324</v>
      </c>
      <c r="F118" s="57" t="s">
        <v>605</v>
      </c>
      <c r="G118" s="56" t="s">
        <v>328</v>
      </c>
      <c r="H118" s="56" t="s">
        <v>200</v>
      </c>
      <c r="I118" s="56" t="s">
        <v>10</v>
      </c>
      <c r="J118" s="56" t="s">
        <v>201</v>
      </c>
      <c r="K118" s="58">
        <v>532.20000000000005</v>
      </c>
      <c r="L118" s="58">
        <f>K118*VLOOKUP(I118,dagsoorttabel1,2,FALSE)</f>
        <v>532.20000000000005</v>
      </c>
      <c r="M118" s="59">
        <f>prodnorm24</f>
        <v>0</v>
      </c>
      <c r="N118" s="60">
        <f>dagwerk24</f>
        <v>0</v>
      </c>
      <c r="O118" s="56" t="s">
        <v>38</v>
      </c>
      <c r="P118" s="61">
        <f>uurtarief24</f>
        <v>0</v>
      </c>
      <c r="Q118" s="58" t="e">
        <f>IF(ISBLANK(M118),0,L118/ROUND(M118,4))</f>
        <v>#DIV/0!</v>
      </c>
      <c r="R118" s="58" t="e">
        <f>IF(ISBLANK(M118),0,Q118*ROUND(N118,2))</f>
        <v>#DIV/0!</v>
      </c>
      <c r="S118" s="61" t="e">
        <f>ROUND(P118,2)*Q118</f>
        <v>#DIV/0!</v>
      </c>
      <c r="T118" s="58" t="e">
        <f>Q118*dagenperjaar1</f>
        <v>#DIV/0!</v>
      </c>
      <c r="U118" s="62" t="e">
        <f>T118*ROUND(P118,2)</f>
        <v>#DIV/0!</v>
      </c>
    </row>
    <row r="119" spans="1:21" x14ac:dyDescent="0.2">
      <c r="A119" s="63" t="s">
        <v>472</v>
      </c>
      <c r="B119" s="64" t="s">
        <v>323</v>
      </c>
      <c r="C119" s="64" t="s">
        <v>345</v>
      </c>
      <c r="D119" s="64" t="s">
        <v>606</v>
      </c>
      <c r="E119" s="64" t="s">
        <v>324</v>
      </c>
      <c r="F119" s="65" t="s">
        <v>607</v>
      </c>
      <c r="G119" s="64" t="s">
        <v>351</v>
      </c>
      <c r="H119" s="64" t="s">
        <v>207</v>
      </c>
      <c r="I119" s="64" t="s">
        <v>10</v>
      </c>
      <c r="J119" s="64" t="s">
        <v>201</v>
      </c>
      <c r="K119" s="66">
        <v>23.7</v>
      </c>
      <c r="L119" s="66">
        <f>K119*VLOOKUP(I119,dagsoorttabel1,2,FALSE)</f>
        <v>23.7</v>
      </c>
      <c r="M119" s="67">
        <f>prodnorm28</f>
        <v>0</v>
      </c>
      <c r="N119" s="68">
        <f>dagwerk28</f>
        <v>0</v>
      </c>
      <c r="O119" s="64" t="s">
        <v>38</v>
      </c>
      <c r="P119" s="69">
        <f>uurtarief28</f>
        <v>0</v>
      </c>
      <c r="Q119" s="66" t="e">
        <f>IF(ISBLANK(M119),0,L119/ROUND(M119,4))</f>
        <v>#DIV/0!</v>
      </c>
      <c r="R119" s="66" t="e">
        <f>IF(ISBLANK(M119),0,Q119*ROUND(N119,2))</f>
        <v>#DIV/0!</v>
      </c>
      <c r="S119" s="69" t="e">
        <f>ROUND(P119,2)*Q119</f>
        <v>#DIV/0!</v>
      </c>
      <c r="T119" s="66" t="e">
        <f>Q119*dagenperjaar1</f>
        <v>#DIV/0!</v>
      </c>
      <c r="U119" s="70" t="e">
        <f>T119*ROUND(P119,2)</f>
        <v>#DIV/0!</v>
      </c>
    </row>
    <row r="120" spans="1:21" x14ac:dyDescent="0.2">
      <c r="A120" s="63" t="s">
        <v>472</v>
      </c>
      <c r="B120" s="64" t="s">
        <v>323</v>
      </c>
      <c r="C120" s="64" t="s">
        <v>345</v>
      </c>
      <c r="D120" s="64" t="s">
        <v>608</v>
      </c>
      <c r="E120" s="64" t="s">
        <v>324</v>
      </c>
      <c r="F120" s="65" t="s">
        <v>609</v>
      </c>
      <c r="G120" s="64" t="s">
        <v>351</v>
      </c>
      <c r="H120" s="64" t="s">
        <v>207</v>
      </c>
      <c r="I120" s="64" t="s">
        <v>10</v>
      </c>
      <c r="J120" s="64" t="s">
        <v>201</v>
      </c>
      <c r="K120" s="66">
        <v>38.6</v>
      </c>
      <c r="L120" s="66">
        <f>K120*VLOOKUP(I120,dagsoorttabel1,2,FALSE)</f>
        <v>38.6</v>
      </c>
      <c r="M120" s="67">
        <f>prodnorm28</f>
        <v>0</v>
      </c>
      <c r="N120" s="68">
        <f>dagwerk28</f>
        <v>0</v>
      </c>
      <c r="O120" s="64" t="s">
        <v>38</v>
      </c>
      <c r="P120" s="69">
        <f>uurtarief28</f>
        <v>0</v>
      </c>
      <c r="Q120" s="66" t="e">
        <f>IF(ISBLANK(M120),0,L120/ROUND(M120,4))</f>
        <v>#DIV/0!</v>
      </c>
      <c r="R120" s="66" t="e">
        <f>IF(ISBLANK(M120),0,Q120*ROUND(N120,2))</f>
        <v>#DIV/0!</v>
      </c>
      <c r="S120" s="69" t="e">
        <f>ROUND(P120,2)*Q120</f>
        <v>#DIV/0!</v>
      </c>
      <c r="T120" s="66" t="e">
        <f>Q120*dagenperjaar1</f>
        <v>#DIV/0!</v>
      </c>
      <c r="U120" s="70" t="e">
        <f>T120*ROUND(P120,2)</f>
        <v>#DIV/0!</v>
      </c>
    </row>
    <row r="121" spans="1:21" x14ac:dyDescent="0.2">
      <c r="A121" s="63" t="s">
        <v>472</v>
      </c>
      <c r="B121" s="64" t="s">
        <v>323</v>
      </c>
      <c r="C121" s="64" t="s">
        <v>345</v>
      </c>
      <c r="D121" s="64" t="s">
        <v>610</v>
      </c>
      <c r="E121" s="64" t="s">
        <v>324</v>
      </c>
      <c r="F121" s="65" t="s">
        <v>611</v>
      </c>
      <c r="G121" s="64" t="s">
        <v>351</v>
      </c>
      <c r="H121" s="64" t="s">
        <v>207</v>
      </c>
      <c r="I121" s="64" t="s">
        <v>10</v>
      </c>
      <c r="J121" s="64" t="s">
        <v>201</v>
      </c>
      <c r="K121" s="66">
        <v>27.7</v>
      </c>
      <c r="L121" s="66">
        <f>K121*VLOOKUP(I121,dagsoorttabel1,2,FALSE)</f>
        <v>27.7</v>
      </c>
      <c r="M121" s="67">
        <f>prodnorm28</f>
        <v>0</v>
      </c>
      <c r="N121" s="68">
        <f>dagwerk28</f>
        <v>0</v>
      </c>
      <c r="O121" s="64" t="s">
        <v>38</v>
      </c>
      <c r="P121" s="69">
        <f>uurtarief28</f>
        <v>0</v>
      </c>
      <c r="Q121" s="66" t="e">
        <f>IF(ISBLANK(M121),0,L121/ROUND(M121,4))</f>
        <v>#DIV/0!</v>
      </c>
      <c r="R121" s="66" t="e">
        <f>IF(ISBLANK(M121),0,Q121*ROUND(N121,2))</f>
        <v>#DIV/0!</v>
      </c>
      <c r="S121" s="69" t="e">
        <f>ROUND(P121,2)*Q121</f>
        <v>#DIV/0!</v>
      </c>
      <c r="T121" s="66" t="e">
        <f>Q121*dagenperjaar1</f>
        <v>#DIV/0!</v>
      </c>
      <c r="U121" s="70" t="e">
        <f>T121*ROUND(P121,2)</f>
        <v>#DIV/0!</v>
      </c>
    </row>
    <row r="122" spans="1:21" x14ac:dyDescent="0.2">
      <c r="A122" s="63" t="s">
        <v>472</v>
      </c>
      <c r="B122" s="64" t="s">
        <v>323</v>
      </c>
      <c r="C122" s="64" t="s">
        <v>345</v>
      </c>
      <c r="D122" s="64" t="s">
        <v>612</v>
      </c>
      <c r="E122" s="64" t="s">
        <v>324</v>
      </c>
      <c r="F122" s="65" t="s">
        <v>613</v>
      </c>
      <c r="G122" s="64" t="s">
        <v>351</v>
      </c>
      <c r="H122" s="64" t="s">
        <v>207</v>
      </c>
      <c r="I122" s="64" t="s">
        <v>10</v>
      </c>
      <c r="J122" s="64" t="s">
        <v>201</v>
      </c>
      <c r="K122" s="66">
        <v>23.9</v>
      </c>
      <c r="L122" s="66">
        <f>K122*VLOOKUP(I122,dagsoorttabel1,2,FALSE)</f>
        <v>23.9</v>
      </c>
      <c r="M122" s="67">
        <f>prodnorm28</f>
        <v>0</v>
      </c>
      <c r="N122" s="68">
        <f>dagwerk28</f>
        <v>0</v>
      </c>
      <c r="O122" s="64" t="s">
        <v>38</v>
      </c>
      <c r="P122" s="69">
        <f>uurtarief28</f>
        <v>0</v>
      </c>
      <c r="Q122" s="66" t="e">
        <f>IF(ISBLANK(M122),0,L122/ROUND(M122,4))</f>
        <v>#DIV/0!</v>
      </c>
      <c r="R122" s="66" t="e">
        <f>IF(ISBLANK(M122),0,Q122*ROUND(N122,2))</f>
        <v>#DIV/0!</v>
      </c>
      <c r="S122" s="69" t="e">
        <f>ROUND(P122,2)*Q122</f>
        <v>#DIV/0!</v>
      </c>
      <c r="T122" s="66" t="e">
        <f>Q122*dagenperjaar1</f>
        <v>#DIV/0!</v>
      </c>
      <c r="U122" s="70" t="e">
        <f>T122*ROUND(P122,2)</f>
        <v>#DIV/0!</v>
      </c>
    </row>
    <row r="123" spans="1:21" x14ac:dyDescent="0.2">
      <c r="A123" s="63" t="s">
        <v>472</v>
      </c>
      <c r="B123" s="64" t="s">
        <v>323</v>
      </c>
      <c r="C123" s="64" t="s">
        <v>345</v>
      </c>
      <c r="D123" s="64" t="s">
        <v>614</v>
      </c>
      <c r="E123" s="64" t="s">
        <v>324</v>
      </c>
      <c r="F123" s="65" t="s">
        <v>578</v>
      </c>
      <c r="G123" s="64" t="s">
        <v>351</v>
      </c>
      <c r="H123" s="64" t="s">
        <v>269</v>
      </c>
      <c r="I123" s="64" t="s">
        <v>10</v>
      </c>
      <c r="J123" s="64" t="s">
        <v>201</v>
      </c>
      <c r="K123" s="66">
        <v>31.5</v>
      </c>
      <c r="L123" s="66">
        <f>K123*VLOOKUP(I123,dagsoorttabel1,2,FALSE)</f>
        <v>31.5</v>
      </c>
      <c r="M123" s="67">
        <f>prodnorm67</f>
        <v>0</v>
      </c>
      <c r="N123" s="68">
        <f>dagwerk67</f>
        <v>0</v>
      </c>
      <c r="O123" s="64" t="s">
        <v>38</v>
      </c>
      <c r="P123" s="69">
        <f>uurtarief67</f>
        <v>0</v>
      </c>
      <c r="Q123" s="66" t="e">
        <f>IF(ISBLANK(M123),0,L123/ROUND(M123,4))</f>
        <v>#DIV/0!</v>
      </c>
      <c r="R123" s="66" t="e">
        <f>IF(ISBLANK(M123),0,Q123*ROUND(N123,2))</f>
        <v>#DIV/0!</v>
      </c>
      <c r="S123" s="69" t="e">
        <f>ROUND(P123,2)*Q123</f>
        <v>#DIV/0!</v>
      </c>
      <c r="T123" s="66" t="e">
        <f>Q123*dagenperjaar1</f>
        <v>#DIV/0!</v>
      </c>
      <c r="U123" s="70" t="e">
        <f>T123*ROUND(P123,2)</f>
        <v>#DIV/0!</v>
      </c>
    </row>
    <row r="124" spans="1:21" x14ac:dyDescent="0.2">
      <c r="A124" s="63" t="s">
        <v>472</v>
      </c>
      <c r="B124" s="64" t="s">
        <v>323</v>
      </c>
      <c r="C124" s="64" t="s">
        <v>345</v>
      </c>
      <c r="D124" s="64" t="s">
        <v>615</v>
      </c>
      <c r="E124" s="64" t="s">
        <v>324</v>
      </c>
      <c r="F124" s="65" t="s">
        <v>616</v>
      </c>
      <c r="G124" s="64" t="s">
        <v>351</v>
      </c>
      <c r="H124" s="64" t="s">
        <v>207</v>
      </c>
      <c r="I124" s="64" t="s">
        <v>10</v>
      </c>
      <c r="J124" s="64" t="s">
        <v>201</v>
      </c>
      <c r="K124" s="66">
        <v>17.100000000000001</v>
      </c>
      <c r="L124" s="66">
        <f>K124*VLOOKUP(I124,dagsoorttabel1,2,FALSE)</f>
        <v>17.100000000000001</v>
      </c>
      <c r="M124" s="67">
        <f>prodnorm28</f>
        <v>0</v>
      </c>
      <c r="N124" s="68">
        <f>dagwerk28</f>
        <v>0</v>
      </c>
      <c r="O124" s="64" t="s">
        <v>38</v>
      </c>
      <c r="P124" s="69">
        <f>uurtarief28</f>
        <v>0</v>
      </c>
      <c r="Q124" s="66" t="e">
        <f>IF(ISBLANK(M124),0,L124/ROUND(M124,4))</f>
        <v>#DIV/0!</v>
      </c>
      <c r="R124" s="66" t="e">
        <f>IF(ISBLANK(M124),0,Q124*ROUND(N124,2))</f>
        <v>#DIV/0!</v>
      </c>
      <c r="S124" s="69" t="e">
        <f>ROUND(P124,2)*Q124</f>
        <v>#DIV/0!</v>
      </c>
      <c r="T124" s="66" t="e">
        <f>Q124*dagenperjaar1</f>
        <v>#DIV/0!</v>
      </c>
      <c r="U124" s="70" t="e">
        <f>T124*ROUND(P124,2)</f>
        <v>#DIV/0!</v>
      </c>
    </row>
    <row r="125" spans="1:21" x14ac:dyDescent="0.2">
      <c r="A125" s="63" t="s">
        <v>472</v>
      </c>
      <c r="B125" s="64" t="s">
        <v>323</v>
      </c>
      <c r="C125" s="64" t="s">
        <v>345</v>
      </c>
      <c r="D125" s="64" t="s">
        <v>617</v>
      </c>
      <c r="E125" s="64" t="s">
        <v>324</v>
      </c>
      <c r="F125" s="65" t="s">
        <v>618</v>
      </c>
      <c r="G125" s="64" t="s">
        <v>351</v>
      </c>
      <c r="H125" s="64" t="s">
        <v>269</v>
      </c>
      <c r="I125" s="64" t="s">
        <v>10</v>
      </c>
      <c r="J125" s="64" t="s">
        <v>201</v>
      </c>
      <c r="K125" s="66">
        <v>6.5</v>
      </c>
      <c r="L125" s="66">
        <f>K125*VLOOKUP(I125,dagsoorttabel1,2,FALSE)</f>
        <v>6.5</v>
      </c>
      <c r="M125" s="67">
        <f>prodnorm67</f>
        <v>0</v>
      </c>
      <c r="N125" s="68">
        <f>dagwerk67</f>
        <v>0</v>
      </c>
      <c r="O125" s="64" t="s">
        <v>38</v>
      </c>
      <c r="P125" s="69">
        <f>uurtarief67</f>
        <v>0</v>
      </c>
      <c r="Q125" s="66" t="e">
        <f>IF(ISBLANK(M125),0,L125/ROUND(M125,4))</f>
        <v>#DIV/0!</v>
      </c>
      <c r="R125" s="66" t="e">
        <f>IF(ISBLANK(M125),0,Q125*ROUND(N125,2))</f>
        <v>#DIV/0!</v>
      </c>
      <c r="S125" s="69" t="e">
        <f>ROUND(P125,2)*Q125</f>
        <v>#DIV/0!</v>
      </c>
      <c r="T125" s="66" t="e">
        <f>Q125*dagenperjaar1</f>
        <v>#DIV/0!</v>
      </c>
      <c r="U125" s="70" t="e">
        <f>T125*ROUND(P125,2)</f>
        <v>#DIV/0!</v>
      </c>
    </row>
    <row r="126" spans="1:21" x14ac:dyDescent="0.2">
      <c r="A126" s="63" t="s">
        <v>472</v>
      </c>
      <c r="B126" s="64" t="s">
        <v>323</v>
      </c>
      <c r="C126" s="64" t="s">
        <v>345</v>
      </c>
      <c r="D126" s="64" t="s">
        <v>619</v>
      </c>
      <c r="E126" s="64" t="s">
        <v>324</v>
      </c>
      <c r="F126" s="65" t="s">
        <v>620</v>
      </c>
      <c r="G126" s="64" t="s">
        <v>351</v>
      </c>
      <c r="H126" s="64" t="s">
        <v>207</v>
      </c>
      <c r="I126" s="64" t="s">
        <v>10</v>
      </c>
      <c r="J126" s="64" t="s">
        <v>201</v>
      </c>
      <c r="K126" s="66">
        <v>18.2</v>
      </c>
      <c r="L126" s="66">
        <f>K126*VLOOKUP(I126,dagsoorttabel1,2,FALSE)</f>
        <v>18.2</v>
      </c>
      <c r="M126" s="67">
        <f>prodnorm28</f>
        <v>0</v>
      </c>
      <c r="N126" s="68">
        <f>dagwerk28</f>
        <v>0</v>
      </c>
      <c r="O126" s="64" t="s">
        <v>38</v>
      </c>
      <c r="P126" s="69">
        <f>uurtarief28</f>
        <v>0</v>
      </c>
      <c r="Q126" s="66" t="e">
        <f>IF(ISBLANK(M126),0,L126/ROUND(M126,4))</f>
        <v>#DIV/0!</v>
      </c>
      <c r="R126" s="66" t="e">
        <f>IF(ISBLANK(M126),0,Q126*ROUND(N126,2))</f>
        <v>#DIV/0!</v>
      </c>
      <c r="S126" s="69" t="e">
        <f>ROUND(P126,2)*Q126</f>
        <v>#DIV/0!</v>
      </c>
      <c r="T126" s="66" t="e">
        <f>Q126*dagenperjaar1</f>
        <v>#DIV/0!</v>
      </c>
      <c r="U126" s="70" t="e">
        <f>T126*ROUND(P126,2)</f>
        <v>#DIV/0!</v>
      </c>
    </row>
    <row r="127" spans="1:21" x14ac:dyDescent="0.2">
      <c r="A127" s="63" t="s">
        <v>472</v>
      </c>
      <c r="B127" s="64" t="s">
        <v>323</v>
      </c>
      <c r="C127" s="64" t="s">
        <v>345</v>
      </c>
      <c r="D127" s="64" t="s">
        <v>621</v>
      </c>
      <c r="E127" s="64" t="s">
        <v>324</v>
      </c>
      <c r="F127" s="65" t="s">
        <v>620</v>
      </c>
      <c r="G127" s="64" t="s">
        <v>351</v>
      </c>
      <c r="H127" s="64" t="s">
        <v>207</v>
      </c>
      <c r="I127" s="64" t="s">
        <v>10</v>
      </c>
      <c r="J127" s="64" t="s">
        <v>201</v>
      </c>
      <c r="K127" s="66">
        <v>17</v>
      </c>
      <c r="L127" s="66">
        <f>K127*VLOOKUP(I127,dagsoorttabel1,2,FALSE)</f>
        <v>17</v>
      </c>
      <c r="M127" s="67">
        <f>prodnorm28</f>
        <v>0</v>
      </c>
      <c r="N127" s="68">
        <f>dagwerk28</f>
        <v>0</v>
      </c>
      <c r="O127" s="64" t="s">
        <v>38</v>
      </c>
      <c r="P127" s="69">
        <f>uurtarief28</f>
        <v>0</v>
      </c>
      <c r="Q127" s="66" t="e">
        <f>IF(ISBLANK(M127),0,L127/ROUND(M127,4))</f>
        <v>#DIV/0!</v>
      </c>
      <c r="R127" s="66" t="e">
        <f>IF(ISBLANK(M127),0,Q127*ROUND(N127,2))</f>
        <v>#DIV/0!</v>
      </c>
      <c r="S127" s="69" t="e">
        <f>ROUND(P127,2)*Q127</f>
        <v>#DIV/0!</v>
      </c>
      <c r="T127" s="66" t="e">
        <f>Q127*dagenperjaar1</f>
        <v>#DIV/0!</v>
      </c>
      <c r="U127" s="70" t="e">
        <f>T127*ROUND(P127,2)</f>
        <v>#DIV/0!</v>
      </c>
    </row>
    <row r="128" spans="1:21" x14ac:dyDescent="0.2">
      <c r="A128" s="63" t="s">
        <v>472</v>
      </c>
      <c r="B128" s="64" t="s">
        <v>323</v>
      </c>
      <c r="C128" s="64" t="s">
        <v>345</v>
      </c>
      <c r="D128" s="64" t="s">
        <v>622</v>
      </c>
      <c r="E128" s="64" t="s">
        <v>324</v>
      </c>
      <c r="F128" s="65" t="s">
        <v>623</v>
      </c>
      <c r="G128" s="64" t="s">
        <v>624</v>
      </c>
      <c r="H128" s="64" t="s">
        <v>205</v>
      </c>
      <c r="I128" s="64" t="s">
        <v>10</v>
      </c>
      <c r="J128" s="64" t="s">
        <v>201</v>
      </c>
      <c r="K128" s="66">
        <v>79.900000000000006</v>
      </c>
      <c r="L128" s="66">
        <f>K128*VLOOKUP(I128,dagsoorttabel1,2,FALSE)</f>
        <v>79.900000000000006</v>
      </c>
      <c r="M128" s="67">
        <f>prodnorm26</f>
        <v>0</v>
      </c>
      <c r="N128" s="68">
        <f>dagwerk26</f>
        <v>0</v>
      </c>
      <c r="O128" s="64" t="s">
        <v>38</v>
      </c>
      <c r="P128" s="69">
        <f>uurtarief26</f>
        <v>0</v>
      </c>
      <c r="Q128" s="66" t="e">
        <f>IF(ISBLANK(M128),0,L128/ROUND(M128,4))</f>
        <v>#DIV/0!</v>
      </c>
      <c r="R128" s="66" t="e">
        <f>IF(ISBLANK(M128),0,Q128*ROUND(N128,2))</f>
        <v>#DIV/0!</v>
      </c>
      <c r="S128" s="69" t="e">
        <f>ROUND(P128,2)*Q128</f>
        <v>#DIV/0!</v>
      </c>
      <c r="T128" s="66" t="e">
        <f>Q128*dagenperjaar1</f>
        <v>#DIV/0!</v>
      </c>
      <c r="U128" s="70" t="e">
        <f>T128*ROUND(P128,2)</f>
        <v>#DIV/0!</v>
      </c>
    </row>
    <row r="129" spans="1:21" x14ac:dyDescent="0.2">
      <c r="A129" s="63" t="s">
        <v>472</v>
      </c>
      <c r="B129" s="64" t="s">
        <v>323</v>
      </c>
      <c r="C129" s="64" t="s">
        <v>345</v>
      </c>
      <c r="D129" s="64" t="s">
        <v>625</v>
      </c>
      <c r="E129" s="64" t="s">
        <v>324</v>
      </c>
      <c r="F129" s="65" t="s">
        <v>573</v>
      </c>
      <c r="G129" s="64" t="s">
        <v>351</v>
      </c>
      <c r="H129" s="64" t="s">
        <v>269</v>
      </c>
      <c r="I129" s="64" t="s">
        <v>10</v>
      </c>
      <c r="J129" s="64" t="s">
        <v>201</v>
      </c>
      <c r="K129" s="66">
        <v>13.1</v>
      </c>
      <c r="L129" s="66">
        <f>K129*VLOOKUP(I129,dagsoorttabel1,2,FALSE)</f>
        <v>13.1</v>
      </c>
      <c r="M129" s="67">
        <f>prodnorm67</f>
        <v>0</v>
      </c>
      <c r="N129" s="68">
        <f>dagwerk67</f>
        <v>0</v>
      </c>
      <c r="O129" s="64" t="s">
        <v>38</v>
      </c>
      <c r="P129" s="69">
        <f>uurtarief67</f>
        <v>0</v>
      </c>
      <c r="Q129" s="66" t="e">
        <f>IF(ISBLANK(M129),0,L129/ROUND(M129,4))</f>
        <v>#DIV/0!</v>
      </c>
      <c r="R129" s="66" t="e">
        <f>IF(ISBLANK(M129),0,Q129*ROUND(N129,2))</f>
        <v>#DIV/0!</v>
      </c>
      <c r="S129" s="69" t="e">
        <f>ROUND(P129,2)*Q129</f>
        <v>#DIV/0!</v>
      </c>
      <c r="T129" s="66" t="e">
        <f>Q129*dagenperjaar1</f>
        <v>#DIV/0!</v>
      </c>
      <c r="U129" s="70" t="e">
        <f>T129*ROUND(P129,2)</f>
        <v>#DIV/0!</v>
      </c>
    </row>
    <row r="130" spans="1:21" x14ac:dyDescent="0.2">
      <c r="A130" s="63" t="s">
        <v>472</v>
      </c>
      <c r="B130" s="64" t="s">
        <v>323</v>
      </c>
      <c r="C130" s="64" t="s">
        <v>345</v>
      </c>
      <c r="D130" s="64" t="s">
        <v>626</v>
      </c>
      <c r="E130" s="64" t="s">
        <v>324</v>
      </c>
      <c r="F130" s="65" t="s">
        <v>627</v>
      </c>
      <c r="G130" s="64" t="s">
        <v>351</v>
      </c>
      <c r="H130" s="64" t="s">
        <v>207</v>
      </c>
      <c r="I130" s="64" t="s">
        <v>10</v>
      </c>
      <c r="J130" s="64" t="s">
        <v>201</v>
      </c>
      <c r="K130" s="66">
        <v>10.5</v>
      </c>
      <c r="L130" s="66">
        <f>K130*VLOOKUP(I130,dagsoorttabel1,2,FALSE)</f>
        <v>10.5</v>
      </c>
      <c r="M130" s="67">
        <f>prodnorm28</f>
        <v>0</v>
      </c>
      <c r="N130" s="68">
        <f>dagwerk28</f>
        <v>0</v>
      </c>
      <c r="O130" s="64" t="s">
        <v>38</v>
      </c>
      <c r="P130" s="69">
        <f>uurtarief28</f>
        <v>0</v>
      </c>
      <c r="Q130" s="66" t="e">
        <f>IF(ISBLANK(M130),0,L130/ROUND(M130,4))</f>
        <v>#DIV/0!</v>
      </c>
      <c r="R130" s="66" t="e">
        <f>IF(ISBLANK(M130),0,Q130*ROUND(N130,2))</f>
        <v>#DIV/0!</v>
      </c>
      <c r="S130" s="69" t="e">
        <f>ROUND(P130,2)*Q130</f>
        <v>#DIV/0!</v>
      </c>
      <c r="T130" s="66" t="e">
        <f>Q130*dagenperjaar1</f>
        <v>#DIV/0!</v>
      </c>
      <c r="U130" s="70" t="e">
        <f>T130*ROUND(P130,2)</f>
        <v>#DIV/0!</v>
      </c>
    </row>
    <row r="131" spans="1:21" x14ac:dyDescent="0.2">
      <c r="A131" s="63" t="s">
        <v>472</v>
      </c>
      <c r="B131" s="64" t="s">
        <v>323</v>
      </c>
      <c r="C131" s="64" t="s">
        <v>345</v>
      </c>
      <c r="D131" s="64" t="s">
        <v>628</v>
      </c>
      <c r="E131" s="64" t="s">
        <v>324</v>
      </c>
      <c r="F131" s="65" t="s">
        <v>578</v>
      </c>
      <c r="G131" s="64" t="s">
        <v>351</v>
      </c>
      <c r="H131" s="64" t="s">
        <v>269</v>
      </c>
      <c r="I131" s="64" t="s">
        <v>10</v>
      </c>
      <c r="J131" s="64" t="s">
        <v>201</v>
      </c>
      <c r="K131" s="66">
        <v>52.7</v>
      </c>
      <c r="L131" s="66">
        <f>K131*VLOOKUP(I131,dagsoorttabel1,2,FALSE)</f>
        <v>52.7</v>
      </c>
      <c r="M131" s="67">
        <f>prodnorm67</f>
        <v>0</v>
      </c>
      <c r="N131" s="68">
        <f>dagwerk67</f>
        <v>0</v>
      </c>
      <c r="O131" s="64" t="s">
        <v>38</v>
      </c>
      <c r="P131" s="69">
        <f>uurtarief67</f>
        <v>0</v>
      </c>
      <c r="Q131" s="66" t="e">
        <f>IF(ISBLANK(M131),0,L131/ROUND(M131,4))</f>
        <v>#DIV/0!</v>
      </c>
      <c r="R131" s="66" t="e">
        <f>IF(ISBLANK(M131),0,Q131*ROUND(N131,2))</f>
        <v>#DIV/0!</v>
      </c>
      <c r="S131" s="69" t="e">
        <f>ROUND(P131,2)*Q131</f>
        <v>#DIV/0!</v>
      </c>
      <c r="T131" s="66" t="e">
        <f>Q131*dagenperjaar1</f>
        <v>#DIV/0!</v>
      </c>
      <c r="U131" s="70" t="e">
        <f>T131*ROUND(P131,2)</f>
        <v>#DIV/0!</v>
      </c>
    </row>
    <row r="132" spans="1:21" x14ac:dyDescent="0.2">
      <c r="A132" s="63" t="s">
        <v>472</v>
      </c>
      <c r="B132" s="64" t="s">
        <v>323</v>
      </c>
      <c r="C132" s="64" t="s">
        <v>345</v>
      </c>
      <c r="D132" s="64" t="s">
        <v>629</v>
      </c>
      <c r="E132" s="64" t="s">
        <v>324</v>
      </c>
      <c r="F132" s="65" t="s">
        <v>630</v>
      </c>
      <c r="G132" s="64" t="s">
        <v>351</v>
      </c>
      <c r="H132" s="64" t="s">
        <v>207</v>
      </c>
      <c r="I132" s="64" t="s">
        <v>10</v>
      </c>
      <c r="J132" s="64" t="s">
        <v>201</v>
      </c>
      <c r="K132" s="66">
        <v>19</v>
      </c>
      <c r="L132" s="66">
        <f>K132*VLOOKUP(I132,dagsoorttabel1,2,FALSE)</f>
        <v>19</v>
      </c>
      <c r="M132" s="67">
        <f>prodnorm28</f>
        <v>0</v>
      </c>
      <c r="N132" s="68">
        <f>dagwerk28</f>
        <v>0</v>
      </c>
      <c r="O132" s="64" t="s">
        <v>38</v>
      </c>
      <c r="P132" s="69">
        <f>uurtarief28</f>
        <v>0</v>
      </c>
      <c r="Q132" s="66" t="e">
        <f>IF(ISBLANK(M132),0,L132/ROUND(M132,4))</f>
        <v>#DIV/0!</v>
      </c>
      <c r="R132" s="66" t="e">
        <f>IF(ISBLANK(M132),0,Q132*ROUND(N132,2))</f>
        <v>#DIV/0!</v>
      </c>
      <c r="S132" s="69" t="e">
        <f>ROUND(P132,2)*Q132</f>
        <v>#DIV/0!</v>
      </c>
      <c r="T132" s="66" t="e">
        <f>Q132*dagenperjaar1</f>
        <v>#DIV/0!</v>
      </c>
      <c r="U132" s="70" t="e">
        <f>T132*ROUND(P132,2)</f>
        <v>#DIV/0!</v>
      </c>
    </row>
    <row r="133" spans="1:21" x14ac:dyDescent="0.2">
      <c r="A133" s="63" t="s">
        <v>472</v>
      </c>
      <c r="B133" s="64" t="s">
        <v>323</v>
      </c>
      <c r="C133" s="64" t="s">
        <v>345</v>
      </c>
      <c r="D133" s="64" t="s">
        <v>631</v>
      </c>
      <c r="E133" s="64" t="s">
        <v>324</v>
      </c>
      <c r="F133" s="65" t="s">
        <v>632</v>
      </c>
      <c r="G133" s="64" t="s">
        <v>351</v>
      </c>
      <c r="H133" s="64" t="s">
        <v>207</v>
      </c>
      <c r="I133" s="64" t="s">
        <v>10</v>
      </c>
      <c r="J133" s="64" t="s">
        <v>201</v>
      </c>
      <c r="K133" s="66">
        <v>19.899999999999999</v>
      </c>
      <c r="L133" s="66">
        <f>K133*VLOOKUP(I133,dagsoorttabel1,2,FALSE)</f>
        <v>19.899999999999999</v>
      </c>
      <c r="M133" s="67">
        <f>prodnorm28</f>
        <v>0</v>
      </c>
      <c r="N133" s="68">
        <f>dagwerk28</f>
        <v>0</v>
      </c>
      <c r="O133" s="64" t="s">
        <v>38</v>
      </c>
      <c r="P133" s="69">
        <f>uurtarief28</f>
        <v>0</v>
      </c>
      <c r="Q133" s="66" t="e">
        <f>IF(ISBLANK(M133),0,L133/ROUND(M133,4))</f>
        <v>#DIV/0!</v>
      </c>
      <c r="R133" s="66" t="e">
        <f>IF(ISBLANK(M133),0,Q133*ROUND(N133,2))</f>
        <v>#DIV/0!</v>
      </c>
      <c r="S133" s="69" t="e">
        <f>ROUND(P133,2)*Q133</f>
        <v>#DIV/0!</v>
      </c>
      <c r="T133" s="66" t="e">
        <f>Q133*dagenperjaar1</f>
        <v>#DIV/0!</v>
      </c>
      <c r="U133" s="70" t="e">
        <f>T133*ROUND(P133,2)</f>
        <v>#DIV/0!</v>
      </c>
    </row>
    <row r="134" spans="1:21" x14ac:dyDescent="0.2">
      <c r="A134" s="63" t="s">
        <v>472</v>
      </c>
      <c r="B134" s="64" t="s">
        <v>323</v>
      </c>
      <c r="C134" s="64" t="s">
        <v>345</v>
      </c>
      <c r="D134" s="64" t="s">
        <v>633</v>
      </c>
      <c r="E134" s="64" t="s">
        <v>324</v>
      </c>
      <c r="F134" s="65" t="s">
        <v>386</v>
      </c>
      <c r="G134" s="64" t="s">
        <v>328</v>
      </c>
      <c r="H134" s="64" t="s">
        <v>237</v>
      </c>
      <c r="I134" s="64" t="s">
        <v>19</v>
      </c>
      <c r="J134" s="64" t="s">
        <v>201</v>
      </c>
      <c r="K134" s="66">
        <v>6.2</v>
      </c>
      <c r="L134" s="66">
        <f>K134*VLOOKUP(I134,dagsoorttabel1,2,FALSE)</f>
        <v>0.31000000000000005</v>
      </c>
      <c r="M134" s="67">
        <f>prodnorm47</f>
        <v>0</v>
      </c>
      <c r="N134" s="68">
        <f>dagwerk47</f>
        <v>0</v>
      </c>
      <c r="O134" s="64" t="s">
        <v>38</v>
      </c>
      <c r="P134" s="69">
        <f>uurtarief47</f>
        <v>0</v>
      </c>
      <c r="Q134" s="66" t="e">
        <f>IF(ISBLANK(M134),0,L134/ROUND(M134,4))</f>
        <v>#DIV/0!</v>
      </c>
      <c r="R134" s="66" t="e">
        <f>IF(ISBLANK(M134),0,Q134*ROUND(N134,2))</f>
        <v>#DIV/0!</v>
      </c>
      <c r="S134" s="69" t="e">
        <f>ROUND(P134,2)*Q134</f>
        <v>#DIV/0!</v>
      </c>
      <c r="T134" s="66" t="e">
        <f>Q134*dagenperjaar1</f>
        <v>#DIV/0!</v>
      </c>
      <c r="U134" s="70" t="e">
        <f>T134*ROUND(P134,2)</f>
        <v>#DIV/0!</v>
      </c>
    </row>
    <row r="135" spans="1:21" x14ac:dyDescent="0.2">
      <c r="A135" s="63" t="s">
        <v>472</v>
      </c>
      <c r="B135" s="64" t="s">
        <v>323</v>
      </c>
      <c r="C135" s="64" t="s">
        <v>345</v>
      </c>
      <c r="D135" s="64" t="s">
        <v>634</v>
      </c>
      <c r="E135" s="64" t="s">
        <v>324</v>
      </c>
      <c r="F135" s="65" t="s">
        <v>386</v>
      </c>
      <c r="G135" s="64" t="s">
        <v>328</v>
      </c>
      <c r="H135" s="64" t="s">
        <v>237</v>
      </c>
      <c r="I135" s="64" t="s">
        <v>19</v>
      </c>
      <c r="J135" s="64" t="s">
        <v>201</v>
      </c>
      <c r="K135" s="66">
        <v>8.1999999999999993</v>
      </c>
      <c r="L135" s="66">
        <f>K135*VLOOKUP(I135,dagsoorttabel1,2,FALSE)</f>
        <v>0.41</v>
      </c>
      <c r="M135" s="67">
        <f>prodnorm47</f>
        <v>0</v>
      </c>
      <c r="N135" s="68">
        <f>dagwerk47</f>
        <v>0</v>
      </c>
      <c r="O135" s="64" t="s">
        <v>38</v>
      </c>
      <c r="P135" s="69">
        <f>uurtarief47</f>
        <v>0</v>
      </c>
      <c r="Q135" s="66" t="e">
        <f>IF(ISBLANK(M135),0,L135/ROUND(M135,4))</f>
        <v>#DIV/0!</v>
      </c>
      <c r="R135" s="66" t="e">
        <f>IF(ISBLANK(M135),0,Q135*ROUND(N135,2))</f>
        <v>#DIV/0!</v>
      </c>
      <c r="S135" s="69" t="e">
        <f>ROUND(P135,2)*Q135</f>
        <v>#DIV/0!</v>
      </c>
      <c r="T135" s="66" t="e">
        <f>Q135*dagenperjaar1</f>
        <v>#DIV/0!</v>
      </c>
      <c r="U135" s="70" t="e">
        <f>T135*ROUND(P135,2)</f>
        <v>#DIV/0!</v>
      </c>
    </row>
    <row r="136" spans="1:21" x14ac:dyDescent="0.2">
      <c r="A136" s="63" t="s">
        <v>472</v>
      </c>
      <c r="B136" s="64" t="s">
        <v>323</v>
      </c>
      <c r="C136" s="64" t="s">
        <v>345</v>
      </c>
      <c r="D136" s="64" t="s">
        <v>635</v>
      </c>
      <c r="E136" s="64" t="s">
        <v>324</v>
      </c>
      <c r="F136" s="65" t="s">
        <v>354</v>
      </c>
      <c r="G136" s="64" t="s">
        <v>636</v>
      </c>
      <c r="H136" s="64" t="s">
        <v>215</v>
      </c>
      <c r="I136" s="64" t="s">
        <v>10</v>
      </c>
      <c r="J136" s="64" t="s">
        <v>201</v>
      </c>
      <c r="K136" s="66">
        <v>8.4</v>
      </c>
      <c r="L136" s="66">
        <f>K136*VLOOKUP(I136,dagsoorttabel1,2,FALSE)</f>
        <v>8.4</v>
      </c>
      <c r="M136" s="67">
        <f>prodnorm34</f>
        <v>0</v>
      </c>
      <c r="N136" s="68">
        <f>dagwerk34</f>
        <v>0</v>
      </c>
      <c r="O136" s="64" t="s">
        <v>38</v>
      </c>
      <c r="P136" s="69">
        <f>uurtarief34</f>
        <v>0</v>
      </c>
      <c r="Q136" s="66" t="e">
        <f>IF(ISBLANK(M136),0,L136/ROUND(M136,4))</f>
        <v>#DIV/0!</v>
      </c>
      <c r="R136" s="66" t="e">
        <f>IF(ISBLANK(M136),0,Q136*ROUND(N136,2))</f>
        <v>#DIV/0!</v>
      </c>
      <c r="S136" s="69" t="e">
        <f>ROUND(P136,2)*Q136</f>
        <v>#DIV/0!</v>
      </c>
      <c r="T136" s="66" t="e">
        <f>Q136*dagenperjaar1</f>
        <v>#DIV/0!</v>
      </c>
      <c r="U136" s="70" t="e">
        <f>T136*ROUND(P136,2)</f>
        <v>#DIV/0!</v>
      </c>
    </row>
    <row r="137" spans="1:21" x14ac:dyDescent="0.2">
      <c r="A137" s="63" t="s">
        <v>472</v>
      </c>
      <c r="B137" s="64" t="s">
        <v>323</v>
      </c>
      <c r="C137" s="64" t="s">
        <v>345</v>
      </c>
      <c r="D137" s="64" t="s">
        <v>637</v>
      </c>
      <c r="E137" s="64" t="s">
        <v>324</v>
      </c>
      <c r="F137" s="65" t="s">
        <v>638</v>
      </c>
      <c r="G137" s="64" t="s">
        <v>339</v>
      </c>
      <c r="H137" s="64" t="s">
        <v>263</v>
      </c>
      <c r="I137" s="64" t="s">
        <v>10</v>
      </c>
      <c r="J137" s="64" t="s">
        <v>201</v>
      </c>
      <c r="K137" s="66">
        <v>11</v>
      </c>
      <c r="L137" s="66">
        <f>K137*VLOOKUP(I137,dagsoorttabel1,2,FALSE)</f>
        <v>11</v>
      </c>
      <c r="M137" s="67">
        <f>prodnorm63</f>
        <v>0</v>
      </c>
      <c r="N137" s="68">
        <f>dagwerk63</f>
        <v>0</v>
      </c>
      <c r="O137" s="64" t="s">
        <v>38</v>
      </c>
      <c r="P137" s="69">
        <f>uurtarief63</f>
        <v>0</v>
      </c>
      <c r="Q137" s="66" t="e">
        <f>IF(ISBLANK(M137),0,L137/ROUND(M137,4))</f>
        <v>#DIV/0!</v>
      </c>
      <c r="R137" s="66" t="e">
        <f>IF(ISBLANK(M137),0,Q137*ROUND(N137,2))</f>
        <v>#DIV/0!</v>
      </c>
      <c r="S137" s="69" t="e">
        <f>ROUND(P137,2)*Q137</f>
        <v>#DIV/0!</v>
      </c>
      <c r="T137" s="66" t="e">
        <f>Q137*dagenperjaar1</f>
        <v>#DIV/0!</v>
      </c>
      <c r="U137" s="70" t="e">
        <f>T137*ROUND(P137,2)</f>
        <v>#DIV/0!</v>
      </c>
    </row>
    <row r="138" spans="1:21" x14ac:dyDescent="0.2">
      <c r="A138" s="63" t="s">
        <v>472</v>
      </c>
      <c r="B138" s="64" t="s">
        <v>323</v>
      </c>
      <c r="C138" s="64" t="s">
        <v>345</v>
      </c>
      <c r="D138" s="64" t="s">
        <v>639</v>
      </c>
      <c r="E138" s="64" t="s">
        <v>324</v>
      </c>
      <c r="F138" s="65" t="s">
        <v>605</v>
      </c>
      <c r="G138" s="64" t="s">
        <v>328</v>
      </c>
      <c r="H138" s="64" t="s">
        <v>200</v>
      </c>
      <c r="I138" s="64" t="s">
        <v>10</v>
      </c>
      <c r="J138" s="64" t="s">
        <v>201</v>
      </c>
      <c r="K138" s="66">
        <v>222</v>
      </c>
      <c r="L138" s="66">
        <f>K138*VLOOKUP(I138,dagsoorttabel1,2,FALSE)</f>
        <v>222</v>
      </c>
      <c r="M138" s="67">
        <f>prodnorm24</f>
        <v>0</v>
      </c>
      <c r="N138" s="68">
        <f>dagwerk24</f>
        <v>0</v>
      </c>
      <c r="O138" s="64" t="s">
        <v>38</v>
      </c>
      <c r="P138" s="69">
        <f>uurtarief24</f>
        <v>0</v>
      </c>
      <c r="Q138" s="66" t="e">
        <f>IF(ISBLANK(M138),0,L138/ROUND(M138,4))</f>
        <v>#DIV/0!</v>
      </c>
      <c r="R138" s="66" t="e">
        <f>IF(ISBLANK(M138),0,Q138*ROUND(N138,2))</f>
        <v>#DIV/0!</v>
      </c>
      <c r="S138" s="69" t="e">
        <f>ROUND(P138,2)*Q138</f>
        <v>#DIV/0!</v>
      </c>
      <c r="T138" s="66" t="e">
        <f>Q138*dagenperjaar1</f>
        <v>#DIV/0!</v>
      </c>
      <c r="U138" s="70" t="e">
        <f>T138*ROUND(P138,2)</f>
        <v>#DIV/0!</v>
      </c>
    </row>
    <row r="139" spans="1:21" x14ac:dyDescent="0.2">
      <c r="A139" s="63" t="s">
        <v>472</v>
      </c>
      <c r="B139" s="64" t="s">
        <v>323</v>
      </c>
      <c r="C139" s="64" t="s">
        <v>345</v>
      </c>
      <c r="D139" s="64" t="s">
        <v>640</v>
      </c>
      <c r="E139" s="64" t="s">
        <v>324</v>
      </c>
      <c r="F139" s="65" t="s">
        <v>641</v>
      </c>
      <c r="G139" s="64" t="s">
        <v>642</v>
      </c>
      <c r="H139" s="64" t="s">
        <v>255</v>
      </c>
      <c r="I139" s="64" t="s">
        <v>10</v>
      </c>
      <c r="J139" s="64" t="s">
        <v>201</v>
      </c>
      <c r="K139" s="66">
        <v>10.9</v>
      </c>
      <c r="L139" s="66">
        <f>K139*VLOOKUP(I139,dagsoorttabel1,2,FALSE)</f>
        <v>10.9</v>
      </c>
      <c r="M139" s="67">
        <f>prodnorm59</f>
        <v>0</v>
      </c>
      <c r="N139" s="68">
        <f>dagwerk59</f>
        <v>0</v>
      </c>
      <c r="O139" s="64" t="s">
        <v>38</v>
      </c>
      <c r="P139" s="69">
        <f>uurtarief59</f>
        <v>0</v>
      </c>
      <c r="Q139" s="66" t="e">
        <f>IF(ISBLANK(M139),0,L139/ROUND(M139,4))</f>
        <v>#DIV/0!</v>
      </c>
      <c r="R139" s="66" t="e">
        <f>IF(ISBLANK(M139),0,Q139*ROUND(N139,2))</f>
        <v>#DIV/0!</v>
      </c>
      <c r="S139" s="69" t="e">
        <f>ROUND(P139,2)*Q139</f>
        <v>#DIV/0!</v>
      </c>
      <c r="T139" s="66" t="e">
        <f>Q139*dagenperjaar1</f>
        <v>#DIV/0!</v>
      </c>
      <c r="U139" s="70" t="e">
        <f>T139*ROUND(P139,2)</f>
        <v>#DIV/0!</v>
      </c>
    </row>
    <row r="140" spans="1:21" x14ac:dyDescent="0.2">
      <c r="A140" s="63" t="s">
        <v>472</v>
      </c>
      <c r="B140" s="64" t="s">
        <v>323</v>
      </c>
      <c r="C140" s="64" t="s">
        <v>345</v>
      </c>
      <c r="D140" s="64" t="s">
        <v>643</v>
      </c>
      <c r="E140" s="64" t="s">
        <v>324</v>
      </c>
      <c r="F140" s="65" t="s">
        <v>641</v>
      </c>
      <c r="G140" s="64" t="s">
        <v>642</v>
      </c>
      <c r="H140" s="64" t="s">
        <v>255</v>
      </c>
      <c r="I140" s="64" t="s">
        <v>10</v>
      </c>
      <c r="J140" s="64" t="s">
        <v>201</v>
      </c>
      <c r="K140" s="66">
        <v>12</v>
      </c>
      <c r="L140" s="66">
        <f>K140*VLOOKUP(I140,dagsoorttabel1,2,FALSE)</f>
        <v>12</v>
      </c>
      <c r="M140" s="67">
        <f>prodnorm59</f>
        <v>0</v>
      </c>
      <c r="N140" s="68">
        <f>dagwerk59</f>
        <v>0</v>
      </c>
      <c r="O140" s="64" t="s">
        <v>38</v>
      </c>
      <c r="P140" s="69">
        <f>uurtarief59</f>
        <v>0</v>
      </c>
      <c r="Q140" s="66" t="e">
        <f>IF(ISBLANK(M140),0,L140/ROUND(M140,4))</f>
        <v>#DIV/0!</v>
      </c>
      <c r="R140" s="66" t="e">
        <f>IF(ISBLANK(M140),0,Q140*ROUND(N140,2))</f>
        <v>#DIV/0!</v>
      </c>
      <c r="S140" s="69" t="e">
        <f>ROUND(P140,2)*Q140</f>
        <v>#DIV/0!</v>
      </c>
      <c r="T140" s="66" t="e">
        <f>Q140*dagenperjaar1</f>
        <v>#DIV/0!</v>
      </c>
      <c r="U140" s="70" t="e">
        <f>T140*ROUND(P140,2)</f>
        <v>#DIV/0!</v>
      </c>
    </row>
    <row r="141" spans="1:21" x14ac:dyDescent="0.2">
      <c r="A141" s="63" t="s">
        <v>472</v>
      </c>
      <c r="B141" s="64" t="s">
        <v>323</v>
      </c>
      <c r="C141" s="64" t="s">
        <v>323</v>
      </c>
      <c r="D141" s="64" t="s">
        <v>644</v>
      </c>
      <c r="E141" s="64" t="s">
        <v>324</v>
      </c>
      <c r="F141" s="65" t="s">
        <v>578</v>
      </c>
      <c r="G141" s="64" t="s">
        <v>328</v>
      </c>
      <c r="H141" s="64" t="s">
        <v>267</v>
      </c>
      <c r="I141" s="64" t="s">
        <v>10</v>
      </c>
      <c r="J141" s="64" t="s">
        <v>201</v>
      </c>
      <c r="K141" s="66">
        <v>89.5</v>
      </c>
      <c r="L141" s="66">
        <f>K141*VLOOKUP(I141,dagsoorttabel1,2,FALSE)</f>
        <v>89.5</v>
      </c>
      <c r="M141" s="67">
        <f>prodnorm65</f>
        <v>0</v>
      </c>
      <c r="N141" s="68">
        <f>dagwerk65</f>
        <v>0</v>
      </c>
      <c r="O141" s="64" t="s">
        <v>38</v>
      </c>
      <c r="P141" s="69">
        <f>uurtarief65</f>
        <v>0</v>
      </c>
      <c r="Q141" s="66" t="e">
        <f>IF(ISBLANK(M141),0,L141/ROUND(M141,4))</f>
        <v>#DIV/0!</v>
      </c>
      <c r="R141" s="66" t="e">
        <f>IF(ISBLANK(M141),0,Q141*ROUND(N141,2))</f>
        <v>#DIV/0!</v>
      </c>
      <c r="S141" s="69" t="e">
        <f>ROUND(P141,2)*Q141</f>
        <v>#DIV/0!</v>
      </c>
      <c r="T141" s="66" t="e">
        <f>Q141*dagenperjaar1</f>
        <v>#DIV/0!</v>
      </c>
      <c r="U141" s="70" t="e">
        <f>T141*ROUND(P141,2)</f>
        <v>#DIV/0!</v>
      </c>
    </row>
    <row r="142" spans="1:21" x14ac:dyDescent="0.2">
      <c r="A142" s="63" t="s">
        <v>472</v>
      </c>
      <c r="B142" s="64" t="s">
        <v>323</v>
      </c>
      <c r="C142" s="64" t="s">
        <v>323</v>
      </c>
      <c r="D142" s="64" t="s">
        <v>645</v>
      </c>
      <c r="E142" s="64" t="s">
        <v>324</v>
      </c>
      <c r="F142" s="65" t="s">
        <v>381</v>
      </c>
      <c r="G142" s="64" t="s">
        <v>328</v>
      </c>
      <c r="H142" s="64" t="s">
        <v>205</v>
      </c>
      <c r="I142" s="64" t="s">
        <v>10</v>
      </c>
      <c r="J142" s="64" t="s">
        <v>201</v>
      </c>
      <c r="K142" s="66">
        <v>24.7</v>
      </c>
      <c r="L142" s="66">
        <f>K142*VLOOKUP(I142,dagsoorttabel1,2,FALSE)</f>
        <v>24.7</v>
      </c>
      <c r="M142" s="67">
        <f>prodnorm26</f>
        <v>0</v>
      </c>
      <c r="N142" s="68">
        <f>dagwerk26</f>
        <v>0</v>
      </c>
      <c r="O142" s="64" t="s">
        <v>38</v>
      </c>
      <c r="P142" s="69">
        <f>uurtarief26</f>
        <v>0</v>
      </c>
      <c r="Q142" s="66" t="e">
        <f>IF(ISBLANK(M142),0,L142/ROUND(M142,4))</f>
        <v>#DIV/0!</v>
      </c>
      <c r="R142" s="66" t="e">
        <f>IF(ISBLANK(M142),0,Q142*ROUND(N142,2))</f>
        <v>#DIV/0!</v>
      </c>
      <c r="S142" s="69" t="e">
        <f>ROUND(P142,2)*Q142</f>
        <v>#DIV/0!</v>
      </c>
      <c r="T142" s="66" t="e">
        <f>Q142*dagenperjaar1</f>
        <v>#DIV/0!</v>
      </c>
      <c r="U142" s="70" t="e">
        <f>T142*ROUND(P142,2)</f>
        <v>#DIV/0!</v>
      </c>
    </row>
    <row r="143" spans="1:21" x14ac:dyDescent="0.2">
      <c r="A143" s="63" t="s">
        <v>472</v>
      </c>
      <c r="B143" s="64" t="s">
        <v>323</v>
      </c>
      <c r="C143" s="64" t="s">
        <v>323</v>
      </c>
      <c r="D143" s="64" t="s">
        <v>646</v>
      </c>
      <c r="E143" s="64" t="s">
        <v>324</v>
      </c>
      <c r="F143" s="65" t="s">
        <v>647</v>
      </c>
      <c r="G143" s="64" t="s">
        <v>328</v>
      </c>
      <c r="H143" s="64" t="s">
        <v>251</v>
      </c>
      <c r="I143" s="64" t="s">
        <v>10</v>
      </c>
      <c r="J143" s="64" t="s">
        <v>201</v>
      </c>
      <c r="K143" s="66">
        <v>84.3</v>
      </c>
      <c r="L143" s="66">
        <f>K143*VLOOKUP(I143,dagsoorttabel1,2,FALSE)</f>
        <v>84.3</v>
      </c>
      <c r="M143" s="67">
        <f>prodnorm57</f>
        <v>0</v>
      </c>
      <c r="N143" s="68">
        <f>dagwerk57</f>
        <v>0</v>
      </c>
      <c r="O143" s="64" t="s">
        <v>38</v>
      </c>
      <c r="P143" s="69">
        <f>uurtarief57</f>
        <v>0</v>
      </c>
      <c r="Q143" s="66" t="e">
        <f>IF(ISBLANK(M143),0,L143/ROUND(M143,4))</f>
        <v>#DIV/0!</v>
      </c>
      <c r="R143" s="66" t="e">
        <f>IF(ISBLANK(M143),0,Q143*ROUND(N143,2))</f>
        <v>#DIV/0!</v>
      </c>
      <c r="S143" s="69" t="e">
        <f>ROUND(P143,2)*Q143</f>
        <v>#DIV/0!</v>
      </c>
      <c r="T143" s="66" t="e">
        <f>Q143*dagenperjaar1</f>
        <v>#DIV/0!</v>
      </c>
      <c r="U143" s="70" t="e">
        <f>T143*ROUND(P143,2)</f>
        <v>#DIV/0!</v>
      </c>
    </row>
    <row r="144" spans="1:21" x14ac:dyDescent="0.2">
      <c r="A144" s="63" t="s">
        <v>472</v>
      </c>
      <c r="B144" s="64" t="s">
        <v>323</v>
      </c>
      <c r="C144" s="64" t="s">
        <v>323</v>
      </c>
      <c r="D144" s="64" t="s">
        <v>648</v>
      </c>
      <c r="E144" s="64" t="s">
        <v>324</v>
      </c>
      <c r="F144" s="65" t="s">
        <v>649</v>
      </c>
      <c r="G144" s="64" t="s">
        <v>328</v>
      </c>
      <c r="H144" s="64" t="s">
        <v>229</v>
      </c>
      <c r="I144" s="64" t="s">
        <v>10</v>
      </c>
      <c r="J144" s="64" t="s">
        <v>201</v>
      </c>
      <c r="K144" s="66">
        <v>64.599999999999994</v>
      </c>
      <c r="L144" s="66">
        <f>K144*VLOOKUP(I144,dagsoorttabel1,2,FALSE)</f>
        <v>64.599999999999994</v>
      </c>
      <c r="M144" s="67">
        <f>prodnorm43</f>
        <v>0</v>
      </c>
      <c r="N144" s="68">
        <f>dagwerk43</f>
        <v>0</v>
      </c>
      <c r="O144" s="64" t="s">
        <v>38</v>
      </c>
      <c r="P144" s="69">
        <f>uurtarief43</f>
        <v>0</v>
      </c>
      <c r="Q144" s="66" t="e">
        <f>IF(ISBLANK(M144),0,L144/ROUND(M144,4))</f>
        <v>#DIV/0!</v>
      </c>
      <c r="R144" s="66" t="e">
        <f>IF(ISBLANK(M144),0,Q144*ROUND(N144,2))</f>
        <v>#DIV/0!</v>
      </c>
      <c r="S144" s="69" t="e">
        <f>ROUND(P144,2)*Q144</f>
        <v>#DIV/0!</v>
      </c>
      <c r="T144" s="66" t="e">
        <f>Q144*dagenperjaar1</f>
        <v>#DIV/0!</v>
      </c>
      <c r="U144" s="70" t="e">
        <f>T144*ROUND(P144,2)</f>
        <v>#DIV/0!</v>
      </c>
    </row>
    <row r="145" spans="1:21" x14ac:dyDescent="0.2">
      <c r="A145" s="63" t="s">
        <v>472</v>
      </c>
      <c r="B145" s="64" t="s">
        <v>323</v>
      </c>
      <c r="C145" s="64" t="s">
        <v>323</v>
      </c>
      <c r="D145" s="64" t="s">
        <v>650</v>
      </c>
      <c r="E145" s="64" t="s">
        <v>324</v>
      </c>
      <c r="F145" s="65" t="s">
        <v>651</v>
      </c>
      <c r="G145" s="64" t="s">
        <v>328</v>
      </c>
      <c r="H145" s="64" t="s">
        <v>251</v>
      </c>
      <c r="I145" s="64" t="s">
        <v>10</v>
      </c>
      <c r="J145" s="64" t="s">
        <v>201</v>
      </c>
      <c r="K145" s="66">
        <v>79.099999999999994</v>
      </c>
      <c r="L145" s="66">
        <f>K145*VLOOKUP(I145,dagsoorttabel1,2,FALSE)</f>
        <v>79.099999999999994</v>
      </c>
      <c r="M145" s="67">
        <f>prodnorm57</f>
        <v>0</v>
      </c>
      <c r="N145" s="68">
        <f>dagwerk57</f>
        <v>0</v>
      </c>
      <c r="O145" s="64" t="s">
        <v>38</v>
      </c>
      <c r="P145" s="69">
        <f>uurtarief57</f>
        <v>0</v>
      </c>
      <c r="Q145" s="66" t="e">
        <f>IF(ISBLANK(M145),0,L145/ROUND(M145,4))</f>
        <v>#DIV/0!</v>
      </c>
      <c r="R145" s="66" t="e">
        <f>IF(ISBLANK(M145),0,Q145*ROUND(N145,2))</f>
        <v>#DIV/0!</v>
      </c>
      <c r="S145" s="69" t="e">
        <f>ROUND(P145,2)*Q145</f>
        <v>#DIV/0!</v>
      </c>
      <c r="T145" s="66" t="e">
        <f>Q145*dagenperjaar1</f>
        <v>#DIV/0!</v>
      </c>
      <c r="U145" s="70" t="e">
        <f>T145*ROUND(P145,2)</f>
        <v>#DIV/0!</v>
      </c>
    </row>
    <row r="146" spans="1:21" x14ac:dyDescent="0.2">
      <c r="A146" s="63" t="s">
        <v>472</v>
      </c>
      <c r="B146" s="64" t="s">
        <v>323</v>
      </c>
      <c r="C146" s="64" t="s">
        <v>323</v>
      </c>
      <c r="D146" s="64" t="s">
        <v>652</v>
      </c>
      <c r="E146" s="64" t="s">
        <v>324</v>
      </c>
      <c r="F146" s="65" t="s">
        <v>651</v>
      </c>
      <c r="G146" s="64" t="s">
        <v>328</v>
      </c>
      <c r="H146" s="64" t="s">
        <v>251</v>
      </c>
      <c r="I146" s="64" t="s">
        <v>10</v>
      </c>
      <c r="J146" s="64" t="s">
        <v>201</v>
      </c>
      <c r="K146" s="66">
        <v>81.099999999999994</v>
      </c>
      <c r="L146" s="66">
        <f>K146*VLOOKUP(I146,dagsoorttabel1,2,FALSE)</f>
        <v>81.099999999999994</v>
      </c>
      <c r="M146" s="67">
        <f>prodnorm57</f>
        <v>0</v>
      </c>
      <c r="N146" s="68">
        <f>dagwerk57</f>
        <v>0</v>
      </c>
      <c r="O146" s="64" t="s">
        <v>38</v>
      </c>
      <c r="P146" s="69">
        <f>uurtarief57</f>
        <v>0</v>
      </c>
      <c r="Q146" s="66" t="e">
        <f>IF(ISBLANK(M146),0,L146/ROUND(M146,4))</f>
        <v>#DIV/0!</v>
      </c>
      <c r="R146" s="66" t="e">
        <f>IF(ISBLANK(M146),0,Q146*ROUND(N146,2))</f>
        <v>#DIV/0!</v>
      </c>
      <c r="S146" s="69" t="e">
        <f>ROUND(P146,2)*Q146</f>
        <v>#DIV/0!</v>
      </c>
      <c r="T146" s="66" t="e">
        <f>Q146*dagenperjaar1</f>
        <v>#DIV/0!</v>
      </c>
      <c r="U146" s="70" t="e">
        <f>T146*ROUND(P146,2)</f>
        <v>#DIV/0!</v>
      </c>
    </row>
    <row r="147" spans="1:21" x14ac:dyDescent="0.2">
      <c r="A147" s="63" t="s">
        <v>472</v>
      </c>
      <c r="B147" s="64" t="s">
        <v>323</v>
      </c>
      <c r="C147" s="64" t="s">
        <v>323</v>
      </c>
      <c r="D147" s="64" t="s">
        <v>653</v>
      </c>
      <c r="E147" s="64" t="s">
        <v>324</v>
      </c>
      <c r="F147" s="65" t="s">
        <v>425</v>
      </c>
      <c r="G147" s="64" t="s">
        <v>328</v>
      </c>
      <c r="H147" s="64" t="s">
        <v>251</v>
      </c>
      <c r="I147" s="64" t="s">
        <v>10</v>
      </c>
      <c r="J147" s="64" t="s">
        <v>201</v>
      </c>
      <c r="K147" s="66">
        <v>25.2</v>
      </c>
      <c r="L147" s="66">
        <f>K147*VLOOKUP(I147,dagsoorttabel1,2,FALSE)</f>
        <v>25.2</v>
      </c>
      <c r="M147" s="67">
        <f>prodnorm57</f>
        <v>0</v>
      </c>
      <c r="N147" s="68">
        <f>dagwerk57</f>
        <v>0</v>
      </c>
      <c r="O147" s="64" t="s">
        <v>38</v>
      </c>
      <c r="P147" s="69">
        <f>uurtarief57</f>
        <v>0</v>
      </c>
      <c r="Q147" s="66" t="e">
        <f>IF(ISBLANK(M147),0,L147/ROUND(M147,4))</f>
        <v>#DIV/0!</v>
      </c>
      <c r="R147" s="66" t="e">
        <f>IF(ISBLANK(M147),0,Q147*ROUND(N147,2))</f>
        <v>#DIV/0!</v>
      </c>
      <c r="S147" s="69" t="e">
        <f>ROUND(P147,2)*Q147</f>
        <v>#DIV/0!</v>
      </c>
      <c r="T147" s="66" t="e">
        <f>Q147*dagenperjaar1</f>
        <v>#DIV/0!</v>
      </c>
      <c r="U147" s="70" t="e">
        <f>T147*ROUND(P147,2)</f>
        <v>#DIV/0!</v>
      </c>
    </row>
    <row r="148" spans="1:21" x14ac:dyDescent="0.2">
      <c r="A148" s="63" t="s">
        <v>472</v>
      </c>
      <c r="B148" s="64" t="s">
        <v>323</v>
      </c>
      <c r="C148" s="64" t="s">
        <v>323</v>
      </c>
      <c r="D148" s="64" t="s">
        <v>654</v>
      </c>
      <c r="E148" s="64" t="s">
        <v>324</v>
      </c>
      <c r="F148" s="65" t="s">
        <v>655</v>
      </c>
      <c r="G148" s="64" t="s">
        <v>328</v>
      </c>
      <c r="H148" s="64" t="s">
        <v>263</v>
      </c>
      <c r="I148" s="64" t="s">
        <v>10</v>
      </c>
      <c r="J148" s="64" t="s">
        <v>201</v>
      </c>
      <c r="K148" s="66">
        <v>12.9</v>
      </c>
      <c r="L148" s="66">
        <f>K148*VLOOKUP(I148,dagsoorttabel1,2,FALSE)</f>
        <v>12.9</v>
      </c>
      <c r="M148" s="67">
        <f>prodnorm63</f>
        <v>0</v>
      </c>
      <c r="N148" s="68">
        <f>dagwerk63</f>
        <v>0</v>
      </c>
      <c r="O148" s="64" t="s">
        <v>38</v>
      </c>
      <c r="P148" s="69">
        <f>uurtarief63</f>
        <v>0</v>
      </c>
      <c r="Q148" s="66" t="e">
        <f>IF(ISBLANK(M148),0,L148/ROUND(M148,4))</f>
        <v>#DIV/0!</v>
      </c>
      <c r="R148" s="66" t="e">
        <f>IF(ISBLANK(M148),0,Q148*ROUND(N148,2))</f>
        <v>#DIV/0!</v>
      </c>
      <c r="S148" s="69" t="e">
        <f>ROUND(P148,2)*Q148</f>
        <v>#DIV/0!</v>
      </c>
      <c r="T148" s="66" t="e">
        <f>Q148*dagenperjaar1</f>
        <v>#DIV/0!</v>
      </c>
      <c r="U148" s="70" t="e">
        <f>T148*ROUND(P148,2)</f>
        <v>#DIV/0!</v>
      </c>
    </row>
    <row r="149" spans="1:21" x14ac:dyDescent="0.2">
      <c r="A149" s="63" t="s">
        <v>472</v>
      </c>
      <c r="B149" s="64" t="s">
        <v>323</v>
      </c>
      <c r="C149" s="64" t="s">
        <v>323</v>
      </c>
      <c r="D149" s="64" t="s">
        <v>656</v>
      </c>
      <c r="E149" s="64" t="s">
        <v>324</v>
      </c>
      <c r="F149" s="65" t="s">
        <v>657</v>
      </c>
      <c r="G149" s="64" t="s">
        <v>328</v>
      </c>
      <c r="H149" s="64" t="s">
        <v>205</v>
      </c>
      <c r="I149" s="64" t="s">
        <v>10</v>
      </c>
      <c r="J149" s="64" t="s">
        <v>201</v>
      </c>
      <c r="K149" s="66">
        <v>120</v>
      </c>
      <c r="L149" s="66">
        <f>K149*VLOOKUP(I149,dagsoorttabel1,2,FALSE)</f>
        <v>120</v>
      </c>
      <c r="M149" s="67">
        <f>prodnorm26</f>
        <v>0</v>
      </c>
      <c r="N149" s="68">
        <f>dagwerk26</f>
        <v>0</v>
      </c>
      <c r="O149" s="64" t="s">
        <v>38</v>
      </c>
      <c r="P149" s="69">
        <f>uurtarief26</f>
        <v>0</v>
      </c>
      <c r="Q149" s="66" t="e">
        <f>IF(ISBLANK(M149),0,L149/ROUND(M149,4))</f>
        <v>#DIV/0!</v>
      </c>
      <c r="R149" s="66" t="e">
        <f>IF(ISBLANK(M149),0,Q149*ROUND(N149,2))</f>
        <v>#DIV/0!</v>
      </c>
      <c r="S149" s="69" t="e">
        <f>ROUND(P149,2)*Q149</f>
        <v>#DIV/0!</v>
      </c>
      <c r="T149" s="66" t="e">
        <f>Q149*dagenperjaar1</f>
        <v>#DIV/0!</v>
      </c>
      <c r="U149" s="70" t="e">
        <f>T149*ROUND(P149,2)</f>
        <v>#DIV/0!</v>
      </c>
    </row>
    <row r="150" spans="1:21" x14ac:dyDescent="0.2">
      <c r="A150" s="63" t="s">
        <v>472</v>
      </c>
      <c r="B150" s="64" t="s">
        <v>323</v>
      </c>
      <c r="C150" s="64" t="s">
        <v>323</v>
      </c>
      <c r="D150" s="64" t="s">
        <v>658</v>
      </c>
      <c r="E150" s="64" t="s">
        <v>324</v>
      </c>
      <c r="F150" s="65" t="s">
        <v>659</v>
      </c>
      <c r="G150" s="64" t="s">
        <v>328</v>
      </c>
      <c r="H150" s="64" t="s">
        <v>237</v>
      </c>
      <c r="I150" s="64" t="s">
        <v>19</v>
      </c>
      <c r="J150" s="64" t="s">
        <v>201</v>
      </c>
      <c r="K150" s="66">
        <v>13.2</v>
      </c>
      <c r="L150" s="66">
        <f>K150*VLOOKUP(I150,dagsoorttabel1,2,FALSE)</f>
        <v>0.66</v>
      </c>
      <c r="M150" s="67">
        <f>prodnorm47</f>
        <v>0</v>
      </c>
      <c r="N150" s="68">
        <f>dagwerk47</f>
        <v>0</v>
      </c>
      <c r="O150" s="64" t="s">
        <v>38</v>
      </c>
      <c r="P150" s="69">
        <f>uurtarief47</f>
        <v>0</v>
      </c>
      <c r="Q150" s="66" t="e">
        <f>IF(ISBLANK(M150),0,L150/ROUND(M150,4))</f>
        <v>#DIV/0!</v>
      </c>
      <c r="R150" s="66" t="e">
        <f>IF(ISBLANK(M150),0,Q150*ROUND(N150,2))</f>
        <v>#DIV/0!</v>
      </c>
      <c r="S150" s="69" t="e">
        <f>ROUND(P150,2)*Q150</f>
        <v>#DIV/0!</v>
      </c>
      <c r="T150" s="66" t="e">
        <f>Q150*dagenperjaar1</f>
        <v>#DIV/0!</v>
      </c>
      <c r="U150" s="70" t="e">
        <f>T150*ROUND(P150,2)</f>
        <v>#DIV/0!</v>
      </c>
    </row>
    <row r="151" spans="1:21" x14ac:dyDescent="0.2">
      <c r="A151" s="63" t="s">
        <v>472</v>
      </c>
      <c r="B151" s="64" t="s">
        <v>323</v>
      </c>
      <c r="C151" s="64" t="s">
        <v>323</v>
      </c>
      <c r="D151" s="64" t="s">
        <v>660</v>
      </c>
      <c r="E151" s="64" t="s">
        <v>324</v>
      </c>
      <c r="F151" s="65" t="s">
        <v>661</v>
      </c>
      <c r="G151" s="64" t="s">
        <v>328</v>
      </c>
      <c r="H151" s="64" t="s">
        <v>205</v>
      </c>
      <c r="I151" s="64" t="s">
        <v>10</v>
      </c>
      <c r="J151" s="64" t="s">
        <v>201</v>
      </c>
      <c r="K151" s="66">
        <v>20.3</v>
      </c>
      <c r="L151" s="66">
        <f>K151*VLOOKUP(I151,dagsoorttabel1,2,FALSE)</f>
        <v>20.3</v>
      </c>
      <c r="M151" s="67">
        <f>prodnorm26</f>
        <v>0</v>
      </c>
      <c r="N151" s="68">
        <f>dagwerk26</f>
        <v>0</v>
      </c>
      <c r="O151" s="64" t="s">
        <v>38</v>
      </c>
      <c r="P151" s="69">
        <f>uurtarief26</f>
        <v>0</v>
      </c>
      <c r="Q151" s="66" t="e">
        <f>IF(ISBLANK(M151),0,L151/ROUND(M151,4))</f>
        <v>#DIV/0!</v>
      </c>
      <c r="R151" s="66" t="e">
        <f>IF(ISBLANK(M151),0,Q151*ROUND(N151,2))</f>
        <v>#DIV/0!</v>
      </c>
      <c r="S151" s="69" t="e">
        <f>ROUND(P151,2)*Q151</f>
        <v>#DIV/0!</v>
      </c>
      <c r="T151" s="66" t="e">
        <f>Q151*dagenperjaar1</f>
        <v>#DIV/0!</v>
      </c>
      <c r="U151" s="70" t="e">
        <f>T151*ROUND(P151,2)</f>
        <v>#DIV/0!</v>
      </c>
    </row>
    <row r="152" spans="1:21" x14ac:dyDescent="0.2">
      <c r="A152" s="63" t="s">
        <v>472</v>
      </c>
      <c r="B152" s="64" t="s">
        <v>323</v>
      </c>
      <c r="C152" s="64" t="s">
        <v>323</v>
      </c>
      <c r="D152" s="64" t="s">
        <v>662</v>
      </c>
      <c r="E152" s="64" t="s">
        <v>324</v>
      </c>
      <c r="F152" s="65" t="s">
        <v>663</v>
      </c>
      <c r="G152" s="64" t="s">
        <v>328</v>
      </c>
      <c r="H152" s="64" t="s">
        <v>205</v>
      </c>
      <c r="I152" s="64" t="s">
        <v>10</v>
      </c>
      <c r="J152" s="64" t="s">
        <v>201</v>
      </c>
      <c r="K152" s="66">
        <v>12.1</v>
      </c>
      <c r="L152" s="66">
        <f>K152*VLOOKUP(I152,dagsoorttabel1,2,FALSE)</f>
        <v>12.1</v>
      </c>
      <c r="M152" s="67">
        <f>prodnorm26</f>
        <v>0</v>
      </c>
      <c r="N152" s="68">
        <f>dagwerk26</f>
        <v>0</v>
      </c>
      <c r="O152" s="64" t="s">
        <v>38</v>
      </c>
      <c r="P152" s="69">
        <f>uurtarief26</f>
        <v>0</v>
      </c>
      <c r="Q152" s="66" t="e">
        <f>IF(ISBLANK(M152),0,L152/ROUND(M152,4))</f>
        <v>#DIV/0!</v>
      </c>
      <c r="R152" s="66" t="e">
        <f>IF(ISBLANK(M152),0,Q152*ROUND(N152,2))</f>
        <v>#DIV/0!</v>
      </c>
      <c r="S152" s="69" t="e">
        <f>ROUND(P152,2)*Q152</f>
        <v>#DIV/0!</v>
      </c>
      <c r="T152" s="66" t="e">
        <f>Q152*dagenperjaar1</f>
        <v>#DIV/0!</v>
      </c>
      <c r="U152" s="70" t="e">
        <f>T152*ROUND(P152,2)</f>
        <v>#DIV/0!</v>
      </c>
    </row>
    <row r="153" spans="1:21" x14ac:dyDescent="0.2">
      <c r="A153" s="63" t="s">
        <v>472</v>
      </c>
      <c r="B153" s="64" t="s">
        <v>323</v>
      </c>
      <c r="C153" s="64" t="s">
        <v>323</v>
      </c>
      <c r="D153" s="64" t="s">
        <v>664</v>
      </c>
      <c r="E153" s="64" t="s">
        <v>324</v>
      </c>
      <c r="F153" s="65" t="s">
        <v>649</v>
      </c>
      <c r="G153" s="64" t="s">
        <v>328</v>
      </c>
      <c r="H153" s="64" t="s">
        <v>229</v>
      </c>
      <c r="I153" s="64" t="s">
        <v>10</v>
      </c>
      <c r="J153" s="64" t="s">
        <v>201</v>
      </c>
      <c r="K153" s="66">
        <v>58.2</v>
      </c>
      <c r="L153" s="66">
        <f>K153*VLOOKUP(I153,dagsoorttabel1,2,FALSE)</f>
        <v>58.2</v>
      </c>
      <c r="M153" s="67">
        <f>prodnorm43</f>
        <v>0</v>
      </c>
      <c r="N153" s="68">
        <f>dagwerk43</f>
        <v>0</v>
      </c>
      <c r="O153" s="64" t="s">
        <v>38</v>
      </c>
      <c r="P153" s="69">
        <f>uurtarief43</f>
        <v>0</v>
      </c>
      <c r="Q153" s="66" t="e">
        <f>IF(ISBLANK(M153),0,L153/ROUND(M153,4))</f>
        <v>#DIV/0!</v>
      </c>
      <c r="R153" s="66" t="e">
        <f>IF(ISBLANK(M153),0,Q153*ROUND(N153,2))</f>
        <v>#DIV/0!</v>
      </c>
      <c r="S153" s="69" t="e">
        <f>ROUND(P153,2)*Q153</f>
        <v>#DIV/0!</v>
      </c>
      <c r="T153" s="66" t="e">
        <f>Q153*dagenperjaar1</f>
        <v>#DIV/0!</v>
      </c>
      <c r="U153" s="70" t="e">
        <f>T153*ROUND(P153,2)</f>
        <v>#DIV/0!</v>
      </c>
    </row>
    <row r="154" spans="1:21" x14ac:dyDescent="0.2">
      <c r="A154" s="63" t="s">
        <v>472</v>
      </c>
      <c r="B154" s="64" t="s">
        <v>323</v>
      </c>
      <c r="C154" s="64" t="s">
        <v>323</v>
      </c>
      <c r="D154" s="64" t="s">
        <v>665</v>
      </c>
      <c r="E154" s="64" t="s">
        <v>324</v>
      </c>
      <c r="F154" s="65" t="s">
        <v>651</v>
      </c>
      <c r="G154" s="64" t="s">
        <v>328</v>
      </c>
      <c r="H154" s="64" t="s">
        <v>251</v>
      </c>
      <c r="I154" s="64" t="s">
        <v>10</v>
      </c>
      <c r="J154" s="64" t="s">
        <v>201</v>
      </c>
      <c r="K154" s="66">
        <v>99.9</v>
      </c>
      <c r="L154" s="66">
        <f>K154*VLOOKUP(I154,dagsoorttabel1,2,FALSE)</f>
        <v>99.9</v>
      </c>
      <c r="M154" s="67">
        <f>prodnorm57</f>
        <v>0</v>
      </c>
      <c r="N154" s="68">
        <f>dagwerk57</f>
        <v>0</v>
      </c>
      <c r="O154" s="64" t="s">
        <v>38</v>
      </c>
      <c r="P154" s="69">
        <f>uurtarief57</f>
        <v>0</v>
      </c>
      <c r="Q154" s="66" t="e">
        <f>IF(ISBLANK(M154),0,L154/ROUND(M154,4))</f>
        <v>#DIV/0!</v>
      </c>
      <c r="R154" s="66" t="e">
        <f>IF(ISBLANK(M154),0,Q154*ROUND(N154,2))</f>
        <v>#DIV/0!</v>
      </c>
      <c r="S154" s="69" t="e">
        <f>ROUND(P154,2)*Q154</f>
        <v>#DIV/0!</v>
      </c>
      <c r="T154" s="66" t="e">
        <f>Q154*dagenperjaar1</f>
        <v>#DIV/0!</v>
      </c>
      <c r="U154" s="70" t="e">
        <f>T154*ROUND(P154,2)</f>
        <v>#DIV/0!</v>
      </c>
    </row>
    <row r="155" spans="1:21" x14ac:dyDescent="0.2">
      <c r="A155" s="63" t="s">
        <v>472</v>
      </c>
      <c r="B155" s="64" t="s">
        <v>323</v>
      </c>
      <c r="C155" s="64" t="s">
        <v>323</v>
      </c>
      <c r="D155" s="64" t="s">
        <v>666</v>
      </c>
      <c r="E155" s="64" t="s">
        <v>324</v>
      </c>
      <c r="F155" s="65" t="s">
        <v>667</v>
      </c>
      <c r="G155" s="64" t="s">
        <v>328</v>
      </c>
      <c r="H155" s="64" t="s">
        <v>251</v>
      </c>
      <c r="I155" s="64" t="s">
        <v>10</v>
      </c>
      <c r="J155" s="64" t="s">
        <v>201</v>
      </c>
      <c r="K155" s="66">
        <v>81.400000000000006</v>
      </c>
      <c r="L155" s="66">
        <f>K155*VLOOKUP(I155,dagsoorttabel1,2,FALSE)</f>
        <v>81.400000000000006</v>
      </c>
      <c r="M155" s="67">
        <f>prodnorm57</f>
        <v>0</v>
      </c>
      <c r="N155" s="68">
        <f>dagwerk57</f>
        <v>0</v>
      </c>
      <c r="O155" s="64" t="s">
        <v>38</v>
      </c>
      <c r="P155" s="69">
        <f>uurtarief57</f>
        <v>0</v>
      </c>
      <c r="Q155" s="66" t="e">
        <f>IF(ISBLANK(M155),0,L155/ROUND(M155,4))</f>
        <v>#DIV/0!</v>
      </c>
      <c r="R155" s="66" t="e">
        <f>IF(ISBLANK(M155),0,Q155*ROUND(N155,2))</f>
        <v>#DIV/0!</v>
      </c>
      <c r="S155" s="69" t="e">
        <f>ROUND(P155,2)*Q155</f>
        <v>#DIV/0!</v>
      </c>
      <c r="T155" s="66" t="e">
        <f>Q155*dagenperjaar1</f>
        <v>#DIV/0!</v>
      </c>
      <c r="U155" s="70" t="e">
        <f>T155*ROUND(P155,2)</f>
        <v>#DIV/0!</v>
      </c>
    </row>
    <row r="156" spans="1:21" x14ac:dyDescent="0.2">
      <c r="A156" s="63" t="s">
        <v>472</v>
      </c>
      <c r="B156" s="64" t="s">
        <v>323</v>
      </c>
      <c r="C156" s="64" t="s">
        <v>323</v>
      </c>
      <c r="D156" s="64" t="s">
        <v>668</v>
      </c>
      <c r="E156" s="64" t="s">
        <v>324</v>
      </c>
      <c r="F156" s="65" t="s">
        <v>667</v>
      </c>
      <c r="G156" s="64" t="s">
        <v>328</v>
      </c>
      <c r="H156" s="64" t="s">
        <v>251</v>
      </c>
      <c r="I156" s="64" t="s">
        <v>10</v>
      </c>
      <c r="J156" s="64" t="s">
        <v>201</v>
      </c>
      <c r="K156" s="66">
        <v>77</v>
      </c>
      <c r="L156" s="66">
        <f>K156*VLOOKUP(I156,dagsoorttabel1,2,FALSE)</f>
        <v>77</v>
      </c>
      <c r="M156" s="67">
        <f>prodnorm57</f>
        <v>0</v>
      </c>
      <c r="N156" s="68">
        <f>dagwerk57</f>
        <v>0</v>
      </c>
      <c r="O156" s="64" t="s">
        <v>38</v>
      </c>
      <c r="P156" s="69">
        <f>uurtarief57</f>
        <v>0</v>
      </c>
      <c r="Q156" s="66" t="e">
        <f>IF(ISBLANK(M156),0,L156/ROUND(M156,4))</f>
        <v>#DIV/0!</v>
      </c>
      <c r="R156" s="66" t="e">
        <f>IF(ISBLANK(M156),0,Q156*ROUND(N156,2))</f>
        <v>#DIV/0!</v>
      </c>
      <c r="S156" s="69" t="e">
        <f>ROUND(P156,2)*Q156</f>
        <v>#DIV/0!</v>
      </c>
      <c r="T156" s="66" t="e">
        <f>Q156*dagenperjaar1</f>
        <v>#DIV/0!</v>
      </c>
      <c r="U156" s="70" t="e">
        <f>T156*ROUND(P156,2)</f>
        <v>#DIV/0!</v>
      </c>
    </row>
    <row r="157" spans="1:21" x14ac:dyDescent="0.2">
      <c r="A157" s="63" t="s">
        <v>472</v>
      </c>
      <c r="B157" s="64" t="s">
        <v>323</v>
      </c>
      <c r="C157" s="64" t="s">
        <v>323</v>
      </c>
      <c r="D157" s="64" t="s">
        <v>669</v>
      </c>
      <c r="E157" s="64" t="s">
        <v>324</v>
      </c>
      <c r="F157" s="65" t="s">
        <v>663</v>
      </c>
      <c r="G157" s="64" t="s">
        <v>328</v>
      </c>
      <c r="H157" s="64" t="s">
        <v>205</v>
      </c>
      <c r="I157" s="64" t="s">
        <v>10</v>
      </c>
      <c r="J157" s="64" t="s">
        <v>201</v>
      </c>
      <c r="K157" s="66">
        <v>14.7</v>
      </c>
      <c r="L157" s="66">
        <f>K157*VLOOKUP(I157,dagsoorttabel1,2,FALSE)</f>
        <v>14.7</v>
      </c>
      <c r="M157" s="67">
        <f>prodnorm26</f>
        <v>0</v>
      </c>
      <c r="N157" s="68">
        <f>dagwerk26</f>
        <v>0</v>
      </c>
      <c r="O157" s="64" t="s">
        <v>38</v>
      </c>
      <c r="P157" s="69">
        <f>uurtarief26</f>
        <v>0</v>
      </c>
      <c r="Q157" s="66" t="e">
        <f>IF(ISBLANK(M157),0,L157/ROUND(M157,4))</f>
        <v>#DIV/0!</v>
      </c>
      <c r="R157" s="66" t="e">
        <f>IF(ISBLANK(M157),0,Q157*ROUND(N157,2))</f>
        <v>#DIV/0!</v>
      </c>
      <c r="S157" s="69" t="e">
        <f>ROUND(P157,2)*Q157</f>
        <v>#DIV/0!</v>
      </c>
      <c r="T157" s="66" t="e">
        <f>Q157*dagenperjaar1</f>
        <v>#DIV/0!</v>
      </c>
      <c r="U157" s="70" t="e">
        <f>T157*ROUND(P157,2)</f>
        <v>#DIV/0!</v>
      </c>
    </row>
    <row r="158" spans="1:21" x14ac:dyDescent="0.2">
      <c r="A158" s="63" t="s">
        <v>472</v>
      </c>
      <c r="B158" s="64" t="s">
        <v>323</v>
      </c>
      <c r="C158" s="64" t="s">
        <v>323</v>
      </c>
      <c r="D158" s="64" t="s">
        <v>670</v>
      </c>
      <c r="E158" s="64" t="s">
        <v>324</v>
      </c>
      <c r="F158" s="65" t="s">
        <v>671</v>
      </c>
      <c r="G158" s="64" t="s">
        <v>642</v>
      </c>
      <c r="H158" s="64" t="s">
        <v>255</v>
      </c>
      <c r="I158" s="64" t="s">
        <v>10</v>
      </c>
      <c r="J158" s="64" t="s">
        <v>201</v>
      </c>
      <c r="K158" s="66">
        <v>10.7</v>
      </c>
      <c r="L158" s="66">
        <f>K158*VLOOKUP(I158,dagsoorttabel1,2,FALSE)</f>
        <v>10.7</v>
      </c>
      <c r="M158" s="67">
        <f>prodnorm59</f>
        <v>0</v>
      </c>
      <c r="N158" s="68">
        <f>dagwerk59</f>
        <v>0</v>
      </c>
      <c r="O158" s="64" t="s">
        <v>38</v>
      </c>
      <c r="P158" s="69">
        <f>uurtarief59</f>
        <v>0</v>
      </c>
      <c r="Q158" s="66" t="e">
        <f>IF(ISBLANK(M158),0,L158/ROUND(M158,4))</f>
        <v>#DIV/0!</v>
      </c>
      <c r="R158" s="66" t="e">
        <f>IF(ISBLANK(M158),0,Q158*ROUND(N158,2))</f>
        <v>#DIV/0!</v>
      </c>
      <c r="S158" s="69" t="e">
        <f>ROUND(P158,2)*Q158</f>
        <v>#DIV/0!</v>
      </c>
      <c r="T158" s="66" t="e">
        <f>Q158*dagenperjaar1</f>
        <v>#DIV/0!</v>
      </c>
      <c r="U158" s="70" t="e">
        <f>T158*ROUND(P158,2)</f>
        <v>#DIV/0!</v>
      </c>
    </row>
    <row r="159" spans="1:21" x14ac:dyDescent="0.2">
      <c r="A159" s="63" t="s">
        <v>472</v>
      </c>
      <c r="B159" s="64" t="s">
        <v>323</v>
      </c>
      <c r="C159" s="64" t="s">
        <v>323</v>
      </c>
      <c r="D159" s="64" t="s">
        <v>672</v>
      </c>
      <c r="E159" s="64" t="s">
        <v>324</v>
      </c>
      <c r="F159" s="65" t="s">
        <v>671</v>
      </c>
      <c r="G159" s="64" t="s">
        <v>642</v>
      </c>
      <c r="H159" s="64" t="s">
        <v>255</v>
      </c>
      <c r="I159" s="64" t="s">
        <v>10</v>
      </c>
      <c r="J159" s="64" t="s">
        <v>201</v>
      </c>
      <c r="K159" s="66">
        <v>9.8000000000000007</v>
      </c>
      <c r="L159" s="66">
        <f>K159*VLOOKUP(I159,dagsoorttabel1,2,FALSE)</f>
        <v>9.8000000000000007</v>
      </c>
      <c r="M159" s="67">
        <f>prodnorm59</f>
        <v>0</v>
      </c>
      <c r="N159" s="68">
        <f>dagwerk59</f>
        <v>0</v>
      </c>
      <c r="O159" s="64" t="s">
        <v>38</v>
      </c>
      <c r="P159" s="69">
        <f>uurtarief59</f>
        <v>0</v>
      </c>
      <c r="Q159" s="66" t="e">
        <f>IF(ISBLANK(M159),0,L159/ROUND(M159,4))</f>
        <v>#DIV/0!</v>
      </c>
      <c r="R159" s="66" t="e">
        <f>IF(ISBLANK(M159),0,Q159*ROUND(N159,2))</f>
        <v>#DIV/0!</v>
      </c>
      <c r="S159" s="69" t="e">
        <f>ROUND(P159,2)*Q159</f>
        <v>#DIV/0!</v>
      </c>
      <c r="T159" s="66" t="e">
        <f>Q159*dagenperjaar1</f>
        <v>#DIV/0!</v>
      </c>
      <c r="U159" s="70" t="e">
        <f>T159*ROUND(P159,2)</f>
        <v>#DIV/0!</v>
      </c>
    </row>
    <row r="160" spans="1:21" x14ac:dyDescent="0.2">
      <c r="A160" s="63" t="s">
        <v>472</v>
      </c>
      <c r="B160" s="64" t="s">
        <v>323</v>
      </c>
      <c r="C160" s="64" t="s">
        <v>323</v>
      </c>
      <c r="D160" s="64" t="s">
        <v>673</v>
      </c>
      <c r="E160" s="64" t="s">
        <v>324</v>
      </c>
      <c r="F160" s="65" t="s">
        <v>638</v>
      </c>
      <c r="G160" s="64" t="s">
        <v>642</v>
      </c>
      <c r="H160" s="64" t="s">
        <v>263</v>
      </c>
      <c r="I160" s="64" t="s">
        <v>10</v>
      </c>
      <c r="J160" s="64" t="s">
        <v>201</v>
      </c>
      <c r="K160" s="66">
        <v>1.3</v>
      </c>
      <c r="L160" s="66">
        <f>K160*VLOOKUP(I160,dagsoorttabel1,2,FALSE)</f>
        <v>1.3</v>
      </c>
      <c r="M160" s="67">
        <f>prodnorm63</f>
        <v>0</v>
      </c>
      <c r="N160" s="68">
        <f>dagwerk63</f>
        <v>0</v>
      </c>
      <c r="O160" s="64" t="s">
        <v>38</v>
      </c>
      <c r="P160" s="69">
        <f>uurtarief63</f>
        <v>0</v>
      </c>
      <c r="Q160" s="66" t="e">
        <f>IF(ISBLANK(M160),0,L160/ROUND(M160,4))</f>
        <v>#DIV/0!</v>
      </c>
      <c r="R160" s="66" t="e">
        <f>IF(ISBLANK(M160),0,Q160*ROUND(N160,2))</f>
        <v>#DIV/0!</v>
      </c>
      <c r="S160" s="69" t="e">
        <f>ROUND(P160,2)*Q160</f>
        <v>#DIV/0!</v>
      </c>
      <c r="T160" s="66" t="e">
        <f>Q160*dagenperjaar1</f>
        <v>#DIV/0!</v>
      </c>
      <c r="U160" s="70" t="e">
        <f>T160*ROUND(P160,2)</f>
        <v>#DIV/0!</v>
      </c>
    </row>
    <row r="161" spans="1:21" x14ac:dyDescent="0.2">
      <c r="A161" s="63" t="s">
        <v>472</v>
      </c>
      <c r="B161" s="64" t="s">
        <v>323</v>
      </c>
      <c r="C161" s="64" t="s">
        <v>600</v>
      </c>
      <c r="D161" s="64" t="s">
        <v>324</v>
      </c>
      <c r="E161" s="64" t="s">
        <v>324</v>
      </c>
      <c r="F161" s="65" t="s">
        <v>674</v>
      </c>
      <c r="G161" s="64" t="s">
        <v>324</v>
      </c>
      <c r="H161" s="64" t="s">
        <v>283</v>
      </c>
      <c r="I161" s="64" t="s">
        <v>10</v>
      </c>
      <c r="J161" s="64" t="s">
        <v>274</v>
      </c>
      <c r="K161" s="66">
        <v>3</v>
      </c>
      <c r="L161" s="66">
        <f>K161*VLOOKUP(I161,dagsoorttabel1,2,FALSE)</f>
        <v>3</v>
      </c>
      <c r="M161" s="67"/>
      <c r="N161" s="80"/>
      <c r="O161" s="64" t="s">
        <v>285</v>
      </c>
      <c r="P161" s="69">
        <f>uurtarief16</f>
        <v>0</v>
      </c>
      <c r="Q161" s="66">
        <f>L161</f>
        <v>3</v>
      </c>
      <c r="R161" s="81"/>
      <c r="S161" s="69">
        <f>ROUND(P161,2)*Q161</f>
        <v>0</v>
      </c>
      <c r="T161" s="66">
        <f>Q161*dagenperjaar1</f>
        <v>600</v>
      </c>
      <c r="U161" s="70">
        <f>T161*ROUND(P161,2)</f>
        <v>0</v>
      </c>
    </row>
    <row r="162" spans="1:21" x14ac:dyDescent="0.2">
      <c r="A162" s="63" t="s">
        <v>472</v>
      </c>
      <c r="B162" s="64" t="s">
        <v>323</v>
      </c>
      <c r="C162" s="64" t="s">
        <v>675</v>
      </c>
      <c r="D162" s="64" t="s">
        <v>324</v>
      </c>
      <c r="E162" s="64" t="s">
        <v>324</v>
      </c>
      <c r="F162" s="65" t="s">
        <v>676</v>
      </c>
      <c r="G162" s="64" t="s">
        <v>324</v>
      </c>
      <c r="H162" s="64" t="s">
        <v>296</v>
      </c>
      <c r="I162" s="64" t="s">
        <v>24</v>
      </c>
      <c r="J162" s="64" t="s">
        <v>274</v>
      </c>
      <c r="K162" s="66">
        <v>1</v>
      </c>
      <c r="L162" s="66">
        <f>K162*VLOOKUP(I162,dagsoorttabel1,2,FALSE)</f>
        <v>0.01</v>
      </c>
      <c r="M162" s="67">
        <f>prodnorm22</f>
        <v>0</v>
      </c>
      <c r="N162" s="68">
        <f>dagwerk22</f>
        <v>0</v>
      </c>
      <c r="O162" s="64" t="s">
        <v>278</v>
      </c>
      <c r="P162" s="69">
        <f>uurtarief22</f>
        <v>0</v>
      </c>
      <c r="Q162" s="66">
        <f>L162*ROUND(M162,4)/60</f>
        <v>0</v>
      </c>
      <c r="R162" s="66">
        <f>IF(ISBLANK(M162),0,Q162*ROUND(N162,2))</f>
        <v>0</v>
      </c>
      <c r="S162" s="69">
        <f>ROUND(P162,2)*Q162</f>
        <v>0</v>
      </c>
      <c r="T162" s="66">
        <f>Q162*dagenperjaar1</f>
        <v>0</v>
      </c>
      <c r="U162" s="70">
        <f>T162*ROUND(P162,2)</f>
        <v>0</v>
      </c>
    </row>
    <row r="163" spans="1:21" x14ac:dyDescent="0.2">
      <c r="A163" s="63" t="s">
        <v>472</v>
      </c>
      <c r="B163" s="64" t="s">
        <v>323</v>
      </c>
      <c r="C163" s="64" t="s">
        <v>675</v>
      </c>
      <c r="D163" s="64" t="s">
        <v>677</v>
      </c>
      <c r="E163" s="64" t="s">
        <v>324</v>
      </c>
      <c r="F163" s="65" t="s">
        <v>678</v>
      </c>
      <c r="G163" s="64" t="s">
        <v>324</v>
      </c>
      <c r="H163" s="64" t="s">
        <v>290</v>
      </c>
      <c r="I163" s="64" t="s">
        <v>25</v>
      </c>
      <c r="J163" s="64" t="s">
        <v>274</v>
      </c>
      <c r="K163" s="66">
        <v>6</v>
      </c>
      <c r="L163" s="66">
        <f>K163*VLOOKUP(I163,dagsoorttabel1,2,FALSE)</f>
        <v>0.03</v>
      </c>
      <c r="M163" s="67">
        <f>prodnorm19</f>
        <v>0</v>
      </c>
      <c r="N163" s="68">
        <f>dagwerk19</f>
        <v>0</v>
      </c>
      <c r="O163" s="64" t="s">
        <v>278</v>
      </c>
      <c r="P163" s="69">
        <f>uurtarief19</f>
        <v>0</v>
      </c>
      <c r="Q163" s="66">
        <f>L163*ROUND(M163,4)/60</f>
        <v>0</v>
      </c>
      <c r="R163" s="66">
        <f>IF(ISBLANK(M163),0,Q163*ROUND(N163,2))</f>
        <v>0</v>
      </c>
      <c r="S163" s="69">
        <f>ROUND(P163,2)*Q163</f>
        <v>0</v>
      </c>
      <c r="T163" s="66">
        <f>Q163*dagenperjaar1</f>
        <v>0</v>
      </c>
      <c r="U163" s="70">
        <f>T163*ROUND(P163,2)</f>
        <v>0</v>
      </c>
    </row>
    <row r="164" spans="1:21" x14ac:dyDescent="0.2">
      <c r="A164" s="63" t="s">
        <v>472</v>
      </c>
      <c r="B164" s="64" t="s">
        <v>323</v>
      </c>
      <c r="C164" s="64" t="s">
        <v>675</v>
      </c>
      <c r="D164" s="64" t="s">
        <v>677</v>
      </c>
      <c r="E164" s="64" t="s">
        <v>324</v>
      </c>
      <c r="F164" s="65" t="s">
        <v>678</v>
      </c>
      <c r="G164" s="64" t="s">
        <v>324</v>
      </c>
      <c r="H164" s="64" t="s">
        <v>292</v>
      </c>
      <c r="I164" s="64" t="s">
        <v>24</v>
      </c>
      <c r="J164" s="64" t="s">
        <v>274</v>
      </c>
      <c r="K164" s="66">
        <v>1</v>
      </c>
      <c r="L164" s="66">
        <f>K164*VLOOKUP(I164,dagsoorttabel1,2,FALSE)</f>
        <v>0.01</v>
      </c>
      <c r="M164" s="67">
        <f>prodnorm20</f>
        <v>0</v>
      </c>
      <c r="N164" s="68">
        <f>dagwerk20</f>
        <v>0</v>
      </c>
      <c r="O164" s="64" t="s">
        <v>278</v>
      </c>
      <c r="P164" s="69">
        <f>uurtarief20</f>
        <v>0</v>
      </c>
      <c r="Q164" s="66">
        <f>L164*ROUND(M164,4)/60</f>
        <v>0</v>
      </c>
      <c r="R164" s="66">
        <f>IF(ISBLANK(M164),0,Q164*ROUND(N164,2))</f>
        <v>0</v>
      </c>
      <c r="S164" s="69">
        <f>ROUND(P164,2)*Q164</f>
        <v>0</v>
      </c>
      <c r="T164" s="66">
        <f>Q164*dagenperjaar1</f>
        <v>0</v>
      </c>
      <c r="U164" s="70">
        <f>T164*ROUND(P164,2)</f>
        <v>0</v>
      </c>
    </row>
    <row r="165" spans="1:21" x14ac:dyDescent="0.2">
      <c r="A165" s="63" t="s">
        <v>472</v>
      </c>
      <c r="B165" s="64" t="s">
        <v>323</v>
      </c>
      <c r="C165" s="64" t="s">
        <v>675</v>
      </c>
      <c r="D165" s="64" t="s">
        <v>679</v>
      </c>
      <c r="E165" s="64" t="s">
        <v>324</v>
      </c>
      <c r="F165" s="65" t="s">
        <v>678</v>
      </c>
      <c r="G165" s="64" t="s">
        <v>324</v>
      </c>
      <c r="H165" s="64" t="s">
        <v>290</v>
      </c>
      <c r="I165" s="64" t="s">
        <v>25</v>
      </c>
      <c r="J165" s="64" t="s">
        <v>274</v>
      </c>
      <c r="K165" s="66">
        <v>17</v>
      </c>
      <c r="L165" s="66">
        <f>K165*VLOOKUP(I165,dagsoorttabel1,2,FALSE)</f>
        <v>8.5000000000000006E-2</v>
      </c>
      <c r="M165" s="67">
        <f>prodnorm19</f>
        <v>0</v>
      </c>
      <c r="N165" s="68">
        <f>dagwerk19</f>
        <v>0</v>
      </c>
      <c r="O165" s="64" t="s">
        <v>278</v>
      </c>
      <c r="P165" s="69">
        <f>uurtarief19</f>
        <v>0</v>
      </c>
      <c r="Q165" s="66">
        <f>L165*ROUND(M165,4)/60</f>
        <v>0</v>
      </c>
      <c r="R165" s="66">
        <f>IF(ISBLANK(M165),0,Q165*ROUND(N165,2))</f>
        <v>0</v>
      </c>
      <c r="S165" s="69">
        <f>ROUND(P165,2)*Q165</f>
        <v>0</v>
      </c>
      <c r="T165" s="66">
        <f>Q165*dagenperjaar1</f>
        <v>0</v>
      </c>
      <c r="U165" s="70">
        <f>T165*ROUND(P165,2)</f>
        <v>0</v>
      </c>
    </row>
    <row r="166" spans="1:21" x14ac:dyDescent="0.2">
      <c r="A166" s="63" t="s">
        <v>472</v>
      </c>
      <c r="B166" s="64" t="s">
        <v>323</v>
      </c>
      <c r="C166" s="64" t="s">
        <v>675</v>
      </c>
      <c r="D166" s="64" t="s">
        <v>679</v>
      </c>
      <c r="E166" s="64" t="s">
        <v>324</v>
      </c>
      <c r="F166" s="65" t="s">
        <v>678</v>
      </c>
      <c r="G166" s="64" t="s">
        <v>324</v>
      </c>
      <c r="H166" s="64" t="s">
        <v>292</v>
      </c>
      <c r="I166" s="64" t="s">
        <v>24</v>
      </c>
      <c r="J166" s="64" t="s">
        <v>274</v>
      </c>
      <c r="K166" s="66">
        <v>1</v>
      </c>
      <c r="L166" s="66">
        <f>K166*VLOOKUP(I166,dagsoorttabel1,2,FALSE)</f>
        <v>0.01</v>
      </c>
      <c r="M166" s="67">
        <f>prodnorm20</f>
        <v>0</v>
      </c>
      <c r="N166" s="68">
        <f>dagwerk20</f>
        <v>0</v>
      </c>
      <c r="O166" s="64" t="s">
        <v>278</v>
      </c>
      <c r="P166" s="69">
        <f>uurtarief20</f>
        <v>0</v>
      </c>
      <c r="Q166" s="66">
        <f>L166*ROUND(M166,4)/60</f>
        <v>0</v>
      </c>
      <c r="R166" s="66">
        <f>IF(ISBLANK(M166),0,Q166*ROUND(N166,2))</f>
        <v>0</v>
      </c>
      <c r="S166" s="69">
        <f>ROUND(P166,2)*Q166</f>
        <v>0</v>
      </c>
      <c r="T166" s="66">
        <f>Q166*dagenperjaar1</f>
        <v>0</v>
      </c>
      <c r="U166" s="70">
        <f>T166*ROUND(P166,2)</f>
        <v>0</v>
      </c>
    </row>
    <row r="167" spans="1:21" x14ac:dyDescent="0.2">
      <c r="A167" s="63" t="s">
        <v>472</v>
      </c>
      <c r="B167" s="64" t="s">
        <v>323</v>
      </c>
      <c r="C167" s="64" t="s">
        <v>675</v>
      </c>
      <c r="D167" s="64" t="s">
        <v>680</v>
      </c>
      <c r="E167" s="64" t="s">
        <v>324</v>
      </c>
      <c r="F167" s="65" t="s">
        <v>678</v>
      </c>
      <c r="G167" s="64" t="s">
        <v>324</v>
      </c>
      <c r="H167" s="64" t="s">
        <v>290</v>
      </c>
      <c r="I167" s="64" t="s">
        <v>25</v>
      </c>
      <c r="J167" s="64" t="s">
        <v>274</v>
      </c>
      <c r="K167" s="66">
        <v>15</v>
      </c>
      <c r="L167" s="66">
        <f>K167*VLOOKUP(I167,dagsoorttabel1,2,FALSE)</f>
        <v>7.4999999999999997E-2</v>
      </c>
      <c r="M167" s="67">
        <f>prodnorm19</f>
        <v>0</v>
      </c>
      <c r="N167" s="68">
        <f>dagwerk19</f>
        <v>0</v>
      </c>
      <c r="O167" s="64" t="s">
        <v>278</v>
      </c>
      <c r="P167" s="69">
        <f>uurtarief19</f>
        <v>0</v>
      </c>
      <c r="Q167" s="66">
        <f>L167*ROUND(M167,4)/60</f>
        <v>0</v>
      </c>
      <c r="R167" s="66">
        <f>IF(ISBLANK(M167),0,Q167*ROUND(N167,2))</f>
        <v>0</v>
      </c>
      <c r="S167" s="69">
        <f>ROUND(P167,2)*Q167</f>
        <v>0</v>
      </c>
      <c r="T167" s="66">
        <f>Q167*dagenperjaar1</f>
        <v>0</v>
      </c>
      <c r="U167" s="70">
        <f>T167*ROUND(P167,2)</f>
        <v>0</v>
      </c>
    </row>
    <row r="168" spans="1:21" x14ac:dyDescent="0.2">
      <c r="A168" s="63" t="s">
        <v>472</v>
      </c>
      <c r="B168" s="64" t="s">
        <v>323</v>
      </c>
      <c r="C168" s="64" t="s">
        <v>675</v>
      </c>
      <c r="D168" s="64" t="s">
        <v>680</v>
      </c>
      <c r="E168" s="64" t="s">
        <v>324</v>
      </c>
      <c r="F168" s="65" t="s">
        <v>678</v>
      </c>
      <c r="G168" s="64" t="s">
        <v>324</v>
      </c>
      <c r="H168" s="64" t="s">
        <v>292</v>
      </c>
      <c r="I168" s="64" t="s">
        <v>24</v>
      </c>
      <c r="J168" s="64" t="s">
        <v>274</v>
      </c>
      <c r="K168" s="66">
        <v>1</v>
      </c>
      <c r="L168" s="66">
        <f>K168*VLOOKUP(I168,dagsoorttabel1,2,FALSE)</f>
        <v>0.01</v>
      </c>
      <c r="M168" s="67">
        <f>prodnorm20</f>
        <v>0</v>
      </c>
      <c r="N168" s="68">
        <f>dagwerk20</f>
        <v>0</v>
      </c>
      <c r="O168" s="64" t="s">
        <v>278</v>
      </c>
      <c r="P168" s="69">
        <f>uurtarief20</f>
        <v>0</v>
      </c>
      <c r="Q168" s="66">
        <f>L168*ROUND(M168,4)/60</f>
        <v>0</v>
      </c>
      <c r="R168" s="66">
        <f>IF(ISBLANK(M168),0,Q168*ROUND(N168,2))</f>
        <v>0</v>
      </c>
      <c r="S168" s="69">
        <f>ROUND(P168,2)*Q168</f>
        <v>0</v>
      </c>
      <c r="T168" s="66">
        <f>Q168*dagenperjaar1</f>
        <v>0</v>
      </c>
      <c r="U168" s="70">
        <f>T168*ROUND(P168,2)</f>
        <v>0</v>
      </c>
    </row>
    <row r="169" spans="1:21" x14ac:dyDescent="0.2">
      <c r="A169" s="63" t="s">
        <v>472</v>
      </c>
      <c r="B169" s="64" t="s">
        <v>472</v>
      </c>
      <c r="C169" s="64" t="s">
        <v>345</v>
      </c>
      <c r="D169" s="64" t="s">
        <v>681</v>
      </c>
      <c r="E169" s="64" t="s">
        <v>324</v>
      </c>
      <c r="F169" s="65" t="s">
        <v>682</v>
      </c>
      <c r="G169" s="64" t="s">
        <v>328</v>
      </c>
      <c r="H169" s="64" t="s">
        <v>215</v>
      </c>
      <c r="I169" s="64" t="s">
        <v>10</v>
      </c>
      <c r="J169" s="64" t="s">
        <v>201</v>
      </c>
      <c r="K169" s="66">
        <v>144.9</v>
      </c>
      <c r="L169" s="66">
        <f>K169*VLOOKUP(I169,dagsoorttabel1,2,FALSE)</f>
        <v>144.9</v>
      </c>
      <c r="M169" s="67">
        <f>prodnorm34</f>
        <v>0</v>
      </c>
      <c r="N169" s="68">
        <f>dagwerk34</f>
        <v>0</v>
      </c>
      <c r="O169" s="64" t="s">
        <v>38</v>
      </c>
      <c r="P169" s="69">
        <f>uurtarief34</f>
        <v>0</v>
      </c>
      <c r="Q169" s="66" t="e">
        <f>IF(ISBLANK(M169),0,L169/ROUND(M169,4))</f>
        <v>#DIV/0!</v>
      </c>
      <c r="R169" s="66" t="e">
        <f>IF(ISBLANK(M169),0,Q169*ROUND(N169,2))</f>
        <v>#DIV/0!</v>
      </c>
      <c r="S169" s="69" t="e">
        <f>ROUND(P169,2)*Q169</f>
        <v>#DIV/0!</v>
      </c>
      <c r="T169" s="66" t="e">
        <f>Q169*dagenperjaar1</f>
        <v>#DIV/0!</v>
      </c>
      <c r="U169" s="70" t="e">
        <f>T169*ROUND(P169,2)</f>
        <v>#DIV/0!</v>
      </c>
    </row>
    <row r="170" spans="1:21" x14ac:dyDescent="0.2">
      <c r="A170" s="63" t="s">
        <v>472</v>
      </c>
      <c r="B170" s="64" t="s">
        <v>472</v>
      </c>
      <c r="C170" s="64" t="s">
        <v>345</v>
      </c>
      <c r="D170" s="64" t="s">
        <v>683</v>
      </c>
      <c r="E170" s="64" t="s">
        <v>324</v>
      </c>
      <c r="F170" s="65" t="s">
        <v>684</v>
      </c>
      <c r="G170" s="64" t="s">
        <v>685</v>
      </c>
      <c r="H170" s="64" t="s">
        <v>217</v>
      </c>
      <c r="I170" s="64" t="s">
        <v>10</v>
      </c>
      <c r="J170" s="64" t="s">
        <v>201</v>
      </c>
      <c r="K170" s="66">
        <v>12</v>
      </c>
      <c r="L170" s="66">
        <f>K170*VLOOKUP(I170,dagsoorttabel1,2,FALSE)</f>
        <v>12</v>
      </c>
      <c r="M170" s="67">
        <f>prodnorm35</f>
        <v>0</v>
      </c>
      <c r="N170" s="68">
        <f>dagwerk35</f>
        <v>0</v>
      </c>
      <c r="O170" s="64" t="s">
        <v>38</v>
      </c>
      <c r="P170" s="69">
        <f>uurtarief35</f>
        <v>0</v>
      </c>
      <c r="Q170" s="66" t="e">
        <f>IF(ISBLANK(M170),0,L170/ROUND(M170,4))</f>
        <v>#DIV/0!</v>
      </c>
      <c r="R170" s="66" t="e">
        <f>IF(ISBLANK(M170),0,Q170*ROUND(N170,2))</f>
        <v>#DIV/0!</v>
      </c>
      <c r="S170" s="69" t="e">
        <f>ROUND(P170,2)*Q170</f>
        <v>#DIV/0!</v>
      </c>
      <c r="T170" s="66" t="e">
        <f>Q170*dagenperjaar1</f>
        <v>#DIV/0!</v>
      </c>
      <c r="U170" s="70" t="e">
        <f>T170*ROUND(P170,2)</f>
        <v>#DIV/0!</v>
      </c>
    </row>
    <row r="171" spans="1:21" x14ac:dyDescent="0.2">
      <c r="A171" s="63" t="s">
        <v>472</v>
      </c>
      <c r="B171" s="64" t="s">
        <v>472</v>
      </c>
      <c r="C171" s="64" t="s">
        <v>345</v>
      </c>
      <c r="D171" s="64" t="s">
        <v>686</v>
      </c>
      <c r="E171" s="64" t="s">
        <v>324</v>
      </c>
      <c r="F171" s="65" t="s">
        <v>687</v>
      </c>
      <c r="G171" s="64" t="s">
        <v>685</v>
      </c>
      <c r="H171" s="64" t="s">
        <v>217</v>
      </c>
      <c r="I171" s="64" t="s">
        <v>10</v>
      </c>
      <c r="J171" s="64" t="s">
        <v>201</v>
      </c>
      <c r="K171" s="66">
        <v>6.4</v>
      </c>
      <c r="L171" s="66">
        <f>K171*VLOOKUP(I171,dagsoorttabel1,2,FALSE)</f>
        <v>6.4</v>
      </c>
      <c r="M171" s="67">
        <f>prodnorm35</f>
        <v>0</v>
      </c>
      <c r="N171" s="68">
        <f>dagwerk35</f>
        <v>0</v>
      </c>
      <c r="O171" s="64" t="s">
        <v>38</v>
      </c>
      <c r="P171" s="69">
        <f>uurtarief35</f>
        <v>0</v>
      </c>
      <c r="Q171" s="66" t="e">
        <f>IF(ISBLANK(M171),0,L171/ROUND(M171,4))</f>
        <v>#DIV/0!</v>
      </c>
      <c r="R171" s="66" t="e">
        <f>IF(ISBLANK(M171),0,Q171*ROUND(N171,2))</f>
        <v>#DIV/0!</v>
      </c>
      <c r="S171" s="69" t="e">
        <f>ROUND(P171,2)*Q171</f>
        <v>#DIV/0!</v>
      </c>
      <c r="T171" s="66" t="e">
        <f>Q171*dagenperjaar1</f>
        <v>#DIV/0!</v>
      </c>
      <c r="U171" s="70" t="e">
        <f>T171*ROUND(P171,2)</f>
        <v>#DIV/0!</v>
      </c>
    </row>
    <row r="172" spans="1:21" x14ac:dyDescent="0.2">
      <c r="A172" s="63" t="s">
        <v>472</v>
      </c>
      <c r="B172" s="64" t="s">
        <v>472</v>
      </c>
      <c r="C172" s="64" t="s">
        <v>345</v>
      </c>
      <c r="D172" s="64" t="s">
        <v>688</v>
      </c>
      <c r="E172" s="64" t="s">
        <v>324</v>
      </c>
      <c r="F172" s="65" t="s">
        <v>457</v>
      </c>
      <c r="G172" s="64" t="s">
        <v>328</v>
      </c>
      <c r="H172" s="64" t="s">
        <v>229</v>
      </c>
      <c r="I172" s="64" t="s">
        <v>10</v>
      </c>
      <c r="J172" s="64" t="s">
        <v>201</v>
      </c>
      <c r="K172" s="66">
        <v>107</v>
      </c>
      <c r="L172" s="66">
        <f>K172*VLOOKUP(I172,dagsoorttabel1,2,FALSE)</f>
        <v>107</v>
      </c>
      <c r="M172" s="67">
        <f>prodnorm43</f>
        <v>0</v>
      </c>
      <c r="N172" s="68">
        <f>dagwerk43</f>
        <v>0</v>
      </c>
      <c r="O172" s="64" t="s">
        <v>38</v>
      </c>
      <c r="P172" s="69">
        <f>uurtarief43</f>
        <v>0</v>
      </c>
      <c r="Q172" s="66" t="e">
        <f>IF(ISBLANK(M172),0,L172/ROUND(M172,4))</f>
        <v>#DIV/0!</v>
      </c>
      <c r="R172" s="66" t="e">
        <f>IF(ISBLANK(M172),0,Q172*ROUND(N172,2))</f>
        <v>#DIV/0!</v>
      </c>
      <c r="S172" s="69" t="e">
        <f>ROUND(P172,2)*Q172</f>
        <v>#DIV/0!</v>
      </c>
      <c r="T172" s="66" t="e">
        <f>Q172*dagenperjaar1</f>
        <v>#DIV/0!</v>
      </c>
      <c r="U172" s="70" t="e">
        <f>T172*ROUND(P172,2)</f>
        <v>#DIV/0!</v>
      </c>
    </row>
    <row r="173" spans="1:21" x14ac:dyDescent="0.2">
      <c r="A173" s="63" t="s">
        <v>472</v>
      </c>
      <c r="B173" s="64" t="s">
        <v>472</v>
      </c>
      <c r="C173" s="64" t="s">
        <v>345</v>
      </c>
      <c r="D173" s="64" t="s">
        <v>689</v>
      </c>
      <c r="E173" s="64" t="s">
        <v>324</v>
      </c>
      <c r="F173" s="65" t="s">
        <v>457</v>
      </c>
      <c r="G173" s="64" t="s">
        <v>328</v>
      </c>
      <c r="H173" s="64" t="s">
        <v>229</v>
      </c>
      <c r="I173" s="64" t="s">
        <v>10</v>
      </c>
      <c r="J173" s="64" t="s">
        <v>201</v>
      </c>
      <c r="K173" s="66">
        <v>58.5</v>
      </c>
      <c r="L173" s="66">
        <f>K173*VLOOKUP(I173,dagsoorttabel1,2,FALSE)</f>
        <v>58.5</v>
      </c>
      <c r="M173" s="67">
        <f>prodnorm43</f>
        <v>0</v>
      </c>
      <c r="N173" s="68">
        <f>dagwerk43</f>
        <v>0</v>
      </c>
      <c r="O173" s="64" t="s">
        <v>38</v>
      </c>
      <c r="P173" s="69">
        <f>uurtarief43</f>
        <v>0</v>
      </c>
      <c r="Q173" s="66" t="e">
        <f>IF(ISBLANK(M173),0,L173/ROUND(M173,4))</f>
        <v>#DIV/0!</v>
      </c>
      <c r="R173" s="66" t="e">
        <f>IF(ISBLANK(M173),0,Q173*ROUND(N173,2))</f>
        <v>#DIV/0!</v>
      </c>
      <c r="S173" s="69" t="e">
        <f>ROUND(P173,2)*Q173</f>
        <v>#DIV/0!</v>
      </c>
      <c r="T173" s="66" t="e">
        <f>Q173*dagenperjaar1</f>
        <v>#DIV/0!</v>
      </c>
      <c r="U173" s="70" t="e">
        <f>T173*ROUND(P173,2)</f>
        <v>#DIV/0!</v>
      </c>
    </row>
    <row r="174" spans="1:21" x14ac:dyDescent="0.2">
      <c r="A174" s="63" t="s">
        <v>472</v>
      </c>
      <c r="B174" s="64" t="s">
        <v>472</v>
      </c>
      <c r="C174" s="64" t="s">
        <v>345</v>
      </c>
      <c r="D174" s="64" t="s">
        <v>690</v>
      </c>
      <c r="E174" s="64" t="s">
        <v>324</v>
      </c>
      <c r="F174" s="65" t="s">
        <v>457</v>
      </c>
      <c r="G174" s="64" t="s">
        <v>328</v>
      </c>
      <c r="H174" s="64" t="s">
        <v>229</v>
      </c>
      <c r="I174" s="64" t="s">
        <v>10</v>
      </c>
      <c r="J174" s="64" t="s">
        <v>201</v>
      </c>
      <c r="K174" s="66">
        <v>61.1</v>
      </c>
      <c r="L174" s="66">
        <f>K174*VLOOKUP(I174,dagsoorttabel1,2,FALSE)</f>
        <v>61.1</v>
      </c>
      <c r="M174" s="67">
        <f>prodnorm43</f>
        <v>0</v>
      </c>
      <c r="N174" s="68">
        <f>dagwerk43</f>
        <v>0</v>
      </c>
      <c r="O174" s="64" t="s">
        <v>38</v>
      </c>
      <c r="P174" s="69">
        <f>uurtarief43</f>
        <v>0</v>
      </c>
      <c r="Q174" s="66" t="e">
        <f>IF(ISBLANK(M174),0,L174/ROUND(M174,4))</f>
        <v>#DIV/0!</v>
      </c>
      <c r="R174" s="66" t="e">
        <f>IF(ISBLANK(M174),0,Q174*ROUND(N174,2))</f>
        <v>#DIV/0!</v>
      </c>
      <c r="S174" s="69" t="e">
        <f>ROUND(P174,2)*Q174</f>
        <v>#DIV/0!</v>
      </c>
      <c r="T174" s="66" t="e">
        <f>Q174*dagenperjaar1</f>
        <v>#DIV/0!</v>
      </c>
      <c r="U174" s="70" t="e">
        <f>T174*ROUND(P174,2)</f>
        <v>#DIV/0!</v>
      </c>
    </row>
    <row r="175" spans="1:21" x14ac:dyDescent="0.2">
      <c r="A175" s="63" t="s">
        <v>472</v>
      </c>
      <c r="B175" s="64" t="s">
        <v>472</v>
      </c>
      <c r="C175" s="64" t="s">
        <v>345</v>
      </c>
      <c r="D175" s="64" t="s">
        <v>691</v>
      </c>
      <c r="E175" s="64" t="s">
        <v>324</v>
      </c>
      <c r="F175" s="65" t="s">
        <v>692</v>
      </c>
      <c r="G175" s="64" t="s">
        <v>328</v>
      </c>
      <c r="H175" s="64" t="s">
        <v>200</v>
      </c>
      <c r="I175" s="64" t="s">
        <v>10</v>
      </c>
      <c r="J175" s="64" t="s">
        <v>201</v>
      </c>
      <c r="K175" s="66">
        <v>268.7</v>
      </c>
      <c r="L175" s="66">
        <f>K175*VLOOKUP(I175,dagsoorttabel1,2,FALSE)</f>
        <v>268.7</v>
      </c>
      <c r="M175" s="67">
        <f>prodnorm24</f>
        <v>0</v>
      </c>
      <c r="N175" s="68">
        <f>dagwerk24</f>
        <v>0</v>
      </c>
      <c r="O175" s="64" t="s">
        <v>38</v>
      </c>
      <c r="P175" s="69">
        <f>uurtarief24</f>
        <v>0</v>
      </c>
      <c r="Q175" s="66" t="e">
        <f>IF(ISBLANK(M175),0,L175/ROUND(M175,4))</f>
        <v>#DIV/0!</v>
      </c>
      <c r="R175" s="66" t="e">
        <f>IF(ISBLANK(M175),0,Q175*ROUND(N175,2))</f>
        <v>#DIV/0!</v>
      </c>
      <c r="S175" s="69" t="e">
        <f>ROUND(P175,2)*Q175</f>
        <v>#DIV/0!</v>
      </c>
      <c r="T175" s="66" t="e">
        <f>Q175*dagenperjaar1</f>
        <v>#DIV/0!</v>
      </c>
      <c r="U175" s="70" t="e">
        <f>T175*ROUND(P175,2)</f>
        <v>#DIV/0!</v>
      </c>
    </row>
    <row r="176" spans="1:21" x14ac:dyDescent="0.2">
      <c r="A176" s="63" t="s">
        <v>472</v>
      </c>
      <c r="B176" s="64" t="s">
        <v>472</v>
      </c>
      <c r="C176" s="64" t="s">
        <v>345</v>
      </c>
      <c r="D176" s="64" t="s">
        <v>693</v>
      </c>
      <c r="E176" s="64" t="s">
        <v>324</v>
      </c>
      <c r="F176" s="65" t="s">
        <v>694</v>
      </c>
      <c r="G176" s="64" t="s">
        <v>328</v>
      </c>
      <c r="H176" s="64" t="s">
        <v>243</v>
      </c>
      <c r="I176" s="64" t="s">
        <v>10</v>
      </c>
      <c r="J176" s="64" t="s">
        <v>201</v>
      </c>
      <c r="K176" s="66">
        <v>113.3</v>
      </c>
      <c r="L176" s="66">
        <f>K176*VLOOKUP(I176,dagsoorttabel1,2,FALSE)</f>
        <v>113.3</v>
      </c>
      <c r="M176" s="67">
        <f>prodnorm52</f>
        <v>0</v>
      </c>
      <c r="N176" s="68">
        <f>dagwerk52</f>
        <v>0</v>
      </c>
      <c r="O176" s="64" t="s">
        <v>38</v>
      </c>
      <c r="P176" s="69">
        <f>uurtarief52</f>
        <v>0</v>
      </c>
      <c r="Q176" s="66" t="e">
        <f>IF(ISBLANK(M176),0,L176/ROUND(M176,4))</f>
        <v>#DIV/0!</v>
      </c>
      <c r="R176" s="66" t="e">
        <f>IF(ISBLANK(M176),0,Q176*ROUND(N176,2))</f>
        <v>#DIV/0!</v>
      </c>
      <c r="S176" s="69" t="e">
        <f>ROUND(P176,2)*Q176</f>
        <v>#DIV/0!</v>
      </c>
      <c r="T176" s="66" t="e">
        <f>Q176*dagenperjaar1</f>
        <v>#DIV/0!</v>
      </c>
      <c r="U176" s="70" t="e">
        <f>T176*ROUND(P176,2)</f>
        <v>#DIV/0!</v>
      </c>
    </row>
    <row r="177" spans="1:21" x14ac:dyDescent="0.2">
      <c r="A177" s="63" t="s">
        <v>472</v>
      </c>
      <c r="B177" s="64" t="s">
        <v>472</v>
      </c>
      <c r="C177" s="64" t="s">
        <v>345</v>
      </c>
      <c r="D177" s="64" t="s">
        <v>695</v>
      </c>
      <c r="E177" s="64" t="s">
        <v>324</v>
      </c>
      <c r="F177" s="65" t="s">
        <v>386</v>
      </c>
      <c r="G177" s="64" t="s">
        <v>328</v>
      </c>
      <c r="H177" s="64" t="s">
        <v>237</v>
      </c>
      <c r="I177" s="64" t="s">
        <v>19</v>
      </c>
      <c r="J177" s="64" t="s">
        <v>201</v>
      </c>
      <c r="K177" s="66">
        <v>45.2</v>
      </c>
      <c r="L177" s="66">
        <f>K177*VLOOKUP(I177,dagsoorttabel1,2,FALSE)</f>
        <v>2.2600000000000002</v>
      </c>
      <c r="M177" s="67">
        <f>prodnorm47</f>
        <v>0</v>
      </c>
      <c r="N177" s="68">
        <f>dagwerk47</f>
        <v>0</v>
      </c>
      <c r="O177" s="64" t="s">
        <v>38</v>
      </c>
      <c r="P177" s="69">
        <f>uurtarief47</f>
        <v>0</v>
      </c>
      <c r="Q177" s="66" t="e">
        <f>IF(ISBLANK(M177),0,L177/ROUND(M177,4))</f>
        <v>#DIV/0!</v>
      </c>
      <c r="R177" s="66" t="e">
        <f>IF(ISBLANK(M177),0,Q177*ROUND(N177,2))</f>
        <v>#DIV/0!</v>
      </c>
      <c r="S177" s="69" t="e">
        <f>ROUND(P177,2)*Q177</f>
        <v>#DIV/0!</v>
      </c>
      <c r="T177" s="66" t="e">
        <f>Q177*dagenperjaar1</f>
        <v>#DIV/0!</v>
      </c>
      <c r="U177" s="70" t="e">
        <f>T177*ROUND(P177,2)</f>
        <v>#DIV/0!</v>
      </c>
    </row>
    <row r="178" spans="1:21" x14ac:dyDescent="0.2">
      <c r="A178" s="63" t="s">
        <v>472</v>
      </c>
      <c r="B178" s="64" t="s">
        <v>472</v>
      </c>
      <c r="C178" s="64" t="s">
        <v>345</v>
      </c>
      <c r="D178" s="64" t="s">
        <v>696</v>
      </c>
      <c r="E178" s="64" t="s">
        <v>324</v>
      </c>
      <c r="F178" s="65" t="s">
        <v>694</v>
      </c>
      <c r="G178" s="64" t="s">
        <v>328</v>
      </c>
      <c r="H178" s="64" t="s">
        <v>243</v>
      </c>
      <c r="I178" s="64" t="s">
        <v>10</v>
      </c>
      <c r="J178" s="64" t="s">
        <v>201</v>
      </c>
      <c r="K178" s="66">
        <v>96.3</v>
      </c>
      <c r="L178" s="66">
        <f>K178*VLOOKUP(I178,dagsoorttabel1,2,FALSE)</f>
        <v>96.3</v>
      </c>
      <c r="M178" s="67">
        <f>prodnorm52</f>
        <v>0</v>
      </c>
      <c r="N178" s="68">
        <f>dagwerk52</f>
        <v>0</v>
      </c>
      <c r="O178" s="64" t="s">
        <v>38</v>
      </c>
      <c r="P178" s="69">
        <f>uurtarief52</f>
        <v>0</v>
      </c>
      <c r="Q178" s="66" t="e">
        <f>IF(ISBLANK(M178),0,L178/ROUND(M178,4))</f>
        <v>#DIV/0!</v>
      </c>
      <c r="R178" s="66" t="e">
        <f>IF(ISBLANK(M178),0,Q178*ROUND(N178,2))</f>
        <v>#DIV/0!</v>
      </c>
      <c r="S178" s="69" t="e">
        <f>ROUND(P178,2)*Q178</f>
        <v>#DIV/0!</v>
      </c>
      <c r="T178" s="66" t="e">
        <f>Q178*dagenperjaar1</f>
        <v>#DIV/0!</v>
      </c>
      <c r="U178" s="70" t="e">
        <f>T178*ROUND(P178,2)</f>
        <v>#DIV/0!</v>
      </c>
    </row>
    <row r="179" spans="1:21" x14ac:dyDescent="0.2">
      <c r="A179" s="63" t="s">
        <v>472</v>
      </c>
      <c r="B179" s="64" t="s">
        <v>472</v>
      </c>
      <c r="C179" s="64" t="s">
        <v>345</v>
      </c>
      <c r="D179" s="64" t="s">
        <v>697</v>
      </c>
      <c r="E179" s="64" t="s">
        <v>324</v>
      </c>
      <c r="F179" s="65" t="s">
        <v>671</v>
      </c>
      <c r="G179" s="64" t="s">
        <v>642</v>
      </c>
      <c r="H179" s="64" t="s">
        <v>255</v>
      </c>
      <c r="I179" s="64" t="s">
        <v>10</v>
      </c>
      <c r="J179" s="64" t="s">
        <v>201</v>
      </c>
      <c r="K179" s="66">
        <v>19.8</v>
      </c>
      <c r="L179" s="66">
        <f>K179*VLOOKUP(I179,dagsoorttabel1,2,FALSE)</f>
        <v>19.8</v>
      </c>
      <c r="M179" s="67">
        <f>prodnorm59</f>
        <v>0</v>
      </c>
      <c r="N179" s="68">
        <f>dagwerk59</f>
        <v>0</v>
      </c>
      <c r="O179" s="64" t="s">
        <v>38</v>
      </c>
      <c r="P179" s="69">
        <f>uurtarief59</f>
        <v>0</v>
      </c>
      <c r="Q179" s="66" t="e">
        <f>IF(ISBLANK(M179),0,L179/ROUND(M179,4))</f>
        <v>#DIV/0!</v>
      </c>
      <c r="R179" s="66" t="e">
        <f>IF(ISBLANK(M179),0,Q179*ROUND(N179,2))</f>
        <v>#DIV/0!</v>
      </c>
      <c r="S179" s="69" t="e">
        <f>ROUND(P179,2)*Q179</f>
        <v>#DIV/0!</v>
      </c>
      <c r="T179" s="66" t="e">
        <f>Q179*dagenperjaar1</f>
        <v>#DIV/0!</v>
      </c>
      <c r="U179" s="70" t="e">
        <f>T179*ROUND(P179,2)</f>
        <v>#DIV/0!</v>
      </c>
    </row>
    <row r="180" spans="1:21" x14ac:dyDescent="0.2">
      <c r="A180" s="63" t="s">
        <v>472</v>
      </c>
      <c r="B180" s="64" t="s">
        <v>472</v>
      </c>
      <c r="C180" s="64" t="s">
        <v>345</v>
      </c>
      <c r="D180" s="64" t="s">
        <v>698</v>
      </c>
      <c r="E180" s="64" t="s">
        <v>324</v>
      </c>
      <c r="F180" s="65" t="s">
        <v>671</v>
      </c>
      <c r="G180" s="64" t="s">
        <v>642</v>
      </c>
      <c r="H180" s="64" t="s">
        <v>255</v>
      </c>
      <c r="I180" s="64" t="s">
        <v>10</v>
      </c>
      <c r="J180" s="64" t="s">
        <v>201</v>
      </c>
      <c r="K180" s="66">
        <v>14.3</v>
      </c>
      <c r="L180" s="66">
        <f>K180*VLOOKUP(I180,dagsoorttabel1,2,FALSE)</f>
        <v>14.3</v>
      </c>
      <c r="M180" s="67">
        <f>prodnorm59</f>
        <v>0</v>
      </c>
      <c r="N180" s="68">
        <f>dagwerk59</f>
        <v>0</v>
      </c>
      <c r="O180" s="64" t="s">
        <v>38</v>
      </c>
      <c r="P180" s="69">
        <f>uurtarief59</f>
        <v>0</v>
      </c>
      <c r="Q180" s="66" t="e">
        <f>IF(ISBLANK(M180),0,L180/ROUND(M180,4))</f>
        <v>#DIV/0!</v>
      </c>
      <c r="R180" s="66" t="e">
        <f>IF(ISBLANK(M180),0,Q180*ROUND(N180,2))</f>
        <v>#DIV/0!</v>
      </c>
      <c r="S180" s="69" t="e">
        <f>ROUND(P180,2)*Q180</f>
        <v>#DIV/0!</v>
      </c>
      <c r="T180" s="66" t="e">
        <f>Q180*dagenperjaar1</f>
        <v>#DIV/0!</v>
      </c>
      <c r="U180" s="70" t="e">
        <f>T180*ROUND(P180,2)</f>
        <v>#DIV/0!</v>
      </c>
    </row>
    <row r="181" spans="1:21" x14ac:dyDescent="0.2">
      <c r="A181" s="63" t="s">
        <v>472</v>
      </c>
      <c r="B181" s="64" t="s">
        <v>472</v>
      </c>
      <c r="C181" s="64" t="s">
        <v>345</v>
      </c>
      <c r="D181" s="64" t="s">
        <v>699</v>
      </c>
      <c r="E181" s="64" t="s">
        <v>324</v>
      </c>
      <c r="F181" s="65" t="s">
        <v>364</v>
      </c>
      <c r="G181" s="64" t="s">
        <v>642</v>
      </c>
      <c r="H181" s="64" t="s">
        <v>255</v>
      </c>
      <c r="I181" s="64" t="s">
        <v>10</v>
      </c>
      <c r="J181" s="64" t="s">
        <v>201</v>
      </c>
      <c r="K181" s="66">
        <v>4.3</v>
      </c>
      <c r="L181" s="66">
        <f>K181*VLOOKUP(I181,dagsoorttabel1,2,FALSE)</f>
        <v>4.3</v>
      </c>
      <c r="M181" s="67">
        <f>prodnorm59</f>
        <v>0</v>
      </c>
      <c r="N181" s="68">
        <f>dagwerk59</f>
        <v>0</v>
      </c>
      <c r="O181" s="64" t="s">
        <v>38</v>
      </c>
      <c r="P181" s="69">
        <f>uurtarief59</f>
        <v>0</v>
      </c>
      <c r="Q181" s="66" t="e">
        <f>IF(ISBLANK(M181),0,L181/ROUND(M181,4))</f>
        <v>#DIV/0!</v>
      </c>
      <c r="R181" s="66" t="e">
        <f>IF(ISBLANK(M181),0,Q181*ROUND(N181,2))</f>
        <v>#DIV/0!</v>
      </c>
      <c r="S181" s="69" t="e">
        <f>ROUND(P181,2)*Q181</f>
        <v>#DIV/0!</v>
      </c>
      <c r="T181" s="66" t="e">
        <f>Q181*dagenperjaar1</f>
        <v>#DIV/0!</v>
      </c>
      <c r="U181" s="70" t="e">
        <f>T181*ROUND(P181,2)</f>
        <v>#DIV/0!</v>
      </c>
    </row>
    <row r="182" spans="1:21" x14ac:dyDescent="0.2">
      <c r="A182" s="63" t="s">
        <v>472</v>
      </c>
      <c r="B182" s="64" t="s">
        <v>472</v>
      </c>
      <c r="C182" s="64" t="s">
        <v>345</v>
      </c>
      <c r="D182" s="64" t="s">
        <v>700</v>
      </c>
      <c r="E182" s="64" t="s">
        <v>324</v>
      </c>
      <c r="F182" s="65" t="s">
        <v>578</v>
      </c>
      <c r="G182" s="64" t="s">
        <v>328</v>
      </c>
      <c r="H182" s="64" t="s">
        <v>267</v>
      </c>
      <c r="I182" s="64" t="s">
        <v>10</v>
      </c>
      <c r="J182" s="64" t="s">
        <v>201</v>
      </c>
      <c r="K182" s="66">
        <v>117.7</v>
      </c>
      <c r="L182" s="66">
        <f>K182*VLOOKUP(I182,dagsoorttabel1,2,FALSE)</f>
        <v>117.7</v>
      </c>
      <c r="M182" s="67">
        <f>prodnorm65</f>
        <v>0</v>
      </c>
      <c r="N182" s="68">
        <f>dagwerk65</f>
        <v>0</v>
      </c>
      <c r="O182" s="64" t="s">
        <v>38</v>
      </c>
      <c r="P182" s="69">
        <f>uurtarief65</f>
        <v>0</v>
      </c>
      <c r="Q182" s="66" t="e">
        <f>IF(ISBLANK(M182),0,L182/ROUND(M182,4))</f>
        <v>#DIV/0!</v>
      </c>
      <c r="R182" s="66" t="e">
        <f>IF(ISBLANK(M182),0,Q182*ROUND(N182,2))</f>
        <v>#DIV/0!</v>
      </c>
      <c r="S182" s="69" t="e">
        <f>ROUND(P182,2)*Q182</f>
        <v>#DIV/0!</v>
      </c>
      <c r="T182" s="66" t="e">
        <f>Q182*dagenperjaar1</f>
        <v>#DIV/0!</v>
      </c>
      <c r="U182" s="70" t="e">
        <f>T182*ROUND(P182,2)</f>
        <v>#DIV/0!</v>
      </c>
    </row>
    <row r="183" spans="1:21" x14ac:dyDescent="0.2">
      <c r="A183" s="63" t="s">
        <v>472</v>
      </c>
      <c r="B183" s="64" t="s">
        <v>472</v>
      </c>
      <c r="C183" s="64" t="s">
        <v>323</v>
      </c>
      <c r="D183" s="64" t="s">
        <v>701</v>
      </c>
      <c r="E183" s="64" t="s">
        <v>324</v>
      </c>
      <c r="F183" s="65" t="s">
        <v>578</v>
      </c>
      <c r="G183" s="64" t="s">
        <v>328</v>
      </c>
      <c r="H183" s="64" t="s">
        <v>267</v>
      </c>
      <c r="I183" s="64" t="s">
        <v>10</v>
      </c>
      <c r="J183" s="64" t="s">
        <v>201</v>
      </c>
      <c r="K183" s="66">
        <v>34.5</v>
      </c>
      <c r="L183" s="66">
        <f>K183*VLOOKUP(I183,dagsoorttabel1,2,FALSE)</f>
        <v>34.5</v>
      </c>
      <c r="M183" s="67">
        <f>prodnorm65</f>
        <v>0</v>
      </c>
      <c r="N183" s="68">
        <f>dagwerk65</f>
        <v>0</v>
      </c>
      <c r="O183" s="64" t="s">
        <v>38</v>
      </c>
      <c r="P183" s="69">
        <f>uurtarief65</f>
        <v>0</v>
      </c>
      <c r="Q183" s="66" t="e">
        <f>IF(ISBLANK(M183),0,L183/ROUND(M183,4))</f>
        <v>#DIV/0!</v>
      </c>
      <c r="R183" s="66" t="e">
        <f>IF(ISBLANK(M183),0,Q183*ROUND(N183,2))</f>
        <v>#DIV/0!</v>
      </c>
      <c r="S183" s="69" t="e">
        <f>ROUND(P183,2)*Q183</f>
        <v>#DIV/0!</v>
      </c>
      <c r="T183" s="66" t="e">
        <f>Q183*dagenperjaar1</f>
        <v>#DIV/0!</v>
      </c>
      <c r="U183" s="70" t="e">
        <f>T183*ROUND(P183,2)</f>
        <v>#DIV/0!</v>
      </c>
    </row>
    <row r="184" spans="1:21" x14ac:dyDescent="0.2">
      <c r="A184" s="63" t="s">
        <v>472</v>
      </c>
      <c r="B184" s="64" t="s">
        <v>472</v>
      </c>
      <c r="C184" s="64" t="s">
        <v>323</v>
      </c>
      <c r="D184" s="64" t="s">
        <v>702</v>
      </c>
      <c r="E184" s="64" t="s">
        <v>324</v>
      </c>
      <c r="F184" s="65" t="s">
        <v>649</v>
      </c>
      <c r="G184" s="64" t="s">
        <v>328</v>
      </c>
      <c r="H184" s="64" t="s">
        <v>229</v>
      </c>
      <c r="I184" s="64" t="s">
        <v>10</v>
      </c>
      <c r="J184" s="64" t="s">
        <v>201</v>
      </c>
      <c r="K184" s="66">
        <v>84.2</v>
      </c>
      <c r="L184" s="66">
        <f>K184*VLOOKUP(I184,dagsoorttabel1,2,FALSE)</f>
        <v>84.2</v>
      </c>
      <c r="M184" s="67">
        <f>prodnorm43</f>
        <v>0</v>
      </c>
      <c r="N184" s="68">
        <f>dagwerk43</f>
        <v>0</v>
      </c>
      <c r="O184" s="64" t="s">
        <v>38</v>
      </c>
      <c r="P184" s="69">
        <f>uurtarief43</f>
        <v>0</v>
      </c>
      <c r="Q184" s="66" t="e">
        <f>IF(ISBLANK(M184),0,L184/ROUND(M184,4))</f>
        <v>#DIV/0!</v>
      </c>
      <c r="R184" s="66" t="e">
        <f>IF(ISBLANK(M184),0,Q184*ROUND(N184,2))</f>
        <v>#DIV/0!</v>
      </c>
      <c r="S184" s="69" t="e">
        <f>ROUND(P184,2)*Q184</f>
        <v>#DIV/0!</v>
      </c>
      <c r="T184" s="66" t="e">
        <f>Q184*dagenperjaar1</f>
        <v>#DIV/0!</v>
      </c>
      <c r="U184" s="70" t="e">
        <f>T184*ROUND(P184,2)</f>
        <v>#DIV/0!</v>
      </c>
    </row>
    <row r="185" spans="1:21" x14ac:dyDescent="0.2">
      <c r="A185" s="63" t="s">
        <v>472</v>
      </c>
      <c r="B185" s="64" t="s">
        <v>472</v>
      </c>
      <c r="C185" s="64" t="s">
        <v>323</v>
      </c>
      <c r="D185" s="64" t="s">
        <v>703</v>
      </c>
      <c r="E185" s="64" t="s">
        <v>324</v>
      </c>
      <c r="F185" s="65" t="s">
        <v>649</v>
      </c>
      <c r="G185" s="64" t="s">
        <v>328</v>
      </c>
      <c r="H185" s="64" t="s">
        <v>229</v>
      </c>
      <c r="I185" s="64" t="s">
        <v>10</v>
      </c>
      <c r="J185" s="64" t="s">
        <v>201</v>
      </c>
      <c r="K185" s="66">
        <v>60.1</v>
      </c>
      <c r="L185" s="66">
        <f>K185*VLOOKUP(I185,dagsoorttabel1,2,FALSE)</f>
        <v>60.1</v>
      </c>
      <c r="M185" s="67">
        <f>prodnorm43</f>
        <v>0</v>
      </c>
      <c r="N185" s="68">
        <f>dagwerk43</f>
        <v>0</v>
      </c>
      <c r="O185" s="64" t="s">
        <v>38</v>
      </c>
      <c r="P185" s="69">
        <f>uurtarief43</f>
        <v>0</v>
      </c>
      <c r="Q185" s="66" t="e">
        <f>IF(ISBLANK(M185),0,L185/ROUND(M185,4))</f>
        <v>#DIV/0!</v>
      </c>
      <c r="R185" s="66" t="e">
        <f>IF(ISBLANK(M185),0,Q185*ROUND(N185,2))</f>
        <v>#DIV/0!</v>
      </c>
      <c r="S185" s="69" t="e">
        <f>ROUND(P185,2)*Q185</f>
        <v>#DIV/0!</v>
      </c>
      <c r="T185" s="66" t="e">
        <f>Q185*dagenperjaar1</f>
        <v>#DIV/0!</v>
      </c>
      <c r="U185" s="70" t="e">
        <f>T185*ROUND(P185,2)</f>
        <v>#DIV/0!</v>
      </c>
    </row>
    <row r="186" spans="1:21" x14ac:dyDescent="0.2">
      <c r="A186" s="63" t="s">
        <v>472</v>
      </c>
      <c r="B186" s="64" t="s">
        <v>472</v>
      </c>
      <c r="C186" s="64" t="s">
        <v>323</v>
      </c>
      <c r="D186" s="64" t="s">
        <v>704</v>
      </c>
      <c r="E186" s="64" t="s">
        <v>324</v>
      </c>
      <c r="F186" s="65" t="s">
        <v>649</v>
      </c>
      <c r="G186" s="64" t="s">
        <v>328</v>
      </c>
      <c r="H186" s="64" t="s">
        <v>229</v>
      </c>
      <c r="I186" s="64" t="s">
        <v>10</v>
      </c>
      <c r="J186" s="64" t="s">
        <v>201</v>
      </c>
      <c r="K186" s="66">
        <v>62.4</v>
      </c>
      <c r="L186" s="66">
        <f>K186*VLOOKUP(I186,dagsoorttabel1,2,FALSE)</f>
        <v>62.4</v>
      </c>
      <c r="M186" s="67">
        <f>prodnorm43</f>
        <v>0</v>
      </c>
      <c r="N186" s="68">
        <f>dagwerk43</f>
        <v>0</v>
      </c>
      <c r="O186" s="64" t="s">
        <v>38</v>
      </c>
      <c r="P186" s="69">
        <f>uurtarief43</f>
        <v>0</v>
      </c>
      <c r="Q186" s="66" t="e">
        <f>IF(ISBLANK(M186),0,L186/ROUND(M186,4))</f>
        <v>#DIV/0!</v>
      </c>
      <c r="R186" s="66" t="e">
        <f>IF(ISBLANK(M186),0,Q186*ROUND(N186,2))</f>
        <v>#DIV/0!</v>
      </c>
      <c r="S186" s="69" t="e">
        <f>ROUND(P186,2)*Q186</f>
        <v>#DIV/0!</v>
      </c>
      <c r="T186" s="66" t="e">
        <f>Q186*dagenperjaar1</f>
        <v>#DIV/0!</v>
      </c>
      <c r="U186" s="70" t="e">
        <f>T186*ROUND(P186,2)</f>
        <v>#DIV/0!</v>
      </c>
    </row>
    <row r="187" spans="1:21" x14ac:dyDescent="0.2">
      <c r="A187" s="63" t="s">
        <v>472</v>
      </c>
      <c r="B187" s="64" t="s">
        <v>472</v>
      </c>
      <c r="C187" s="64" t="s">
        <v>323</v>
      </c>
      <c r="D187" s="64" t="s">
        <v>705</v>
      </c>
      <c r="E187" s="64" t="s">
        <v>324</v>
      </c>
      <c r="F187" s="65" t="s">
        <v>649</v>
      </c>
      <c r="G187" s="64" t="s">
        <v>328</v>
      </c>
      <c r="H187" s="64" t="s">
        <v>229</v>
      </c>
      <c r="I187" s="64" t="s">
        <v>10</v>
      </c>
      <c r="J187" s="64" t="s">
        <v>201</v>
      </c>
      <c r="K187" s="66">
        <v>64.3</v>
      </c>
      <c r="L187" s="66">
        <f>K187*VLOOKUP(I187,dagsoorttabel1,2,FALSE)</f>
        <v>64.3</v>
      </c>
      <c r="M187" s="67">
        <f>prodnorm43</f>
        <v>0</v>
      </c>
      <c r="N187" s="68">
        <f>dagwerk43</f>
        <v>0</v>
      </c>
      <c r="O187" s="64" t="s">
        <v>38</v>
      </c>
      <c r="P187" s="69">
        <f>uurtarief43</f>
        <v>0</v>
      </c>
      <c r="Q187" s="66" t="e">
        <f>IF(ISBLANK(M187),0,L187/ROUND(M187,4))</f>
        <v>#DIV/0!</v>
      </c>
      <c r="R187" s="66" t="e">
        <f>IF(ISBLANK(M187),0,Q187*ROUND(N187,2))</f>
        <v>#DIV/0!</v>
      </c>
      <c r="S187" s="69" t="e">
        <f>ROUND(P187,2)*Q187</f>
        <v>#DIV/0!</v>
      </c>
      <c r="T187" s="66" t="e">
        <f>Q187*dagenperjaar1</f>
        <v>#DIV/0!</v>
      </c>
      <c r="U187" s="70" t="e">
        <f>T187*ROUND(P187,2)</f>
        <v>#DIV/0!</v>
      </c>
    </row>
    <row r="188" spans="1:21" x14ac:dyDescent="0.2">
      <c r="A188" s="63" t="s">
        <v>472</v>
      </c>
      <c r="B188" s="64" t="s">
        <v>472</v>
      </c>
      <c r="C188" s="64" t="s">
        <v>323</v>
      </c>
      <c r="D188" s="64" t="s">
        <v>706</v>
      </c>
      <c r="E188" s="64" t="s">
        <v>324</v>
      </c>
      <c r="F188" s="65" t="s">
        <v>578</v>
      </c>
      <c r="G188" s="64" t="s">
        <v>328</v>
      </c>
      <c r="H188" s="64" t="s">
        <v>267</v>
      </c>
      <c r="I188" s="64" t="s">
        <v>10</v>
      </c>
      <c r="J188" s="64" t="s">
        <v>201</v>
      </c>
      <c r="K188" s="66">
        <v>156.6</v>
      </c>
      <c r="L188" s="66">
        <f>K188*VLOOKUP(I188,dagsoorttabel1,2,FALSE)</f>
        <v>156.6</v>
      </c>
      <c r="M188" s="67">
        <f>prodnorm65</f>
        <v>0</v>
      </c>
      <c r="N188" s="68">
        <f>dagwerk65</f>
        <v>0</v>
      </c>
      <c r="O188" s="64" t="s">
        <v>38</v>
      </c>
      <c r="P188" s="69">
        <f>uurtarief65</f>
        <v>0</v>
      </c>
      <c r="Q188" s="66" t="e">
        <f>IF(ISBLANK(M188),0,L188/ROUND(M188,4))</f>
        <v>#DIV/0!</v>
      </c>
      <c r="R188" s="66" t="e">
        <f>IF(ISBLANK(M188),0,Q188*ROUND(N188,2))</f>
        <v>#DIV/0!</v>
      </c>
      <c r="S188" s="69" t="e">
        <f>ROUND(P188,2)*Q188</f>
        <v>#DIV/0!</v>
      </c>
      <c r="T188" s="66" t="e">
        <f>Q188*dagenperjaar1</f>
        <v>#DIV/0!</v>
      </c>
      <c r="U188" s="70" t="e">
        <f>T188*ROUND(P188,2)</f>
        <v>#DIV/0!</v>
      </c>
    </row>
    <row r="189" spans="1:21" ht="25.5" x14ac:dyDescent="0.2">
      <c r="A189" s="63" t="s">
        <v>472</v>
      </c>
      <c r="B189" s="64" t="s">
        <v>472</v>
      </c>
      <c r="C189" s="64" t="s">
        <v>323</v>
      </c>
      <c r="D189" s="64" t="s">
        <v>707</v>
      </c>
      <c r="E189" s="64" t="s">
        <v>324</v>
      </c>
      <c r="F189" s="65" t="s">
        <v>708</v>
      </c>
      <c r="G189" s="64" t="s">
        <v>328</v>
      </c>
      <c r="H189" s="64" t="s">
        <v>205</v>
      </c>
      <c r="I189" s="64" t="s">
        <v>10</v>
      </c>
      <c r="J189" s="64" t="s">
        <v>201</v>
      </c>
      <c r="K189" s="66">
        <v>11.4</v>
      </c>
      <c r="L189" s="66">
        <f>K189*VLOOKUP(I189,dagsoorttabel1,2,FALSE)</f>
        <v>11.4</v>
      </c>
      <c r="M189" s="67">
        <f>prodnorm26</f>
        <v>0</v>
      </c>
      <c r="N189" s="68">
        <f>dagwerk26</f>
        <v>0</v>
      </c>
      <c r="O189" s="64" t="s">
        <v>38</v>
      </c>
      <c r="P189" s="69">
        <f>uurtarief26</f>
        <v>0</v>
      </c>
      <c r="Q189" s="66" t="e">
        <f>IF(ISBLANK(M189),0,L189/ROUND(M189,4))</f>
        <v>#DIV/0!</v>
      </c>
      <c r="R189" s="66" t="e">
        <f>IF(ISBLANK(M189),0,Q189*ROUND(N189,2))</f>
        <v>#DIV/0!</v>
      </c>
      <c r="S189" s="69" t="e">
        <f>ROUND(P189,2)*Q189</f>
        <v>#DIV/0!</v>
      </c>
      <c r="T189" s="66" t="e">
        <f>Q189*dagenperjaar1</f>
        <v>#DIV/0!</v>
      </c>
      <c r="U189" s="70" t="e">
        <f>T189*ROUND(P189,2)</f>
        <v>#DIV/0!</v>
      </c>
    </row>
    <row r="190" spans="1:21" x14ac:dyDescent="0.2">
      <c r="A190" s="63" t="s">
        <v>472</v>
      </c>
      <c r="B190" s="64" t="s">
        <v>472</v>
      </c>
      <c r="C190" s="64" t="s">
        <v>323</v>
      </c>
      <c r="D190" s="64" t="s">
        <v>709</v>
      </c>
      <c r="E190" s="64" t="s">
        <v>324</v>
      </c>
      <c r="F190" s="65" t="s">
        <v>578</v>
      </c>
      <c r="G190" s="64" t="s">
        <v>328</v>
      </c>
      <c r="H190" s="64" t="s">
        <v>267</v>
      </c>
      <c r="I190" s="64" t="s">
        <v>10</v>
      </c>
      <c r="J190" s="64" t="s">
        <v>201</v>
      </c>
      <c r="K190" s="66">
        <v>23.6</v>
      </c>
      <c r="L190" s="66">
        <f>K190*VLOOKUP(I190,dagsoorttabel1,2,FALSE)</f>
        <v>23.6</v>
      </c>
      <c r="M190" s="67">
        <f>prodnorm65</f>
        <v>0</v>
      </c>
      <c r="N190" s="68">
        <f>dagwerk65</f>
        <v>0</v>
      </c>
      <c r="O190" s="64" t="s">
        <v>38</v>
      </c>
      <c r="P190" s="69">
        <f>uurtarief65</f>
        <v>0</v>
      </c>
      <c r="Q190" s="66" t="e">
        <f>IF(ISBLANK(M190),0,L190/ROUND(M190,4))</f>
        <v>#DIV/0!</v>
      </c>
      <c r="R190" s="66" t="e">
        <f>IF(ISBLANK(M190),0,Q190*ROUND(N190,2))</f>
        <v>#DIV/0!</v>
      </c>
      <c r="S190" s="69" t="e">
        <f>ROUND(P190,2)*Q190</f>
        <v>#DIV/0!</v>
      </c>
      <c r="T190" s="66" t="e">
        <f>Q190*dagenperjaar1</f>
        <v>#DIV/0!</v>
      </c>
      <c r="U190" s="70" t="e">
        <f>T190*ROUND(P190,2)</f>
        <v>#DIV/0!</v>
      </c>
    </row>
    <row r="191" spans="1:21" x14ac:dyDescent="0.2">
      <c r="A191" s="63" t="s">
        <v>472</v>
      </c>
      <c r="B191" s="64" t="s">
        <v>472</v>
      </c>
      <c r="C191" s="64" t="s">
        <v>323</v>
      </c>
      <c r="D191" s="64" t="s">
        <v>710</v>
      </c>
      <c r="E191" s="64" t="s">
        <v>324</v>
      </c>
      <c r="F191" s="65" t="s">
        <v>649</v>
      </c>
      <c r="G191" s="64" t="s">
        <v>328</v>
      </c>
      <c r="H191" s="64" t="s">
        <v>229</v>
      </c>
      <c r="I191" s="64" t="s">
        <v>10</v>
      </c>
      <c r="J191" s="64" t="s">
        <v>201</v>
      </c>
      <c r="K191" s="66">
        <v>59.2</v>
      </c>
      <c r="L191" s="66">
        <f>K191*VLOOKUP(I191,dagsoorttabel1,2,FALSE)</f>
        <v>59.2</v>
      </c>
      <c r="M191" s="67">
        <f>prodnorm43</f>
        <v>0</v>
      </c>
      <c r="N191" s="68">
        <f>dagwerk43</f>
        <v>0</v>
      </c>
      <c r="O191" s="64" t="s">
        <v>38</v>
      </c>
      <c r="P191" s="69">
        <f>uurtarief43</f>
        <v>0</v>
      </c>
      <c r="Q191" s="66" t="e">
        <f>IF(ISBLANK(M191),0,L191/ROUND(M191,4))</f>
        <v>#DIV/0!</v>
      </c>
      <c r="R191" s="66" t="e">
        <f>IF(ISBLANK(M191),0,Q191*ROUND(N191,2))</f>
        <v>#DIV/0!</v>
      </c>
      <c r="S191" s="69" t="e">
        <f>ROUND(P191,2)*Q191</f>
        <v>#DIV/0!</v>
      </c>
      <c r="T191" s="66" t="e">
        <f>Q191*dagenperjaar1</f>
        <v>#DIV/0!</v>
      </c>
      <c r="U191" s="70" t="e">
        <f>T191*ROUND(P191,2)</f>
        <v>#DIV/0!</v>
      </c>
    </row>
    <row r="192" spans="1:21" x14ac:dyDescent="0.2">
      <c r="A192" s="63" t="s">
        <v>472</v>
      </c>
      <c r="B192" s="64" t="s">
        <v>472</v>
      </c>
      <c r="C192" s="64" t="s">
        <v>323</v>
      </c>
      <c r="D192" s="64" t="s">
        <v>711</v>
      </c>
      <c r="E192" s="64" t="s">
        <v>324</v>
      </c>
      <c r="F192" s="65" t="s">
        <v>649</v>
      </c>
      <c r="G192" s="64" t="s">
        <v>328</v>
      </c>
      <c r="H192" s="64" t="s">
        <v>229</v>
      </c>
      <c r="I192" s="64" t="s">
        <v>10</v>
      </c>
      <c r="J192" s="64" t="s">
        <v>201</v>
      </c>
      <c r="K192" s="66">
        <v>55.5</v>
      </c>
      <c r="L192" s="66">
        <f>K192*VLOOKUP(I192,dagsoorttabel1,2,FALSE)</f>
        <v>55.5</v>
      </c>
      <c r="M192" s="67">
        <f>prodnorm43</f>
        <v>0</v>
      </c>
      <c r="N192" s="68">
        <f>dagwerk43</f>
        <v>0</v>
      </c>
      <c r="O192" s="64" t="s">
        <v>38</v>
      </c>
      <c r="P192" s="69">
        <f>uurtarief43</f>
        <v>0</v>
      </c>
      <c r="Q192" s="66" t="e">
        <f>IF(ISBLANK(M192),0,L192/ROUND(M192,4))</f>
        <v>#DIV/0!</v>
      </c>
      <c r="R192" s="66" t="e">
        <f>IF(ISBLANK(M192),0,Q192*ROUND(N192,2))</f>
        <v>#DIV/0!</v>
      </c>
      <c r="S192" s="69" t="e">
        <f>ROUND(P192,2)*Q192</f>
        <v>#DIV/0!</v>
      </c>
      <c r="T192" s="66" t="e">
        <f>Q192*dagenperjaar1</f>
        <v>#DIV/0!</v>
      </c>
      <c r="U192" s="70" t="e">
        <f>T192*ROUND(P192,2)</f>
        <v>#DIV/0!</v>
      </c>
    </row>
    <row r="193" spans="1:21" x14ac:dyDescent="0.2">
      <c r="A193" s="63" t="s">
        <v>472</v>
      </c>
      <c r="B193" s="64" t="s">
        <v>472</v>
      </c>
      <c r="C193" s="64" t="s">
        <v>323</v>
      </c>
      <c r="D193" s="64" t="s">
        <v>712</v>
      </c>
      <c r="E193" s="64" t="s">
        <v>324</v>
      </c>
      <c r="F193" s="65" t="s">
        <v>713</v>
      </c>
      <c r="G193" s="64" t="s">
        <v>328</v>
      </c>
      <c r="H193" s="64" t="s">
        <v>205</v>
      </c>
      <c r="I193" s="64" t="s">
        <v>10</v>
      </c>
      <c r="J193" s="64" t="s">
        <v>201</v>
      </c>
      <c r="K193" s="66">
        <v>13.7</v>
      </c>
      <c r="L193" s="66">
        <f>K193*VLOOKUP(I193,dagsoorttabel1,2,FALSE)</f>
        <v>13.7</v>
      </c>
      <c r="M193" s="67">
        <f>prodnorm26</f>
        <v>0</v>
      </c>
      <c r="N193" s="68">
        <f>dagwerk26</f>
        <v>0</v>
      </c>
      <c r="O193" s="64" t="s">
        <v>38</v>
      </c>
      <c r="P193" s="69">
        <f>uurtarief26</f>
        <v>0</v>
      </c>
      <c r="Q193" s="66" t="e">
        <f>IF(ISBLANK(M193),0,L193/ROUND(M193,4))</f>
        <v>#DIV/0!</v>
      </c>
      <c r="R193" s="66" t="e">
        <f>IF(ISBLANK(M193),0,Q193*ROUND(N193,2))</f>
        <v>#DIV/0!</v>
      </c>
      <c r="S193" s="69" t="e">
        <f>ROUND(P193,2)*Q193</f>
        <v>#DIV/0!</v>
      </c>
      <c r="T193" s="66" t="e">
        <f>Q193*dagenperjaar1</f>
        <v>#DIV/0!</v>
      </c>
      <c r="U193" s="70" t="e">
        <f>T193*ROUND(P193,2)</f>
        <v>#DIV/0!</v>
      </c>
    </row>
    <row r="194" spans="1:21" x14ac:dyDescent="0.2">
      <c r="A194" s="63" t="s">
        <v>472</v>
      </c>
      <c r="B194" s="64" t="s">
        <v>472</v>
      </c>
      <c r="C194" s="64" t="s">
        <v>323</v>
      </c>
      <c r="D194" s="64" t="s">
        <v>714</v>
      </c>
      <c r="E194" s="64" t="s">
        <v>324</v>
      </c>
      <c r="F194" s="65" t="s">
        <v>649</v>
      </c>
      <c r="G194" s="64" t="s">
        <v>328</v>
      </c>
      <c r="H194" s="64" t="s">
        <v>229</v>
      </c>
      <c r="I194" s="64" t="s">
        <v>10</v>
      </c>
      <c r="J194" s="64" t="s">
        <v>201</v>
      </c>
      <c r="K194" s="66">
        <v>57.9</v>
      </c>
      <c r="L194" s="66">
        <f>K194*VLOOKUP(I194,dagsoorttabel1,2,FALSE)</f>
        <v>57.9</v>
      </c>
      <c r="M194" s="67">
        <f>prodnorm43</f>
        <v>0</v>
      </c>
      <c r="N194" s="68">
        <f>dagwerk43</f>
        <v>0</v>
      </c>
      <c r="O194" s="64" t="s">
        <v>38</v>
      </c>
      <c r="P194" s="69">
        <f>uurtarief43</f>
        <v>0</v>
      </c>
      <c r="Q194" s="66" t="e">
        <f>IF(ISBLANK(M194),0,L194/ROUND(M194,4))</f>
        <v>#DIV/0!</v>
      </c>
      <c r="R194" s="66" t="e">
        <f>IF(ISBLANK(M194),0,Q194*ROUND(N194,2))</f>
        <v>#DIV/0!</v>
      </c>
      <c r="S194" s="69" t="e">
        <f>ROUND(P194,2)*Q194</f>
        <v>#DIV/0!</v>
      </c>
      <c r="T194" s="66" t="e">
        <f>Q194*dagenperjaar1</f>
        <v>#DIV/0!</v>
      </c>
      <c r="U194" s="70" t="e">
        <f>T194*ROUND(P194,2)</f>
        <v>#DIV/0!</v>
      </c>
    </row>
    <row r="195" spans="1:21" x14ac:dyDescent="0.2">
      <c r="A195" s="63" t="s">
        <v>472</v>
      </c>
      <c r="B195" s="64" t="s">
        <v>472</v>
      </c>
      <c r="C195" s="64" t="s">
        <v>323</v>
      </c>
      <c r="D195" s="64" t="s">
        <v>715</v>
      </c>
      <c r="E195" s="64" t="s">
        <v>324</v>
      </c>
      <c r="F195" s="65" t="s">
        <v>649</v>
      </c>
      <c r="G195" s="64" t="s">
        <v>328</v>
      </c>
      <c r="H195" s="64" t="s">
        <v>229</v>
      </c>
      <c r="I195" s="64" t="s">
        <v>10</v>
      </c>
      <c r="J195" s="64" t="s">
        <v>201</v>
      </c>
      <c r="K195" s="66">
        <v>63.8</v>
      </c>
      <c r="L195" s="66">
        <f>K195*VLOOKUP(I195,dagsoorttabel1,2,FALSE)</f>
        <v>63.8</v>
      </c>
      <c r="M195" s="67">
        <f>prodnorm43</f>
        <v>0</v>
      </c>
      <c r="N195" s="68">
        <f>dagwerk43</f>
        <v>0</v>
      </c>
      <c r="O195" s="64" t="s">
        <v>38</v>
      </c>
      <c r="P195" s="69">
        <f>uurtarief43</f>
        <v>0</v>
      </c>
      <c r="Q195" s="66" t="e">
        <f>IF(ISBLANK(M195),0,L195/ROUND(M195,4))</f>
        <v>#DIV/0!</v>
      </c>
      <c r="R195" s="66" t="e">
        <f>IF(ISBLANK(M195),0,Q195*ROUND(N195,2))</f>
        <v>#DIV/0!</v>
      </c>
      <c r="S195" s="69" t="e">
        <f>ROUND(P195,2)*Q195</f>
        <v>#DIV/0!</v>
      </c>
      <c r="T195" s="66" t="e">
        <f>Q195*dagenperjaar1</f>
        <v>#DIV/0!</v>
      </c>
      <c r="U195" s="70" t="e">
        <f>T195*ROUND(P195,2)</f>
        <v>#DIV/0!</v>
      </c>
    </row>
    <row r="196" spans="1:21" x14ac:dyDescent="0.2">
      <c r="A196" s="63" t="s">
        <v>472</v>
      </c>
      <c r="B196" s="64" t="s">
        <v>472</v>
      </c>
      <c r="C196" s="64" t="s">
        <v>323</v>
      </c>
      <c r="D196" s="64" t="s">
        <v>716</v>
      </c>
      <c r="E196" s="64" t="s">
        <v>324</v>
      </c>
      <c r="F196" s="65" t="s">
        <v>578</v>
      </c>
      <c r="G196" s="64" t="s">
        <v>328</v>
      </c>
      <c r="H196" s="64" t="s">
        <v>267</v>
      </c>
      <c r="I196" s="64" t="s">
        <v>10</v>
      </c>
      <c r="J196" s="64" t="s">
        <v>201</v>
      </c>
      <c r="K196" s="66">
        <v>48</v>
      </c>
      <c r="L196" s="66">
        <f>K196*VLOOKUP(I196,dagsoorttabel1,2,FALSE)</f>
        <v>48</v>
      </c>
      <c r="M196" s="67">
        <f>prodnorm65</f>
        <v>0</v>
      </c>
      <c r="N196" s="68">
        <f>dagwerk65</f>
        <v>0</v>
      </c>
      <c r="O196" s="64" t="s">
        <v>38</v>
      </c>
      <c r="P196" s="69">
        <f>uurtarief65</f>
        <v>0</v>
      </c>
      <c r="Q196" s="66" t="e">
        <f>IF(ISBLANK(M196),0,L196/ROUND(M196,4))</f>
        <v>#DIV/0!</v>
      </c>
      <c r="R196" s="66" t="e">
        <f>IF(ISBLANK(M196),0,Q196*ROUND(N196,2))</f>
        <v>#DIV/0!</v>
      </c>
      <c r="S196" s="69" t="e">
        <f>ROUND(P196,2)*Q196</f>
        <v>#DIV/0!</v>
      </c>
      <c r="T196" s="66" t="e">
        <f>Q196*dagenperjaar1</f>
        <v>#DIV/0!</v>
      </c>
      <c r="U196" s="70" t="e">
        <f>T196*ROUND(P196,2)</f>
        <v>#DIV/0!</v>
      </c>
    </row>
    <row r="197" spans="1:21" x14ac:dyDescent="0.2">
      <c r="A197" s="63" t="s">
        <v>472</v>
      </c>
      <c r="B197" s="64" t="s">
        <v>472</v>
      </c>
      <c r="C197" s="64" t="s">
        <v>323</v>
      </c>
      <c r="D197" s="64" t="s">
        <v>717</v>
      </c>
      <c r="E197" s="64" t="s">
        <v>324</v>
      </c>
      <c r="F197" s="65" t="s">
        <v>671</v>
      </c>
      <c r="G197" s="64" t="s">
        <v>642</v>
      </c>
      <c r="H197" s="64" t="s">
        <v>255</v>
      </c>
      <c r="I197" s="64" t="s">
        <v>10</v>
      </c>
      <c r="J197" s="64" t="s">
        <v>201</v>
      </c>
      <c r="K197" s="66">
        <v>16.899999999999999</v>
      </c>
      <c r="L197" s="66">
        <f>K197*VLOOKUP(I197,dagsoorttabel1,2,FALSE)</f>
        <v>16.899999999999999</v>
      </c>
      <c r="M197" s="67">
        <f>prodnorm59</f>
        <v>0</v>
      </c>
      <c r="N197" s="68">
        <f>dagwerk59</f>
        <v>0</v>
      </c>
      <c r="O197" s="64" t="s">
        <v>38</v>
      </c>
      <c r="P197" s="69">
        <f>uurtarief59</f>
        <v>0</v>
      </c>
      <c r="Q197" s="66" t="e">
        <f>IF(ISBLANK(M197),0,L197/ROUND(M197,4))</f>
        <v>#DIV/0!</v>
      </c>
      <c r="R197" s="66" t="e">
        <f>IF(ISBLANK(M197),0,Q197*ROUND(N197,2))</f>
        <v>#DIV/0!</v>
      </c>
      <c r="S197" s="69" t="e">
        <f>ROUND(P197,2)*Q197</f>
        <v>#DIV/0!</v>
      </c>
      <c r="T197" s="66" t="e">
        <f>Q197*dagenperjaar1</f>
        <v>#DIV/0!</v>
      </c>
      <c r="U197" s="70" t="e">
        <f>T197*ROUND(P197,2)</f>
        <v>#DIV/0!</v>
      </c>
    </row>
    <row r="198" spans="1:21" x14ac:dyDescent="0.2">
      <c r="A198" s="63" t="s">
        <v>472</v>
      </c>
      <c r="B198" s="64" t="s">
        <v>472</v>
      </c>
      <c r="C198" s="64" t="s">
        <v>323</v>
      </c>
      <c r="D198" s="64" t="s">
        <v>718</v>
      </c>
      <c r="E198" s="64" t="s">
        <v>324</v>
      </c>
      <c r="F198" s="65" t="s">
        <v>671</v>
      </c>
      <c r="G198" s="64" t="s">
        <v>642</v>
      </c>
      <c r="H198" s="64" t="s">
        <v>255</v>
      </c>
      <c r="I198" s="64" t="s">
        <v>10</v>
      </c>
      <c r="J198" s="64" t="s">
        <v>201</v>
      </c>
      <c r="K198" s="66">
        <v>14.2</v>
      </c>
      <c r="L198" s="66">
        <f>K198*VLOOKUP(I198,dagsoorttabel1,2,FALSE)</f>
        <v>14.2</v>
      </c>
      <c r="M198" s="67">
        <f>prodnorm59</f>
        <v>0</v>
      </c>
      <c r="N198" s="68">
        <f>dagwerk59</f>
        <v>0</v>
      </c>
      <c r="O198" s="64" t="s">
        <v>38</v>
      </c>
      <c r="P198" s="69">
        <f>uurtarief59</f>
        <v>0</v>
      </c>
      <c r="Q198" s="66" t="e">
        <f>IF(ISBLANK(M198),0,L198/ROUND(M198,4))</f>
        <v>#DIV/0!</v>
      </c>
      <c r="R198" s="66" t="e">
        <f>IF(ISBLANK(M198),0,Q198*ROUND(N198,2))</f>
        <v>#DIV/0!</v>
      </c>
      <c r="S198" s="69" t="e">
        <f>ROUND(P198,2)*Q198</f>
        <v>#DIV/0!</v>
      </c>
      <c r="T198" s="66" t="e">
        <f>Q198*dagenperjaar1</f>
        <v>#DIV/0!</v>
      </c>
      <c r="U198" s="70" t="e">
        <f>T198*ROUND(P198,2)</f>
        <v>#DIV/0!</v>
      </c>
    </row>
    <row r="199" spans="1:21" x14ac:dyDescent="0.2">
      <c r="A199" s="63" t="s">
        <v>472</v>
      </c>
      <c r="B199" s="64" t="s">
        <v>472</v>
      </c>
      <c r="C199" s="64" t="s">
        <v>323</v>
      </c>
      <c r="D199" s="64" t="s">
        <v>719</v>
      </c>
      <c r="E199" s="64" t="s">
        <v>324</v>
      </c>
      <c r="F199" s="65" t="s">
        <v>364</v>
      </c>
      <c r="G199" s="64" t="s">
        <v>642</v>
      </c>
      <c r="H199" s="64" t="s">
        <v>255</v>
      </c>
      <c r="I199" s="64" t="s">
        <v>10</v>
      </c>
      <c r="J199" s="64" t="s">
        <v>201</v>
      </c>
      <c r="K199" s="66">
        <v>4.2</v>
      </c>
      <c r="L199" s="66">
        <f>K199*VLOOKUP(I199,dagsoorttabel1,2,FALSE)</f>
        <v>4.2</v>
      </c>
      <c r="M199" s="67">
        <f>prodnorm59</f>
        <v>0</v>
      </c>
      <c r="N199" s="68">
        <f>dagwerk59</f>
        <v>0</v>
      </c>
      <c r="O199" s="64" t="s">
        <v>38</v>
      </c>
      <c r="P199" s="69">
        <f>uurtarief59</f>
        <v>0</v>
      </c>
      <c r="Q199" s="66" t="e">
        <f>IF(ISBLANK(M199),0,L199/ROUND(M199,4))</f>
        <v>#DIV/0!</v>
      </c>
      <c r="R199" s="66" t="e">
        <f>IF(ISBLANK(M199),0,Q199*ROUND(N199,2))</f>
        <v>#DIV/0!</v>
      </c>
      <c r="S199" s="69" t="e">
        <f>ROUND(P199,2)*Q199</f>
        <v>#DIV/0!</v>
      </c>
      <c r="T199" s="66" t="e">
        <f>Q199*dagenperjaar1</f>
        <v>#DIV/0!</v>
      </c>
      <c r="U199" s="70" t="e">
        <f>T199*ROUND(P199,2)</f>
        <v>#DIV/0!</v>
      </c>
    </row>
    <row r="200" spans="1:21" x14ac:dyDescent="0.2">
      <c r="A200" s="63" t="s">
        <v>472</v>
      </c>
      <c r="B200" s="64" t="s">
        <v>472</v>
      </c>
      <c r="C200" s="64" t="s">
        <v>323</v>
      </c>
      <c r="D200" s="64" t="s">
        <v>720</v>
      </c>
      <c r="E200" s="64" t="s">
        <v>324</v>
      </c>
      <c r="F200" s="65" t="s">
        <v>641</v>
      </c>
      <c r="G200" s="64" t="s">
        <v>642</v>
      </c>
      <c r="H200" s="64" t="s">
        <v>255</v>
      </c>
      <c r="I200" s="64" t="s">
        <v>10</v>
      </c>
      <c r="J200" s="64" t="s">
        <v>201</v>
      </c>
      <c r="K200" s="66">
        <v>3.5</v>
      </c>
      <c r="L200" s="66">
        <f>K200*VLOOKUP(I200,dagsoorttabel1,2,FALSE)</f>
        <v>3.5</v>
      </c>
      <c r="M200" s="67">
        <f>prodnorm59</f>
        <v>0</v>
      </c>
      <c r="N200" s="68">
        <f>dagwerk59</f>
        <v>0</v>
      </c>
      <c r="O200" s="64" t="s">
        <v>38</v>
      </c>
      <c r="P200" s="69">
        <f>uurtarief59</f>
        <v>0</v>
      </c>
      <c r="Q200" s="66" t="e">
        <f>IF(ISBLANK(M200),0,L200/ROUND(M200,4))</f>
        <v>#DIV/0!</v>
      </c>
      <c r="R200" s="66" t="e">
        <f>IF(ISBLANK(M200),0,Q200*ROUND(N200,2))</f>
        <v>#DIV/0!</v>
      </c>
      <c r="S200" s="69" t="e">
        <f>ROUND(P200,2)*Q200</f>
        <v>#DIV/0!</v>
      </c>
      <c r="T200" s="66" t="e">
        <f>Q200*dagenperjaar1</f>
        <v>#DIV/0!</v>
      </c>
      <c r="U200" s="70" t="e">
        <f>T200*ROUND(P200,2)</f>
        <v>#DIV/0!</v>
      </c>
    </row>
    <row r="201" spans="1:21" x14ac:dyDescent="0.2">
      <c r="A201" s="63" t="s">
        <v>472</v>
      </c>
      <c r="B201" s="64" t="s">
        <v>472</v>
      </c>
      <c r="C201" s="64" t="s">
        <v>323</v>
      </c>
      <c r="D201" s="64" t="s">
        <v>721</v>
      </c>
      <c r="E201" s="64" t="s">
        <v>324</v>
      </c>
      <c r="F201" s="65" t="s">
        <v>641</v>
      </c>
      <c r="G201" s="64" t="s">
        <v>642</v>
      </c>
      <c r="H201" s="64" t="s">
        <v>255</v>
      </c>
      <c r="I201" s="64" t="s">
        <v>10</v>
      </c>
      <c r="J201" s="64" t="s">
        <v>201</v>
      </c>
      <c r="K201" s="66">
        <v>3.5</v>
      </c>
      <c r="L201" s="66">
        <f>K201*VLOOKUP(I201,dagsoorttabel1,2,FALSE)</f>
        <v>3.5</v>
      </c>
      <c r="M201" s="67">
        <f>prodnorm59</f>
        <v>0</v>
      </c>
      <c r="N201" s="68">
        <f>dagwerk59</f>
        <v>0</v>
      </c>
      <c r="O201" s="64" t="s">
        <v>38</v>
      </c>
      <c r="P201" s="69">
        <f>uurtarief59</f>
        <v>0</v>
      </c>
      <c r="Q201" s="66" t="e">
        <f>IF(ISBLANK(M201),0,L201/ROUND(M201,4))</f>
        <v>#DIV/0!</v>
      </c>
      <c r="R201" s="66" t="e">
        <f>IF(ISBLANK(M201),0,Q201*ROUND(N201,2))</f>
        <v>#DIV/0!</v>
      </c>
      <c r="S201" s="69" t="e">
        <f>ROUND(P201,2)*Q201</f>
        <v>#DIV/0!</v>
      </c>
      <c r="T201" s="66" t="e">
        <f>Q201*dagenperjaar1</f>
        <v>#DIV/0!</v>
      </c>
      <c r="U201" s="70" t="e">
        <f>T201*ROUND(P201,2)</f>
        <v>#DIV/0!</v>
      </c>
    </row>
    <row r="202" spans="1:21" x14ac:dyDescent="0.2">
      <c r="A202" s="63" t="s">
        <v>472</v>
      </c>
      <c r="B202" s="64" t="s">
        <v>472</v>
      </c>
      <c r="C202" s="64" t="s">
        <v>323</v>
      </c>
      <c r="D202" s="64" t="s">
        <v>722</v>
      </c>
      <c r="E202" s="64" t="s">
        <v>324</v>
      </c>
      <c r="F202" s="65" t="s">
        <v>638</v>
      </c>
      <c r="G202" s="64" t="s">
        <v>328</v>
      </c>
      <c r="H202" s="64" t="s">
        <v>263</v>
      </c>
      <c r="I202" s="64" t="s">
        <v>10</v>
      </c>
      <c r="J202" s="64" t="s">
        <v>201</v>
      </c>
      <c r="K202" s="66">
        <v>4.5999999999999996</v>
      </c>
      <c r="L202" s="66">
        <f>K202*VLOOKUP(I202,dagsoorttabel1,2,FALSE)</f>
        <v>4.5999999999999996</v>
      </c>
      <c r="M202" s="67">
        <f>prodnorm63</f>
        <v>0</v>
      </c>
      <c r="N202" s="68">
        <f>dagwerk63</f>
        <v>0</v>
      </c>
      <c r="O202" s="64" t="s">
        <v>38</v>
      </c>
      <c r="P202" s="69">
        <f>uurtarief63</f>
        <v>0</v>
      </c>
      <c r="Q202" s="66" t="e">
        <f>IF(ISBLANK(M202),0,L202/ROUND(M202,4))</f>
        <v>#DIV/0!</v>
      </c>
      <c r="R202" s="66" t="e">
        <f>IF(ISBLANK(M202),0,Q202*ROUND(N202,2))</f>
        <v>#DIV/0!</v>
      </c>
      <c r="S202" s="69" t="e">
        <f>ROUND(P202,2)*Q202</f>
        <v>#DIV/0!</v>
      </c>
      <c r="T202" s="66" t="e">
        <f>Q202*dagenperjaar1</f>
        <v>#DIV/0!</v>
      </c>
      <c r="U202" s="70" t="e">
        <f>T202*ROUND(P202,2)</f>
        <v>#DIV/0!</v>
      </c>
    </row>
    <row r="203" spans="1:21" x14ac:dyDescent="0.2">
      <c r="A203" s="63" t="s">
        <v>472</v>
      </c>
      <c r="B203" s="64" t="s">
        <v>530</v>
      </c>
      <c r="C203" s="64" t="s">
        <v>345</v>
      </c>
      <c r="D203" s="64" t="s">
        <v>723</v>
      </c>
      <c r="E203" s="64" t="s">
        <v>324</v>
      </c>
      <c r="F203" s="65" t="s">
        <v>724</v>
      </c>
      <c r="G203" s="64" t="s">
        <v>725</v>
      </c>
      <c r="H203" s="64" t="s">
        <v>243</v>
      </c>
      <c r="I203" s="64" t="s">
        <v>10</v>
      </c>
      <c r="J203" s="64" t="s">
        <v>201</v>
      </c>
      <c r="K203" s="66">
        <v>86</v>
      </c>
      <c r="L203" s="66">
        <f>K203*VLOOKUP(I203,dagsoorttabel1,2,FALSE)</f>
        <v>86</v>
      </c>
      <c r="M203" s="67">
        <f>prodnorm52</f>
        <v>0</v>
      </c>
      <c r="N203" s="68">
        <f>dagwerk52</f>
        <v>0</v>
      </c>
      <c r="O203" s="64" t="s">
        <v>38</v>
      </c>
      <c r="P203" s="69">
        <f>uurtarief52</f>
        <v>0</v>
      </c>
      <c r="Q203" s="66" t="e">
        <f>IF(ISBLANK(M203),0,L203/ROUND(M203,4))</f>
        <v>#DIV/0!</v>
      </c>
      <c r="R203" s="66" t="e">
        <f>IF(ISBLANK(M203),0,Q203*ROUND(N203,2))</f>
        <v>#DIV/0!</v>
      </c>
      <c r="S203" s="69" t="e">
        <f>ROUND(P203,2)*Q203</f>
        <v>#DIV/0!</v>
      </c>
      <c r="T203" s="66" t="e">
        <f>Q203*dagenperjaar1</f>
        <v>#DIV/0!</v>
      </c>
      <c r="U203" s="70" t="e">
        <f>T203*ROUND(P203,2)</f>
        <v>#DIV/0!</v>
      </c>
    </row>
    <row r="204" spans="1:21" x14ac:dyDescent="0.2">
      <c r="A204" s="63" t="s">
        <v>472</v>
      </c>
      <c r="B204" s="64" t="s">
        <v>530</v>
      </c>
      <c r="C204" s="64" t="s">
        <v>345</v>
      </c>
      <c r="D204" s="64" t="s">
        <v>726</v>
      </c>
      <c r="E204" s="64" t="s">
        <v>324</v>
      </c>
      <c r="F204" s="65" t="s">
        <v>727</v>
      </c>
      <c r="G204" s="64" t="s">
        <v>328</v>
      </c>
      <c r="H204" s="64" t="s">
        <v>205</v>
      </c>
      <c r="I204" s="64" t="s">
        <v>10</v>
      </c>
      <c r="J204" s="64" t="s">
        <v>201</v>
      </c>
      <c r="K204" s="66">
        <v>14</v>
      </c>
      <c r="L204" s="66">
        <f>K204*VLOOKUP(I204,dagsoorttabel1,2,FALSE)</f>
        <v>14</v>
      </c>
      <c r="M204" s="67">
        <f>prodnorm26</f>
        <v>0</v>
      </c>
      <c r="N204" s="68">
        <f>dagwerk26</f>
        <v>0</v>
      </c>
      <c r="O204" s="64" t="s">
        <v>38</v>
      </c>
      <c r="P204" s="69">
        <f>uurtarief26</f>
        <v>0</v>
      </c>
      <c r="Q204" s="66" t="e">
        <f>IF(ISBLANK(M204),0,L204/ROUND(M204,4))</f>
        <v>#DIV/0!</v>
      </c>
      <c r="R204" s="66" t="e">
        <f>IF(ISBLANK(M204),0,Q204*ROUND(N204,2))</f>
        <v>#DIV/0!</v>
      </c>
      <c r="S204" s="69" t="e">
        <f>ROUND(P204,2)*Q204</f>
        <v>#DIV/0!</v>
      </c>
      <c r="T204" s="66" t="e">
        <f>Q204*dagenperjaar1</f>
        <v>#DIV/0!</v>
      </c>
      <c r="U204" s="70" t="e">
        <f>T204*ROUND(P204,2)</f>
        <v>#DIV/0!</v>
      </c>
    </row>
    <row r="205" spans="1:21" x14ac:dyDescent="0.2">
      <c r="A205" s="63" t="s">
        <v>472</v>
      </c>
      <c r="B205" s="64" t="s">
        <v>530</v>
      </c>
      <c r="C205" s="64" t="s">
        <v>345</v>
      </c>
      <c r="D205" s="64" t="s">
        <v>728</v>
      </c>
      <c r="E205" s="64" t="s">
        <v>324</v>
      </c>
      <c r="F205" s="65" t="s">
        <v>727</v>
      </c>
      <c r="G205" s="64" t="s">
        <v>328</v>
      </c>
      <c r="H205" s="64" t="s">
        <v>205</v>
      </c>
      <c r="I205" s="64" t="s">
        <v>10</v>
      </c>
      <c r="J205" s="64" t="s">
        <v>201</v>
      </c>
      <c r="K205" s="66">
        <v>13.9</v>
      </c>
      <c r="L205" s="66">
        <f>K205*VLOOKUP(I205,dagsoorttabel1,2,FALSE)</f>
        <v>13.9</v>
      </c>
      <c r="M205" s="67">
        <f>prodnorm26</f>
        <v>0</v>
      </c>
      <c r="N205" s="68">
        <f>dagwerk26</f>
        <v>0</v>
      </c>
      <c r="O205" s="64" t="s">
        <v>38</v>
      </c>
      <c r="P205" s="69">
        <f>uurtarief26</f>
        <v>0</v>
      </c>
      <c r="Q205" s="66" t="e">
        <f>IF(ISBLANK(M205),0,L205/ROUND(M205,4))</f>
        <v>#DIV/0!</v>
      </c>
      <c r="R205" s="66" t="e">
        <f>IF(ISBLANK(M205),0,Q205*ROUND(N205,2))</f>
        <v>#DIV/0!</v>
      </c>
      <c r="S205" s="69" t="e">
        <f>ROUND(P205,2)*Q205</f>
        <v>#DIV/0!</v>
      </c>
      <c r="T205" s="66" t="e">
        <f>Q205*dagenperjaar1</f>
        <v>#DIV/0!</v>
      </c>
      <c r="U205" s="70" t="e">
        <f>T205*ROUND(P205,2)</f>
        <v>#DIV/0!</v>
      </c>
    </row>
    <row r="206" spans="1:21" x14ac:dyDescent="0.2">
      <c r="A206" s="63" t="s">
        <v>472</v>
      </c>
      <c r="B206" s="64" t="s">
        <v>530</v>
      </c>
      <c r="C206" s="64" t="s">
        <v>345</v>
      </c>
      <c r="D206" s="64" t="s">
        <v>729</v>
      </c>
      <c r="E206" s="64" t="s">
        <v>324</v>
      </c>
      <c r="F206" s="65" t="s">
        <v>727</v>
      </c>
      <c r="G206" s="64" t="s">
        <v>328</v>
      </c>
      <c r="H206" s="64" t="s">
        <v>205</v>
      </c>
      <c r="I206" s="64" t="s">
        <v>10</v>
      </c>
      <c r="J206" s="64" t="s">
        <v>201</v>
      </c>
      <c r="K206" s="66">
        <v>14</v>
      </c>
      <c r="L206" s="66">
        <f>K206*VLOOKUP(I206,dagsoorttabel1,2,FALSE)</f>
        <v>14</v>
      </c>
      <c r="M206" s="67">
        <f>prodnorm26</f>
        <v>0</v>
      </c>
      <c r="N206" s="68">
        <f>dagwerk26</f>
        <v>0</v>
      </c>
      <c r="O206" s="64" t="s">
        <v>38</v>
      </c>
      <c r="P206" s="69">
        <f>uurtarief26</f>
        <v>0</v>
      </c>
      <c r="Q206" s="66" t="e">
        <f>IF(ISBLANK(M206),0,L206/ROUND(M206,4))</f>
        <v>#DIV/0!</v>
      </c>
      <c r="R206" s="66" t="e">
        <f>IF(ISBLANK(M206),0,Q206*ROUND(N206,2))</f>
        <v>#DIV/0!</v>
      </c>
      <c r="S206" s="69" t="e">
        <f>ROUND(P206,2)*Q206</f>
        <v>#DIV/0!</v>
      </c>
      <c r="T206" s="66" t="e">
        <f>Q206*dagenperjaar1</f>
        <v>#DIV/0!</v>
      </c>
      <c r="U206" s="70" t="e">
        <f>T206*ROUND(P206,2)</f>
        <v>#DIV/0!</v>
      </c>
    </row>
    <row r="207" spans="1:21" x14ac:dyDescent="0.2">
      <c r="A207" s="63" t="s">
        <v>472</v>
      </c>
      <c r="B207" s="64" t="s">
        <v>530</v>
      </c>
      <c r="C207" s="64" t="s">
        <v>345</v>
      </c>
      <c r="D207" s="64" t="s">
        <v>730</v>
      </c>
      <c r="E207" s="64" t="s">
        <v>324</v>
      </c>
      <c r="F207" s="65" t="s">
        <v>731</v>
      </c>
      <c r="G207" s="64" t="s">
        <v>328</v>
      </c>
      <c r="H207" s="64" t="s">
        <v>237</v>
      </c>
      <c r="I207" s="64" t="s">
        <v>19</v>
      </c>
      <c r="J207" s="64" t="s">
        <v>201</v>
      </c>
      <c r="K207" s="66">
        <v>40.299999999999997</v>
      </c>
      <c r="L207" s="66">
        <f>K207*VLOOKUP(I207,dagsoorttabel1,2,FALSE)</f>
        <v>2.0150000000000001</v>
      </c>
      <c r="M207" s="67">
        <f>prodnorm47</f>
        <v>0</v>
      </c>
      <c r="N207" s="68">
        <f>dagwerk47</f>
        <v>0</v>
      </c>
      <c r="O207" s="64" t="s">
        <v>38</v>
      </c>
      <c r="P207" s="69">
        <f>uurtarief47</f>
        <v>0</v>
      </c>
      <c r="Q207" s="66" t="e">
        <f>IF(ISBLANK(M207),0,L207/ROUND(M207,4))</f>
        <v>#DIV/0!</v>
      </c>
      <c r="R207" s="66" t="e">
        <f>IF(ISBLANK(M207),0,Q207*ROUND(N207,2))</f>
        <v>#DIV/0!</v>
      </c>
      <c r="S207" s="69" t="e">
        <f>ROUND(P207,2)*Q207</f>
        <v>#DIV/0!</v>
      </c>
      <c r="T207" s="66" t="e">
        <f>Q207*dagenperjaar1</f>
        <v>#DIV/0!</v>
      </c>
      <c r="U207" s="70" t="e">
        <f>T207*ROUND(P207,2)</f>
        <v>#DIV/0!</v>
      </c>
    </row>
    <row r="208" spans="1:21" x14ac:dyDescent="0.2">
      <c r="A208" s="63" t="s">
        <v>472</v>
      </c>
      <c r="B208" s="64" t="s">
        <v>530</v>
      </c>
      <c r="C208" s="64" t="s">
        <v>345</v>
      </c>
      <c r="D208" s="64" t="s">
        <v>732</v>
      </c>
      <c r="E208" s="64" t="s">
        <v>324</v>
      </c>
      <c r="F208" s="65" t="s">
        <v>733</v>
      </c>
      <c r="G208" s="64" t="s">
        <v>328</v>
      </c>
      <c r="H208" s="64" t="s">
        <v>205</v>
      </c>
      <c r="I208" s="64" t="s">
        <v>10</v>
      </c>
      <c r="J208" s="64" t="s">
        <v>201</v>
      </c>
      <c r="K208" s="66">
        <v>13.2</v>
      </c>
      <c r="L208" s="66">
        <f>K208*VLOOKUP(I208,dagsoorttabel1,2,FALSE)</f>
        <v>13.2</v>
      </c>
      <c r="M208" s="67">
        <f>prodnorm26</f>
        <v>0</v>
      </c>
      <c r="N208" s="68">
        <f>dagwerk26</f>
        <v>0</v>
      </c>
      <c r="O208" s="64" t="s">
        <v>38</v>
      </c>
      <c r="P208" s="69">
        <f>uurtarief26</f>
        <v>0</v>
      </c>
      <c r="Q208" s="66" t="e">
        <f>IF(ISBLANK(M208),0,L208/ROUND(M208,4))</f>
        <v>#DIV/0!</v>
      </c>
      <c r="R208" s="66" t="e">
        <f>IF(ISBLANK(M208),0,Q208*ROUND(N208,2))</f>
        <v>#DIV/0!</v>
      </c>
      <c r="S208" s="69" t="e">
        <f>ROUND(P208,2)*Q208</f>
        <v>#DIV/0!</v>
      </c>
      <c r="T208" s="66" t="e">
        <f>Q208*dagenperjaar1</f>
        <v>#DIV/0!</v>
      </c>
      <c r="U208" s="70" t="e">
        <f>T208*ROUND(P208,2)</f>
        <v>#DIV/0!</v>
      </c>
    </row>
    <row r="209" spans="1:21" x14ac:dyDescent="0.2">
      <c r="A209" s="63" t="s">
        <v>472</v>
      </c>
      <c r="B209" s="64" t="s">
        <v>530</v>
      </c>
      <c r="C209" s="64" t="s">
        <v>345</v>
      </c>
      <c r="D209" s="64" t="s">
        <v>734</v>
      </c>
      <c r="E209" s="64" t="s">
        <v>324</v>
      </c>
      <c r="F209" s="65" t="s">
        <v>649</v>
      </c>
      <c r="G209" s="64" t="s">
        <v>328</v>
      </c>
      <c r="H209" s="64" t="s">
        <v>229</v>
      </c>
      <c r="I209" s="64" t="s">
        <v>10</v>
      </c>
      <c r="J209" s="64" t="s">
        <v>201</v>
      </c>
      <c r="K209" s="66">
        <v>55.3</v>
      </c>
      <c r="L209" s="66">
        <f>K209*VLOOKUP(I209,dagsoorttabel1,2,FALSE)</f>
        <v>55.3</v>
      </c>
      <c r="M209" s="67">
        <f>prodnorm43</f>
        <v>0</v>
      </c>
      <c r="N209" s="68">
        <f>dagwerk43</f>
        <v>0</v>
      </c>
      <c r="O209" s="64" t="s">
        <v>38</v>
      </c>
      <c r="P209" s="69">
        <f>uurtarief43</f>
        <v>0</v>
      </c>
      <c r="Q209" s="66" t="e">
        <f>IF(ISBLANK(M209),0,L209/ROUND(M209,4))</f>
        <v>#DIV/0!</v>
      </c>
      <c r="R209" s="66" t="e">
        <f>IF(ISBLANK(M209),0,Q209*ROUND(N209,2))</f>
        <v>#DIV/0!</v>
      </c>
      <c r="S209" s="69" t="e">
        <f>ROUND(P209,2)*Q209</f>
        <v>#DIV/0!</v>
      </c>
      <c r="T209" s="66" t="e">
        <f>Q209*dagenperjaar1</f>
        <v>#DIV/0!</v>
      </c>
      <c r="U209" s="70" t="e">
        <f>T209*ROUND(P209,2)</f>
        <v>#DIV/0!</v>
      </c>
    </row>
    <row r="210" spans="1:21" x14ac:dyDescent="0.2">
      <c r="A210" s="63" t="s">
        <v>472</v>
      </c>
      <c r="B210" s="64" t="s">
        <v>530</v>
      </c>
      <c r="C210" s="64" t="s">
        <v>345</v>
      </c>
      <c r="D210" s="64" t="s">
        <v>735</v>
      </c>
      <c r="E210" s="64" t="s">
        <v>324</v>
      </c>
      <c r="F210" s="65" t="s">
        <v>649</v>
      </c>
      <c r="G210" s="64" t="s">
        <v>328</v>
      </c>
      <c r="H210" s="64" t="s">
        <v>229</v>
      </c>
      <c r="I210" s="64" t="s">
        <v>10</v>
      </c>
      <c r="J210" s="64" t="s">
        <v>201</v>
      </c>
      <c r="K210" s="66">
        <v>55.6</v>
      </c>
      <c r="L210" s="66">
        <f>K210*VLOOKUP(I210,dagsoorttabel1,2,FALSE)</f>
        <v>55.6</v>
      </c>
      <c r="M210" s="67">
        <f>prodnorm43</f>
        <v>0</v>
      </c>
      <c r="N210" s="68">
        <f>dagwerk43</f>
        <v>0</v>
      </c>
      <c r="O210" s="64" t="s">
        <v>38</v>
      </c>
      <c r="P210" s="69">
        <f>uurtarief43</f>
        <v>0</v>
      </c>
      <c r="Q210" s="66" t="e">
        <f>IF(ISBLANK(M210),0,L210/ROUND(M210,4))</f>
        <v>#DIV/0!</v>
      </c>
      <c r="R210" s="66" t="e">
        <f>IF(ISBLANK(M210),0,Q210*ROUND(N210,2))</f>
        <v>#DIV/0!</v>
      </c>
      <c r="S210" s="69" t="e">
        <f>ROUND(P210,2)*Q210</f>
        <v>#DIV/0!</v>
      </c>
      <c r="T210" s="66" t="e">
        <f>Q210*dagenperjaar1</f>
        <v>#DIV/0!</v>
      </c>
      <c r="U210" s="70" t="e">
        <f>T210*ROUND(P210,2)</f>
        <v>#DIV/0!</v>
      </c>
    </row>
    <row r="211" spans="1:21" x14ac:dyDescent="0.2">
      <c r="A211" s="63" t="s">
        <v>472</v>
      </c>
      <c r="B211" s="64" t="s">
        <v>530</v>
      </c>
      <c r="C211" s="64" t="s">
        <v>345</v>
      </c>
      <c r="D211" s="64" t="s">
        <v>736</v>
      </c>
      <c r="E211" s="64" t="s">
        <v>324</v>
      </c>
      <c r="F211" s="65" t="s">
        <v>649</v>
      </c>
      <c r="G211" s="64" t="s">
        <v>328</v>
      </c>
      <c r="H211" s="64" t="s">
        <v>229</v>
      </c>
      <c r="I211" s="64" t="s">
        <v>10</v>
      </c>
      <c r="J211" s="64" t="s">
        <v>201</v>
      </c>
      <c r="K211" s="66">
        <v>55.6</v>
      </c>
      <c r="L211" s="66">
        <f>K211*VLOOKUP(I211,dagsoorttabel1,2,FALSE)</f>
        <v>55.6</v>
      </c>
      <c r="M211" s="67">
        <f>prodnorm43</f>
        <v>0</v>
      </c>
      <c r="N211" s="68">
        <f>dagwerk43</f>
        <v>0</v>
      </c>
      <c r="O211" s="64" t="s">
        <v>38</v>
      </c>
      <c r="P211" s="69">
        <f>uurtarief43</f>
        <v>0</v>
      </c>
      <c r="Q211" s="66" t="e">
        <f>IF(ISBLANK(M211),0,L211/ROUND(M211,4))</f>
        <v>#DIV/0!</v>
      </c>
      <c r="R211" s="66" t="e">
        <f>IF(ISBLANK(M211),0,Q211*ROUND(N211,2))</f>
        <v>#DIV/0!</v>
      </c>
      <c r="S211" s="69" t="e">
        <f>ROUND(P211,2)*Q211</f>
        <v>#DIV/0!</v>
      </c>
      <c r="T211" s="66" t="e">
        <f>Q211*dagenperjaar1</f>
        <v>#DIV/0!</v>
      </c>
      <c r="U211" s="70" t="e">
        <f>T211*ROUND(P211,2)</f>
        <v>#DIV/0!</v>
      </c>
    </row>
    <row r="212" spans="1:21" x14ac:dyDescent="0.2">
      <c r="A212" s="63" t="s">
        <v>472</v>
      </c>
      <c r="B212" s="64" t="s">
        <v>530</v>
      </c>
      <c r="C212" s="64" t="s">
        <v>345</v>
      </c>
      <c r="D212" s="64" t="s">
        <v>737</v>
      </c>
      <c r="E212" s="64" t="s">
        <v>324</v>
      </c>
      <c r="F212" s="65" t="s">
        <v>649</v>
      </c>
      <c r="G212" s="64" t="s">
        <v>328</v>
      </c>
      <c r="H212" s="64" t="s">
        <v>229</v>
      </c>
      <c r="I212" s="64" t="s">
        <v>10</v>
      </c>
      <c r="J212" s="64" t="s">
        <v>201</v>
      </c>
      <c r="K212" s="66">
        <v>50.9</v>
      </c>
      <c r="L212" s="66">
        <f>K212*VLOOKUP(I212,dagsoorttabel1,2,FALSE)</f>
        <v>50.9</v>
      </c>
      <c r="M212" s="67">
        <f>prodnorm43</f>
        <v>0</v>
      </c>
      <c r="N212" s="68">
        <f>dagwerk43</f>
        <v>0</v>
      </c>
      <c r="O212" s="64" t="s">
        <v>38</v>
      </c>
      <c r="P212" s="69">
        <f>uurtarief43</f>
        <v>0</v>
      </c>
      <c r="Q212" s="66" t="e">
        <f>IF(ISBLANK(M212),0,L212/ROUND(M212,4))</f>
        <v>#DIV/0!</v>
      </c>
      <c r="R212" s="66" t="e">
        <f>IF(ISBLANK(M212),0,Q212*ROUND(N212,2))</f>
        <v>#DIV/0!</v>
      </c>
      <c r="S212" s="69" t="e">
        <f>ROUND(P212,2)*Q212</f>
        <v>#DIV/0!</v>
      </c>
      <c r="T212" s="66" t="e">
        <f>Q212*dagenperjaar1</f>
        <v>#DIV/0!</v>
      </c>
      <c r="U212" s="70" t="e">
        <f>T212*ROUND(P212,2)</f>
        <v>#DIV/0!</v>
      </c>
    </row>
    <row r="213" spans="1:21" x14ac:dyDescent="0.2">
      <c r="A213" s="63" t="s">
        <v>472</v>
      </c>
      <c r="B213" s="64" t="s">
        <v>530</v>
      </c>
      <c r="C213" s="64" t="s">
        <v>345</v>
      </c>
      <c r="D213" s="64" t="s">
        <v>738</v>
      </c>
      <c r="E213" s="64" t="s">
        <v>324</v>
      </c>
      <c r="F213" s="65" t="s">
        <v>649</v>
      </c>
      <c r="G213" s="64" t="s">
        <v>328</v>
      </c>
      <c r="H213" s="64" t="s">
        <v>229</v>
      </c>
      <c r="I213" s="64" t="s">
        <v>10</v>
      </c>
      <c r="J213" s="64" t="s">
        <v>201</v>
      </c>
      <c r="K213" s="66">
        <v>47.6</v>
      </c>
      <c r="L213" s="66">
        <f>K213*VLOOKUP(I213,dagsoorttabel1,2,FALSE)</f>
        <v>47.6</v>
      </c>
      <c r="M213" s="67">
        <f>prodnorm43</f>
        <v>0</v>
      </c>
      <c r="N213" s="68">
        <f>dagwerk43</f>
        <v>0</v>
      </c>
      <c r="O213" s="64" t="s">
        <v>38</v>
      </c>
      <c r="P213" s="69">
        <f>uurtarief43</f>
        <v>0</v>
      </c>
      <c r="Q213" s="66" t="e">
        <f>IF(ISBLANK(M213),0,L213/ROUND(M213,4))</f>
        <v>#DIV/0!</v>
      </c>
      <c r="R213" s="66" t="e">
        <f>IF(ISBLANK(M213),0,Q213*ROUND(N213,2))</f>
        <v>#DIV/0!</v>
      </c>
      <c r="S213" s="69" t="e">
        <f>ROUND(P213,2)*Q213</f>
        <v>#DIV/0!</v>
      </c>
      <c r="T213" s="66" t="e">
        <f>Q213*dagenperjaar1</f>
        <v>#DIV/0!</v>
      </c>
      <c r="U213" s="70" t="e">
        <f>T213*ROUND(P213,2)</f>
        <v>#DIV/0!</v>
      </c>
    </row>
    <row r="214" spans="1:21" ht="25.5" x14ac:dyDescent="0.2">
      <c r="A214" s="63" t="s">
        <v>472</v>
      </c>
      <c r="B214" s="64" t="s">
        <v>530</v>
      </c>
      <c r="C214" s="64" t="s">
        <v>345</v>
      </c>
      <c r="D214" s="64" t="s">
        <v>739</v>
      </c>
      <c r="E214" s="64" t="s">
        <v>324</v>
      </c>
      <c r="F214" s="65" t="s">
        <v>740</v>
      </c>
      <c r="G214" s="64" t="s">
        <v>328</v>
      </c>
      <c r="H214" s="64" t="s">
        <v>205</v>
      </c>
      <c r="I214" s="64" t="s">
        <v>10</v>
      </c>
      <c r="J214" s="64" t="s">
        <v>201</v>
      </c>
      <c r="K214" s="66">
        <v>25.5</v>
      </c>
      <c r="L214" s="66">
        <f>K214*VLOOKUP(I214,dagsoorttabel1,2,FALSE)</f>
        <v>25.5</v>
      </c>
      <c r="M214" s="67">
        <f>prodnorm26</f>
        <v>0</v>
      </c>
      <c r="N214" s="68">
        <f>dagwerk26</f>
        <v>0</v>
      </c>
      <c r="O214" s="64" t="s">
        <v>38</v>
      </c>
      <c r="P214" s="69">
        <f>uurtarief26</f>
        <v>0</v>
      </c>
      <c r="Q214" s="66" t="e">
        <f>IF(ISBLANK(M214),0,L214/ROUND(M214,4))</f>
        <v>#DIV/0!</v>
      </c>
      <c r="R214" s="66" t="e">
        <f>IF(ISBLANK(M214),0,Q214*ROUND(N214,2))</f>
        <v>#DIV/0!</v>
      </c>
      <c r="S214" s="69" t="e">
        <f>ROUND(P214,2)*Q214</f>
        <v>#DIV/0!</v>
      </c>
      <c r="T214" s="66" t="e">
        <f>Q214*dagenperjaar1</f>
        <v>#DIV/0!</v>
      </c>
      <c r="U214" s="70" t="e">
        <f>T214*ROUND(P214,2)</f>
        <v>#DIV/0!</v>
      </c>
    </row>
    <row r="215" spans="1:21" x14ac:dyDescent="0.2">
      <c r="A215" s="63" t="s">
        <v>472</v>
      </c>
      <c r="B215" s="64" t="s">
        <v>530</v>
      </c>
      <c r="C215" s="64" t="s">
        <v>345</v>
      </c>
      <c r="D215" s="64" t="s">
        <v>741</v>
      </c>
      <c r="E215" s="64" t="s">
        <v>324</v>
      </c>
      <c r="F215" s="65" t="s">
        <v>649</v>
      </c>
      <c r="G215" s="64" t="s">
        <v>328</v>
      </c>
      <c r="H215" s="64" t="s">
        <v>229</v>
      </c>
      <c r="I215" s="64" t="s">
        <v>10</v>
      </c>
      <c r="J215" s="64" t="s">
        <v>201</v>
      </c>
      <c r="K215" s="66">
        <v>90.7</v>
      </c>
      <c r="L215" s="66">
        <f>K215*VLOOKUP(I215,dagsoorttabel1,2,FALSE)</f>
        <v>90.7</v>
      </c>
      <c r="M215" s="67">
        <f>prodnorm43</f>
        <v>0</v>
      </c>
      <c r="N215" s="68">
        <f>dagwerk43</f>
        <v>0</v>
      </c>
      <c r="O215" s="64" t="s">
        <v>38</v>
      </c>
      <c r="P215" s="69">
        <f>uurtarief43</f>
        <v>0</v>
      </c>
      <c r="Q215" s="66" t="e">
        <f>IF(ISBLANK(M215),0,L215/ROUND(M215,4))</f>
        <v>#DIV/0!</v>
      </c>
      <c r="R215" s="66" t="e">
        <f>IF(ISBLANK(M215),0,Q215*ROUND(N215,2))</f>
        <v>#DIV/0!</v>
      </c>
      <c r="S215" s="69" t="e">
        <f>ROUND(P215,2)*Q215</f>
        <v>#DIV/0!</v>
      </c>
      <c r="T215" s="66" t="e">
        <f>Q215*dagenperjaar1</f>
        <v>#DIV/0!</v>
      </c>
      <c r="U215" s="70" t="e">
        <f>T215*ROUND(P215,2)</f>
        <v>#DIV/0!</v>
      </c>
    </row>
    <row r="216" spans="1:21" x14ac:dyDescent="0.2">
      <c r="A216" s="63" t="s">
        <v>472</v>
      </c>
      <c r="B216" s="64" t="s">
        <v>530</v>
      </c>
      <c r="C216" s="64" t="s">
        <v>345</v>
      </c>
      <c r="D216" s="64" t="s">
        <v>742</v>
      </c>
      <c r="E216" s="64" t="s">
        <v>324</v>
      </c>
      <c r="F216" s="65" t="s">
        <v>649</v>
      </c>
      <c r="G216" s="64" t="s">
        <v>328</v>
      </c>
      <c r="H216" s="64" t="s">
        <v>229</v>
      </c>
      <c r="I216" s="64" t="s">
        <v>10</v>
      </c>
      <c r="J216" s="64" t="s">
        <v>201</v>
      </c>
      <c r="K216" s="66">
        <v>98.5</v>
      </c>
      <c r="L216" s="66">
        <f>K216*VLOOKUP(I216,dagsoorttabel1,2,FALSE)</f>
        <v>98.5</v>
      </c>
      <c r="M216" s="67">
        <f>prodnorm43</f>
        <v>0</v>
      </c>
      <c r="N216" s="68">
        <f>dagwerk43</f>
        <v>0</v>
      </c>
      <c r="O216" s="64" t="s">
        <v>38</v>
      </c>
      <c r="P216" s="69">
        <f>uurtarief43</f>
        <v>0</v>
      </c>
      <c r="Q216" s="66" t="e">
        <f>IF(ISBLANK(M216),0,L216/ROUND(M216,4))</f>
        <v>#DIV/0!</v>
      </c>
      <c r="R216" s="66" t="e">
        <f>IF(ISBLANK(M216),0,Q216*ROUND(N216,2))</f>
        <v>#DIV/0!</v>
      </c>
      <c r="S216" s="69" t="e">
        <f>ROUND(P216,2)*Q216</f>
        <v>#DIV/0!</v>
      </c>
      <c r="T216" s="66" t="e">
        <f>Q216*dagenperjaar1</f>
        <v>#DIV/0!</v>
      </c>
      <c r="U216" s="70" t="e">
        <f>T216*ROUND(P216,2)</f>
        <v>#DIV/0!</v>
      </c>
    </row>
    <row r="217" spans="1:21" x14ac:dyDescent="0.2">
      <c r="A217" s="63" t="s">
        <v>472</v>
      </c>
      <c r="B217" s="64" t="s">
        <v>530</v>
      </c>
      <c r="C217" s="64" t="s">
        <v>345</v>
      </c>
      <c r="D217" s="64" t="s">
        <v>743</v>
      </c>
      <c r="E217" s="64" t="s">
        <v>324</v>
      </c>
      <c r="F217" s="65" t="s">
        <v>661</v>
      </c>
      <c r="G217" s="64" t="s">
        <v>328</v>
      </c>
      <c r="H217" s="64" t="s">
        <v>205</v>
      </c>
      <c r="I217" s="64" t="s">
        <v>10</v>
      </c>
      <c r="J217" s="64" t="s">
        <v>201</v>
      </c>
      <c r="K217" s="66">
        <v>17.7</v>
      </c>
      <c r="L217" s="66">
        <f>K217*VLOOKUP(I217,dagsoorttabel1,2,FALSE)</f>
        <v>17.7</v>
      </c>
      <c r="M217" s="67">
        <f>prodnorm26</f>
        <v>0</v>
      </c>
      <c r="N217" s="68">
        <f>dagwerk26</f>
        <v>0</v>
      </c>
      <c r="O217" s="64" t="s">
        <v>38</v>
      </c>
      <c r="P217" s="69">
        <f>uurtarief26</f>
        <v>0</v>
      </c>
      <c r="Q217" s="66" t="e">
        <f>IF(ISBLANK(M217),0,L217/ROUND(M217,4))</f>
        <v>#DIV/0!</v>
      </c>
      <c r="R217" s="66" t="e">
        <f>IF(ISBLANK(M217),0,Q217*ROUND(N217,2))</f>
        <v>#DIV/0!</v>
      </c>
      <c r="S217" s="69" t="e">
        <f>ROUND(P217,2)*Q217</f>
        <v>#DIV/0!</v>
      </c>
      <c r="T217" s="66" t="e">
        <f>Q217*dagenperjaar1</f>
        <v>#DIV/0!</v>
      </c>
      <c r="U217" s="70" t="e">
        <f>T217*ROUND(P217,2)</f>
        <v>#DIV/0!</v>
      </c>
    </row>
    <row r="218" spans="1:21" x14ac:dyDescent="0.2">
      <c r="A218" s="63" t="s">
        <v>472</v>
      </c>
      <c r="B218" s="64" t="s">
        <v>530</v>
      </c>
      <c r="C218" s="64" t="s">
        <v>345</v>
      </c>
      <c r="D218" s="64" t="s">
        <v>744</v>
      </c>
      <c r="E218" s="64" t="s">
        <v>324</v>
      </c>
      <c r="F218" s="65" t="s">
        <v>745</v>
      </c>
      <c r="G218" s="64" t="s">
        <v>328</v>
      </c>
      <c r="H218" s="64" t="s">
        <v>205</v>
      </c>
      <c r="I218" s="64" t="s">
        <v>10</v>
      </c>
      <c r="J218" s="64" t="s">
        <v>201</v>
      </c>
      <c r="K218" s="66">
        <v>87.6</v>
      </c>
      <c r="L218" s="66">
        <f>K218*VLOOKUP(I218,dagsoorttabel1,2,FALSE)</f>
        <v>87.6</v>
      </c>
      <c r="M218" s="67">
        <f>prodnorm26</f>
        <v>0</v>
      </c>
      <c r="N218" s="68">
        <f>dagwerk26</f>
        <v>0</v>
      </c>
      <c r="O218" s="64" t="s">
        <v>38</v>
      </c>
      <c r="P218" s="69">
        <f>uurtarief26</f>
        <v>0</v>
      </c>
      <c r="Q218" s="66" t="e">
        <f>IF(ISBLANK(M218),0,L218/ROUND(M218,4))</f>
        <v>#DIV/0!</v>
      </c>
      <c r="R218" s="66" t="e">
        <f>IF(ISBLANK(M218),0,Q218*ROUND(N218,2))</f>
        <v>#DIV/0!</v>
      </c>
      <c r="S218" s="69" t="e">
        <f>ROUND(P218,2)*Q218</f>
        <v>#DIV/0!</v>
      </c>
      <c r="T218" s="66" t="e">
        <f>Q218*dagenperjaar1</f>
        <v>#DIV/0!</v>
      </c>
      <c r="U218" s="70" t="e">
        <f>T218*ROUND(P218,2)</f>
        <v>#DIV/0!</v>
      </c>
    </row>
    <row r="219" spans="1:21" x14ac:dyDescent="0.2">
      <c r="A219" s="63" t="s">
        <v>472</v>
      </c>
      <c r="B219" s="64" t="s">
        <v>530</v>
      </c>
      <c r="C219" s="64" t="s">
        <v>345</v>
      </c>
      <c r="D219" s="64" t="s">
        <v>746</v>
      </c>
      <c r="E219" s="64" t="s">
        <v>324</v>
      </c>
      <c r="F219" s="65" t="s">
        <v>578</v>
      </c>
      <c r="G219" s="64" t="s">
        <v>328</v>
      </c>
      <c r="H219" s="64" t="s">
        <v>267</v>
      </c>
      <c r="I219" s="64" t="s">
        <v>10</v>
      </c>
      <c r="J219" s="64" t="s">
        <v>201</v>
      </c>
      <c r="K219" s="66">
        <v>126.4</v>
      </c>
      <c r="L219" s="66">
        <f>K219*VLOOKUP(I219,dagsoorttabel1,2,FALSE)</f>
        <v>126.4</v>
      </c>
      <c r="M219" s="67">
        <f>prodnorm65</f>
        <v>0</v>
      </c>
      <c r="N219" s="68">
        <f>dagwerk65</f>
        <v>0</v>
      </c>
      <c r="O219" s="64" t="s">
        <v>38</v>
      </c>
      <c r="P219" s="69">
        <f>uurtarief65</f>
        <v>0</v>
      </c>
      <c r="Q219" s="66" t="e">
        <f>IF(ISBLANK(M219),0,L219/ROUND(M219,4))</f>
        <v>#DIV/0!</v>
      </c>
      <c r="R219" s="66" t="e">
        <f>IF(ISBLANK(M219),0,Q219*ROUND(N219,2))</f>
        <v>#DIV/0!</v>
      </c>
      <c r="S219" s="69" t="e">
        <f>ROUND(P219,2)*Q219</f>
        <v>#DIV/0!</v>
      </c>
      <c r="T219" s="66" t="e">
        <f>Q219*dagenperjaar1</f>
        <v>#DIV/0!</v>
      </c>
      <c r="U219" s="70" t="e">
        <f>T219*ROUND(P219,2)</f>
        <v>#DIV/0!</v>
      </c>
    </row>
    <row r="220" spans="1:21" x14ac:dyDescent="0.2">
      <c r="A220" s="63" t="s">
        <v>472</v>
      </c>
      <c r="B220" s="64" t="s">
        <v>530</v>
      </c>
      <c r="C220" s="64" t="s">
        <v>345</v>
      </c>
      <c r="D220" s="64" t="s">
        <v>747</v>
      </c>
      <c r="E220" s="64" t="s">
        <v>324</v>
      </c>
      <c r="F220" s="65" t="s">
        <v>578</v>
      </c>
      <c r="G220" s="64" t="s">
        <v>328</v>
      </c>
      <c r="H220" s="64" t="s">
        <v>267</v>
      </c>
      <c r="I220" s="64" t="s">
        <v>10</v>
      </c>
      <c r="J220" s="64" t="s">
        <v>201</v>
      </c>
      <c r="K220" s="66">
        <v>24.4</v>
      </c>
      <c r="L220" s="66">
        <f>K220*VLOOKUP(I220,dagsoorttabel1,2,FALSE)</f>
        <v>24.4</v>
      </c>
      <c r="M220" s="67">
        <f>prodnorm65</f>
        <v>0</v>
      </c>
      <c r="N220" s="68">
        <f>dagwerk65</f>
        <v>0</v>
      </c>
      <c r="O220" s="64" t="s">
        <v>38</v>
      </c>
      <c r="P220" s="69">
        <f>uurtarief65</f>
        <v>0</v>
      </c>
      <c r="Q220" s="66" t="e">
        <f>IF(ISBLANK(M220),0,L220/ROUND(M220,4))</f>
        <v>#DIV/0!</v>
      </c>
      <c r="R220" s="66" t="e">
        <f>IF(ISBLANK(M220),0,Q220*ROUND(N220,2))</f>
        <v>#DIV/0!</v>
      </c>
      <c r="S220" s="69" t="e">
        <f>ROUND(P220,2)*Q220</f>
        <v>#DIV/0!</v>
      </c>
      <c r="T220" s="66" t="e">
        <f>Q220*dagenperjaar1</f>
        <v>#DIV/0!</v>
      </c>
      <c r="U220" s="70" t="e">
        <f>T220*ROUND(P220,2)</f>
        <v>#DIV/0!</v>
      </c>
    </row>
    <row r="221" spans="1:21" x14ac:dyDescent="0.2">
      <c r="A221" s="63" t="s">
        <v>472</v>
      </c>
      <c r="B221" s="64" t="s">
        <v>530</v>
      </c>
      <c r="C221" s="64" t="s">
        <v>345</v>
      </c>
      <c r="D221" s="64" t="s">
        <v>748</v>
      </c>
      <c r="E221" s="64" t="s">
        <v>324</v>
      </c>
      <c r="F221" s="65" t="s">
        <v>578</v>
      </c>
      <c r="G221" s="64" t="s">
        <v>328</v>
      </c>
      <c r="H221" s="64" t="s">
        <v>267</v>
      </c>
      <c r="I221" s="64" t="s">
        <v>10</v>
      </c>
      <c r="J221" s="64" t="s">
        <v>201</v>
      </c>
      <c r="K221" s="66">
        <v>51</v>
      </c>
      <c r="L221" s="66">
        <f>K221*VLOOKUP(I221,dagsoorttabel1,2,FALSE)</f>
        <v>51</v>
      </c>
      <c r="M221" s="67">
        <f>prodnorm65</f>
        <v>0</v>
      </c>
      <c r="N221" s="68">
        <f>dagwerk65</f>
        <v>0</v>
      </c>
      <c r="O221" s="64" t="s">
        <v>38</v>
      </c>
      <c r="P221" s="69">
        <f>uurtarief65</f>
        <v>0</v>
      </c>
      <c r="Q221" s="66" t="e">
        <f>IF(ISBLANK(M221),0,L221/ROUND(M221,4))</f>
        <v>#DIV/0!</v>
      </c>
      <c r="R221" s="66" t="e">
        <f>IF(ISBLANK(M221),0,Q221*ROUND(N221,2))</f>
        <v>#DIV/0!</v>
      </c>
      <c r="S221" s="69" t="e">
        <f>ROUND(P221,2)*Q221</f>
        <v>#DIV/0!</v>
      </c>
      <c r="T221" s="66" t="e">
        <f>Q221*dagenperjaar1</f>
        <v>#DIV/0!</v>
      </c>
      <c r="U221" s="70" t="e">
        <f>T221*ROUND(P221,2)</f>
        <v>#DIV/0!</v>
      </c>
    </row>
    <row r="222" spans="1:21" x14ac:dyDescent="0.2">
      <c r="A222" s="63" t="s">
        <v>472</v>
      </c>
      <c r="B222" s="64" t="s">
        <v>530</v>
      </c>
      <c r="C222" s="64" t="s">
        <v>345</v>
      </c>
      <c r="D222" s="64" t="s">
        <v>749</v>
      </c>
      <c r="E222" s="64" t="s">
        <v>324</v>
      </c>
      <c r="F222" s="65" t="s">
        <v>671</v>
      </c>
      <c r="G222" s="64" t="s">
        <v>642</v>
      </c>
      <c r="H222" s="64" t="s">
        <v>255</v>
      </c>
      <c r="I222" s="64" t="s">
        <v>10</v>
      </c>
      <c r="J222" s="64" t="s">
        <v>201</v>
      </c>
      <c r="K222" s="66">
        <v>14.3</v>
      </c>
      <c r="L222" s="66">
        <f>K222*VLOOKUP(I222,dagsoorttabel1,2,FALSE)</f>
        <v>14.3</v>
      </c>
      <c r="M222" s="67">
        <f>prodnorm59</f>
        <v>0</v>
      </c>
      <c r="N222" s="68">
        <f>dagwerk59</f>
        <v>0</v>
      </c>
      <c r="O222" s="64" t="s">
        <v>38</v>
      </c>
      <c r="P222" s="69">
        <f>uurtarief59</f>
        <v>0</v>
      </c>
      <c r="Q222" s="66" t="e">
        <f>IF(ISBLANK(M222),0,L222/ROUND(M222,4))</f>
        <v>#DIV/0!</v>
      </c>
      <c r="R222" s="66" t="e">
        <f>IF(ISBLANK(M222),0,Q222*ROUND(N222,2))</f>
        <v>#DIV/0!</v>
      </c>
      <c r="S222" s="69" t="e">
        <f>ROUND(P222,2)*Q222</f>
        <v>#DIV/0!</v>
      </c>
      <c r="T222" s="66" t="e">
        <f>Q222*dagenperjaar1</f>
        <v>#DIV/0!</v>
      </c>
      <c r="U222" s="70" t="e">
        <f>T222*ROUND(P222,2)</f>
        <v>#DIV/0!</v>
      </c>
    </row>
    <row r="223" spans="1:21" x14ac:dyDescent="0.2">
      <c r="A223" s="63" t="s">
        <v>472</v>
      </c>
      <c r="B223" s="64" t="s">
        <v>530</v>
      </c>
      <c r="C223" s="64" t="s">
        <v>345</v>
      </c>
      <c r="D223" s="64" t="s">
        <v>750</v>
      </c>
      <c r="E223" s="64" t="s">
        <v>324</v>
      </c>
      <c r="F223" s="65" t="s">
        <v>671</v>
      </c>
      <c r="G223" s="64" t="s">
        <v>642</v>
      </c>
      <c r="H223" s="64" t="s">
        <v>255</v>
      </c>
      <c r="I223" s="64" t="s">
        <v>10</v>
      </c>
      <c r="J223" s="64" t="s">
        <v>201</v>
      </c>
      <c r="K223" s="66">
        <v>14.3</v>
      </c>
      <c r="L223" s="66">
        <f>K223*VLOOKUP(I223,dagsoorttabel1,2,FALSE)</f>
        <v>14.3</v>
      </c>
      <c r="M223" s="67">
        <f>prodnorm59</f>
        <v>0</v>
      </c>
      <c r="N223" s="68">
        <f>dagwerk59</f>
        <v>0</v>
      </c>
      <c r="O223" s="64" t="s">
        <v>38</v>
      </c>
      <c r="P223" s="69">
        <f>uurtarief59</f>
        <v>0</v>
      </c>
      <c r="Q223" s="66" t="e">
        <f>IF(ISBLANK(M223),0,L223/ROUND(M223,4))</f>
        <v>#DIV/0!</v>
      </c>
      <c r="R223" s="66" t="e">
        <f>IF(ISBLANK(M223),0,Q223*ROUND(N223,2))</f>
        <v>#DIV/0!</v>
      </c>
      <c r="S223" s="69" t="e">
        <f>ROUND(P223,2)*Q223</f>
        <v>#DIV/0!</v>
      </c>
      <c r="T223" s="66" t="e">
        <f>Q223*dagenperjaar1</f>
        <v>#DIV/0!</v>
      </c>
      <c r="U223" s="70" t="e">
        <f>T223*ROUND(P223,2)</f>
        <v>#DIV/0!</v>
      </c>
    </row>
    <row r="224" spans="1:21" x14ac:dyDescent="0.2">
      <c r="A224" s="63" t="s">
        <v>472</v>
      </c>
      <c r="B224" s="64" t="s">
        <v>530</v>
      </c>
      <c r="C224" s="64" t="s">
        <v>345</v>
      </c>
      <c r="D224" s="64" t="s">
        <v>751</v>
      </c>
      <c r="E224" s="64" t="s">
        <v>324</v>
      </c>
      <c r="F224" s="65" t="s">
        <v>671</v>
      </c>
      <c r="G224" s="64" t="s">
        <v>642</v>
      </c>
      <c r="H224" s="64" t="s">
        <v>255</v>
      </c>
      <c r="I224" s="64" t="s">
        <v>10</v>
      </c>
      <c r="J224" s="64" t="s">
        <v>201</v>
      </c>
      <c r="K224" s="66">
        <v>8.6999999999999993</v>
      </c>
      <c r="L224" s="66">
        <f>K224*VLOOKUP(I224,dagsoorttabel1,2,FALSE)</f>
        <v>8.6999999999999993</v>
      </c>
      <c r="M224" s="67">
        <f>prodnorm59</f>
        <v>0</v>
      </c>
      <c r="N224" s="68">
        <f>dagwerk59</f>
        <v>0</v>
      </c>
      <c r="O224" s="64" t="s">
        <v>38</v>
      </c>
      <c r="P224" s="69">
        <f>uurtarief59</f>
        <v>0</v>
      </c>
      <c r="Q224" s="66" t="e">
        <f>IF(ISBLANK(M224),0,L224/ROUND(M224,4))</f>
        <v>#DIV/0!</v>
      </c>
      <c r="R224" s="66" t="e">
        <f>IF(ISBLANK(M224),0,Q224*ROUND(N224,2))</f>
        <v>#DIV/0!</v>
      </c>
      <c r="S224" s="69" t="e">
        <f>ROUND(P224,2)*Q224</f>
        <v>#DIV/0!</v>
      </c>
      <c r="T224" s="66" t="e">
        <f>Q224*dagenperjaar1</f>
        <v>#DIV/0!</v>
      </c>
      <c r="U224" s="70" t="e">
        <f>T224*ROUND(P224,2)</f>
        <v>#DIV/0!</v>
      </c>
    </row>
    <row r="225" spans="1:21" x14ac:dyDescent="0.2">
      <c r="A225" s="63" t="s">
        <v>472</v>
      </c>
      <c r="B225" s="64" t="s">
        <v>530</v>
      </c>
      <c r="C225" s="64" t="s">
        <v>345</v>
      </c>
      <c r="D225" s="64" t="s">
        <v>752</v>
      </c>
      <c r="E225" s="64" t="s">
        <v>324</v>
      </c>
      <c r="F225" s="65" t="s">
        <v>671</v>
      </c>
      <c r="G225" s="64" t="s">
        <v>642</v>
      </c>
      <c r="H225" s="64" t="s">
        <v>255</v>
      </c>
      <c r="I225" s="64" t="s">
        <v>10</v>
      </c>
      <c r="J225" s="64" t="s">
        <v>201</v>
      </c>
      <c r="K225" s="66">
        <v>8.6999999999999993</v>
      </c>
      <c r="L225" s="66">
        <f>K225*VLOOKUP(I225,dagsoorttabel1,2,FALSE)</f>
        <v>8.6999999999999993</v>
      </c>
      <c r="M225" s="67">
        <f>prodnorm59</f>
        <v>0</v>
      </c>
      <c r="N225" s="68">
        <f>dagwerk59</f>
        <v>0</v>
      </c>
      <c r="O225" s="64" t="s">
        <v>38</v>
      </c>
      <c r="P225" s="69">
        <f>uurtarief59</f>
        <v>0</v>
      </c>
      <c r="Q225" s="66" t="e">
        <f>IF(ISBLANK(M225),0,L225/ROUND(M225,4))</f>
        <v>#DIV/0!</v>
      </c>
      <c r="R225" s="66" t="e">
        <f>IF(ISBLANK(M225),0,Q225*ROUND(N225,2))</f>
        <v>#DIV/0!</v>
      </c>
      <c r="S225" s="69" t="e">
        <f>ROUND(P225,2)*Q225</f>
        <v>#DIV/0!</v>
      </c>
      <c r="T225" s="66" t="e">
        <f>Q225*dagenperjaar1</f>
        <v>#DIV/0!</v>
      </c>
      <c r="U225" s="70" t="e">
        <f>T225*ROUND(P225,2)</f>
        <v>#DIV/0!</v>
      </c>
    </row>
    <row r="226" spans="1:21" x14ac:dyDescent="0.2">
      <c r="A226" s="63" t="s">
        <v>472</v>
      </c>
      <c r="B226" s="64" t="s">
        <v>530</v>
      </c>
      <c r="C226" s="64" t="s">
        <v>323</v>
      </c>
      <c r="D226" s="64" t="s">
        <v>753</v>
      </c>
      <c r="E226" s="64" t="s">
        <v>324</v>
      </c>
      <c r="F226" s="65" t="s">
        <v>649</v>
      </c>
      <c r="G226" s="64" t="s">
        <v>328</v>
      </c>
      <c r="H226" s="64" t="s">
        <v>229</v>
      </c>
      <c r="I226" s="64" t="s">
        <v>10</v>
      </c>
      <c r="J226" s="64" t="s">
        <v>201</v>
      </c>
      <c r="K226" s="66">
        <v>53.5</v>
      </c>
      <c r="L226" s="66">
        <f>K226*VLOOKUP(I226,dagsoorttabel1,2,FALSE)</f>
        <v>53.5</v>
      </c>
      <c r="M226" s="67">
        <f>prodnorm43</f>
        <v>0</v>
      </c>
      <c r="N226" s="68">
        <f>dagwerk43</f>
        <v>0</v>
      </c>
      <c r="O226" s="64" t="s">
        <v>38</v>
      </c>
      <c r="P226" s="69">
        <f>uurtarief43</f>
        <v>0</v>
      </c>
      <c r="Q226" s="66" t="e">
        <f>IF(ISBLANK(M226),0,L226/ROUND(M226,4))</f>
        <v>#DIV/0!</v>
      </c>
      <c r="R226" s="66" t="e">
        <f>IF(ISBLANK(M226),0,Q226*ROUND(N226,2))</f>
        <v>#DIV/0!</v>
      </c>
      <c r="S226" s="69" t="e">
        <f>ROUND(P226,2)*Q226</f>
        <v>#DIV/0!</v>
      </c>
      <c r="T226" s="66" t="e">
        <f>Q226*dagenperjaar1</f>
        <v>#DIV/0!</v>
      </c>
      <c r="U226" s="70" t="e">
        <f>T226*ROUND(P226,2)</f>
        <v>#DIV/0!</v>
      </c>
    </row>
    <row r="227" spans="1:21" x14ac:dyDescent="0.2">
      <c r="A227" s="63" t="s">
        <v>472</v>
      </c>
      <c r="B227" s="64" t="s">
        <v>530</v>
      </c>
      <c r="C227" s="64" t="s">
        <v>323</v>
      </c>
      <c r="D227" s="64" t="s">
        <v>754</v>
      </c>
      <c r="E227" s="64" t="s">
        <v>324</v>
      </c>
      <c r="F227" s="65" t="s">
        <v>649</v>
      </c>
      <c r="G227" s="64" t="s">
        <v>328</v>
      </c>
      <c r="H227" s="64" t="s">
        <v>229</v>
      </c>
      <c r="I227" s="64" t="s">
        <v>10</v>
      </c>
      <c r="J227" s="64" t="s">
        <v>201</v>
      </c>
      <c r="K227" s="66">
        <v>57.1</v>
      </c>
      <c r="L227" s="66">
        <f>K227*VLOOKUP(I227,dagsoorttabel1,2,FALSE)</f>
        <v>57.1</v>
      </c>
      <c r="M227" s="67">
        <f>prodnorm43</f>
        <v>0</v>
      </c>
      <c r="N227" s="68">
        <f>dagwerk43</f>
        <v>0</v>
      </c>
      <c r="O227" s="64" t="s">
        <v>38</v>
      </c>
      <c r="P227" s="69">
        <f>uurtarief43</f>
        <v>0</v>
      </c>
      <c r="Q227" s="66" t="e">
        <f>IF(ISBLANK(M227),0,L227/ROUND(M227,4))</f>
        <v>#DIV/0!</v>
      </c>
      <c r="R227" s="66" t="e">
        <f>IF(ISBLANK(M227),0,Q227*ROUND(N227,2))</f>
        <v>#DIV/0!</v>
      </c>
      <c r="S227" s="69" t="e">
        <f>ROUND(P227,2)*Q227</f>
        <v>#DIV/0!</v>
      </c>
      <c r="T227" s="66" t="e">
        <f>Q227*dagenperjaar1</f>
        <v>#DIV/0!</v>
      </c>
      <c r="U227" s="70" t="e">
        <f>T227*ROUND(P227,2)</f>
        <v>#DIV/0!</v>
      </c>
    </row>
    <row r="228" spans="1:21" x14ac:dyDescent="0.2">
      <c r="A228" s="63" t="s">
        <v>472</v>
      </c>
      <c r="B228" s="64" t="s">
        <v>530</v>
      </c>
      <c r="C228" s="64" t="s">
        <v>323</v>
      </c>
      <c r="D228" s="64" t="s">
        <v>755</v>
      </c>
      <c r="E228" s="64" t="s">
        <v>324</v>
      </c>
      <c r="F228" s="65" t="s">
        <v>649</v>
      </c>
      <c r="G228" s="64" t="s">
        <v>328</v>
      </c>
      <c r="H228" s="64" t="s">
        <v>229</v>
      </c>
      <c r="I228" s="64" t="s">
        <v>10</v>
      </c>
      <c r="J228" s="64" t="s">
        <v>201</v>
      </c>
      <c r="K228" s="66">
        <v>57.2</v>
      </c>
      <c r="L228" s="66">
        <f>K228*VLOOKUP(I228,dagsoorttabel1,2,FALSE)</f>
        <v>57.2</v>
      </c>
      <c r="M228" s="67">
        <f>prodnorm43</f>
        <v>0</v>
      </c>
      <c r="N228" s="68">
        <f>dagwerk43</f>
        <v>0</v>
      </c>
      <c r="O228" s="64" t="s">
        <v>38</v>
      </c>
      <c r="P228" s="69">
        <f>uurtarief43</f>
        <v>0</v>
      </c>
      <c r="Q228" s="66" t="e">
        <f>IF(ISBLANK(M228),0,L228/ROUND(M228,4))</f>
        <v>#DIV/0!</v>
      </c>
      <c r="R228" s="66" t="e">
        <f>IF(ISBLANK(M228),0,Q228*ROUND(N228,2))</f>
        <v>#DIV/0!</v>
      </c>
      <c r="S228" s="69" t="e">
        <f>ROUND(P228,2)*Q228</f>
        <v>#DIV/0!</v>
      </c>
      <c r="T228" s="66" t="e">
        <f>Q228*dagenperjaar1</f>
        <v>#DIV/0!</v>
      </c>
      <c r="U228" s="70" t="e">
        <f>T228*ROUND(P228,2)</f>
        <v>#DIV/0!</v>
      </c>
    </row>
    <row r="229" spans="1:21" x14ac:dyDescent="0.2">
      <c r="A229" s="63" t="s">
        <v>472</v>
      </c>
      <c r="B229" s="64" t="s">
        <v>530</v>
      </c>
      <c r="C229" s="64" t="s">
        <v>323</v>
      </c>
      <c r="D229" s="64" t="s">
        <v>756</v>
      </c>
      <c r="E229" s="64" t="s">
        <v>324</v>
      </c>
      <c r="F229" s="65" t="s">
        <v>649</v>
      </c>
      <c r="G229" s="64" t="s">
        <v>328</v>
      </c>
      <c r="H229" s="64" t="s">
        <v>229</v>
      </c>
      <c r="I229" s="64" t="s">
        <v>10</v>
      </c>
      <c r="J229" s="64" t="s">
        <v>201</v>
      </c>
      <c r="K229" s="66">
        <v>51.1</v>
      </c>
      <c r="L229" s="66">
        <f>K229*VLOOKUP(I229,dagsoorttabel1,2,FALSE)</f>
        <v>51.1</v>
      </c>
      <c r="M229" s="67">
        <f>prodnorm43</f>
        <v>0</v>
      </c>
      <c r="N229" s="68">
        <f>dagwerk43</f>
        <v>0</v>
      </c>
      <c r="O229" s="64" t="s">
        <v>38</v>
      </c>
      <c r="P229" s="69">
        <f>uurtarief43</f>
        <v>0</v>
      </c>
      <c r="Q229" s="66" t="e">
        <f>IF(ISBLANK(M229),0,L229/ROUND(M229,4))</f>
        <v>#DIV/0!</v>
      </c>
      <c r="R229" s="66" t="e">
        <f>IF(ISBLANK(M229),0,Q229*ROUND(N229,2))</f>
        <v>#DIV/0!</v>
      </c>
      <c r="S229" s="69" t="e">
        <f>ROUND(P229,2)*Q229</f>
        <v>#DIV/0!</v>
      </c>
      <c r="T229" s="66" t="e">
        <f>Q229*dagenperjaar1</f>
        <v>#DIV/0!</v>
      </c>
      <c r="U229" s="70" t="e">
        <f>T229*ROUND(P229,2)</f>
        <v>#DIV/0!</v>
      </c>
    </row>
    <row r="230" spans="1:21" x14ac:dyDescent="0.2">
      <c r="A230" s="63" t="s">
        <v>472</v>
      </c>
      <c r="B230" s="64" t="s">
        <v>530</v>
      </c>
      <c r="C230" s="64" t="s">
        <v>323</v>
      </c>
      <c r="D230" s="64" t="s">
        <v>757</v>
      </c>
      <c r="E230" s="64" t="s">
        <v>324</v>
      </c>
      <c r="F230" s="65" t="s">
        <v>649</v>
      </c>
      <c r="G230" s="64" t="s">
        <v>328</v>
      </c>
      <c r="H230" s="64" t="s">
        <v>229</v>
      </c>
      <c r="I230" s="64" t="s">
        <v>10</v>
      </c>
      <c r="J230" s="64" t="s">
        <v>201</v>
      </c>
      <c r="K230" s="66">
        <v>50.9</v>
      </c>
      <c r="L230" s="66">
        <f>K230*VLOOKUP(I230,dagsoorttabel1,2,FALSE)</f>
        <v>50.9</v>
      </c>
      <c r="M230" s="67">
        <f>prodnorm43</f>
        <v>0</v>
      </c>
      <c r="N230" s="68">
        <f>dagwerk43</f>
        <v>0</v>
      </c>
      <c r="O230" s="64" t="s">
        <v>38</v>
      </c>
      <c r="P230" s="69">
        <f>uurtarief43</f>
        <v>0</v>
      </c>
      <c r="Q230" s="66" t="e">
        <f>IF(ISBLANK(M230),0,L230/ROUND(M230,4))</f>
        <v>#DIV/0!</v>
      </c>
      <c r="R230" s="66" t="e">
        <f>IF(ISBLANK(M230),0,Q230*ROUND(N230,2))</f>
        <v>#DIV/0!</v>
      </c>
      <c r="S230" s="69" t="e">
        <f>ROUND(P230,2)*Q230</f>
        <v>#DIV/0!</v>
      </c>
      <c r="T230" s="66" t="e">
        <f>Q230*dagenperjaar1</f>
        <v>#DIV/0!</v>
      </c>
      <c r="U230" s="70" t="e">
        <f>T230*ROUND(P230,2)</f>
        <v>#DIV/0!</v>
      </c>
    </row>
    <row r="231" spans="1:21" x14ac:dyDescent="0.2">
      <c r="A231" s="63" t="s">
        <v>472</v>
      </c>
      <c r="B231" s="64" t="s">
        <v>530</v>
      </c>
      <c r="C231" s="64" t="s">
        <v>323</v>
      </c>
      <c r="D231" s="64" t="s">
        <v>758</v>
      </c>
      <c r="E231" s="64" t="s">
        <v>324</v>
      </c>
      <c r="F231" s="65" t="s">
        <v>649</v>
      </c>
      <c r="G231" s="64" t="s">
        <v>328</v>
      </c>
      <c r="H231" s="64" t="s">
        <v>229</v>
      </c>
      <c r="I231" s="64" t="s">
        <v>10</v>
      </c>
      <c r="J231" s="64" t="s">
        <v>201</v>
      </c>
      <c r="K231" s="66">
        <v>50.8</v>
      </c>
      <c r="L231" s="66">
        <f>K231*VLOOKUP(I231,dagsoorttabel1,2,FALSE)</f>
        <v>50.8</v>
      </c>
      <c r="M231" s="67">
        <f>prodnorm43</f>
        <v>0</v>
      </c>
      <c r="N231" s="68">
        <f>dagwerk43</f>
        <v>0</v>
      </c>
      <c r="O231" s="64" t="s">
        <v>38</v>
      </c>
      <c r="P231" s="69">
        <f>uurtarief43</f>
        <v>0</v>
      </c>
      <c r="Q231" s="66" t="e">
        <f>IF(ISBLANK(M231),0,L231/ROUND(M231,4))</f>
        <v>#DIV/0!</v>
      </c>
      <c r="R231" s="66" t="e">
        <f>IF(ISBLANK(M231),0,Q231*ROUND(N231,2))</f>
        <v>#DIV/0!</v>
      </c>
      <c r="S231" s="69" t="e">
        <f>ROUND(P231,2)*Q231</f>
        <v>#DIV/0!</v>
      </c>
      <c r="T231" s="66" t="e">
        <f>Q231*dagenperjaar1</f>
        <v>#DIV/0!</v>
      </c>
      <c r="U231" s="70" t="e">
        <f>T231*ROUND(P231,2)</f>
        <v>#DIV/0!</v>
      </c>
    </row>
    <row r="232" spans="1:21" x14ac:dyDescent="0.2">
      <c r="A232" s="63" t="s">
        <v>472</v>
      </c>
      <c r="B232" s="64" t="s">
        <v>530</v>
      </c>
      <c r="C232" s="64" t="s">
        <v>323</v>
      </c>
      <c r="D232" s="64" t="s">
        <v>759</v>
      </c>
      <c r="E232" s="64" t="s">
        <v>324</v>
      </c>
      <c r="F232" s="65" t="s">
        <v>649</v>
      </c>
      <c r="G232" s="64" t="s">
        <v>328</v>
      </c>
      <c r="H232" s="64" t="s">
        <v>229</v>
      </c>
      <c r="I232" s="64" t="s">
        <v>10</v>
      </c>
      <c r="J232" s="64" t="s">
        <v>201</v>
      </c>
      <c r="K232" s="66">
        <v>61.1</v>
      </c>
      <c r="L232" s="66">
        <f>K232*VLOOKUP(I232,dagsoorttabel1,2,FALSE)</f>
        <v>61.1</v>
      </c>
      <c r="M232" s="67">
        <f>prodnorm43</f>
        <v>0</v>
      </c>
      <c r="N232" s="68">
        <f>dagwerk43</f>
        <v>0</v>
      </c>
      <c r="O232" s="64" t="s">
        <v>38</v>
      </c>
      <c r="P232" s="69">
        <f>uurtarief43</f>
        <v>0</v>
      </c>
      <c r="Q232" s="66" t="e">
        <f>IF(ISBLANK(M232),0,L232/ROUND(M232,4))</f>
        <v>#DIV/0!</v>
      </c>
      <c r="R232" s="66" t="e">
        <f>IF(ISBLANK(M232),0,Q232*ROUND(N232,2))</f>
        <v>#DIV/0!</v>
      </c>
      <c r="S232" s="69" t="e">
        <f>ROUND(P232,2)*Q232</f>
        <v>#DIV/0!</v>
      </c>
      <c r="T232" s="66" t="e">
        <f>Q232*dagenperjaar1</f>
        <v>#DIV/0!</v>
      </c>
      <c r="U232" s="70" t="e">
        <f>T232*ROUND(P232,2)</f>
        <v>#DIV/0!</v>
      </c>
    </row>
    <row r="233" spans="1:21" x14ac:dyDescent="0.2">
      <c r="A233" s="63" t="s">
        <v>472</v>
      </c>
      <c r="B233" s="64" t="s">
        <v>530</v>
      </c>
      <c r="C233" s="64" t="s">
        <v>323</v>
      </c>
      <c r="D233" s="64" t="s">
        <v>760</v>
      </c>
      <c r="E233" s="64" t="s">
        <v>324</v>
      </c>
      <c r="F233" s="65" t="s">
        <v>661</v>
      </c>
      <c r="G233" s="64" t="s">
        <v>328</v>
      </c>
      <c r="H233" s="64" t="s">
        <v>205</v>
      </c>
      <c r="I233" s="64" t="s">
        <v>10</v>
      </c>
      <c r="J233" s="64" t="s">
        <v>201</v>
      </c>
      <c r="K233" s="66">
        <v>28.6</v>
      </c>
      <c r="L233" s="66">
        <f>K233*VLOOKUP(I233,dagsoorttabel1,2,FALSE)</f>
        <v>28.6</v>
      </c>
      <c r="M233" s="67">
        <f>prodnorm26</f>
        <v>0</v>
      </c>
      <c r="N233" s="68">
        <f>dagwerk26</f>
        <v>0</v>
      </c>
      <c r="O233" s="64" t="s">
        <v>38</v>
      </c>
      <c r="P233" s="69">
        <f>uurtarief26</f>
        <v>0</v>
      </c>
      <c r="Q233" s="66" t="e">
        <f>IF(ISBLANK(M233),0,L233/ROUND(M233,4))</f>
        <v>#DIV/0!</v>
      </c>
      <c r="R233" s="66" t="e">
        <f>IF(ISBLANK(M233),0,Q233*ROUND(N233,2))</f>
        <v>#DIV/0!</v>
      </c>
      <c r="S233" s="69" t="e">
        <f>ROUND(P233,2)*Q233</f>
        <v>#DIV/0!</v>
      </c>
      <c r="T233" s="66" t="e">
        <f>Q233*dagenperjaar1</f>
        <v>#DIV/0!</v>
      </c>
      <c r="U233" s="70" t="e">
        <f>T233*ROUND(P233,2)</f>
        <v>#DIV/0!</v>
      </c>
    </row>
    <row r="234" spans="1:21" x14ac:dyDescent="0.2">
      <c r="A234" s="63" t="s">
        <v>472</v>
      </c>
      <c r="B234" s="64" t="s">
        <v>530</v>
      </c>
      <c r="C234" s="64" t="s">
        <v>323</v>
      </c>
      <c r="D234" s="64" t="s">
        <v>761</v>
      </c>
      <c r="E234" s="64" t="s">
        <v>324</v>
      </c>
      <c r="F234" s="65" t="s">
        <v>578</v>
      </c>
      <c r="G234" s="64" t="s">
        <v>328</v>
      </c>
      <c r="H234" s="64" t="s">
        <v>267</v>
      </c>
      <c r="I234" s="64" t="s">
        <v>10</v>
      </c>
      <c r="J234" s="64" t="s">
        <v>201</v>
      </c>
      <c r="K234" s="66">
        <v>57.2</v>
      </c>
      <c r="L234" s="66">
        <f>K234*VLOOKUP(I234,dagsoorttabel1,2,FALSE)</f>
        <v>57.2</v>
      </c>
      <c r="M234" s="67">
        <f>prodnorm65</f>
        <v>0</v>
      </c>
      <c r="N234" s="68">
        <f>dagwerk65</f>
        <v>0</v>
      </c>
      <c r="O234" s="64" t="s">
        <v>38</v>
      </c>
      <c r="P234" s="69">
        <f>uurtarief65</f>
        <v>0</v>
      </c>
      <c r="Q234" s="66" t="e">
        <f>IF(ISBLANK(M234),0,L234/ROUND(M234,4))</f>
        <v>#DIV/0!</v>
      </c>
      <c r="R234" s="66" t="e">
        <f>IF(ISBLANK(M234),0,Q234*ROUND(N234,2))</f>
        <v>#DIV/0!</v>
      </c>
      <c r="S234" s="69" t="e">
        <f>ROUND(P234,2)*Q234</f>
        <v>#DIV/0!</v>
      </c>
      <c r="T234" s="66" t="e">
        <f>Q234*dagenperjaar1</f>
        <v>#DIV/0!</v>
      </c>
      <c r="U234" s="70" t="e">
        <f>T234*ROUND(P234,2)</f>
        <v>#DIV/0!</v>
      </c>
    </row>
    <row r="235" spans="1:21" x14ac:dyDescent="0.2">
      <c r="A235" s="63" t="s">
        <v>472</v>
      </c>
      <c r="B235" s="64" t="s">
        <v>530</v>
      </c>
      <c r="C235" s="64" t="s">
        <v>323</v>
      </c>
      <c r="D235" s="64" t="s">
        <v>762</v>
      </c>
      <c r="E235" s="64" t="s">
        <v>324</v>
      </c>
      <c r="F235" s="65" t="s">
        <v>649</v>
      </c>
      <c r="G235" s="64" t="s">
        <v>328</v>
      </c>
      <c r="H235" s="64" t="s">
        <v>229</v>
      </c>
      <c r="I235" s="64" t="s">
        <v>10</v>
      </c>
      <c r="J235" s="64" t="s">
        <v>201</v>
      </c>
      <c r="K235" s="66">
        <v>56.3</v>
      </c>
      <c r="L235" s="66">
        <f>K235*VLOOKUP(I235,dagsoorttabel1,2,FALSE)</f>
        <v>56.3</v>
      </c>
      <c r="M235" s="67">
        <f>prodnorm43</f>
        <v>0</v>
      </c>
      <c r="N235" s="68">
        <f>dagwerk43</f>
        <v>0</v>
      </c>
      <c r="O235" s="64" t="s">
        <v>38</v>
      </c>
      <c r="P235" s="69">
        <f>uurtarief43</f>
        <v>0</v>
      </c>
      <c r="Q235" s="66" t="e">
        <f>IF(ISBLANK(M235),0,L235/ROUND(M235,4))</f>
        <v>#DIV/0!</v>
      </c>
      <c r="R235" s="66" t="e">
        <f>IF(ISBLANK(M235),0,Q235*ROUND(N235,2))</f>
        <v>#DIV/0!</v>
      </c>
      <c r="S235" s="69" t="e">
        <f>ROUND(P235,2)*Q235</f>
        <v>#DIV/0!</v>
      </c>
      <c r="T235" s="66" t="e">
        <f>Q235*dagenperjaar1</f>
        <v>#DIV/0!</v>
      </c>
      <c r="U235" s="70" t="e">
        <f>T235*ROUND(P235,2)</f>
        <v>#DIV/0!</v>
      </c>
    </row>
    <row r="236" spans="1:21" x14ac:dyDescent="0.2">
      <c r="A236" s="63" t="s">
        <v>472</v>
      </c>
      <c r="B236" s="64" t="s">
        <v>530</v>
      </c>
      <c r="C236" s="64" t="s">
        <v>323</v>
      </c>
      <c r="D236" s="64" t="s">
        <v>763</v>
      </c>
      <c r="E236" s="64" t="s">
        <v>324</v>
      </c>
      <c r="F236" s="65" t="s">
        <v>649</v>
      </c>
      <c r="G236" s="64" t="s">
        <v>328</v>
      </c>
      <c r="H236" s="64" t="s">
        <v>229</v>
      </c>
      <c r="I236" s="64" t="s">
        <v>10</v>
      </c>
      <c r="J236" s="64" t="s">
        <v>201</v>
      </c>
      <c r="K236" s="66">
        <v>59.4</v>
      </c>
      <c r="L236" s="66">
        <f>K236*VLOOKUP(I236,dagsoorttabel1,2,FALSE)</f>
        <v>59.4</v>
      </c>
      <c r="M236" s="67">
        <f>prodnorm43</f>
        <v>0</v>
      </c>
      <c r="N236" s="68">
        <f>dagwerk43</f>
        <v>0</v>
      </c>
      <c r="O236" s="64" t="s">
        <v>38</v>
      </c>
      <c r="P236" s="69">
        <f>uurtarief43</f>
        <v>0</v>
      </c>
      <c r="Q236" s="66" t="e">
        <f>IF(ISBLANK(M236),0,L236/ROUND(M236,4))</f>
        <v>#DIV/0!</v>
      </c>
      <c r="R236" s="66" t="e">
        <f>IF(ISBLANK(M236),0,Q236*ROUND(N236,2))</f>
        <v>#DIV/0!</v>
      </c>
      <c r="S236" s="69" t="e">
        <f>ROUND(P236,2)*Q236</f>
        <v>#DIV/0!</v>
      </c>
      <c r="T236" s="66" t="e">
        <f>Q236*dagenperjaar1</f>
        <v>#DIV/0!</v>
      </c>
      <c r="U236" s="70" t="e">
        <f>T236*ROUND(P236,2)</f>
        <v>#DIV/0!</v>
      </c>
    </row>
    <row r="237" spans="1:21" x14ac:dyDescent="0.2">
      <c r="A237" s="63" t="s">
        <v>472</v>
      </c>
      <c r="B237" s="64" t="s">
        <v>530</v>
      </c>
      <c r="C237" s="64" t="s">
        <v>323</v>
      </c>
      <c r="D237" s="64" t="s">
        <v>764</v>
      </c>
      <c r="E237" s="64" t="s">
        <v>324</v>
      </c>
      <c r="F237" s="65" t="s">
        <v>649</v>
      </c>
      <c r="G237" s="64" t="s">
        <v>328</v>
      </c>
      <c r="H237" s="64" t="s">
        <v>229</v>
      </c>
      <c r="I237" s="64" t="s">
        <v>10</v>
      </c>
      <c r="J237" s="64" t="s">
        <v>201</v>
      </c>
      <c r="K237" s="66">
        <v>63.6</v>
      </c>
      <c r="L237" s="66">
        <f>K237*VLOOKUP(I237,dagsoorttabel1,2,FALSE)</f>
        <v>63.6</v>
      </c>
      <c r="M237" s="67">
        <f>prodnorm43</f>
        <v>0</v>
      </c>
      <c r="N237" s="68">
        <f>dagwerk43</f>
        <v>0</v>
      </c>
      <c r="O237" s="64" t="s">
        <v>38</v>
      </c>
      <c r="P237" s="69">
        <f>uurtarief43</f>
        <v>0</v>
      </c>
      <c r="Q237" s="66" t="e">
        <f>IF(ISBLANK(M237),0,L237/ROUND(M237,4))</f>
        <v>#DIV/0!</v>
      </c>
      <c r="R237" s="66" t="e">
        <f>IF(ISBLANK(M237),0,Q237*ROUND(N237,2))</f>
        <v>#DIV/0!</v>
      </c>
      <c r="S237" s="69" t="e">
        <f>ROUND(P237,2)*Q237</f>
        <v>#DIV/0!</v>
      </c>
      <c r="T237" s="66" t="e">
        <f>Q237*dagenperjaar1</f>
        <v>#DIV/0!</v>
      </c>
      <c r="U237" s="70" t="e">
        <f>T237*ROUND(P237,2)</f>
        <v>#DIV/0!</v>
      </c>
    </row>
    <row r="238" spans="1:21" x14ac:dyDescent="0.2">
      <c r="A238" s="63" t="s">
        <v>472</v>
      </c>
      <c r="B238" s="64" t="s">
        <v>530</v>
      </c>
      <c r="C238" s="64" t="s">
        <v>323</v>
      </c>
      <c r="D238" s="64" t="s">
        <v>765</v>
      </c>
      <c r="E238" s="64" t="s">
        <v>324</v>
      </c>
      <c r="F238" s="65" t="s">
        <v>766</v>
      </c>
      <c r="G238" s="64" t="s">
        <v>328</v>
      </c>
      <c r="H238" s="64" t="s">
        <v>205</v>
      </c>
      <c r="I238" s="64" t="s">
        <v>10</v>
      </c>
      <c r="J238" s="64" t="s">
        <v>201</v>
      </c>
      <c r="K238" s="66">
        <v>8.5</v>
      </c>
      <c r="L238" s="66">
        <f>K238*VLOOKUP(I238,dagsoorttabel1,2,FALSE)</f>
        <v>8.5</v>
      </c>
      <c r="M238" s="67">
        <f>prodnorm26</f>
        <v>0</v>
      </c>
      <c r="N238" s="68">
        <f>dagwerk26</f>
        <v>0</v>
      </c>
      <c r="O238" s="64" t="s">
        <v>38</v>
      </c>
      <c r="P238" s="69">
        <f>uurtarief26</f>
        <v>0</v>
      </c>
      <c r="Q238" s="66" t="e">
        <f>IF(ISBLANK(M238),0,L238/ROUND(M238,4))</f>
        <v>#DIV/0!</v>
      </c>
      <c r="R238" s="66" t="e">
        <f>IF(ISBLANK(M238),0,Q238*ROUND(N238,2))</f>
        <v>#DIV/0!</v>
      </c>
      <c r="S238" s="69" t="e">
        <f>ROUND(P238,2)*Q238</f>
        <v>#DIV/0!</v>
      </c>
      <c r="T238" s="66" t="e">
        <f>Q238*dagenperjaar1</f>
        <v>#DIV/0!</v>
      </c>
      <c r="U238" s="70" t="e">
        <f>T238*ROUND(P238,2)</f>
        <v>#DIV/0!</v>
      </c>
    </row>
    <row r="239" spans="1:21" x14ac:dyDescent="0.2">
      <c r="A239" s="63" t="s">
        <v>472</v>
      </c>
      <c r="B239" s="64" t="s">
        <v>530</v>
      </c>
      <c r="C239" s="64" t="s">
        <v>323</v>
      </c>
      <c r="D239" s="64" t="s">
        <v>767</v>
      </c>
      <c r="E239" s="64" t="s">
        <v>324</v>
      </c>
      <c r="F239" s="65" t="s">
        <v>768</v>
      </c>
      <c r="G239" s="64" t="s">
        <v>328</v>
      </c>
      <c r="H239" s="64" t="s">
        <v>233</v>
      </c>
      <c r="I239" s="64" t="s">
        <v>10</v>
      </c>
      <c r="J239" s="64" t="s">
        <v>201</v>
      </c>
      <c r="K239" s="66">
        <v>235</v>
      </c>
      <c r="L239" s="66">
        <f>K239*VLOOKUP(I239,dagsoorttabel1,2,FALSE)</f>
        <v>235</v>
      </c>
      <c r="M239" s="67">
        <f>prodnorm45</f>
        <v>0</v>
      </c>
      <c r="N239" s="68">
        <f>dagwerk45</f>
        <v>0</v>
      </c>
      <c r="O239" s="64" t="s">
        <v>38</v>
      </c>
      <c r="P239" s="69">
        <f>uurtarief45</f>
        <v>0</v>
      </c>
      <c r="Q239" s="66" t="e">
        <f>IF(ISBLANK(M239),0,L239/ROUND(M239,4))</f>
        <v>#DIV/0!</v>
      </c>
      <c r="R239" s="66" t="e">
        <f>IF(ISBLANK(M239),0,Q239*ROUND(N239,2))</f>
        <v>#DIV/0!</v>
      </c>
      <c r="S239" s="69" t="e">
        <f>ROUND(P239,2)*Q239</f>
        <v>#DIV/0!</v>
      </c>
      <c r="T239" s="66" t="e">
        <f>Q239*dagenperjaar1</f>
        <v>#DIV/0!</v>
      </c>
      <c r="U239" s="70" t="e">
        <f>T239*ROUND(P239,2)</f>
        <v>#DIV/0!</v>
      </c>
    </row>
    <row r="240" spans="1:21" x14ac:dyDescent="0.2">
      <c r="A240" s="63" t="s">
        <v>472</v>
      </c>
      <c r="B240" s="64" t="s">
        <v>530</v>
      </c>
      <c r="C240" s="64" t="s">
        <v>323</v>
      </c>
      <c r="D240" s="64" t="s">
        <v>769</v>
      </c>
      <c r="E240" s="64" t="s">
        <v>324</v>
      </c>
      <c r="F240" s="65" t="s">
        <v>671</v>
      </c>
      <c r="G240" s="64" t="s">
        <v>642</v>
      </c>
      <c r="H240" s="64" t="s">
        <v>255</v>
      </c>
      <c r="I240" s="64" t="s">
        <v>10</v>
      </c>
      <c r="J240" s="64" t="s">
        <v>201</v>
      </c>
      <c r="K240" s="66">
        <v>8.5</v>
      </c>
      <c r="L240" s="66">
        <f>K240*VLOOKUP(I240,dagsoorttabel1,2,FALSE)</f>
        <v>8.5</v>
      </c>
      <c r="M240" s="67">
        <f>prodnorm59</f>
        <v>0</v>
      </c>
      <c r="N240" s="68">
        <f>dagwerk59</f>
        <v>0</v>
      </c>
      <c r="O240" s="64" t="s">
        <v>38</v>
      </c>
      <c r="P240" s="69">
        <f>uurtarief59</f>
        <v>0</v>
      </c>
      <c r="Q240" s="66" t="e">
        <f>IF(ISBLANK(M240),0,L240/ROUND(M240,4))</f>
        <v>#DIV/0!</v>
      </c>
      <c r="R240" s="66" t="e">
        <f>IF(ISBLANK(M240),0,Q240*ROUND(N240,2))</f>
        <v>#DIV/0!</v>
      </c>
      <c r="S240" s="69" t="e">
        <f>ROUND(P240,2)*Q240</f>
        <v>#DIV/0!</v>
      </c>
      <c r="T240" s="66" t="e">
        <f>Q240*dagenperjaar1</f>
        <v>#DIV/0!</v>
      </c>
      <c r="U240" s="70" t="e">
        <f>T240*ROUND(P240,2)</f>
        <v>#DIV/0!</v>
      </c>
    </row>
    <row r="241" spans="1:21" x14ac:dyDescent="0.2">
      <c r="A241" s="63" t="s">
        <v>472</v>
      </c>
      <c r="B241" s="64" t="s">
        <v>530</v>
      </c>
      <c r="C241" s="64" t="s">
        <v>323</v>
      </c>
      <c r="D241" s="64" t="s">
        <v>770</v>
      </c>
      <c r="E241" s="64" t="s">
        <v>324</v>
      </c>
      <c r="F241" s="65" t="s">
        <v>671</v>
      </c>
      <c r="G241" s="64" t="s">
        <v>642</v>
      </c>
      <c r="H241" s="64" t="s">
        <v>255</v>
      </c>
      <c r="I241" s="64" t="s">
        <v>10</v>
      </c>
      <c r="J241" s="64" t="s">
        <v>201</v>
      </c>
      <c r="K241" s="66">
        <v>8.6999999999999993</v>
      </c>
      <c r="L241" s="66">
        <f>K241*VLOOKUP(I241,dagsoorttabel1,2,FALSE)</f>
        <v>8.6999999999999993</v>
      </c>
      <c r="M241" s="67">
        <f>prodnorm59</f>
        <v>0</v>
      </c>
      <c r="N241" s="68">
        <f>dagwerk59</f>
        <v>0</v>
      </c>
      <c r="O241" s="64" t="s">
        <v>38</v>
      </c>
      <c r="P241" s="69">
        <f>uurtarief59</f>
        <v>0</v>
      </c>
      <c r="Q241" s="66" t="e">
        <f>IF(ISBLANK(M241),0,L241/ROUND(M241,4))</f>
        <v>#DIV/0!</v>
      </c>
      <c r="R241" s="66" t="e">
        <f>IF(ISBLANK(M241),0,Q241*ROUND(N241,2))</f>
        <v>#DIV/0!</v>
      </c>
      <c r="S241" s="69" t="e">
        <f>ROUND(P241,2)*Q241</f>
        <v>#DIV/0!</v>
      </c>
      <c r="T241" s="66" t="e">
        <f>Q241*dagenperjaar1</f>
        <v>#DIV/0!</v>
      </c>
      <c r="U241" s="70" t="e">
        <f>T241*ROUND(P241,2)</f>
        <v>#DIV/0!</v>
      </c>
    </row>
    <row r="242" spans="1:21" x14ac:dyDescent="0.2">
      <c r="A242" s="63" t="s">
        <v>472</v>
      </c>
      <c r="B242" s="64" t="s">
        <v>530</v>
      </c>
      <c r="C242" s="64" t="s">
        <v>323</v>
      </c>
      <c r="D242" s="64" t="s">
        <v>771</v>
      </c>
      <c r="E242" s="64" t="s">
        <v>324</v>
      </c>
      <c r="F242" s="65" t="s">
        <v>638</v>
      </c>
      <c r="G242" s="64" t="s">
        <v>328</v>
      </c>
      <c r="H242" s="64" t="s">
        <v>263</v>
      </c>
      <c r="I242" s="64" t="s">
        <v>10</v>
      </c>
      <c r="J242" s="64" t="s">
        <v>201</v>
      </c>
      <c r="K242" s="66">
        <v>1.8</v>
      </c>
      <c r="L242" s="66">
        <f>K242*VLOOKUP(I242,dagsoorttabel1,2,FALSE)</f>
        <v>1.8</v>
      </c>
      <c r="M242" s="67">
        <f>prodnorm63</f>
        <v>0</v>
      </c>
      <c r="N242" s="68">
        <f>dagwerk63</f>
        <v>0</v>
      </c>
      <c r="O242" s="64" t="s">
        <v>38</v>
      </c>
      <c r="P242" s="69">
        <f>uurtarief63</f>
        <v>0</v>
      </c>
      <c r="Q242" s="66" t="e">
        <f>IF(ISBLANK(M242),0,L242/ROUND(M242,4))</f>
        <v>#DIV/0!</v>
      </c>
      <c r="R242" s="66" t="e">
        <f>IF(ISBLANK(M242),0,Q242*ROUND(N242,2))</f>
        <v>#DIV/0!</v>
      </c>
      <c r="S242" s="69" t="e">
        <f>ROUND(P242,2)*Q242</f>
        <v>#DIV/0!</v>
      </c>
      <c r="T242" s="66" t="e">
        <f>Q242*dagenperjaar1</f>
        <v>#DIV/0!</v>
      </c>
      <c r="U242" s="70" t="e">
        <f>T242*ROUND(P242,2)</f>
        <v>#DIV/0!</v>
      </c>
    </row>
    <row r="243" spans="1:21" x14ac:dyDescent="0.2">
      <c r="A243" s="63" t="s">
        <v>472</v>
      </c>
      <c r="B243" s="64" t="s">
        <v>530</v>
      </c>
      <c r="C243" s="64" t="s">
        <v>323</v>
      </c>
      <c r="D243" s="64" t="s">
        <v>772</v>
      </c>
      <c r="E243" s="64" t="s">
        <v>324</v>
      </c>
      <c r="F243" s="65" t="s">
        <v>386</v>
      </c>
      <c r="G243" s="64" t="s">
        <v>328</v>
      </c>
      <c r="H243" s="64" t="s">
        <v>237</v>
      </c>
      <c r="I243" s="64" t="s">
        <v>19</v>
      </c>
      <c r="J243" s="64" t="s">
        <v>201</v>
      </c>
      <c r="K243" s="66">
        <v>3.1</v>
      </c>
      <c r="L243" s="66">
        <f>K243*VLOOKUP(I243,dagsoorttabel1,2,FALSE)</f>
        <v>0.15500000000000003</v>
      </c>
      <c r="M243" s="67">
        <f>prodnorm47</f>
        <v>0</v>
      </c>
      <c r="N243" s="68">
        <f>dagwerk47</f>
        <v>0</v>
      </c>
      <c r="O243" s="64" t="s">
        <v>38</v>
      </c>
      <c r="P243" s="69">
        <f>uurtarief47</f>
        <v>0</v>
      </c>
      <c r="Q243" s="66" t="e">
        <f>IF(ISBLANK(M243),0,L243/ROUND(M243,4))</f>
        <v>#DIV/0!</v>
      </c>
      <c r="R243" s="66" t="e">
        <f>IF(ISBLANK(M243),0,Q243*ROUND(N243,2))</f>
        <v>#DIV/0!</v>
      </c>
      <c r="S243" s="69" t="e">
        <f>ROUND(P243,2)*Q243</f>
        <v>#DIV/0!</v>
      </c>
      <c r="T243" s="66" t="e">
        <f>Q243*dagenperjaar1</f>
        <v>#DIV/0!</v>
      </c>
      <c r="U243" s="70" t="e">
        <f>T243*ROUND(P243,2)</f>
        <v>#DIV/0!</v>
      </c>
    </row>
    <row r="244" spans="1:21" x14ac:dyDescent="0.2">
      <c r="A244" s="63" t="s">
        <v>472</v>
      </c>
      <c r="B244" s="64" t="s">
        <v>530</v>
      </c>
      <c r="C244" s="64" t="s">
        <v>323</v>
      </c>
      <c r="D244" s="64" t="s">
        <v>773</v>
      </c>
      <c r="E244" s="64" t="s">
        <v>324</v>
      </c>
      <c r="F244" s="65" t="s">
        <v>638</v>
      </c>
      <c r="G244" s="64" t="s">
        <v>328</v>
      </c>
      <c r="H244" s="64" t="s">
        <v>263</v>
      </c>
      <c r="I244" s="64" t="s">
        <v>10</v>
      </c>
      <c r="J244" s="64" t="s">
        <v>201</v>
      </c>
      <c r="K244" s="66">
        <v>5.6</v>
      </c>
      <c r="L244" s="66">
        <f>K244*VLOOKUP(I244,dagsoorttabel1,2,FALSE)</f>
        <v>5.6</v>
      </c>
      <c r="M244" s="67">
        <f>prodnorm63</f>
        <v>0</v>
      </c>
      <c r="N244" s="68">
        <f>dagwerk63</f>
        <v>0</v>
      </c>
      <c r="O244" s="64" t="s">
        <v>38</v>
      </c>
      <c r="P244" s="69">
        <f>uurtarief63</f>
        <v>0</v>
      </c>
      <c r="Q244" s="66" t="e">
        <f>IF(ISBLANK(M244),0,L244/ROUND(M244,4))</f>
        <v>#DIV/0!</v>
      </c>
      <c r="R244" s="66" t="e">
        <f>IF(ISBLANK(M244),0,Q244*ROUND(N244,2))</f>
        <v>#DIV/0!</v>
      </c>
      <c r="S244" s="69" t="e">
        <f>ROUND(P244,2)*Q244</f>
        <v>#DIV/0!</v>
      </c>
      <c r="T244" s="66" t="e">
        <f>Q244*dagenperjaar1</f>
        <v>#DIV/0!</v>
      </c>
      <c r="U244" s="70" t="e">
        <f>T244*ROUND(P244,2)</f>
        <v>#DIV/0!</v>
      </c>
    </row>
    <row r="245" spans="1:21" x14ac:dyDescent="0.2">
      <c r="A245" s="63" t="s">
        <v>472</v>
      </c>
      <c r="B245" s="64" t="s">
        <v>530</v>
      </c>
      <c r="C245" s="64" t="s">
        <v>323</v>
      </c>
      <c r="D245" s="64" t="s">
        <v>773</v>
      </c>
      <c r="E245" s="64" t="s">
        <v>324</v>
      </c>
      <c r="F245" s="65" t="s">
        <v>354</v>
      </c>
      <c r="G245" s="64" t="s">
        <v>328</v>
      </c>
      <c r="H245" s="64" t="s">
        <v>215</v>
      </c>
      <c r="I245" s="64" t="s">
        <v>10</v>
      </c>
      <c r="J245" s="64" t="s">
        <v>201</v>
      </c>
      <c r="K245" s="66">
        <v>12.5</v>
      </c>
      <c r="L245" s="66">
        <f>K245*VLOOKUP(I245,dagsoorttabel1,2,FALSE)</f>
        <v>12.5</v>
      </c>
      <c r="M245" s="67">
        <f>prodnorm34</f>
        <v>0</v>
      </c>
      <c r="N245" s="68">
        <f>dagwerk34</f>
        <v>0</v>
      </c>
      <c r="O245" s="64" t="s">
        <v>38</v>
      </c>
      <c r="P245" s="69">
        <f>uurtarief34</f>
        <v>0</v>
      </c>
      <c r="Q245" s="66" t="e">
        <f>IF(ISBLANK(M245),0,L245/ROUND(M245,4))</f>
        <v>#DIV/0!</v>
      </c>
      <c r="R245" s="66" t="e">
        <f>IF(ISBLANK(M245),0,Q245*ROUND(N245,2))</f>
        <v>#DIV/0!</v>
      </c>
      <c r="S245" s="69" t="e">
        <f>ROUND(P245,2)*Q245</f>
        <v>#DIV/0!</v>
      </c>
      <c r="T245" s="66" t="e">
        <f>Q245*dagenperjaar1</f>
        <v>#DIV/0!</v>
      </c>
      <c r="U245" s="70" t="e">
        <f>T245*ROUND(P245,2)</f>
        <v>#DIV/0!</v>
      </c>
    </row>
    <row r="246" spans="1:21" x14ac:dyDescent="0.2">
      <c r="A246" s="63" t="s">
        <v>472</v>
      </c>
      <c r="B246" s="64" t="s">
        <v>774</v>
      </c>
      <c r="C246" s="64" t="s">
        <v>345</v>
      </c>
      <c r="D246" s="64" t="s">
        <v>775</v>
      </c>
      <c r="E246" s="64" t="s">
        <v>324</v>
      </c>
      <c r="F246" s="65" t="s">
        <v>335</v>
      </c>
      <c r="G246" s="64" t="s">
        <v>328</v>
      </c>
      <c r="H246" s="64" t="s">
        <v>267</v>
      </c>
      <c r="I246" s="64" t="s">
        <v>10</v>
      </c>
      <c r="J246" s="64" t="s">
        <v>201</v>
      </c>
      <c r="K246" s="66">
        <v>47.4</v>
      </c>
      <c r="L246" s="66">
        <f>K246*VLOOKUP(I246,dagsoorttabel1,2,FALSE)</f>
        <v>47.4</v>
      </c>
      <c r="M246" s="67">
        <f>prodnorm65</f>
        <v>0</v>
      </c>
      <c r="N246" s="68">
        <f>dagwerk65</f>
        <v>0</v>
      </c>
      <c r="O246" s="64" t="s">
        <v>38</v>
      </c>
      <c r="P246" s="69">
        <f>uurtarief65</f>
        <v>0</v>
      </c>
      <c r="Q246" s="66" t="e">
        <f>IF(ISBLANK(M246),0,L246/ROUND(M246,4))</f>
        <v>#DIV/0!</v>
      </c>
      <c r="R246" s="66" t="e">
        <f>IF(ISBLANK(M246),0,Q246*ROUND(N246,2))</f>
        <v>#DIV/0!</v>
      </c>
      <c r="S246" s="69" t="e">
        <f>ROUND(P246,2)*Q246</f>
        <v>#DIV/0!</v>
      </c>
      <c r="T246" s="66" t="e">
        <f>Q246*dagenperjaar1</f>
        <v>#DIV/0!</v>
      </c>
      <c r="U246" s="70" t="e">
        <f>T246*ROUND(P246,2)</f>
        <v>#DIV/0!</v>
      </c>
    </row>
    <row r="247" spans="1:21" x14ac:dyDescent="0.2">
      <c r="A247" s="63" t="s">
        <v>472</v>
      </c>
      <c r="B247" s="64" t="s">
        <v>774</v>
      </c>
      <c r="C247" s="64" t="s">
        <v>345</v>
      </c>
      <c r="D247" s="64" t="s">
        <v>776</v>
      </c>
      <c r="E247" s="64" t="s">
        <v>324</v>
      </c>
      <c r="F247" s="65" t="s">
        <v>777</v>
      </c>
      <c r="G247" s="64" t="s">
        <v>778</v>
      </c>
      <c r="H247" s="64" t="s">
        <v>219</v>
      </c>
      <c r="I247" s="64" t="s">
        <v>10</v>
      </c>
      <c r="J247" s="64" t="s">
        <v>201</v>
      </c>
      <c r="K247" s="66">
        <v>287.89999999999998</v>
      </c>
      <c r="L247" s="66">
        <f>K247*VLOOKUP(I247,dagsoorttabel1,2,FALSE)</f>
        <v>287.89999999999998</v>
      </c>
      <c r="M247" s="67">
        <f>prodnorm36</f>
        <v>0</v>
      </c>
      <c r="N247" s="68">
        <f>dagwerk36</f>
        <v>0</v>
      </c>
      <c r="O247" s="64" t="s">
        <v>38</v>
      </c>
      <c r="P247" s="69">
        <f>uurtarief36</f>
        <v>0</v>
      </c>
      <c r="Q247" s="66" t="e">
        <f>IF(ISBLANK(M247),0,L247/ROUND(M247,4))</f>
        <v>#DIV/0!</v>
      </c>
      <c r="R247" s="66" t="e">
        <f>IF(ISBLANK(M247),0,Q247*ROUND(N247,2))</f>
        <v>#DIV/0!</v>
      </c>
      <c r="S247" s="69" t="e">
        <f>ROUND(P247,2)*Q247</f>
        <v>#DIV/0!</v>
      </c>
      <c r="T247" s="66" t="e">
        <f>Q247*dagenperjaar1</f>
        <v>#DIV/0!</v>
      </c>
      <c r="U247" s="70" t="e">
        <f>T247*ROUND(P247,2)</f>
        <v>#DIV/0!</v>
      </c>
    </row>
    <row r="248" spans="1:21" x14ac:dyDescent="0.2">
      <c r="A248" s="63" t="s">
        <v>472</v>
      </c>
      <c r="B248" s="64" t="s">
        <v>774</v>
      </c>
      <c r="C248" s="64" t="s">
        <v>345</v>
      </c>
      <c r="D248" s="64" t="s">
        <v>779</v>
      </c>
      <c r="E248" s="64" t="s">
        <v>324</v>
      </c>
      <c r="F248" s="65" t="s">
        <v>780</v>
      </c>
      <c r="G248" s="64" t="s">
        <v>778</v>
      </c>
      <c r="H248" s="64" t="s">
        <v>219</v>
      </c>
      <c r="I248" s="64" t="s">
        <v>16</v>
      </c>
      <c r="J248" s="64" t="s">
        <v>201</v>
      </c>
      <c r="K248" s="66">
        <v>34.299999999999997</v>
      </c>
      <c r="L248" s="66">
        <f>K248*VLOOKUP(I248,dagsoorttabel1,2,FALSE)</f>
        <v>6.8599999999999994</v>
      </c>
      <c r="M248" s="67">
        <f>prodnorm37</f>
        <v>0</v>
      </c>
      <c r="N248" s="68">
        <f>dagwerk37</f>
        <v>0</v>
      </c>
      <c r="O248" s="64" t="s">
        <v>38</v>
      </c>
      <c r="P248" s="69">
        <f>uurtarief37</f>
        <v>0</v>
      </c>
      <c r="Q248" s="66" t="e">
        <f>IF(ISBLANK(M248),0,L248/ROUND(M248,4))</f>
        <v>#DIV/0!</v>
      </c>
      <c r="R248" s="66" t="e">
        <f>IF(ISBLANK(M248),0,Q248*ROUND(N248,2))</f>
        <v>#DIV/0!</v>
      </c>
      <c r="S248" s="69" t="e">
        <f>ROUND(P248,2)*Q248</f>
        <v>#DIV/0!</v>
      </c>
      <c r="T248" s="66" t="e">
        <f>Q248*dagenperjaar1</f>
        <v>#DIV/0!</v>
      </c>
      <c r="U248" s="70" t="e">
        <f>T248*ROUND(P248,2)</f>
        <v>#DIV/0!</v>
      </c>
    </row>
    <row r="249" spans="1:21" x14ac:dyDescent="0.2">
      <c r="A249" s="63" t="s">
        <v>472</v>
      </c>
      <c r="B249" s="64" t="s">
        <v>774</v>
      </c>
      <c r="C249" s="64" t="s">
        <v>345</v>
      </c>
      <c r="D249" s="64" t="s">
        <v>781</v>
      </c>
      <c r="E249" s="64" t="s">
        <v>324</v>
      </c>
      <c r="F249" s="65" t="s">
        <v>777</v>
      </c>
      <c r="G249" s="64" t="s">
        <v>778</v>
      </c>
      <c r="H249" s="64" t="s">
        <v>219</v>
      </c>
      <c r="I249" s="64" t="s">
        <v>10</v>
      </c>
      <c r="J249" s="64" t="s">
        <v>201</v>
      </c>
      <c r="K249" s="66">
        <v>288.39999999999998</v>
      </c>
      <c r="L249" s="66">
        <f>K249*VLOOKUP(I249,dagsoorttabel1,2,FALSE)</f>
        <v>288.39999999999998</v>
      </c>
      <c r="M249" s="67">
        <f>prodnorm36</f>
        <v>0</v>
      </c>
      <c r="N249" s="68">
        <f>dagwerk36</f>
        <v>0</v>
      </c>
      <c r="O249" s="64" t="s">
        <v>38</v>
      </c>
      <c r="P249" s="69">
        <f>uurtarief36</f>
        <v>0</v>
      </c>
      <c r="Q249" s="66" t="e">
        <f>IF(ISBLANK(M249),0,L249/ROUND(M249,4))</f>
        <v>#DIV/0!</v>
      </c>
      <c r="R249" s="66" t="e">
        <f>IF(ISBLANK(M249),0,Q249*ROUND(N249,2))</f>
        <v>#DIV/0!</v>
      </c>
      <c r="S249" s="69" t="e">
        <f>ROUND(P249,2)*Q249</f>
        <v>#DIV/0!</v>
      </c>
      <c r="T249" s="66" t="e">
        <f>Q249*dagenperjaar1</f>
        <v>#DIV/0!</v>
      </c>
      <c r="U249" s="70" t="e">
        <f>T249*ROUND(P249,2)</f>
        <v>#DIV/0!</v>
      </c>
    </row>
    <row r="250" spans="1:21" x14ac:dyDescent="0.2">
      <c r="A250" s="63" t="s">
        <v>472</v>
      </c>
      <c r="B250" s="64" t="s">
        <v>774</v>
      </c>
      <c r="C250" s="64" t="s">
        <v>345</v>
      </c>
      <c r="D250" s="64" t="s">
        <v>782</v>
      </c>
      <c r="E250" s="64" t="s">
        <v>324</v>
      </c>
      <c r="F250" s="65" t="s">
        <v>780</v>
      </c>
      <c r="G250" s="64" t="s">
        <v>778</v>
      </c>
      <c r="H250" s="64" t="s">
        <v>219</v>
      </c>
      <c r="I250" s="64" t="s">
        <v>16</v>
      </c>
      <c r="J250" s="64" t="s">
        <v>201</v>
      </c>
      <c r="K250" s="66">
        <v>33.9</v>
      </c>
      <c r="L250" s="66">
        <f>K250*VLOOKUP(I250,dagsoorttabel1,2,FALSE)</f>
        <v>6.78</v>
      </c>
      <c r="M250" s="67">
        <f>prodnorm37</f>
        <v>0</v>
      </c>
      <c r="N250" s="68">
        <f>dagwerk37</f>
        <v>0</v>
      </c>
      <c r="O250" s="64" t="s">
        <v>38</v>
      </c>
      <c r="P250" s="69">
        <f>uurtarief37</f>
        <v>0</v>
      </c>
      <c r="Q250" s="66" t="e">
        <f>IF(ISBLANK(M250),0,L250/ROUND(M250,4))</f>
        <v>#DIV/0!</v>
      </c>
      <c r="R250" s="66" t="e">
        <f>IF(ISBLANK(M250),0,Q250*ROUND(N250,2))</f>
        <v>#DIV/0!</v>
      </c>
      <c r="S250" s="69" t="e">
        <f>ROUND(P250,2)*Q250</f>
        <v>#DIV/0!</v>
      </c>
      <c r="T250" s="66" t="e">
        <f>Q250*dagenperjaar1</f>
        <v>#DIV/0!</v>
      </c>
      <c r="U250" s="70" t="e">
        <f>T250*ROUND(P250,2)</f>
        <v>#DIV/0!</v>
      </c>
    </row>
    <row r="251" spans="1:21" x14ac:dyDescent="0.2">
      <c r="A251" s="63" t="s">
        <v>472</v>
      </c>
      <c r="B251" s="64" t="s">
        <v>774</v>
      </c>
      <c r="C251" s="64" t="s">
        <v>345</v>
      </c>
      <c r="D251" s="64" t="s">
        <v>783</v>
      </c>
      <c r="E251" s="64" t="s">
        <v>324</v>
      </c>
      <c r="F251" s="65" t="s">
        <v>784</v>
      </c>
      <c r="G251" s="64" t="s">
        <v>328</v>
      </c>
      <c r="H251" s="64" t="s">
        <v>227</v>
      </c>
      <c r="I251" s="64" t="s">
        <v>10</v>
      </c>
      <c r="J251" s="64" t="s">
        <v>201</v>
      </c>
      <c r="K251" s="66">
        <v>10.199999999999999</v>
      </c>
      <c r="L251" s="66">
        <f>K251*VLOOKUP(I251,dagsoorttabel1,2,FALSE)</f>
        <v>10.199999999999999</v>
      </c>
      <c r="M251" s="67">
        <f>prodnorm42</f>
        <v>0</v>
      </c>
      <c r="N251" s="68">
        <f>dagwerk42</f>
        <v>0</v>
      </c>
      <c r="O251" s="64" t="s">
        <v>38</v>
      </c>
      <c r="P251" s="69">
        <f>uurtarief42</f>
        <v>0</v>
      </c>
      <c r="Q251" s="66" t="e">
        <f>IF(ISBLANK(M251),0,L251/ROUND(M251,4))</f>
        <v>#DIV/0!</v>
      </c>
      <c r="R251" s="66" t="e">
        <f>IF(ISBLANK(M251),0,Q251*ROUND(N251,2))</f>
        <v>#DIV/0!</v>
      </c>
      <c r="S251" s="69" t="e">
        <f>ROUND(P251,2)*Q251</f>
        <v>#DIV/0!</v>
      </c>
      <c r="T251" s="66" t="e">
        <f>Q251*dagenperjaar1</f>
        <v>#DIV/0!</v>
      </c>
      <c r="U251" s="70" t="e">
        <f>T251*ROUND(P251,2)</f>
        <v>#DIV/0!</v>
      </c>
    </row>
    <row r="252" spans="1:21" ht="25.5" x14ac:dyDescent="0.2">
      <c r="A252" s="63" t="s">
        <v>472</v>
      </c>
      <c r="B252" s="64" t="s">
        <v>774</v>
      </c>
      <c r="C252" s="64" t="s">
        <v>345</v>
      </c>
      <c r="D252" s="64" t="s">
        <v>785</v>
      </c>
      <c r="E252" s="64" t="s">
        <v>324</v>
      </c>
      <c r="F252" s="65" t="s">
        <v>786</v>
      </c>
      <c r="G252" s="64" t="s">
        <v>642</v>
      </c>
      <c r="H252" s="64" t="s">
        <v>255</v>
      </c>
      <c r="I252" s="64" t="s">
        <v>10</v>
      </c>
      <c r="J252" s="64" t="s">
        <v>201</v>
      </c>
      <c r="K252" s="66">
        <v>3</v>
      </c>
      <c r="L252" s="66">
        <f>K252*VLOOKUP(I252,dagsoorttabel1,2,FALSE)</f>
        <v>3</v>
      </c>
      <c r="M252" s="67">
        <f>prodnorm59</f>
        <v>0</v>
      </c>
      <c r="N252" s="68">
        <f>dagwerk59</f>
        <v>0</v>
      </c>
      <c r="O252" s="64" t="s">
        <v>38</v>
      </c>
      <c r="P252" s="69">
        <f>uurtarief59</f>
        <v>0</v>
      </c>
      <c r="Q252" s="66" t="e">
        <f>IF(ISBLANK(M252),0,L252/ROUND(M252,4))</f>
        <v>#DIV/0!</v>
      </c>
      <c r="R252" s="66" t="e">
        <f>IF(ISBLANK(M252),0,Q252*ROUND(N252,2))</f>
        <v>#DIV/0!</v>
      </c>
      <c r="S252" s="69" t="e">
        <f>ROUND(P252,2)*Q252</f>
        <v>#DIV/0!</v>
      </c>
      <c r="T252" s="66" t="e">
        <f>Q252*dagenperjaar1</f>
        <v>#DIV/0!</v>
      </c>
      <c r="U252" s="70" t="e">
        <f>T252*ROUND(P252,2)</f>
        <v>#DIV/0!</v>
      </c>
    </row>
    <row r="253" spans="1:21" x14ac:dyDescent="0.2">
      <c r="A253" s="63" t="s">
        <v>472</v>
      </c>
      <c r="B253" s="64" t="s">
        <v>774</v>
      </c>
      <c r="C253" s="64" t="s">
        <v>345</v>
      </c>
      <c r="D253" s="64" t="s">
        <v>787</v>
      </c>
      <c r="E253" s="64" t="s">
        <v>324</v>
      </c>
      <c r="F253" s="65" t="s">
        <v>386</v>
      </c>
      <c r="G253" s="64" t="s">
        <v>328</v>
      </c>
      <c r="H253" s="64" t="s">
        <v>237</v>
      </c>
      <c r="I253" s="64" t="s">
        <v>19</v>
      </c>
      <c r="J253" s="64" t="s">
        <v>201</v>
      </c>
      <c r="K253" s="66">
        <v>4.3</v>
      </c>
      <c r="L253" s="66">
        <f>K253*VLOOKUP(I253,dagsoorttabel1,2,FALSE)</f>
        <v>0.215</v>
      </c>
      <c r="M253" s="67">
        <f>prodnorm47</f>
        <v>0</v>
      </c>
      <c r="N253" s="68">
        <f>dagwerk47</f>
        <v>0</v>
      </c>
      <c r="O253" s="64" t="s">
        <v>38</v>
      </c>
      <c r="P253" s="69">
        <f>uurtarief47</f>
        <v>0</v>
      </c>
      <c r="Q253" s="66" t="e">
        <f>IF(ISBLANK(M253),0,L253/ROUND(M253,4))</f>
        <v>#DIV/0!</v>
      </c>
      <c r="R253" s="66" t="e">
        <f>IF(ISBLANK(M253),0,Q253*ROUND(N253,2))</f>
        <v>#DIV/0!</v>
      </c>
      <c r="S253" s="69" t="e">
        <f>ROUND(P253,2)*Q253</f>
        <v>#DIV/0!</v>
      </c>
      <c r="T253" s="66" t="e">
        <f>Q253*dagenperjaar1</f>
        <v>#DIV/0!</v>
      </c>
      <c r="U253" s="70" t="e">
        <f>T253*ROUND(P253,2)</f>
        <v>#DIV/0!</v>
      </c>
    </row>
    <row r="254" spans="1:21" x14ac:dyDescent="0.2">
      <c r="A254" s="63" t="s">
        <v>472</v>
      </c>
      <c r="B254" s="64" t="s">
        <v>774</v>
      </c>
      <c r="C254" s="64" t="s">
        <v>345</v>
      </c>
      <c r="D254" s="64" t="s">
        <v>788</v>
      </c>
      <c r="E254" s="64" t="s">
        <v>324</v>
      </c>
      <c r="F254" s="65" t="s">
        <v>784</v>
      </c>
      <c r="G254" s="64" t="s">
        <v>328</v>
      </c>
      <c r="H254" s="64" t="s">
        <v>227</v>
      </c>
      <c r="I254" s="64" t="s">
        <v>10</v>
      </c>
      <c r="J254" s="64" t="s">
        <v>201</v>
      </c>
      <c r="K254" s="66">
        <v>10</v>
      </c>
      <c r="L254" s="66">
        <f>K254*VLOOKUP(I254,dagsoorttabel1,2,FALSE)</f>
        <v>10</v>
      </c>
      <c r="M254" s="67">
        <f>prodnorm42</f>
        <v>0</v>
      </c>
      <c r="N254" s="68">
        <f>dagwerk42</f>
        <v>0</v>
      </c>
      <c r="O254" s="64" t="s">
        <v>38</v>
      </c>
      <c r="P254" s="69">
        <f>uurtarief42</f>
        <v>0</v>
      </c>
      <c r="Q254" s="66" t="e">
        <f>IF(ISBLANK(M254),0,L254/ROUND(M254,4))</f>
        <v>#DIV/0!</v>
      </c>
      <c r="R254" s="66" t="e">
        <f>IF(ISBLANK(M254),0,Q254*ROUND(N254,2))</f>
        <v>#DIV/0!</v>
      </c>
      <c r="S254" s="69" t="e">
        <f>ROUND(P254,2)*Q254</f>
        <v>#DIV/0!</v>
      </c>
      <c r="T254" s="66" t="e">
        <f>Q254*dagenperjaar1</f>
        <v>#DIV/0!</v>
      </c>
      <c r="U254" s="70" t="e">
        <f>T254*ROUND(P254,2)</f>
        <v>#DIV/0!</v>
      </c>
    </row>
    <row r="255" spans="1:21" x14ac:dyDescent="0.2">
      <c r="A255" s="63" t="s">
        <v>472</v>
      </c>
      <c r="B255" s="64" t="s">
        <v>774</v>
      </c>
      <c r="C255" s="64" t="s">
        <v>345</v>
      </c>
      <c r="D255" s="64" t="s">
        <v>789</v>
      </c>
      <c r="E255" s="64" t="s">
        <v>324</v>
      </c>
      <c r="F255" s="65" t="s">
        <v>364</v>
      </c>
      <c r="G255" s="64" t="s">
        <v>642</v>
      </c>
      <c r="H255" s="64" t="s">
        <v>255</v>
      </c>
      <c r="I255" s="64" t="s">
        <v>10</v>
      </c>
      <c r="J255" s="64" t="s">
        <v>201</v>
      </c>
      <c r="K255" s="66">
        <v>6.2</v>
      </c>
      <c r="L255" s="66">
        <f>K255*VLOOKUP(I255,dagsoorttabel1,2,FALSE)</f>
        <v>6.2</v>
      </c>
      <c r="M255" s="67">
        <f>prodnorm59</f>
        <v>0</v>
      </c>
      <c r="N255" s="68">
        <f>dagwerk59</f>
        <v>0</v>
      </c>
      <c r="O255" s="64" t="s">
        <v>38</v>
      </c>
      <c r="P255" s="69">
        <f>uurtarief59</f>
        <v>0</v>
      </c>
      <c r="Q255" s="66" t="e">
        <f>IF(ISBLANK(M255),0,L255/ROUND(M255,4))</f>
        <v>#DIV/0!</v>
      </c>
      <c r="R255" s="66" t="e">
        <f>IF(ISBLANK(M255),0,Q255*ROUND(N255,2))</f>
        <v>#DIV/0!</v>
      </c>
      <c r="S255" s="69" t="e">
        <f>ROUND(P255,2)*Q255</f>
        <v>#DIV/0!</v>
      </c>
      <c r="T255" s="66" t="e">
        <f>Q255*dagenperjaar1</f>
        <v>#DIV/0!</v>
      </c>
      <c r="U255" s="70" t="e">
        <f>T255*ROUND(P255,2)</f>
        <v>#DIV/0!</v>
      </c>
    </row>
    <row r="256" spans="1:21" x14ac:dyDescent="0.2">
      <c r="A256" s="63" t="s">
        <v>472</v>
      </c>
      <c r="B256" s="64" t="s">
        <v>774</v>
      </c>
      <c r="C256" s="64" t="s">
        <v>323</v>
      </c>
      <c r="D256" s="64" t="s">
        <v>790</v>
      </c>
      <c r="E256" s="64" t="s">
        <v>324</v>
      </c>
      <c r="F256" s="65" t="s">
        <v>791</v>
      </c>
      <c r="G256" s="64" t="s">
        <v>328</v>
      </c>
      <c r="H256" s="64" t="s">
        <v>227</v>
      </c>
      <c r="I256" s="64" t="s">
        <v>10</v>
      </c>
      <c r="J256" s="64" t="s">
        <v>201</v>
      </c>
      <c r="K256" s="66">
        <v>23.7</v>
      </c>
      <c r="L256" s="66">
        <f>K256*VLOOKUP(I256,dagsoorttabel1,2,FALSE)</f>
        <v>23.7</v>
      </c>
      <c r="M256" s="67">
        <f>prodnorm42</f>
        <v>0</v>
      </c>
      <c r="N256" s="68">
        <f>dagwerk42</f>
        <v>0</v>
      </c>
      <c r="O256" s="64" t="s">
        <v>38</v>
      </c>
      <c r="P256" s="69">
        <f>uurtarief42</f>
        <v>0</v>
      </c>
      <c r="Q256" s="66" t="e">
        <f>IF(ISBLANK(M256),0,L256/ROUND(M256,4))</f>
        <v>#DIV/0!</v>
      </c>
      <c r="R256" s="66" t="e">
        <f>IF(ISBLANK(M256),0,Q256*ROUND(N256,2))</f>
        <v>#DIV/0!</v>
      </c>
      <c r="S256" s="69" t="e">
        <f>ROUND(P256,2)*Q256</f>
        <v>#DIV/0!</v>
      </c>
      <c r="T256" s="66" t="e">
        <f>Q256*dagenperjaar1</f>
        <v>#DIV/0!</v>
      </c>
      <c r="U256" s="70" t="e">
        <f>T256*ROUND(P256,2)</f>
        <v>#DIV/0!</v>
      </c>
    </row>
    <row r="257" spans="1:21" x14ac:dyDescent="0.2">
      <c r="A257" s="63" t="s">
        <v>472</v>
      </c>
      <c r="B257" s="64" t="s">
        <v>774</v>
      </c>
      <c r="C257" s="64" t="s">
        <v>323</v>
      </c>
      <c r="D257" s="64" t="s">
        <v>792</v>
      </c>
      <c r="E257" s="64" t="s">
        <v>324</v>
      </c>
      <c r="F257" s="65" t="s">
        <v>641</v>
      </c>
      <c r="G257" s="64" t="s">
        <v>642</v>
      </c>
      <c r="H257" s="64" t="s">
        <v>255</v>
      </c>
      <c r="I257" s="64" t="s">
        <v>10</v>
      </c>
      <c r="J257" s="64" t="s">
        <v>201</v>
      </c>
      <c r="K257" s="66">
        <v>1.3</v>
      </c>
      <c r="L257" s="66">
        <f>K257*VLOOKUP(I257,dagsoorttabel1,2,FALSE)</f>
        <v>1.3</v>
      </c>
      <c r="M257" s="67">
        <f>prodnorm59</f>
        <v>0</v>
      </c>
      <c r="N257" s="68">
        <f>dagwerk59</f>
        <v>0</v>
      </c>
      <c r="O257" s="64" t="s">
        <v>38</v>
      </c>
      <c r="P257" s="69">
        <f>uurtarief59</f>
        <v>0</v>
      </c>
      <c r="Q257" s="66" t="e">
        <f>IF(ISBLANK(M257),0,L257/ROUND(M257,4))</f>
        <v>#DIV/0!</v>
      </c>
      <c r="R257" s="66" t="e">
        <f>IF(ISBLANK(M257),0,Q257*ROUND(N257,2))</f>
        <v>#DIV/0!</v>
      </c>
      <c r="S257" s="69" t="e">
        <f>ROUND(P257,2)*Q257</f>
        <v>#DIV/0!</v>
      </c>
      <c r="T257" s="66" t="e">
        <f>Q257*dagenperjaar1</f>
        <v>#DIV/0!</v>
      </c>
      <c r="U257" s="70" t="e">
        <f>T257*ROUND(P257,2)</f>
        <v>#DIV/0!</v>
      </c>
    </row>
    <row r="258" spans="1:21" x14ac:dyDescent="0.2">
      <c r="A258" s="63" t="s">
        <v>472</v>
      </c>
      <c r="B258" s="64" t="s">
        <v>774</v>
      </c>
      <c r="C258" s="64" t="s">
        <v>323</v>
      </c>
      <c r="D258" s="64" t="s">
        <v>793</v>
      </c>
      <c r="E258" s="64" t="s">
        <v>324</v>
      </c>
      <c r="F258" s="65" t="s">
        <v>791</v>
      </c>
      <c r="G258" s="64" t="s">
        <v>328</v>
      </c>
      <c r="H258" s="64" t="s">
        <v>227</v>
      </c>
      <c r="I258" s="64" t="s">
        <v>10</v>
      </c>
      <c r="J258" s="64" t="s">
        <v>201</v>
      </c>
      <c r="K258" s="66">
        <v>23.9</v>
      </c>
      <c r="L258" s="66">
        <f>K258*VLOOKUP(I258,dagsoorttabel1,2,FALSE)</f>
        <v>23.9</v>
      </c>
      <c r="M258" s="67">
        <f>prodnorm42</f>
        <v>0</v>
      </c>
      <c r="N258" s="68">
        <f>dagwerk42</f>
        <v>0</v>
      </c>
      <c r="O258" s="64" t="s">
        <v>38</v>
      </c>
      <c r="P258" s="69">
        <f>uurtarief42</f>
        <v>0</v>
      </c>
      <c r="Q258" s="66" t="e">
        <f>IF(ISBLANK(M258),0,L258/ROUND(M258,4))</f>
        <v>#DIV/0!</v>
      </c>
      <c r="R258" s="66" t="e">
        <f>IF(ISBLANK(M258),0,Q258*ROUND(N258,2))</f>
        <v>#DIV/0!</v>
      </c>
      <c r="S258" s="69" t="e">
        <f>ROUND(P258,2)*Q258</f>
        <v>#DIV/0!</v>
      </c>
      <c r="T258" s="66" t="e">
        <f>Q258*dagenperjaar1</f>
        <v>#DIV/0!</v>
      </c>
      <c r="U258" s="70" t="e">
        <f>T258*ROUND(P258,2)</f>
        <v>#DIV/0!</v>
      </c>
    </row>
    <row r="259" spans="1:21" x14ac:dyDescent="0.2">
      <c r="A259" s="63" t="s">
        <v>472</v>
      </c>
      <c r="B259" s="64" t="s">
        <v>774</v>
      </c>
      <c r="C259" s="64" t="s">
        <v>323</v>
      </c>
      <c r="D259" s="64" t="s">
        <v>794</v>
      </c>
      <c r="E259" s="64" t="s">
        <v>324</v>
      </c>
      <c r="F259" s="65" t="s">
        <v>641</v>
      </c>
      <c r="G259" s="64" t="s">
        <v>642</v>
      </c>
      <c r="H259" s="64" t="s">
        <v>255</v>
      </c>
      <c r="I259" s="64" t="s">
        <v>10</v>
      </c>
      <c r="J259" s="64" t="s">
        <v>201</v>
      </c>
      <c r="K259" s="66">
        <v>1.3</v>
      </c>
      <c r="L259" s="66">
        <f>K259*VLOOKUP(I259,dagsoorttabel1,2,FALSE)</f>
        <v>1.3</v>
      </c>
      <c r="M259" s="67">
        <f>prodnorm59</f>
        <v>0</v>
      </c>
      <c r="N259" s="68">
        <f>dagwerk59</f>
        <v>0</v>
      </c>
      <c r="O259" s="64" t="s">
        <v>38</v>
      </c>
      <c r="P259" s="69">
        <f>uurtarief59</f>
        <v>0</v>
      </c>
      <c r="Q259" s="66" t="e">
        <f>IF(ISBLANK(M259),0,L259/ROUND(M259,4))</f>
        <v>#DIV/0!</v>
      </c>
      <c r="R259" s="66" t="e">
        <f>IF(ISBLANK(M259),0,Q259*ROUND(N259,2))</f>
        <v>#DIV/0!</v>
      </c>
      <c r="S259" s="69" t="e">
        <f>ROUND(P259,2)*Q259</f>
        <v>#DIV/0!</v>
      </c>
      <c r="T259" s="66" t="e">
        <f>Q259*dagenperjaar1</f>
        <v>#DIV/0!</v>
      </c>
      <c r="U259" s="70" t="e">
        <f>T259*ROUND(P259,2)</f>
        <v>#DIV/0!</v>
      </c>
    </row>
    <row r="260" spans="1:21" x14ac:dyDescent="0.2">
      <c r="A260" s="63" t="s">
        <v>472</v>
      </c>
      <c r="B260" s="64" t="s">
        <v>774</v>
      </c>
      <c r="C260" s="64" t="s">
        <v>323</v>
      </c>
      <c r="D260" s="64" t="s">
        <v>795</v>
      </c>
      <c r="E260" s="64" t="s">
        <v>324</v>
      </c>
      <c r="F260" s="65" t="s">
        <v>791</v>
      </c>
      <c r="G260" s="64" t="s">
        <v>328</v>
      </c>
      <c r="H260" s="64" t="s">
        <v>227</v>
      </c>
      <c r="I260" s="64" t="s">
        <v>10</v>
      </c>
      <c r="J260" s="64" t="s">
        <v>201</v>
      </c>
      <c r="K260" s="66">
        <v>23.5</v>
      </c>
      <c r="L260" s="66">
        <f>K260*VLOOKUP(I260,dagsoorttabel1,2,FALSE)</f>
        <v>23.5</v>
      </c>
      <c r="M260" s="67">
        <f>prodnorm42</f>
        <v>0</v>
      </c>
      <c r="N260" s="68">
        <f>dagwerk42</f>
        <v>0</v>
      </c>
      <c r="O260" s="64" t="s">
        <v>38</v>
      </c>
      <c r="P260" s="69">
        <f>uurtarief42</f>
        <v>0</v>
      </c>
      <c r="Q260" s="66" t="e">
        <f>IF(ISBLANK(M260),0,L260/ROUND(M260,4))</f>
        <v>#DIV/0!</v>
      </c>
      <c r="R260" s="66" t="e">
        <f>IF(ISBLANK(M260),0,Q260*ROUND(N260,2))</f>
        <v>#DIV/0!</v>
      </c>
      <c r="S260" s="69" t="e">
        <f>ROUND(P260,2)*Q260</f>
        <v>#DIV/0!</v>
      </c>
      <c r="T260" s="66" t="e">
        <f>Q260*dagenperjaar1</f>
        <v>#DIV/0!</v>
      </c>
      <c r="U260" s="70" t="e">
        <f>T260*ROUND(P260,2)</f>
        <v>#DIV/0!</v>
      </c>
    </row>
    <row r="261" spans="1:21" x14ac:dyDescent="0.2">
      <c r="A261" s="63" t="s">
        <v>472</v>
      </c>
      <c r="B261" s="64" t="s">
        <v>774</v>
      </c>
      <c r="C261" s="64" t="s">
        <v>323</v>
      </c>
      <c r="D261" s="64" t="s">
        <v>796</v>
      </c>
      <c r="E261" s="64" t="s">
        <v>324</v>
      </c>
      <c r="F261" s="65" t="s">
        <v>641</v>
      </c>
      <c r="G261" s="64" t="s">
        <v>642</v>
      </c>
      <c r="H261" s="64" t="s">
        <v>255</v>
      </c>
      <c r="I261" s="64" t="s">
        <v>10</v>
      </c>
      <c r="J261" s="64" t="s">
        <v>201</v>
      </c>
      <c r="K261" s="66">
        <v>1.3</v>
      </c>
      <c r="L261" s="66">
        <f>K261*VLOOKUP(I261,dagsoorttabel1,2,FALSE)</f>
        <v>1.3</v>
      </c>
      <c r="M261" s="67">
        <f>prodnorm59</f>
        <v>0</v>
      </c>
      <c r="N261" s="68">
        <f>dagwerk59</f>
        <v>0</v>
      </c>
      <c r="O261" s="64" t="s">
        <v>38</v>
      </c>
      <c r="P261" s="69">
        <f>uurtarief59</f>
        <v>0</v>
      </c>
      <c r="Q261" s="66" t="e">
        <f>IF(ISBLANK(M261),0,L261/ROUND(M261,4))</f>
        <v>#DIV/0!</v>
      </c>
      <c r="R261" s="66" t="e">
        <f>IF(ISBLANK(M261),0,Q261*ROUND(N261,2))</f>
        <v>#DIV/0!</v>
      </c>
      <c r="S261" s="69" t="e">
        <f>ROUND(P261,2)*Q261</f>
        <v>#DIV/0!</v>
      </c>
      <c r="T261" s="66" t="e">
        <f>Q261*dagenperjaar1</f>
        <v>#DIV/0!</v>
      </c>
      <c r="U261" s="70" t="e">
        <f>T261*ROUND(P261,2)</f>
        <v>#DIV/0!</v>
      </c>
    </row>
    <row r="262" spans="1:21" x14ac:dyDescent="0.2">
      <c r="A262" s="63" t="s">
        <v>472</v>
      </c>
      <c r="B262" s="64" t="s">
        <v>774</v>
      </c>
      <c r="C262" s="64" t="s">
        <v>323</v>
      </c>
      <c r="D262" s="64" t="s">
        <v>797</v>
      </c>
      <c r="E262" s="64" t="s">
        <v>324</v>
      </c>
      <c r="F262" s="65" t="s">
        <v>791</v>
      </c>
      <c r="G262" s="64" t="s">
        <v>328</v>
      </c>
      <c r="H262" s="64" t="s">
        <v>227</v>
      </c>
      <c r="I262" s="64" t="s">
        <v>10</v>
      </c>
      <c r="J262" s="64" t="s">
        <v>201</v>
      </c>
      <c r="K262" s="66">
        <v>23.7</v>
      </c>
      <c r="L262" s="66">
        <f>K262*VLOOKUP(I262,dagsoorttabel1,2,FALSE)</f>
        <v>23.7</v>
      </c>
      <c r="M262" s="67">
        <f>prodnorm42</f>
        <v>0</v>
      </c>
      <c r="N262" s="68">
        <f>dagwerk42</f>
        <v>0</v>
      </c>
      <c r="O262" s="64" t="s">
        <v>38</v>
      </c>
      <c r="P262" s="69">
        <f>uurtarief42</f>
        <v>0</v>
      </c>
      <c r="Q262" s="66" t="e">
        <f>IF(ISBLANK(M262),0,L262/ROUND(M262,4))</f>
        <v>#DIV/0!</v>
      </c>
      <c r="R262" s="66" t="e">
        <f>IF(ISBLANK(M262),0,Q262*ROUND(N262,2))</f>
        <v>#DIV/0!</v>
      </c>
      <c r="S262" s="69" t="e">
        <f>ROUND(P262,2)*Q262</f>
        <v>#DIV/0!</v>
      </c>
      <c r="T262" s="66" t="e">
        <f>Q262*dagenperjaar1</f>
        <v>#DIV/0!</v>
      </c>
      <c r="U262" s="70" t="e">
        <f>T262*ROUND(P262,2)</f>
        <v>#DIV/0!</v>
      </c>
    </row>
    <row r="263" spans="1:21" x14ac:dyDescent="0.2">
      <c r="A263" s="63" t="s">
        <v>472</v>
      </c>
      <c r="B263" s="64" t="s">
        <v>774</v>
      </c>
      <c r="C263" s="64" t="s">
        <v>323</v>
      </c>
      <c r="D263" s="64" t="s">
        <v>798</v>
      </c>
      <c r="E263" s="64" t="s">
        <v>324</v>
      </c>
      <c r="F263" s="65" t="s">
        <v>641</v>
      </c>
      <c r="G263" s="64" t="s">
        <v>642</v>
      </c>
      <c r="H263" s="64" t="s">
        <v>255</v>
      </c>
      <c r="I263" s="64" t="s">
        <v>10</v>
      </c>
      <c r="J263" s="64" t="s">
        <v>201</v>
      </c>
      <c r="K263" s="66">
        <v>1.3</v>
      </c>
      <c r="L263" s="66">
        <f>K263*VLOOKUP(I263,dagsoorttabel1,2,FALSE)</f>
        <v>1.3</v>
      </c>
      <c r="M263" s="67">
        <f>prodnorm59</f>
        <v>0</v>
      </c>
      <c r="N263" s="68">
        <f>dagwerk59</f>
        <v>0</v>
      </c>
      <c r="O263" s="64" t="s">
        <v>38</v>
      </c>
      <c r="P263" s="69">
        <f>uurtarief59</f>
        <v>0</v>
      </c>
      <c r="Q263" s="66" t="e">
        <f>IF(ISBLANK(M263),0,L263/ROUND(M263,4))</f>
        <v>#DIV/0!</v>
      </c>
      <c r="R263" s="66" t="e">
        <f>IF(ISBLANK(M263),0,Q263*ROUND(N263,2))</f>
        <v>#DIV/0!</v>
      </c>
      <c r="S263" s="69" t="e">
        <f>ROUND(P263,2)*Q263</f>
        <v>#DIV/0!</v>
      </c>
      <c r="T263" s="66" t="e">
        <f>Q263*dagenperjaar1</f>
        <v>#DIV/0!</v>
      </c>
      <c r="U263" s="70" t="e">
        <f>T263*ROUND(P263,2)</f>
        <v>#DIV/0!</v>
      </c>
    </row>
    <row r="264" spans="1:21" x14ac:dyDescent="0.2">
      <c r="A264" s="63" t="s">
        <v>472</v>
      </c>
      <c r="B264" s="64" t="s">
        <v>774</v>
      </c>
      <c r="C264" s="64" t="s">
        <v>323</v>
      </c>
      <c r="D264" s="64" t="s">
        <v>799</v>
      </c>
      <c r="E264" s="64" t="s">
        <v>324</v>
      </c>
      <c r="F264" s="65" t="s">
        <v>638</v>
      </c>
      <c r="G264" s="64" t="s">
        <v>339</v>
      </c>
      <c r="H264" s="64" t="s">
        <v>267</v>
      </c>
      <c r="I264" s="64" t="s">
        <v>10</v>
      </c>
      <c r="J264" s="64" t="s">
        <v>201</v>
      </c>
      <c r="K264" s="66">
        <v>13.2</v>
      </c>
      <c r="L264" s="66">
        <f>K264*VLOOKUP(I264,dagsoorttabel1,2,FALSE)</f>
        <v>13.2</v>
      </c>
      <c r="M264" s="67">
        <f>prodnorm65</f>
        <v>0</v>
      </c>
      <c r="N264" s="68">
        <f>dagwerk65</f>
        <v>0</v>
      </c>
      <c r="O264" s="64" t="s">
        <v>38</v>
      </c>
      <c r="P264" s="69">
        <f>uurtarief65</f>
        <v>0</v>
      </c>
      <c r="Q264" s="66" t="e">
        <f>IF(ISBLANK(M264),0,L264/ROUND(M264,4))</f>
        <v>#DIV/0!</v>
      </c>
      <c r="R264" s="66" t="e">
        <f>IF(ISBLANK(M264),0,Q264*ROUND(N264,2))</f>
        <v>#DIV/0!</v>
      </c>
      <c r="S264" s="69" t="e">
        <f>ROUND(P264,2)*Q264</f>
        <v>#DIV/0!</v>
      </c>
      <c r="T264" s="66" t="e">
        <f>Q264*dagenperjaar1</f>
        <v>#DIV/0!</v>
      </c>
      <c r="U264" s="70" t="e">
        <f>T264*ROUND(P264,2)</f>
        <v>#DIV/0!</v>
      </c>
    </row>
    <row r="265" spans="1:21" x14ac:dyDescent="0.2">
      <c r="A265" s="63" t="s">
        <v>472</v>
      </c>
      <c r="B265" s="64" t="s">
        <v>774</v>
      </c>
      <c r="C265" s="64" t="s">
        <v>323</v>
      </c>
      <c r="D265" s="64" t="s">
        <v>800</v>
      </c>
      <c r="E265" s="64" t="s">
        <v>324</v>
      </c>
      <c r="F265" s="65" t="s">
        <v>638</v>
      </c>
      <c r="G265" s="64" t="s">
        <v>339</v>
      </c>
      <c r="H265" s="64" t="s">
        <v>267</v>
      </c>
      <c r="I265" s="64" t="s">
        <v>10</v>
      </c>
      <c r="J265" s="64" t="s">
        <v>201</v>
      </c>
      <c r="K265" s="66">
        <v>13.2</v>
      </c>
      <c r="L265" s="66">
        <f>K265*VLOOKUP(I265,dagsoorttabel1,2,FALSE)</f>
        <v>13.2</v>
      </c>
      <c r="M265" s="67">
        <f>prodnorm65</f>
        <v>0</v>
      </c>
      <c r="N265" s="68">
        <f>dagwerk65</f>
        <v>0</v>
      </c>
      <c r="O265" s="64" t="s">
        <v>38</v>
      </c>
      <c r="P265" s="69">
        <f>uurtarief65</f>
        <v>0</v>
      </c>
      <c r="Q265" s="66" t="e">
        <f>IF(ISBLANK(M265),0,L265/ROUND(M265,4))</f>
        <v>#DIV/0!</v>
      </c>
      <c r="R265" s="66" t="e">
        <f>IF(ISBLANK(M265),0,Q265*ROUND(N265,2))</f>
        <v>#DIV/0!</v>
      </c>
      <c r="S265" s="69" t="e">
        <f>ROUND(P265,2)*Q265</f>
        <v>#DIV/0!</v>
      </c>
      <c r="T265" s="66" t="e">
        <f>Q265*dagenperjaar1</f>
        <v>#DIV/0!</v>
      </c>
      <c r="U265" s="70" t="e">
        <f>T265*ROUND(P265,2)</f>
        <v>#DIV/0!</v>
      </c>
    </row>
    <row r="266" spans="1:21" x14ac:dyDescent="0.2">
      <c r="A266" s="63" t="s">
        <v>472</v>
      </c>
      <c r="B266" s="64" t="s">
        <v>774</v>
      </c>
      <c r="C266" s="64" t="s">
        <v>323</v>
      </c>
      <c r="D266" s="64" t="s">
        <v>801</v>
      </c>
      <c r="E266" s="64" t="s">
        <v>324</v>
      </c>
      <c r="F266" s="65" t="s">
        <v>802</v>
      </c>
      <c r="G266" s="64" t="s">
        <v>642</v>
      </c>
      <c r="H266" s="64" t="s">
        <v>213</v>
      </c>
      <c r="I266" s="64" t="s">
        <v>10</v>
      </c>
      <c r="J266" s="64" t="s">
        <v>201</v>
      </c>
      <c r="K266" s="66">
        <v>10.199999999999999</v>
      </c>
      <c r="L266" s="66">
        <f>K266*VLOOKUP(I266,dagsoorttabel1,2,FALSE)</f>
        <v>10.199999999999999</v>
      </c>
      <c r="M266" s="67">
        <f>prodnorm33</f>
        <v>0</v>
      </c>
      <c r="N266" s="68">
        <f>dagwerk33</f>
        <v>0</v>
      </c>
      <c r="O266" s="64" t="s">
        <v>38</v>
      </c>
      <c r="P266" s="69">
        <f>uurtarief33</f>
        <v>0</v>
      </c>
      <c r="Q266" s="66" t="e">
        <f>IF(ISBLANK(M266),0,L266/ROUND(M266,4))</f>
        <v>#DIV/0!</v>
      </c>
      <c r="R266" s="66" t="e">
        <f>IF(ISBLANK(M266),0,Q266*ROUND(N266,2))</f>
        <v>#DIV/0!</v>
      </c>
      <c r="S266" s="69" t="e">
        <f>ROUND(P266,2)*Q266</f>
        <v>#DIV/0!</v>
      </c>
      <c r="T266" s="66" t="e">
        <f>Q266*dagenperjaar1</f>
        <v>#DIV/0!</v>
      </c>
      <c r="U266" s="70" t="e">
        <f>T266*ROUND(P266,2)</f>
        <v>#DIV/0!</v>
      </c>
    </row>
    <row r="267" spans="1:21" x14ac:dyDescent="0.2">
      <c r="A267" s="63" t="s">
        <v>472</v>
      </c>
      <c r="B267" s="64" t="s">
        <v>774</v>
      </c>
      <c r="C267" s="64" t="s">
        <v>323</v>
      </c>
      <c r="D267" s="64" t="s">
        <v>803</v>
      </c>
      <c r="E267" s="64" t="s">
        <v>324</v>
      </c>
      <c r="F267" s="65" t="s">
        <v>802</v>
      </c>
      <c r="G267" s="64" t="s">
        <v>642</v>
      </c>
      <c r="H267" s="64" t="s">
        <v>213</v>
      </c>
      <c r="I267" s="64" t="s">
        <v>10</v>
      </c>
      <c r="J267" s="64" t="s">
        <v>201</v>
      </c>
      <c r="K267" s="66">
        <v>10.199999999999999</v>
      </c>
      <c r="L267" s="66">
        <f>K267*VLOOKUP(I267,dagsoorttabel1,2,FALSE)</f>
        <v>10.199999999999999</v>
      </c>
      <c r="M267" s="67">
        <f>prodnorm33</f>
        <v>0</v>
      </c>
      <c r="N267" s="68">
        <f>dagwerk33</f>
        <v>0</v>
      </c>
      <c r="O267" s="64" t="s">
        <v>38</v>
      </c>
      <c r="P267" s="69">
        <f>uurtarief33</f>
        <v>0</v>
      </c>
      <c r="Q267" s="66" t="e">
        <f>IF(ISBLANK(M267),0,L267/ROUND(M267,4))</f>
        <v>#DIV/0!</v>
      </c>
      <c r="R267" s="66" t="e">
        <f>IF(ISBLANK(M267),0,Q267*ROUND(N267,2))</f>
        <v>#DIV/0!</v>
      </c>
      <c r="S267" s="69" t="e">
        <f>ROUND(P267,2)*Q267</f>
        <v>#DIV/0!</v>
      </c>
      <c r="T267" s="66" t="e">
        <f>Q267*dagenperjaar1</f>
        <v>#DIV/0!</v>
      </c>
      <c r="U267" s="70" t="e">
        <f>T267*ROUND(P267,2)</f>
        <v>#DIV/0!</v>
      </c>
    </row>
    <row r="268" spans="1:21" x14ac:dyDescent="0.2">
      <c r="A268" s="63" t="s">
        <v>472</v>
      </c>
      <c r="B268" s="64" t="s">
        <v>774</v>
      </c>
      <c r="C268" s="64" t="s">
        <v>323</v>
      </c>
      <c r="D268" s="64" t="s">
        <v>804</v>
      </c>
      <c r="E268" s="64" t="s">
        <v>324</v>
      </c>
      <c r="F268" s="65" t="s">
        <v>802</v>
      </c>
      <c r="G268" s="64" t="s">
        <v>642</v>
      </c>
      <c r="H268" s="64" t="s">
        <v>213</v>
      </c>
      <c r="I268" s="64" t="s">
        <v>10</v>
      </c>
      <c r="J268" s="64" t="s">
        <v>201</v>
      </c>
      <c r="K268" s="66">
        <v>10.1</v>
      </c>
      <c r="L268" s="66">
        <f>K268*VLOOKUP(I268,dagsoorttabel1,2,FALSE)</f>
        <v>10.1</v>
      </c>
      <c r="M268" s="67">
        <f>prodnorm33</f>
        <v>0</v>
      </c>
      <c r="N268" s="68">
        <f>dagwerk33</f>
        <v>0</v>
      </c>
      <c r="O268" s="64" t="s">
        <v>38</v>
      </c>
      <c r="P268" s="69">
        <f>uurtarief33</f>
        <v>0</v>
      </c>
      <c r="Q268" s="66" t="e">
        <f>IF(ISBLANK(M268),0,L268/ROUND(M268,4))</f>
        <v>#DIV/0!</v>
      </c>
      <c r="R268" s="66" t="e">
        <f>IF(ISBLANK(M268),0,Q268*ROUND(N268,2))</f>
        <v>#DIV/0!</v>
      </c>
      <c r="S268" s="69" t="e">
        <f>ROUND(P268,2)*Q268</f>
        <v>#DIV/0!</v>
      </c>
      <c r="T268" s="66" t="e">
        <f>Q268*dagenperjaar1</f>
        <v>#DIV/0!</v>
      </c>
      <c r="U268" s="70" t="e">
        <f>T268*ROUND(P268,2)</f>
        <v>#DIV/0!</v>
      </c>
    </row>
    <row r="269" spans="1:21" x14ac:dyDescent="0.2">
      <c r="A269" s="63" t="s">
        <v>472</v>
      </c>
      <c r="B269" s="64" t="s">
        <v>774</v>
      </c>
      <c r="C269" s="64" t="s">
        <v>323</v>
      </c>
      <c r="D269" s="64" t="s">
        <v>805</v>
      </c>
      <c r="E269" s="64" t="s">
        <v>324</v>
      </c>
      <c r="F269" s="65" t="s">
        <v>802</v>
      </c>
      <c r="G269" s="64" t="s">
        <v>642</v>
      </c>
      <c r="H269" s="64" t="s">
        <v>213</v>
      </c>
      <c r="I269" s="64" t="s">
        <v>10</v>
      </c>
      <c r="J269" s="64" t="s">
        <v>201</v>
      </c>
      <c r="K269" s="66">
        <v>10.1</v>
      </c>
      <c r="L269" s="66">
        <f>K269*VLOOKUP(I269,dagsoorttabel1,2,FALSE)</f>
        <v>10.1</v>
      </c>
      <c r="M269" s="67">
        <f>prodnorm33</f>
        <v>0</v>
      </c>
      <c r="N269" s="68">
        <f>dagwerk33</f>
        <v>0</v>
      </c>
      <c r="O269" s="64" t="s">
        <v>38</v>
      </c>
      <c r="P269" s="69">
        <f>uurtarief33</f>
        <v>0</v>
      </c>
      <c r="Q269" s="66" t="e">
        <f>IF(ISBLANK(M269),0,L269/ROUND(M269,4))</f>
        <v>#DIV/0!</v>
      </c>
      <c r="R269" s="66" t="e">
        <f>IF(ISBLANK(M269),0,Q269*ROUND(N269,2))</f>
        <v>#DIV/0!</v>
      </c>
      <c r="S269" s="69" t="e">
        <f>ROUND(P269,2)*Q269</f>
        <v>#DIV/0!</v>
      </c>
      <c r="T269" s="66" t="e">
        <f>Q269*dagenperjaar1</f>
        <v>#DIV/0!</v>
      </c>
      <c r="U269" s="70" t="e">
        <f>T269*ROUND(P269,2)</f>
        <v>#DIV/0!</v>
      </c>
    </row>
    <row r="270" spans="1:21" x14ac:dyDescent="0.2">
      <c r="A270" s="63" t="s">
        <v>472</v>
      </c>
      <c r="B270" s="64" t="s">
        <v>806</v>
      </c>
      <c r="C270" s="64" t="s">
        <v>345</v>
      </c>
      <c r="D270" s="64" t="s">
        <v>807</v>
      </c>
      <c r="E270" s="64" t="s">
        <v>808</v>
      </c>
      <c r="F270" s="65" t="s">
        <v>809</v>
      </c>
      <c r="G270" s="64" t="s">
        <v>810</v>
      </c>
      <c r="H270" s="64" t="s">
        <v>200</v>
      </c>
      <c r="I270" s="64" t="s">
        <v>10</v>
      </c>
      <c r="J270" s="64" t="s">
        <v>201</v>
      </c>
      <c r="K270" s="66">
        <v>113.93</v>
      </c>
      <c r="L270" s="66">
        <f>K270*VLOOKUP(I270,dagsoorttabel1,2,FALSE)</f>
        <v>113.93</v>
      </c>
      <c r="M270" s="67">
        <f>prodnorm24</f>
        <v>0</v>
      </c>
      <c r="N270" s="68">
        <f>dagwerk24</f>
        <v>0</v>
      </c>
      <c r="O270" s="64" t="s">
        <v>38</v>
      </c>
      <c r="P270" s="69">
        <f>uurtarief24</f>
        <v>0</v>
      </c>
      <c r="Q270" s="66" t="e">
        <f>IF(ISBLANK(M270),0,L270/ROUND(M270,4))</f>
        <v>#DIV/0!</v>
      </c>
      <c r="R270" s="66" t="e">
        <f>IF(ISBLANK(M270),0,Q270*ROUND(N270,2))</f>
        <v>#DIV/0!</v>
      </c>
      <c r="S270" s="69" t="e">
        <f>ROUND(P270,2)*Q270</f>
        <v>#DIV/0!</v>
      </c>
      <c r="T270" s="66" t="e">
        <f>Q270*dagenperjaar1</f>
        <v>#DIV/0!</v>
      </c>
      <c r="U270" s="70" t="e">
        <f>T270*ROUND(P270,2)</f>
        <v>#DIV/0!</v>
      </c>
    </row>
    <row r="271" spans="1:21" x14ac:dyDescent="0.2">
      <c r="A271" s="63" t="s">
        <v>472</v>
      </c>
      <c r="B271" s="64" t="s">
        <v>806</v>
      </c>
      <c r="C271" s="64" t="s">
        <v>345</v>
      </c>
      <c r="D271" s="64" t="s">
        <v>811</v>
      </c>
      <c r="E271" s="64" t="s">
        <v>324</v>
      </c>
      <c r="F271" s="65" t="s">
        <v>638</v>
      </c>
      <c r="G271" s="64" t="s">
        <v>538</v>
      </c>
      <c r="H271" s="64" t="s">
        <v>263</v>
      </c>
      <c r="I271" s="64" t="s">
        <v>10</v>
      </c>
      <c r="J271" s="64" t="s">
        <v>201</v>
      </c>
      <c r="K271" s="66">
        <v>5.92</v>
      </c>
      <c r="L271" s="66">
        <f>K271*VLOOKUP(I271,dagsoorttabel1,2,FALSE)</f>
        <v>5.92</v>
      </c>
      <c r="M271" s="67">
        <f>prodnorm63</f>
        <v>0</v>
      </c>
      <c r="N271" s="68">
        <f>dagwerk63</f>
        <v>0</v>
      </c>
      <c r="O271" s="64" t="s">
        <v>38</v>
      </c>
      <c r="P271" s="69">
        <f>uurtarief63</f>
        <v>0</v>
      </c>
      <c r="Q271" s="66" t="e">
        <f>IF(ISBLANK(M271),0,L271/ROUND(M271,4))</f>
        <v>#DIV/0!</v>
      </c>
      <c r="R271" s="66" t="e">
        <f>IF(ISBLANK(M271),0,Q271*ROUND(N271,2))</f>
        <v>#DIV/0!</v>
      </c>
      <c r="S271" s="69" t="e">
        <f>ROUND(P271,2)*Q271</f>
        <v>#DIV/0!</v>
      </c>
      <c r="T271" s="66" t="e">
        <f>Q271*dagenperjaar1</f>
        <v>#DIV/0!</v>
      </c>
      <c r="U271" s="70" t="e">
        <f>T271*ROUND(P271,2)</f>
        <v>#DIV/0!</v>
      </c>
    </row>
    <row r="272" spans="1:21" x14ac:dyDescent="0.2">
      <c r="A272" s="63" t="s">
        <v>472</v>
      </c>
      <c r="B272" s="64" t="s">
        <v>806</v>
      </c>
      <c r="C272" s="64" t="s">
        <v>345</v>
      </c>
      <c r="D272" s="64" t="s">
        <v>812</v>
      </c>
      <c r="E272" s="64" t="s">
        <v>813</v>
      </c>
      <c r="F272" s="65" t="s">
        <v>335</v>
      </c>
      <c r="G272" s="64" t="s">
        <v>810</v>
      </c>
      <c r="H272" s="64" t="s">
        <v>267</v>
      </c>
      <c r="I272" s="64" t="s">
        <v>10</v>
      </c>
      <c r="J272" s="64" t="s">
        <v>201</v>
      </c>
      <c r="K272" s="66">
        <v>30.35</v>
      </c>
      <c r="L272" s="66">
        <f>K272*VLOOKUP(I272,dagsoorttabel1,2,FALSE)</f>
        <v>30.35</v>
      </c>
      <c r="M272" s="67">
        <f>prodnorm65</f>
        <v>0</v>
      </c>
      <c r="N272" s="68">
        <f>dagwerk65</f>
        <v>0</v>
      </c>
      <c r="O272" s="64" t="s">
        <v>38</v>
      </c>
      <c r="P272" s="69">
        <f>uurtarief65</f>
        <v>0</v>
      </c>
      <c r="Q272" s="66" t="e">
        <f>IF(ISBLANK(M272),0,L272/ROUND(M272,4))</f>
        <v>#DIV/0!</v>
      </c>
      <c r="R272" s="66" t="e">
        <f>IF(ISBLANK(M272),0,Q272*ROUND(N272,2))</f>
        <v>#DIV/0!</v>
      </c>
      <c r="S272" s="69" t="e">
        <f>ROUND(P272,2)*Q272</f>
        <v>#DIV/0!</v>
      </c>
      <c r="T272" s="66" t="e">
        <f>Q272*dagenperjaar1</f>
        <v>#DIV/0!</v>
      </c>
      <c r="U272" s="70" t="e">
        <f>T272*ROUND(P272,2)</f>
        <v>#DIV/0!</v>
      </c>
    </row>
    <row r="273" spans="1:21" x14ac:dyDescent="0.2">
      <c r="A273" s="63" t="s">
        <v>472</v>
      </c>
      <c r="B273" s="64" t="s">
        <v>806</v>
      </c>
      <c r="C273" s="64" t="s">
        <v>345</v>
      </c>
      <c r="D273" s="64" t="s">
        <v>814</v>
      </c>
      <c r="E273" s="64" t="s">
        <v>815</v>
      </c>
      <c r="F273" s="65" t="s">
        <v>671</v>
      </c>
      <c r="G273" s="64" t="s">
        <v>642</v>
      </c>
      <c r="H273" s="64" t="s">
        <v>255</v>
      </c>
      <c r="I273" s="64" t="s">
        <v>10</v>
      </c>
      <c r="J273" s="64" t="s">
        <v>201</v>
      </c>
      <c r="K273" s="66">
        <v>10.91</v>
      </c>
      <c r="L273" s="66">
        <f>K273*VLOOKUP(I273,dagsoorttabel1,2,FALSE)</f>
        <v>10.91</v>
      </c>
      <c r="M273" s="67">
        <f>prodnorm59</f>
        <v>0</v>
      </c>
      <c r="N273" s="68">
        <f>dagwerk59</f>
        <v>0</v>
      </c>
      <c r="O273" s="64" t="s">
        <v>38</v>
      </c>
      <c r="P273" s="69">
        <f>uurtarief59</f>
        <v>0</v>
      </c>
      <c r="Q273" s="66" t="e">
        <f>IF(ISBLANK(M273),0,L273/ROUND(M273,4))</f>
        <v>#DIV/0!</v>
      </c>
      <c r="R273" s="66" t="e">
        <f>IF(ISBLANK(M273),0,Q273*ROUND(N273,2))</f>
        <v>#DIV/0!</v>
      </c>
      <c r="S273" s="69" t="e">
        <f>ROUND(P273,2)*Q273</f>
        <v>#DIV/0!</v>
      </c>
      <c r="T273" s="66" t="e">
        <f>Q273*dagenperjaar1</f>
        <v>#DIV/0!</v>
      </c>
      <c r="U273" s="70" t="e">
        <f>T273*ROUND(P273,2)</f>
        <v>#DIV/0!</v>
      </c>
    </row>
    <row r="274" spans="1:21" x14ac:dyDescent="0.2">
      <c r="A274" s="63" t="s">
        <v>472</v>
      </c>
      <c r="B274" s="64" t="s">
        <v>806</v>
      </c>
      <c r="C274" s="64" t="s">
        <v>345</v>
      </c>
      <c r="D274" s="64" t="s">
        <v>816</v>
      </c>
      <c r="E274" s="64" t="s">
        <v>817</v>
      </c>
      <c r="F274" s="65" t="s">
        <v>364</v>
      </c>
      <c r="G274" s="64" t="s">
        <v>642</v>
      </c>
      <c r="H274" s="64" t="s">
        <v>255</v>
      </c>
      <c r="I274" s="64" t="s">
        <v>10</v>
      </c>
      <c r="J274" s="64" t="s">
        <v>201</v>
      </c>
      <c r="K274" s="66">
        <v>4.2300000000000004</v>
      </c>
      <c r="L274" s="66">
        <f>K274*VLOOKUP(I274,dagsoorttabel1,2,FALSE)</f>
        <v>4.2300000000000004</v>
      </c>
      <c r="M274" s="67">
        <f>prodnorm59</f>
        <v>0</v>
      </c>
      <c r="N274" s="68">
        <f>dagwerk59</f>
        <v>0</v>
      </c>
      <c r="O274" s="64" t="s">
        <v>38</v>
      </c>
      <c r="P274" s="69">
        <f>uurtarief59</f>
        <v>0</v>
      </c>
      <c r="Q274" s="66" t="e">
        <f>IF(ISBLANK(M274),0,L274/ROUND(M274,4))</f>
        <v>#DIV/0!</v>
      </c>
      <c r="R274" s="66" t="e">
        <f>IF(ISBLANK(M274),0,Q274*ROUND(N274,2))</f>
        <v>#DIV/0!</v>
      </c>
      <c r="S274" s="69" t="e">
        <f>ROUND(P274,2)*Q274</f>
        <v>#DIV/0!</v>
      </c>
      <c r="T274" s="66" t="e">
        <f>Q274*dagenperjaar1</f>
        <v>#DIV/0!</v>
      </c>
      <c r="U274" s="70" t="e">
        <f>T274*ROUND(P274,2)</f>
        <v>#DIV/0!</v>
      </c>
    </row>
    <row r="275" spans="1:21" x14ac:dyDescent="0.2">
      <c r="A275" s="63" t="s">
        <v>472</v>
      </c>
      <c r="B275" s="64" t="s">
        <v>806</v>
      </c>
      <c r="C275" s="64" t="s">
        <v>345</v>
      </c>
      <c r="D275" s="64" t="s">
        <v>818</v>
      </c>
      <c r="E275" s="64" t="s">
        <v>819</v>
      </c>
      <c r="F275" s="65" t="s">
        <v>820</v>
      </c>
      <c r="G275" s="64" t="s">
        <v>810</v>
      </c>
      <c r="H275" s="64" t="s">
        <v>249</v>
      </c>
      <c r="I275" s="64" t="s">
        <v>10</v>
      </c>
      <c r="J275" s="64" t="s">
        <v>201</v>
      </c>
      <c r="K275" s="66">
        <v>47.68</v>
      </c>
      <c r="L275" s="66">
        <f>K275*VLOOKUP(I275,dagsoorttabel1,2,FALSE)</f>
        <v>47.68</v>
      </c>
      <c r="M275" s="67">
        <f>prodnorm56</f>
        <v>0</v>
      </c>
      <c r="N275" s="68">
        <f>dagwerk56</f>
        <v>0</v>
      </c>
      <c r="O275" s="64" t="s">
        <v>38</v>
      </c>
      <c r="P275" s="69">
        <f>uurtarief56</f>
        <v>0</v>
      </c>
      <c r="Q275" s="66" t="e">
        <f>IF(ISBLANK(M275),0,L275/ROUND(M275,4))</f>
        <v>#DIV/0!</v>
      </c>
      <c r="R275" s="66" t="e">
        <f>IF(ISBLANK(M275),0,Q275*ROUND(N275,2))</f>
        <v>#DIV/0!</v>
      </c>
      <c r="S275" s="69" t="e">
        <f>ROUND(P275,2)*Q275</f>
        <v>#DIV/0!</v>
      </c>
      <c r="T275" s="66" t="e">
        <f>Q275*dagenperjaar1</f>
        <v>#DIV/0!</v>
      </c>
      <c r="U275" s="70" t="e">
        <f>T275*ROUND(P275,2)</f>
        <v>#DIV/0!</v>
      </c>
    </row>
    <row r="276" spans="1:21" x14ac:dyDescent="0.2">
      <c r="A276" s="63" t="s">
        <v>472</v>
      </c>
      <c r="B276" s="64" t="s">
        <v>806</v>
      </c>
      <c r="C276" s="64" t="s">
        <v>345</v>
      </c>
      <c r="D276" s="64" t="s">
        <v>821</v>
      </c>
      <c r="E276" s="64" t="s">
        <v>822</v>
      </c>
      <c r="F276" s="65" t="s">
        <v>823</v>
      </c>
      <c r="G276" s="64" t="s">
        <v>810</v>
      </c>
      <c r="H276" s="64" t="s">
        <v>200</v>
      </c>
      <c r="I276" s="64" t="s">
        <v>10</v>
      </c>
      <c r="J276" s="64" t="s">
        <v>201</v>
      </c>
      <c r="K276" s="66">
        <v>157.85000000000002</v>
      </c>
      <c r="L276" s="66">
        <f>K276*VLOOKUP(I276,dagsoorttabel1,2,FALSE)</f>
        <v>157.85000000000002</v>
      </c>
      <c r="M276" s="67">
        <f>prodnorm24</f>
        <v>0</v>
      </c>
      <c r="N276" s="68">
        <f>dagwerk24</f>
        <v>0</v>
      </c>
      <c r="O276" s="64" t="s">
        <v>38</v>
      </c>
      <c r="P276" s="69">
        <f>uurtarief24</f>
        <v>0</v>
      </c>
      <c r="Q276" s="66" t="e">
        <f>IF(ISBLANK(M276),0,L276/ROUND(M276,4))</f>
        <v>#DIV/0!</v>
      </c>
      <c r="R276" s="66" t="e">
        <f>IF(ISBLANK(M276),0,Q276*ROUND(N276,2))</f>
        <v>#DIV/0!</v>
      </c>
      <c r="S276" s="69" t="e">
        <f>ROUND(P276,2)*Q276</f>
        <v>#DIV/0!</v>
      </c>
      <c r="T276" s="66" t="e">
        <f>Q276*dagenperjaar1</f>
        <v>#DIV/0!</v>
      </c>
      <c r="U276" s="70" t="e">
        <f>T276*ROUND(P276,2)</f>
        <v>#DIV/0!</v>
      </c>
    </row>
    <row r="277" spans="1:21" x14ac:dyDescent="0.2">
      <c r="A277" s="63" t="s">
        <v>472</v>
      </c>
      <c r="B277" s="64" t="s">
        <v>806</v>
      </c>
      <c r="C277" s="64" t="s">
        <v>345</v>
      </c>
      <c r="D277" s="64" t="s">
        <v>824</v>
      </c>
      <c r="E277" s="64" t="s">
        <v>825</v>
      </c>
      <c r="F277" s="65" t="s">
        <v>826</v>
      </c>
      <c r="G277" s="64" t="s">
        <v>810</v>
      </c>
      <c r="H277" s="64" t="s">
        <v>205</v>
      </c>
      <c r="I277" s="64" t="s">
        <v>10</v>
      </c>
      <c r="J277" s="64" t="s">
        <v>201</v>
      </c>
      <c r="K277" s="66">
        <v>22.45</v>
      </c>
      <c r="L277" s="66">
        <f>K277*VLOOKUP(I277,dagsoorttabel1,2,FALSE)</f>
        <v>22.45</v>
      </c>
      <c r="M277" s="67">
        <f>prodnorm26</f>
        <v>0</v>
      </c>
      <c r="N277" s="68">
        <f>dagwerk26</f>
        <v>0</v>
      </c>
      <c r="O277" s="64" t="s">
        <v>38</v>
      </c>
      <c r="P277" s="69">
        <f>uurtarief26</f>
        <v>0</v>
      </c>
      <c r="Q277" s="66" t="e">
        <f>IF(ISBLANK(M277),0,L277/ROUND(M277,4))</f>
        <v>#DIV/0!</v>
      </c>
      <c r="R277" s="66" t="e">
        <f>IF(ISBLANK(M277),0,Q277*ROUND(N277,2))</f>
        <v>#DIV/0!</v>
      </c>
      <c r="S277" s="69" t="e">
        <f>ROUND(P277,2)*Q277</f>
        <v>#DIV/0!</v>
      </c>
      <c r="T277" s="66" t="e">
        <f>Q277*dagenperjaar1</f>
        <v>#DIV/0!</v>
      </c>
      <c r="U277" s="70" t="e">
        <f>T277*ROUND(P277,2)</f>
        <v>#DIV/0!</v>
      </c>
    </row>
    <row r="278" spans="1:21" x14ac:dyDescent="0.2">
      <c r="A278" s="63" t="s">
        <v>472</v>
      </c>
      <c r="B278" s="64" t="s">
        <v>806</v>
      </c>
      <c r="C278" s="64" t="s">
        <v>345</v>
      </c>
      <c r="D278" s="64" t="s">
        <v>827</v>
      </c>
      <c r="E278" s="64" t="s">
        <v>828</v>
      </c>
      <c r="F278" s="65" t="s">
        <v>649</v>
      </c>
      <c r="G278" s="64" t="s">
        <v>810</v>
      </c>
      <c r="H278" s="64" t="s">
        <v>229</v>
      </c>
      <c r="I278" s="64" t="s">
        <v>10</v>
      </c>
      <c r="J278" s="64" t="s">
        <v>201</v>
      </c>
      <c r="K278" s="66">
        <v>66.23</v>
      </c>
      <c r="L278" s="66">
        <f>K278*VLOOKUP(I278,dagsoorttabel1,2,FALSE)</f>
        <v>66.23</v>
      </c>
      <c r="M278" s="67">
        <f>prodnorm43</f>
        <v>0</v>
      </c>
      <c r="N278" s="68">
        <f>dagwerk43</f>
        <v>0</v>
      </c>
      <c r="O278" s="64" t="s">
        <v>38</v>
      </c>
      <c r="P278" s="69">
        <f>uurtarief43</f>
        <v>0</v>
      </c>
      <c r="Q278" s="66" t="e">
        <f>IF(ISBLANK(M278),0,L278/ROUND(M278,4))</f>
        <v>#DIV/0!</v>
      </c>
      <c r="R278" s="66" t="e">
        <f>IF(ISBLANK(M278),0,Q278*ROUND(N278,2))</f>
        <v>#DIV/0!</v>
      </c>
      <c r="S278" s="69" t="e">
        <f>ROUND(P278,2)*Q278</f>
        <v>#DIV/0!</v>
      </c>
      <c r="T278" s="66" t="e">
        <f>Q278*dagenperjaar1</f>
        <v>#DIV/0!</v>
      </c>
      <c r="U278" s="70" t="e">
        <f>T278*ROUND(P278,2)</f>
        <v>#DIV/0!</v>
      </c>
    </row>
    <row r="279" spans="1:21" x14ac:dyDescent="0.2">
      <c r="A279" s="63" t="s">
        <v>472</v>
      </c>
      <c r="B279" s="64" t="s">
        <v>806</v>
      </c>
      <c r="C279" s="64" t="s">
        <v>345</v>
      </c>
      <c r="D279" s="64" t="s">
        <v>829</v>
      </c>
      <c r="E279" s="64" t="s">
        <v>830</v>
      </c>
      <c r="F279" s="65" t="s">
        <v>649</v>
      </c>
      <c r="G279" s="64" t="s">
        <v>810</v>
      </c>
      <c r="H279" s="64" t="s">
        <v>229</v>
      </c>
      <c r="I279" s="64" t="s">
        <v>10</v>
      </c>
      <c r="J279" s="64" t="s">
        <v>201</v>
      </c>
      <c r="K279" s="66">
        <v>57.27</v>
      </c>
      <c r="L279" s="66">
        <f>K279*VLOOKUP(I279,dagsoorttabel1,2,FALSE)</f>
        <v>57.27</v>
      </c>
      <c r="M279" s="67">
        <f>prodnorm43</f>
        <v>0</v>
      </c>
      <c r="N279" s="68">
        <f>dagwerk43</f>
        <v>0</v>
      </c>
      <c r="O279" s="64" t="s">
        <v>38</v>
      </c>
      <c r="P279" s="69">
        <f>uurtarief43</f>
        <v>0</v>
      </c>
      <c r="Q279" s="66" t="e">
        <f>IF(ISBLANK(M279),0,L279/ROUND(M279,4))</f>
        <v>#DIV/0!</v>
      </c>
      <c r="R279" s="66" t="e">
        <f>IF(ISBLANK(M279),0,Q279*ROUND(N279,2))</f>
        <v>#DIV/0!</v>
      </c>
      <c r="S279" s="69" t="e">
        <f>ROUND(P279,2)*Q279</f>
        <v>#DIV/0!</v>
      </c>
      <c r="T279" s="66" t="e">
        <f>Q279*dagenperjaar1</f>
        <v>#DIV/0!</v>
      </c>
      <c r="U279" s="70" t="e">
        <f>T279*ROUND(P279,2)</f>
        <v>#DIV/0!</v>
      </c>
    </row>
    <row r="280" spans="1:21" x14ac:dyDescent="0.2">
      <c r="A280" s="63" t="s">
        <v>472</v>
      </c>
      <c r="B280" s="64" t="s">
        <v>806</v>
      </c>
      <c r="C280" s="64" t="s">
        <v>323</v>
      </c>
      <c r="D280" s="64" t="s">
        <v>831</v>
      </c>
      <c r="E280" s="64" t="s">
        <v>832</v>
      </c>
      <c r="F280" s="65" t="s">
        <v>335</v>
      </c>
      <c r="G280" s="64" t="s">
        <v>810</v>
      </c>
      <c r="H280" s="64" t="s">
        <v>267</v>
      </c>
      <c r="I280" s="64" t="s">
        <v>10</v>
      </c>
      <c r="J280" s="64" t="s">
        <v>201</v>
      </c>
      <c r="K280" s="66">
        <v>60.92</v>
      </c>
      <c r="L280" s="66">
        <f>K280*VLOOKUP(I280,dagsoorttabel1,2,FALSE)</f>
        <v>60.92</v>
      </c>
      <c r="M280" s="67">
        <f>prodnorm65</f>
        <v>0</v>
      </c>
      <c r="N280" s="68">
        <f>dagwerk65</f>
        <v>0</v>
      </c>
      <c r="O280" s="64" t="s">
        <v>38</v>
      </c>
      <c r="P280" s="69">
        <f>uurtarief65</f>
        <v>0</v>
      </c>
      <c r="Q280" s="66" t="e">
        <f>IF(ISBLANK(M280),0,L280/ROUND(M280,4))</f>
        <v>#DIV/0!</v>
      </c>
      <c r="R280" s="66" t="e">
        <f>IF(ISBLANK(M280),0,Q280*ROUND(N280,2))</f>
        <v>#DIV/0!</v>
      </c>
      <c r="S280" s="69" t="e">
        <f>ROUND(P280,2)*Q280</f>
        <v>#DIV/0!</v>
      </c>
      <c r="T280" s="66" t="e">
        <f>Q280*dagenperjaar1</f>
        <v>#DIV/0!</v>
      </c>
      <c r="U280" s="70" t="e">
        <f>T280*ROUND(P280,2)</f>
        <v>#DIV/0!</v>
      </c>
    </row>
    <row r="281" spans="1:21" x14ac:dyDescent="0.2">
      <c r="A281" s="63" t="s">
        <v>472</v>
      </c>
      <c r="B281" s="64" t="s">
        <v>806</v>
      </c>
      <c r="C281" s="64" t="s">
        <v>323</v>
      </c>
      <c r="D281" s="64" t="s">
        <v>833</v>
      </c>
      <c r="E281" s="64" t="s">
        <v>832</v>
      </c>
      <c r="F281" s="65" t="s">
        <v>834</v>
      </c>
      <c r="G281" s="64" t="s">
        <v>810</v>
      </c>
      <c r="H281" s="64" t="s">
        <v>267</v>
      </c>
      <c r="I281" s="64" t="s">
        <v>10</v>
      </c>
      <c r="J281" s="64" t="s">
        <v>201</v>
      </c>
      <c r="K281" s="66">
        <v>9.8000000000000007</v>
      </c>
      <c r="L281" s="66">
        <f>K281*VLOOKUP(I281,dagsoorttabel1,2,FALSE)</f>
        <v>9.8000000000000007</v>
      </c>
      <c r="M281" s="67">
        <f>prodnorm65</f>
        <v>0</v>
      </c>
      <c r="N281" s="68">
        <f>dagwerk65</f>
        <v>0</v>
      </c>
      <c r="O281" s="64" t="s">
        <v>38</v>
      </c>
      <c r="P281" s="69">
        <f>uurtarief65</f>
        <v>0</v>
      </c>
      <c r="Q281" s="66" t="e">
        <f>IF(ISBLANK(M281),0,L281/ROUND(M281,4))</f>
        <v>#DIV/0!</v>
      </c>
      <c r="R281" s="66" t="e">
        <f>IF(ISBLANK(M281),0,Q281*ROUND(N281,2))</f>
        <v>#DIV/0!</v>
      </c>
      <c r="S281" s="69" t="e">
        <f>ROUND(P281,2)*Q281</f>
        <v>#DIV/0!</v>
      </c>
      <c r="T281" s="66" t="e">
        <f>Q281*dagenperjaar1</f>
        <v>#DIV/0!</v>
      </c>
      <c r="U281" s="70" t="e">
        <f>T281*ROUND(P281,2)</f>
        <v>#DIV/0!</v>
      </c>
    </row>
    <row r="282" spans="1:21" x14ac:dyDescent="0.2">
      <c r="A282" s="63" t="s">
        <v>472</v>
      </c>
      <c r="B282" s="64" t="s">
        <v>806</v>
      </c>
      <c r="C282" s="64" t="s">
        <v>323</v>
      </c>
      <c r="D282" s="64" t="s">
        <v>835</v>
      </c>
      <c r="E282" s="64" t="s">
        <v>832</v>
      </c>
      <c r="F282" s="65" t="s">
        <v>836</v>
      </c>
      <c r="G282" s="64" t="s">
        <v>810</v>
      </c>
      <c r="H282" s="64" t="s">
        <v>267</v>
      </c>
      <c r="I282" s="64" t="s">
        <v>10</v>
      </c>
      <c r="J282" s="64" t="s">
        <v>201</v>
      </c>
      <c r="K282" s="66">
        <v>18.3</v>
      </c>
      <c r="L282" s="66">
        <f>K282*VLOOKUP(I282,dagsoorttabel1,2,FALSE)</f>
        <v>18.3</v>
      </c>
      <c r="M282" s="67">
        <f>prodnorm65</f>
        <v>0</v>
      </c>
      <c r="N282" s="68">
        <f>dagwerk65</f>
        <v>0</v>
      </c>
      <c r="O282" s="64" t="s">
        <v>38</v>
      </c>
      <c r="P282" s="69">
        <f>uurtarief65</f>
        <v>0</v>
      </c>
      <c r="Q282" s="66" t="e">
        <f>IF(ISBLANK(M282),0,L282/ROUND(M282,4))</f>
        <v>#DIV/0!</v>
      </c>
      <c r="R282" s="66" t="e">
        <f>IF(ISBLANK(M282),0,Q282*ROUND(N282,2))</f>
        <v>#DIV/0!</v>
      </c>
      <c r="S282" s="69" t="e">
        <f>ROUND(P282,2)*Q282</f>
        <v>#DIV/0!</v>
      </c>
      <c r="T282" s="66" t="e">
        <f>Q282*dagenperjaar1</f>
        <v>#DIV/0!</v>
      </c>
      <c r="U282" s="70" t="e">
        <f>T282*ROUND(P282,2)</f>
        <v>#DIV/0!</v>
      </c>
    </row>
    <row r="283" spans="1:21" x14ac:dyDescent="0.2">
      <c r="A283" s="63" t="s">
        <v>472</v>
      </c>
      <c r="B283" s="64" t="s">
        <v>806</v>
      </c>
      <c r="C283" s="64" t="s">
        <v>323</v>
      </c>
      <c r="D283" s="64" t="s">
        <v>837</v>
      </c>
      <c r="E283" s="64" t="s">
        <v>838</v>
      </c>
      <c r="F283" s="65" t="s">
        <v>839</v>
      </c>
      <c r="G283" s="64" t="s">
        <v>810</v>
      </c>
      <c r="H283" s="64" t="s">
        <v>263</v>
      </c>
      <c r="I283" s="64" t="s">
        <v>10</v>
      </c>
      <c r="J283" s="64" t="s">
        <v>201</v>
      </c>
      <c r="K283" s="66">
        <v>114.73</v>
      </c>
      <c r="L283" s="66">
        <f>K283*VLOOKUP(I283,dagsoorttabel1,2,FALSE)</f>
        <v>114.73</v>
      </c>
      <c r="M283" s="67">
        <f>prodnorm63</f>
        <v>0</v>
      </c>
      <c r="N283" s="68">
        <f>dagwerk63</f>
        <v>0</v>
      </c>
      <c r="O283" s="64" t="s">
        <v>38</v>
      </c>
      <c r="P283" s="69">
        <f>uurtarief63</f>
        <v>0</v>
      </c>
      <c r="Q283" s="66" t="e">
        <f>IF(ISBLANK(M283),0,L283/ROUND(M283,4))</f>
        <v>#DIV/0!</v>
      </c>
      <c r="R283" s="66" t="e">
        <f>IF(ISBLANK(M283),0,Q283*ROUND(N283,2))</f>
        <v>#DIV/0!</v>
      </c>
      <c r="S283" s="69" t="e">
        <f>ROUND(P283,2)*Q283</f>
        <v>#DIV/0!</v>
      </c>
      <c r="T283" s="66" t="e">
        <f>Q283*dagenperjaar1</f>
        <v>#DIV/0!</v>
      </c>
      <c r="U283" s="70" t="e">
        <f>T283*ROUND(P283,2)</f>
        <v>#DIV/0!</v>
      </c>
    </row>
    <row r="284" spans="1:21" x14ac:dyDescent="0.2">
      <c r="A284" s="63" t="s">
        <v>472</v>
      </c>
      <c r="B284" s="64" t="s">
        <v>806</v>
      </c>
      <c r="C284" s="64" t="s">
        <v>323</v>
      </c>
      <c r="D284" s="64" t="s">
        <v>840</v>
      </c>
      <c r="E284" s="64" t="s">
        <v>841</v>
      </c>
      <c r="F284" s="65" t="s">
        <v>671</v>
      </c>
      <c r="G284" s="64" t="s">
        <v>642</v>
      </c>
      <c r="H284" s="64" t="s">
        <v>255</v>
      </c>
      <c r="I284" s="64" t="s">
        <v>10</v>
      </c>
      <c r="J284" s="64" t="s">
        <v>201</v>
      </c>
      <c r="K284" s="66">
        <v>19.18</v>
      </c>
      <c r="L284" s="66">
        <f>K284*VLOOKUP(I284,dagsoorttabel1,2,FALSE)</f>
        <v>19.18</v>
      </c>
      <c r="M284" s="67">
        <f>prodnorm59</f>
        <v>0</v>
      </c>
      <c r="N284" s="68">
        <f>dagwerk59</f>
        <v>0</v>
      </c>
      <c r="O284" s="64" t="s">
        <v>38</v>
      </c>
      <c r="P284" s="69">
        <f>uurtarief59</f>
        <v>0</v>
      </c>
      <c r="Q284" s="66" t="e">
        <f>IF(ISBLANK(M284),0,L284/ROUND(M284,4))</f>
        <v>#DIV/0!</v>
      </c>
      <c r="R284" s="66" t="e">
        <f>IF(ISBLANK(M284),0,Q284*ROUND(N284,2))</f>
        <v>#DIV/0!</v>
      </c>
      <c r="S284" s="69" t="e">
        <f>ROUND(P284,2)*Q284</f>
        <v>#DIV/0!</v>
      </c>
      <c r="T284" s="66" t="e">
        <f>Q284*dagenperjaar1</f>
        <v>#DIV/0!</v>
      </c>
      <c r="U284" s="70" t="e">
        <f>T284*ROUND(P284,2)</f>
        <v>#DIV/0!</v>
      </c>
    </row>
    <row r="285" spans="1:21" x14ac:dyDescent="0.2">
      <c r="A285" s="63" t="s">
        <v>472</v>
      </c>
      <c r="B285" s="64" t="s">
        <v>806</v>
      </c>
      <c r="C285" s="64" t="s">
        <v>323</v>
      </c>
      <c r="D285" s="64" t="s">
        <v>842</v>
      </c>
      <c r="E285" s="64" t="s">
        <v>843</v>
      </c>
      <c r="F285" s="65" t="s">
        <v>844</v>
      </c>
      <c r="G285" s="64" t="s">
        <v>810</v>
      </c>
      <c r="H285" s="64" t="s">
        <v>205</v>
      </c>
      <c r="I285" s="64" t="s">
        <v>10</v>
      </c>
      <c r="J285" s="64" t="s">
        <v>201</v>
      </c>
      <c r="K285" s="66">
        <v>14.42</v>
      </c>
      <c r="L285" s="66">
        <f>K285*VLOOKUP(I285,dagsoorttabel1,2,FALSE)</f>
        <v>14.42</v>
      </c>
      <c r="M285" s="67">
        <f>prodnorm26</f>
        <v>0</v>
      </c>
      <c r="N285" s="68">
        <f>dagwerk26</f>
        <v>0</v>
      </c>
      <c r="O285" s="64" t="s">
        <v>38</v>
      </c>
      <c r="P285" s="69">
        <f>uurtarief26</f>
        <v>0</v>
      </c>
      <c r="Q285" s="66" t="e">
        <f>IF(ISBLANK(M285),0,L285/ROUND(M285,4))</f>
        <v>#DIV/0!</v>
      </c>
      <c r="R285" s="66" t="e">
        <f>IF(ISBLANK(M285),0,Q285*ROUND(N285,2))</f>
        <v>#DIV/0!</v>
      </c>
      <c r="S285" s="69" t="e">
        <f>ROUND(P285,2)*Q285</f>
        <v>#DIV/0!</v>
      </c>
      <c r="T285" s="66" t="e">
        <f>Q285*dagenperjaar1</f>
        <v>#DIV/0!</v>
      </c>
      <c r="U285" s="70" t="e">
        <f>T285*ROUND(P285,2)</f>
        <v>#DIV/0!</v>
      </c>
    </row>
    <row r="286" spans="1:21" x14ac:dyDescent="0.2">
      <c r="A286" s="63" t="s">
        <v>472</v>
      </c>
      <c r="B286" s="64" t="s">
        <v>806</v>
      </c>
      <c r="C286" s="64" t="s">
        <v>323</v>
      </c>
      <c r="D286" s="64" t="s">
        <v>845</v>
      </c>
      <c r="E286" s="64" t="s">
        <v>846</v>
      </c>
      <c r="F286" s="65" t="s">
        <v>649</v>
      </c>
      <c r="G286" s="64" t="s">
        <v>810</v>
      </c>
      <c r="H286" s="64" t="s">
        <v>229</v>
      </c>
      <c r="I286" s="64" t="s">
        <v>10</v>
      </c>
      <c r="J286" s="64" t="s">
        <v>201</v>
      </c>
      <c r="K286" s="66">
        <v>66.210000000000008</v>
      </c>
      <c r="L286" s="66">
        <f>K286*VLOOKUP(I286,dagsoorttabel1,2,FALSE)</f>
        <v>66.210000000000008</v>
      </c>
      <c r="M286" s="67">
        <f>prodnorm43</f>
        <v>0</v>
      </c>
      <c r="N286" s="68">
        <f>dagwerk43</f>
        <v>0</v>
      </c>
      <c r="O286" s="64" t="s">
        <v>38</v>
      </c>
      <c r="P286" s="69">
        <f>uurtarief43</f>
        <v>0</v>
      </c>
      <c r="Q286" s="66" t="e">
        <f>IF(ISBLANK(M286),0,L286/ROUND(M286,4))</f>
        <v>#DIV/0!</v>
      </c>
      <c r="R286" s="66" t="e">
        <f>IF(ISBLANK(M286),0,Q286*ROUND(N286,2))</f>
        <v>#DIV/0!</v>
      </c>
      <c r="S286" s="69" t="e">
        <f>ROUND(P286,2)*Q286</f>
        <v>#DIV/0!</v>
      </c>
      <c r="T286" s="66" t="e">
        <f>Q286*dagenperjaar1</f>
        <v>#DIV/0!</v>
      </c>
      <c r="U286" s="70" t="e">
        <f>T286*ROUND(P286,2)</f>
        <v>#DIV/0!</v>
      </c>
    </row>
    <row r="287" spans="1:21" x14ac:dyDescent="0.2">
      <c r="A287" s="71" t="s">
        <v>472</v>
      </c>
      <c r="B287" s="72" t="s">
        <v>806</v>
      </c>
      <c r="C287" s="72" t="s">
        <v>323</v>
      </c>
      <c r="D287" s="72" t="s">
        <v>847</v>
      </c>
      <c r="E287" s="72" t="s">
        <v>848</v>
      </c>
      <c r="F287" s="73" t="s">
        <v>649</v>
      </c>
      <c r="G287" s="72" t="s">
        <v>810</v>
      </c>
      <c r="H287" s="72" t="s">
        <v>229</v>
      </c>
      <c r="I287" s="72" t="s">
        <v>10</v>
      </c>
      <c r="J287" s="72" t="s">
        <v>201</v>
      </c>
      <c r="K287" s="74">
        <v>57.260000000000005</v>
      </c>
      <c r="L287" s="74">
        <f>K287*VLOOKUP(I287,dagsoorttabel1,2,FALSE)</f>
        <v>57.260000000000005</v>
      </c>
      <c r="M287" s="75">
        <f>prodnorm43</f>
        <v>0</v>
      </c>
      <c r="N287" s="76">
        <f>dagwerk43</f>
        <v>0</v>
      </c>
      <c r="O287" s="72" t="s">
        <v>38</v>
      </c>
      <c r="P287" s="77">
        <f>uurtarief43</f>
        <v>0</v>
      </c>
      <c r="Q287" s="74" t="e">
        <f>IF(ISBLANK(M287),0,L287/ROUND(M287,4))</f>
        <v>#DIV/0!</v>
      </c>
      <c r="R287" s="74" t="e">
        <f>IF(ISBLANK(M287),0,Q287*ROUND(N287,2))</f>
        <v>#DIV/0!</v>
      </c>
      <c r="S287" s="77" t="e">
        <f>ROUND(P287,2)*Q287</f>
        <v>#DIV/0!</v>
      </c>
      <c r="T287" s="74" t="e">
        <f>Q287*dagenperjaar1</f>
        <v>#DIV/0!</v>
      </c>
      <c r="U287" s="78" t="e">
        <f>T287*ROUND(P287,2)</f>
        <v>#DIV/0!</v>
      </c>
    </row>
    <row r="288" spans="1:21" x14ac:dyDescent="0.2">
      <c r="A288" s="79" t="s">
        <v>602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6" t="e">
        <f>IF(_xlfn.SINGLE(object2_urenjaar1)&gt;0,_xlfn.SINGLE(object2_prijsjaar1)/_xlfn.SINGLE(object2_urenjaar1),0)</f>
        <v>#DIV/0!</v>
      </c>
      <c r="Q288" s="45" t="e">
        <f>SUM(Q118:Q287)</f>
        <v>#DIV/0!</v>
      </c>
      <c r="R288" s="45" t="e">
        <f>SUM(R118:R287)</f>
        <v>#DIV/0!</v>
      </c>
      <c r="S288" s="46" t="e">
        <f>SUM(S118:S287)</f>
        <v>#DIV/0!</v>
      </c>
      <c r="T288" s="45" t="e">
        <f>SUM(T118:T287)</f>
        <v>#DIV/0!</v>
      </c>
      <c r="U288" s="47" t="e">
        <f>SUM(U118:U287)</f>
        <v>#DIV/0!</v>
      </c>
    </row>
    <row r="289" spans="1:21" x14ac:dyDescent="0.2">
      <c r="A289" s="54" t="s">
        <v>849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42"/>
    </row>
    <row r="290" spans="1:21" x14ac:dyDescent="0.2">
      <c r="A290" s="55" t="s">
        <v>530</v>
      </c>
      <c r="B290" s="56" t="s">
        <v>324</v>
      </c>
      <c r="C290" s="56" t="s">
        <v>345</v>
      </c>
      <c r="D290" s="56" t="s">
        <v>346</v>
      </c>
      <c r="E290" s="56" t="s">
        <v>324</v>
      </c>
      <c r="F290" s="57" t="s">
        <v>347</v>
      </c>
      <c r="G290" s="56" t="s">
        <v>850</v>
      </c>
      <c r="H290" s="56" t="s">
        <v>281</v>
      </c>
      <c r="I290" s="56" t="s">
        <v>10</v>
      </c>
      <c r="J290" s="56" t="s">
        <v>274</v>
      </c>
      <c r="K290" s="58">
        <v>20</v>
      </c>
      <c r="L290" s="58">
        <f>K290*VLOOKUP(I290,dagsoorttabel1,2,FALSE)</f>
        <v>20</v>
      </c>
      <c r="M290" s="59">
        <f>prodnorm15</f>
        <v>0</v>
      </c>
      <c r="N290" s="60">
        <f>dagwerk15</f>
        <v>0</v>
      </c>
      <c r="O290" s="56" t="s">
        <v>38</v>
      </c>
      <c r="P290" s="61">
        <f>uurtarief15</f>
        <v>0</v>
      </c>
      <c r="Q290" s="58" t="e">
        <f>IF(ISBLANK(M290),0,L290/ROUND(M290,4))</f>
        <v>#DIV/0!</v>
      </c>
      <c r="R290" s="58" t="e">
        <f>IF(ISBLANK(M290),0,Q290*ROUND(N290,2))</f>
        <v>#DIV/0!</v>
      </c>
      <c r="S290" s="61" t="e">
        <f>ROUND(P290,2)*Q290</f>
        <v>#DIV/0!</v>
      </c>
      <c r="T290" s="58" t="e">
        <f>Q290*dagenperjaar1</f>
        <v>#DIV/0!</v>
      </c>
      <c r="U290" s="62" t="e">
        <f>T290*ROUND(P290,2)</f>
        <v>#DIV/0!</v>
      </c>
    </row>
    <row r="291" spans="1:21" x14ac:dyDescent="0.2">
      <c r="A291" s="63" t="s">
        <v>530</v>
      </c>
      <c r="B291" s="64" t="s">
        <v>324</v>
      </c>
      <c r="C291" s="64" t="s">
        <v>345</v>
      </c>
      <c r="D291" s="64" t="s">
        <v>346</v>
      </c>
      <c r="E291" s="64" t="s">
        <v>324</v>
      </c>
      <c r="F291" s="65" t="s">
        <v>347</v>
      </c>
      <c r="G291" s="64" t="s">
        <v>850</v>
      </c>
      <c r="H291" s="64" t="s">
        <v>288</v>
      </c>
      <c r="I291" s="64" t="s">
        <v>10</v>
      </c>
      <c r="J291" s="64" t="s">
        <v>274</v>
      </c>
      <c r="K291" s="66">
        <v>3</v>
      </c>
      <c r="L291" s="66">
        <f>K291*VLOOKUP(I291,dagsoorttabel1,2,FALSE)</f>
        <v>3</v>
      </c>
      <c r="M291" s="67">
        <f>prodnorm18</f>
        <v>0</v>
      </c>
      <c r="N291" s="68">
        <f>dagwerk18</f>
        <v>0</v>
      </c>
      <c r="O291" s="64" t="s">
        <v>278</v>
      </c>
      <c r="P291" s="69">
        <f>uurtarief18</f>
        <v>0</v>
      </c>
      <c r="Q291" s="66">
        <f>L291*ROUND(M291,4)/60</f>
        <v>0</v>
      </c>
      <c r="R291" s="66">
        <f>IF(ISBLANK(M291),0,Q291*ROUND(N291,2))</f>
        <v>0</v>
      </c>
      <c r="S291" s="69">
        <f>ROUND(P291,2)*Q291</f>
        <v>0</v>
      </c>
      <c r="T291" s="66">
        <f>Q291*dagenperjaar1</f>
        <v>0</v>
      </c>
      <c r="U291" s="70">
        <f>T291*ROUND(P291,2)</f>
        <v>0</v>
      </c>
    </row>
    <row r="292" spans="1:21" x14ac:dyDescent="0.2">
      <c r="A292" s="63" t="s">
        <v>530</v>
      </c>
      <c r="B292" s="64" t="s">
        <v>324</v>
      </c>
      <c r="C292" s="64" t="s">
        <v>345</v>
      </c>
      <c r="D292" s="64" t="s">
        <v>348</v>
      </c>
      <c r="E292" s="64" t="s">
        <v>324</v>
      </c>
      <c r="F292" s="65" t="s">
        <v>354</v>
      </c>
      <c r="G292" s="64" t="s">
        <v>328</v>
      </c>
      <c r="H292" s="64" t="s">
        <v>215</v>
      </c>
      <c r="I292" s="64" t="s">
        <v>10</v>
      </c>
      <c r="J292" s="64" t="s">
        <v>201</v>
      </c>
      <c r="K292" s="66">
        <v>8.3000000000000007</v>
      </c>
      <c r="L292" s="66">
        <f>K292*VLOOKUP(I292,dagsoorttabel1,2,FALSE)</f>
        <v>8.3000000000000007</v>
      </c>
      <c r="M292" s="67">
        <f>prodnorm34</f>
        <v>0</v>
      </c>
      <c r="N292" s="68">
        <f>dagwerk34</f>
        <v>0</v>
      </c>
      <c r="O292" s="64" t="s">
        <v>38</v>
      </c>
      <c r="P292" s="69">
        <f>uurtarief34</f>
        <v>0</v>
      </c>
      <c r="Q292" s="66" t="e">
        <f>IF(ISBLANK(M292),0,L292/ROUND(M292,4))</f>
        <v>#DIV/0!</v>
      </c>
      <c r="R292" s="66" t="e">
        <f>IF(ISBLANK(M292),0,Q292*ROUND(N292,2))</f>
        <v>#DIV/0!</v>
      </c>
      <c r="S292" s="69" t="e">
        <f>ROUND(P292,2)*Q292</f>
        <v>#DIV/0!</v>
      </c>
      <c r="T292" s="66" t="e">
        <f>Q292*dagenperjaar1</f>
        <v>#DIV/0!</v>
      </c>
      <c r="U292" s="70" t="e">
        <f>T292*ROUND(P292,2)</f>
        <v>#DIV/0!</v>
      </c>
    </row>
    <row r="293" spans="1:21" x14ac:dyDescent="0.2">
      <c r="A293" s="63" t="s">
        <v>530</v>
      </c>
      <c r="B293" s="64" t="s">
        <v>324</v>
      </c>
      <c r="C293" s="64" t="s">
        <v>345</v>
      </c>
      <c r="D293" s="64" t="s">
        <v>352</v>
      </c>
      <c r="E293" s="64" t="s">
        <v>324</v>
      </c>
      <c r="F293" s="65" t="s">
        <v>851</v>
      </c>
      <c r="G293" s="64" t="s">
        <v>328</v>
      </c>
      <c r="H293" s="64" t="s">
        <v>205</v>
      </c>
      <c r="I293" s="64" t="s">
        <v>10</v>
      </c>
      <c r="J293" s="64" t="s">
        <v>201</v>
      </c>
      <c r="K293" s="66">
        <v>31.4</v>
      </c>
      <c r="L293" s="66">
        <f>K293*VLOOKUP(I293,dagsoorttabel1,2,FALSE)</f>
        <v>31.4</v>
      </c>
      <c r="M293" s="67">
        <f>prodnorm26</f>
        <v>0</v>
      </c>
      <c r="N293" s="68">
        <f>dagwerk26</f>
        <v>0</v>
      </c>
      <c r="O293" s="64" t="s">
        <v>38</v>
      </c>
      <c r="P293" s="69">
        <f>uurtarief26</f>
        <v>0</v>
      </c>
      <c r="Q293" s="66" t="e">
        <f>IF(ISBLANK(M293),0,L293/ROUND(M293,4))</f>
        <v>#DIV/0!</v>
      </c>
      <c r="R293" s="66" t="e">
        <f>IF(ISBLANK(M293),0,Q293*ROUND(N293,2))</f>
        <v>#DIV/0!</v>
      </c>
      <c r="S293" s="69" t="e">
        <f>ROUND(P293,2)*Q293</f>
        <v>#DIV/0!</v>
      </c>
      <c r="T293" s="66" t="e">
        <f>Q293*dagenperjaar1</f>
        <v>#DIV/0!</v>
      </c>
      <c r="U293" s="70" t="e">
        <f>T293*ROUND(P293,2)</f>
        <v>#DIV/0!</v>
      </c>
    </row>
    <row r="294" spans="1:21" x14ac:dyDescent="0.2">
      <c r="A294" s="63" t="s">
        <v>530</v>
      </c>
      <c r="B294" s="64" t="s">
        <v>324</v>
      </c>
      <c r="C294" s="64" t="s">
        <v>345</v>
      </c>
      <c r="D294" s="64" t="s">
        <v>359</v>
      </c>
      <c r="E294" s="64" t="s">
        <v>324</v>
      </c>
      <c r="F294" s="65" t="s">
        <v>852</v>
      </c>
      <c r="G294" s="64" t="s">
        <v>328</v>
      </c>
      <c r="H294" s="64" t="s">
        <v>229</v>
      </c>
      <c r="I294" s="64" t="s">
        <v>10</v>
      </c>
      <c r="J294" s="64" t="s">
        <v>201</v>
      </c>
      <c r="K294" s="66">
        <v>53.9</v>
      </c>
      <c r="L294" s="66">
        <f>K294*VLOOKUP(I294,dagsoorttabel1,2,FALSE)</f>
        <v>53.9</v>
      </c>
      <c r="M294" s="67">
        <f>prodnorm43</f>
        <v>0</v>
      </c>
      <c r="N294" s="68">
        <f>dagwerk43</f>
        <v>0</v>
      </c>
      <c r="O294" s="64" t="s">
        <v>38</v>
      </c>
      <c r="P294" s="69">
        <f>uurtarief43</f>
        <v>0</v>
      </c>
      <c r="Q294" s="66" t="e">
        <f>IF(ISBLANK(M294),0,L294/ROUND(M294,4))</f>
        <v>#DIV/0!</v>
      </c>
      <c r="R294" s="66" t="e">
        <f>IF(ISBLANK(M294),0,Q294*ROUND(N294,2))</f>
        <v>#DIV/0!</v>
      </c>
      <c r="S294" s="69" t="e">
        <f>ROUND(P294,2)*Q294</f>
        <v>#DIV/0!</v>
      </c>
      <c r="T294" s="66" t="e">
        <f>Q294*dagenperjaar1</f>
        <v>#DIV/0!</v>
      </c>
      <c r="U294" s="70" t="e">
        <f>T294*ROUND(P294,2)</f>
        <v>#DIV/0!</v>
      </c>
    </row>
    <row r="295" spans="1:21" x14ac:dyDescent="0.2">
      <c r="A295" s="63" t="s">
        <v>530</v>
      </c>
      <c r="B295" s="64" t="s">
        <v>324</v>
      </c>
      <c r="C295" s="64" t="s">
        <v>345</v>
      </c>
      <c r="D295" s="64" t="s">
        <v>853</v>
      </c>
      <c r="E295" s="64" t="s">
        <v>324</v>
      </c>
      <c r="F295" s="65" t="s">
        <v>852</v>
      </c>
      <c r="G295" s="64" t="s">
        <v>328</v>
      </c>
      <c r="H295" s="64" t="s">
        <v>229</v>
      </c>
      <c r="I295" s="64" t="s">
        <v>10</v>
      </c>
      <c r="J295" s="64" t="s">
        <v>201</v>
      </c>
      <c r="K295" s="66">
        <v>55.1</v>
      </c>
      <c r="L295" s="66">
        <f>K295*VLOOKUP(I295,dagsoorttabel1,2,FALSE)</f>
        <v>55.1</v>
      </c>
      <c r="M295" s="67">
        <f>prodnorm43</f>
        <v>0</v>
      </c>
      <c r="N295" s="68">
        <f>dagwerk43</f>
        <v>0</v>
      </c>
      <c r="O295" s="64" t="s">
        <v>38</v>
      </c>
      <c r="P295" s="69">
        <f>uurtarief43</f>
        <v>0</v>
      </c>
      <c r="Q295" s="66" t="e">
        <f>IF(ISBLANK(M295),0,L295/ROUND(M295,4))</f>
        <v>#DIV/0!</v>
      </c>
      <c r="R295" s="66" t="e">
        <f>IF(ISBLANK(M295),0,Q295*ROUND(N295,2))</f>
        <v>#DIV/0!</v>
      </c>
      <c r="S295" s="69" t="e">
        <f>ROUND(P295,2)*Q295</f>
        <v>#DIV/0!</v>
      </c>
      <c r="T295" s="66" t="e">
        <f>Q295*dagenperjaar1</f>
        <v>#DIV/0!</v>
      </c>
      <c r="U295" s="70" t="e">
        <f>T295*ROUND(P295,2)</f>
        <v>#DIV/0!</v>
      </c>
    </row>
    <row r="296" spans="1:21" x14ac:dyDescent="0.2">
      <c r="A296" s="63" t="s">
        <v>530</v>
      </c>
      <c r="B296" s="64" t="s">
        <v>324</v>
      </c>
      <c r="C296" s="64" t="s">
        <v>345</v>
      </c>
      <c r="D296" s="64" t="s">
        <v>362</v>
      </c>
      <c r="E296" s="64" t="s">
        <v>324</v>
      </c>
      <c r="F296" s="65" t="s">
        <v>852</v>
      </c>
      <c r="G296" s="64" t="s">
        <v>328</v>
      </c>
      <c r="H296" s="64" t="s">
        <v>229</v>
      </c>
      <c r="I296" s="64" t="s">
        <v>10</v>
      </c>
      <c r="J296" s="64" t="s">
        <v>201</v>
      </c>
      <c r="K296" s="66">
        <v>55.2</v>
      </c>
      <c r="L296" s="66">
        <f>K296*VLOOKUP(I296,dagsoorttabel1,2,FALSE)</f>
        <v>55.2</v>
      </c>
      <c r="M296" s="67">
        <f>prodnorm43</f>
        <v>0</v>
      </c>
      <c r="N296" s="68">
        <f>dagwerk43</f>
        <v>0</v>
      </c>
      <c r="O296" s="64" t="s">
        <v>38</v>
      </c>
      <c r="P296" s="69">
        <f>uurtarief43</f>
        <v>0</v>
      </c>
      <c r="Q296" s="66" t="e">
        <f>IF(ISBLANK(M296),0,L296/ROUND(M296,4))</f>
        <v>#DIV/0!</v>
      </c>
      <c r="R296" s="66" t="e">
        <f>IF(ISBLANK(M296),0,Q296*ROUND(N296,2))</f>
        <v>#DIV/0!</v>
      </c>
      <c r="S296" s="69" t="e">
        <f>ROUND(P296,2)*Q296</f>
        <v>#DIV/0!</v>
      </c>
      <c r="T296" s="66" t="e">
        <f>Q296*dagenperjaar1</f>
        <v>#DIV/0!</v>
      </c>
      <c r="U296" s="70" t="e">
        <f>T296*ROUND(P296,2)</f>
        <v>#DIV/0!</v>
      </c>
    </row>
    <row r="297" spans="1:21" x14ac:dyDescent="0.2">
      <c r="A297" s="63" t="s">
        <v>530</v>
      </c>
      <c r="B297" s="64" t="s">
        <v>324</v>
      </c>
      <c r="C297" s="64" t="s">
        <v>345</v>
      </c>
      <c r="D297" s="64" t="s">
        <v>366</v>
      </c>
      <c r="E297" s="64" t="s">
        <v>324</v>
      </c>
      <c r="F297" s="65" t="s">
        <v>854</v>
      </c>
      <c r="G297" s="64" t="s">
        <v>328</v>
      </c>
      <c r="H297" s="64" t="s">
        <v>239</v>
      </c>
      <c r="I297" s="64" t="s">
        <v>10</v>
      </c>
      <c r="J297" s="64" t="s">
        <v>201</v>
      </c>
      <c r="K297" s="66">
        <v>32.799999999999997</v>
      </c>
      <c r="L297" s="66">
        <f>K297*VLOOKUP(I297,dagsoorttabel1,2,FALSE)</f>
        <v>32.799999999999997</v>
      </c>
      <c r="M297" s="67">
        <f>prodnorm50</f>
        <v>0</v>
      </c>
      <c r="N297" s="68">
        <f>dagwerk50</f>
        <v>0</v>
      </c>
      <c r="O297" s="64" t="s">
        <v>38</v>
      </c>
      <c r="P297" s="69">
        <f>uurtarief50</f>
        <v>0</v>
      </c>
      <c r="Q297" s="66" t="e">
        <f>IF(ISBLANK(M297),0,L297/ROUND(M297,4))</f>
        <v>#DIV/0!</v>
      </c>
      <c r="R297" s="66" t="e">
        <f>IF(ISBLANK(M297),0,Q297*ROUND(N297,2))</f>
        <v>#DIV/0!</v>
      </c>
      <c r="S297" s="69" t="e">
        <f>ROUND(P297,2)*Q297</f>
        <v>#DIV/0!</v>
      </c>
      <c r="T297" s="66" t="e">
        <f>Q297*dagenperjaar1</f>
        <v>#DIV/0!</v>
      </c>
      <c r="U297" s="70" t="e">
        <f>T297*ROUND(P297,2)</f>
        <v>#DIV/0!</v>
      </c>
    </row>
    <row r="298" spans="1:21" x14ac:dyDescent="0.2">
      <c r="A298" s="63" t="s">
        <v>530</v>
      </c>
      <c r="B298" s="64" t="s">
        <v>324</v>
      </c>
      <c r="C298" s="64" t="s">
        <v>345</v>
      </c>
      <c r="D298" s="64" t="s">
        <v>855</v>
      </c>
      <c r="E298" s="64" t="s">
        <v>324</v>
      </c>
      <c r="F298" s="65" t="s">
        <v>856</v>
      </c>
      <c r="G298" s="64" t="s">
        <v>857</v>
      </c>
      <c r="H298" s="64" t="s">
        <v>251</v>
      </c>
      <c r="I298" s="64" t="s">
        <v>10</v>
      </c>
      <c r="J298" s="64" t="s">
        <v>201</v>
      </c>
      <c r="K298" s="66">
        <v>107</v>
      </c>
      <c r="L298" s="66">
        <f>K298*VLOOKUP(I298,dagsoorttabel1,2,FALSE)</f>
        <v>107</v>
      </c>
      <c r="M298" s="67">
        <f>prodnorm57</f>
        <v>0</v>
      </c>
      <c r="N298" s="68">
        <f>dagwerk57</f>
        <v>0</v>
      </c>
      <c r="O298" s="64" t="s">
        <v>38</v>
      </c>
      <c r="P298" s="69">
        <f>uurtarief57</f>
        <v>0</v>
      </c>
      <c r="Q298" s="66" t="e">
        <f>IF(ISBLANK(M298),0,L298/ROUND(M298,4))</f>
        <v>#DIV/0!</v>
      </c>
      <c r="R298" s="66" t="e">
        <f>IF(ISBLANK(M298),0,Q298*ROUND(N298,2))</f>
        <v>#DIV/0!</v>
      </c>
      <c r="S298" s="69" t="e">
        <f>ROUND(P298,2)*Q298</f>
        <v>#DIV/0!</v>
      </c>
      <c r="T298" s="66" t="e">
        <f>Q298*dagenperjaar1</f>
        <v>#DIV/0!</v>
      </c>
      <c r="U298" s="70" t="e">
        <f>T298*ROUND(P298,2)</f>
        <v>#DIV/0!</v>
      </c>
    </row>
    <row r="299" spans="1:21" ht="25.5" x14ac:dyDescent="0.2">
      <c r="A299" s="63" t="s">
        <v>530</v>
      </c>
      <c r="B299" s="64" t="s">
        <v>324</v>
      </c>
      <c r="C299" s="64" t="s">
        <v>345</v>
      </c>
      <c r="D299" s="64" t="s">
        <v>858</v>
      </c>
      <c r="E299" s="64" t="s">
        <v>324</v>
      </c>
      <c r="F299" s="65" t="s">
        <v>859</v>
      </c>
      <c r="G299" s="64" t="s">
        <v>857</v>
      </c>
      <c r="H299" s="64" t="s">
        <v>247</v>
      </c>
      <c r="I299" s="64" t="s">
        <v>10</v>
      </c>
      <c r="J299" s="64" t="s">
        <v>201</v>
      </c>
      <c r="K299" s="66">
        <v>71.599999999999994</v>
      </c>
      <c r="L299" s="66">
        <f>K299*VLOOKUP(I299,dagsoorttabel1,2,FALSE)</f>
        <v>71.599999999999994</v>
      </c>
      <c r="M299" s="67">
        <f>prodnorm55</f>
        <v>0</v>
      </c>
      <c r="N299" s="68">
        <f>dagwerk55</f>
        <v>0</v>
      </c>
      <c r="O299" s="64" t="s">
        <v>38</v>
      </c>
      <c r="P299" s="69">
        <f>uurtarief55</f>
        <v>0</v>
      </c>
      <c r="Q299" s="66" t="e">
        <f>IF(ISBLANK(M299),0,L299/ROUND(M299,4))</f>
        <v>#DIV/0!</v>
      </c>
      <c r="R299" s="66" t="e">
        <f>IF(ISBLANK(M299),0,Q299*ROUND(N299,2))</f>
        <v>#DIV/0!</v>
      </c>
      <c r="S299" s="69" t="e">
        <f>ROUND(P299,2)*Q299</f>
        <v>#DIV/0!</v>
      </c>
      <c r="T299" s="66" t="e">
        <f>Q299*dagenperjaar1</f>
        <v>#DIV/0!</v>
      </c>
      <c r="U299" s="70" t="e">
        <f>T299*ROUND(P299,2)</f>
        <v>#DIV/0!</v>
      </c>
    </row>
    <row r="300" spans="1:21" ht="25.5" x14ac:dyDescent="0.2">
      <c r="A300" s="63" t="s">
        <v>530</v>
      </c>
      <c r="B300" s="64" t="s">
        <v>324</v>
      </c>
      <c r="C300" s="64" t="s">
        <v>345</v>
      </c>
      <c r="D300" s="64" t="s">
        <v>860</v>
      </c>
      <c r="E300" s="64" t="s">
        <v>324</v>
      </c>
      <c r="F300" s="65" t="s">
        <v>861</v>
      </c>
      <c r="G300" s="64" t="s">
        <v>857</v>
      </c>
      <c r="H300" s="64" t="s">
        <v>247</v>
      </c>
      <c r="I300" s="64" t="s">
        <v>10</v>
      </c>
      <c r="J300" s="64" t="s">
        <v>201</v>
      </c>
      <c r="K300" s="66">
        <v>8.3000000000000007</v>
      </c>
      <c r="L300" s="66">
        <f>K300*VLOOKUP(I300,dagsoorttabel1,2,FALSE)</f>
        <v>8.3000000000000007</v>
      </c>
      <c r="M300" s="67">
        <f>prodnorm55</f>
        <v>0</v>
      </c>
      <c r="N300" s="68">
        <f>dagwerk55</f>
        <v>0</v>
      </c>
      <c r="O300" s="64" t="s">
        <v>38</v>
      </c>
      <c r="P300" s="69">
        <f>uurtarief55</f>
        <v>0</v>
      </c>
      <c r="Q300" s="66" t="e">
        <f>IF(ISBLANK(M300),0,L300/ROUND(M300,4))</f>
        <v>#DIV/0!</v>
      </c>
      <c r="R300" s="66" t="e">
        <f>IF(ISBLANK(M300),0,Q300*ROUND(N300,2))</f>
        <v>#DIV/0!</v>
      </c>
      <c r="S300" s="69" t="e">
        <f>ROUND(P300,2)*Q300</f>
        <v>#DIV/0!</v>
      </c>
      <c r="T300" s="66" t="e">
        <f>Q300*dagenperjaar1</f>
        <v>#DIV/0!</v>
      </c>
      <c r="U300" s="70" t="e">
        <f>T300*ROUND(P300,2)</f>
        <v>#DIV/0!</v>
      </c>
    </row>
    <row r="301" spans="1:21" x14ac:dyDescent="0.2">
      <c r="A301" s="63" t="s">
        <v>530</v>
      </c>
      <c r="B301" s="64" t="s">
        <v>324</v>
      </c>
      <c r="C301" s="64" t="s">
        <v>345</v>
      </c>
      <c r="D301" s="64" t="s">
        <v>371</v>
      </c>
      <c r="E301" s="64" t="s">
        <v>324</v>
      </c>
      <c r="F301" s="65" t="s">
        <v>335</v>
      </c>
      <c r="G301" s="64" t="s">
        <v>328</v>
      </c>
      <c r="H301" s="64" t="s">
        <v>267</v>
      </c>
      <c r="I301" s="64" t="s">
        <v>10</v>
      </c>
      <c r="J301" s="64" t="s">
        <v>201</v>
      </c>
      <c r="K301" s="66">
        <v>93.3</v>
      </c>
      <c r="L301" s="66">
        <f>K301*VLOOKUP(I301,dagsoorttabel1,2,FALSE)</f>
        <v>93.3</v>
      </c>
      <c r="M301" s="67">
        <f>prodnorm65</f>
        <v>0</v>
      </c>
      <c r="N301" s="68">
        <f>dagwerk65</f>
        <v>0</v>
      </c>
      <c r="O301" s="64" t="s">
        <v>38</v>
      </c>
      <c r="P301" s="69">
        <f>uurtarief65</f>
        <v>0</v>
      </c>
      <c r="Q301" s="66" t="e">
        <f>IF(ISBLANK(M301),0,L301/ROUND(M301,4))</f>
        <v>#DIV/0!</v>
      </c>
      <c r="R301" s="66" t="e">
        <f>IF(ISBLANK(M301),0,Q301*ROUND(N301,2))</f>
        <v>#DIV/0!</v>
      </c>
      <c r="S301" s="69" t="e">
        <f>ROUND(P301,2)*Q301</f>
        <v>#DIV/0!</v>
      </c>
      <c r="T301" s="66" t="e">
        <f>Q301*dagenperjaar1</f>
        <v>#DIV/0!</v>
      </c>
      <c r="U301" s="70" t="e">
        <f>T301*ROUND(P301,2)</f>
        <v>#DIV/0!</v>
      </c>
    </row>
    <row r="302" spans="1:21" x14ac:dyDescent="0.2">
      <c r="A302" s="63" t="s">
        <v>530</v>
      </c>
      <c r="B302" s="64" t="s">
        <v>324</v>
      </c>
      <c r="C302" s="64" t="s">
        <v>345</v>
      </c>
      <c r="D302" s="64" t="s">
        <v>377</v>
      </c>
      <c r="E302" s="64" t="s">
        <v>324</v>
      </c>
      <c r="F302" s="65" t="s">
        <v>370</v>
      </c>
      <c r="G302" s="64" t="s">
        <v>862</v>
      </c>
      <c r="H302" s="64" t="s">
        <v>255</v>
      </c>
      <c r="I302" s="64" t="s">
        <v>10</v>
      </c>
      <c r="J302" s="64" t="s">
        <v>201</v>
      </c>
      <c r="K302" s="66">
        <v>12.2</v>
      </c>
      <c r="L302" s="66">
        <f>K302*VLOOKUP(I302,dagsoorttabel1,2,FALSE)</f>
        <v>12.2</v>
      </c>
      <c r="M302" s="67">
        <f>prodnorm59</f>
        <v>0</v>
      </c>
      <c r="N302" s="68">
        <f>dagwerk59</f>
        <v>0</v>
      </c>
      <c r="O302" s="64" t="s">
        <v>38</v>
      </c>
      <c r="P302" s="69">
        <f>uurtarief59</f>
        <v>0</v>
      </c>
      <c r="Q302" s="66" t="e">
        <f>IF(ISBLANK(M302),0,L302/ROUND(M302,4))</f>
        <v>#DIV/0!</v>
      </c>
      <c r="R302" s="66" t="e">
        <f>IF(ISBLANK(M302),0,Q302*ROUND(N302,2))</f>
        <v>#DIV/0!</v>
      </c>
      <c r="S302" s="69" t="e">
        <f>ROUND(P302,2)*Q302</f>
        <v>#DIV/0!</v>
      </c>
      <c r="T302" s="66" t="e">
        <f>Q302*dagenperjaar1</f>
        <v>#DIV/0!</v>
      </c>
      <c r="U302" s="70" t="e">
        <f>T302*ROUND(P302,2)</f>
        <v>#DIV/0!</v>
      </c>
    </row>
    <row r="303" spans="1:21" x14ac:dyDescent="0.2">
      <c r="A303" s="63" t="s">
        <v>530</v>
      </c>
      <c r="B303" s="64" t="s">
        <v>324</v>
      </c>
      <c r="C303" s="64" t="s">
        <v>345</v>
      </c>
      <c r="D303" s="64" t="s">
        <v>377</v>
      </c>
      <c r="E303" s="64" t="s">
        <v>324</v>
      </c>
      <c r="F303" s="65" t="s">
        <v>370</v>
      </c>
      <c r="G303" s="64" t="s">
        <v>862</v>
      </c>
      <c r="H303" s="64" t="s">
        <v>257</v>
      </c>
      <c r="I303" s="64" t="s">
        <v>10</v>
      </c>
      <c r="J303" s="64" t="s">
        <v>201</v>
      </c>
      <c r="K303" s="66">
        <v>12.2</v>
      </c>
      <c r="L303" s="66">
        <f>K303*VLOOKUP(I303,dagsoorttabel1,2,FALSE)</f>
        <v>12.2</v>
      </c>
      <c r="M303" s="67">
        <f>prodnorm60</f>
        <v>0</v>
      </c>
      <c r="N303" s="68">
        <f>dagwerk60</f>
        <v>0</v>
      </c>
      <c r="O303" s="64" t="s">
        <v>38</v>
      </c>
      <c r="P303" s="69">
        <f>uurtarief60</f>
        <v>0</v>
      </c>
      <c r="Q303" s="66" t="e">
        <f>IF(ISBLANK(M303),0,L303/ROUND(M303,4))</f>
        <v>#DIV/0!</v>
      </c>
      <c r="R303" s="66" t="e">
        <f>IF(ISBLANK(M303),0,Q303*ROUND(N303,2))</f>
        <v>#DIV/0!</v>
      </c>
      <c r="S303" s="69" t="e">
        <f>ROUND(P303,2)*Q303</f>
        <v>#DIV/0!</v>
      </c>
      <c r="T303" s="66" t="e">
        <f>Q303*dagenperjaar1</f>
        <v>#DIV/0!</v>
      </c>
      <c r="U303" s="70" t="e">
        <f>T303*ROUND(P303,2)</f>
        <v>#DIV/0!</v>
      </c>
    </row>
    <row r="304" spans="1:21" x14ac:dyDescent="0.2">
      <c r="A304" s="63" t="s">
        <v>530</v>
      </c>
      <c r="B304" s="64" t="s">
        <v>324</v>
      </c>
      <c r="C304" s="64" t="s">
        <v>345</v>
      </c>
      <c r="D304" s="64" t="s">
        <v>382</v>
      </c>
      <c r="E304" s="64" t="s">
        <v>324</v>
      </c>
      <c r="F304" s="65" t="s">
        <v>373</v>
      </c>
      <c r="G304" s="64" t="s">
        <v>862</v>
      </c>
      <c r="H304" s="64" t="s">
        <v>255</v>
      </c>
      <c r="I304" s="64" t="s">
        <v>10</v>
      </c>
      <c r="J304" s="64" t="s">
        <v>201</v>
      </c>
      <c r="K304" s="66">
        <v>12.1</v>
      </c>
      <c r="L304" s="66">
        <f>K304*VLOOKUP(I304,dagsoorttabel1,2,FALSE)</f>
        <v>12.1</v>
      </c>
      <c r="M304" s="67">
        <f>prodnorm59</f>
        <v>0</v>
      </c>
      <c r="N304" s="68">
        <f>dagwerk59</f>
        <v>0</v>
      </c>
      <c r="O304" s="64" t="s">
        <v>38</v>
      </c>
      <c r="P304" s="69">
        <f>uurtarief59</f>
        <v>0</v>
      </c>
      <c r="Q304" s="66" t="e">
        <f>IF(ISBLANK(M304),0,L304/ROUND(M304,4))</f>
        <v>#DIV/0!</v>
      </c>
      <c r="R304" s="66" t="e">
        <f>IF(ISBLANK(M304),0,Q304*ROUND(N304,2))</f>
        <v>#DIV/0!</v>
      </c>
      <c r="S304" s="69" t="e">
        <f>ROUND(P304,2)*Q304</f>
        <v>#DIV/0!</v>
      </c>
      <c r="T304" s="66" t="e">
        <f>Q304*dagenperjaar1</f>
        <v>#DIV/0!</v>
      </c>
      <c r="U304" s="70" t="e">
        <f>T304*ROUND(P304,2)</f>
        <v>#DIV/0!</v>
      </c>
    </row>
    <row r="305" spans="1:21" x14ac:dyDescent="0.2">
      <c r="A305" s="63" t="s">
        <v>530</v>
      </c>
      <c r="B305" s="64" t="s">
        <v>324</v>
      </c>
      <c r="C305" s="64" t="s">
        <v>345</v>
      </c>
      <c r="D305" s="64" t="s">
        <v>382</v>
      </c>
      <c r="E305" s="64" t="s">
        <v>324</v>
      </c>
      <c r="F305" s="65" t="s">
        <v>373</v>
      </c>
      <c r="G305" s="64" t="s">
        <v>862</v>
      </c>
      <c r="H305" s="64" t="s">
        <v>257</v>
      </c>
      <c r="I305" s="64" t="s">
        <v>10</v>
      </c>
      <c r="J305" s="64" t="s">
        <v>201</v>
      </c>
      <c r="K305" s="66">
        <v>12.1</v>
      </c>
      <c r="L305" s="66">
        <f>K305*VLOOKUP(I305,dagsoorttabel1,2,FALSE)</f>
        <v>12.1</v>
      </c>
      <c r="M305" s="67">
        <f>prodnorm60</f>
        <v>0</v>
      </c>
      <c r="N305" s="68">
        <f>dagwerk60</f>
        <v>0</v>
      </c>
      <c r="O305" s="64" t="s">
        <v>38</v>
      </c>
      <c r="P305" s="69">
        <f>uurtarief60</f>
        <v>0</v>
      </c>
      <c r="Q305" s="66" t="e">
        <f>IF(ISBLANK(M305),0,L305/ROUND(M305,4))</f>
        <v>#DIV/0!</v>
      </c>
      <c r="R305" s="66" t="e">
        <f>IF(ISBLANK(M305),0,Q305*ROUND(N305,2))</f>
        <v>#DIV/0!</v>
      </c>
      <c r="S305" s="69" t="e">
        <f>ROUND(P305,2)*Q305</f>
        <v>#DIV/0!</v>
      </c>
      <c r="T305" s="66" t="e">
        <f>Q305*dagenperjaar1</f>
        <v>#DIV/0!</v>
      </c>
      <c r="U305" s="70" t="e">
        <f>T305*ROUND(P305,2)</f>
        <v>#DIV/0!</v>
      </c>
    </row>
    <row r="306" spans="1:21" x14ac:dyDescent="0.2">
      <c r="A306" s="63" t="s">
        <v>530</v>
      </c>
      <c r="B306" s="64" t="s">
        <v>324</v>
      </c>
      <c r="C306" s="64" t="s">
        <v>345</v>
      </c>
      <c r="D306" s="64" t="s">
        <v>384</v>
      </c>
      <c r="E306" s="64" t="s">
        <v>324</v>
      </c>
      <c r="F306" s="65" t="s">
        <v>863</v>
      </c>
      <c r="G306" s="64" t="s">
        <v>862</v>
      </c>
      <c r="H306" s="64" t="s">
        <v>200</v>
      </c>
      <c r="I306" s="64" t="s">
        <v>10</v>
      </c>
      <c r="J306" s="64" t="s">
        <v>201</v>
      </c>
      <c r="K306" s="66">
        <v>174</v>
      </c>
      <c r="L306" s="66">
        <f>K306*VLOOKUP(I306,dagsoorttabel1,2,FALSE)</f>
        <v>174</v>
      </c>
      <c r="M306" s="67">
        <f>prodnorm24</f>
        <v>0</v>
      </c>
      <c r="N306" s="68">
        <f>dagwerk24</f>
        <v>0</v>
      </c>
      <c r="O306" s="64" t="s">
        <v>38</v>
      </c>
      <c r="P306" s="69">
        <f>uurtarief24</f>
        <v>0</v>
      </c>
      <c r="Q306" s="66" t="e">
        <f>IF(ISBLANK(M306),0,L306/ROUND(M306,4))</f>
        <v>#DIV/0!</v>
      </c>
      <c r="R306" s="66" t="e">
        <f>IF(ISBLANK(M306),0,Q306*ROUND(N306,2))</f>
        <v>#DIV/0!</v>
      </c>
      <c r="S306" s="69" t="e">
        <f>ROUND(P306,2)*Q306</f>
        <v>#DIV/0!</v>
      </c>
      <c r="T306" s="66" t="e">
        <f>Q306*dagenperjaar1</f>
        <v>#DIV/0!</v>
      </c>
      <c r="U306" s="70" t="e">
        <f>T306*ROUND(P306,2)</f>
        <v>#DIV/0!</v>
      </c>
    </row>
    <row r="307" spans="1:21" x14ac:dyDescent="0.2">
      <c r="A307" s="63" t="s">
        <v>530</v>
      </c>
      <c r="B307" s="64" t="s">
        <v>324</v>
      </c>
      <c r="C307" s="64" t="s">
        <v>345</v>
      </c>
      <c r="D307" s="64" t="s">
        <v>864</v>
      </c>
      <c r="E307" s="64" t="s">
        <v>324</v>
      </c>
      <c r="F307" s="65" t="s">
        <v>865</v>
      </c>
      <c r="G307" s="64" t="s">
        <v>328</v>
      </c>
      <c r="H307" s="64" t="s">
        <v>263</v>
      </c>
      <c r="I307" s="64" t="s">
        <v>10</v>
      </c>
      <c r="J307" s="64" t="s">
        <v>201</v>
      </c>
      <c r="K307" s="66">
        <v>15</v>
      </c>
      <c r="L307" s="66">
        <f>K307*VLOOKUP(I307,dagsoorttabel1,2,FALSE)</f>
        <v>15</v>
      </c>
      <c r="M307" s="67">
        <f>prodnorm63</f>
        <v>0</v>
      </c>
      <c r="N307" s="68">
        <f>dagwerk63</f>
        <v>0</v>
      </c>
      <c r="O307" s="64" t="s">
        <v>38</v>
      </c>
      <c r="P307" s="69">
        <f>uurtarief63</f>
        <v>0</v>
      </c>
      <c r="Q307" s="66" t="e">
        <f>IF(ISBLANK(M307),0,L307/ROUND(M307,4))</f>
        <v>#DIV/0!</v>
      </c>
      <c r="R307" s="66" t="e">
        <f>IF(ISBLANK(M307),0,Q307*ROUND(N307,2))</f>
        <v>#DIV/0!</v>
      </c>
      <c r="S307" s="69" t="e">
        <f>ROUND(P307,2)*Q307</f>
        <v>#DIV/0!</v>
      </c>
      <c r="T307" s="66" t="e">
        <f>Q307*dagenperjaar1</f>
        <v>#DIV/0!</v>
      </c>
      <c r="U307" s="70" t="e">
        <f>T307*ROUND(P307,2)</f>
        <v>#DIV/0!</v>
      </c>
    </row>
    <row r="308" spans="1:21" x14ac:dyDescent="0.2">
      <c r="A308" s="63" t="s">
        <v>530</v>
      </c>
      <c r="B308" s="64" t="s">
        <v>324</v>
      </c>
      <c r="C308" s="64" t="s">
        <v>345</v>
      </c>
      <c r="D308" s="64" t="s">
        <v>866</v>
      </c>
      <c r="E308" s="64" t="s">
        <v>324</v>
      </c>
      <c r="F308" s="65" t="s">
        <v>867</v>
      </c>
      <c r="G308" s="64" t="s">
        <v>862</v>
      </c>
      <c r="H308" s="64" t="s">
        <v>200</v>
      </c>
      <c r="I308" s="64" t="s">
        <v>10</v>
      </c>
      <c r="J308" s="64" t="s">
        <v>201</v>
      </c>
      <c r="K308" s="66">
        <v>348</v>
      </c>
      <c r="L308" s="66">
        <f>K308*VLOOKUP(I308,dagsoorttabel1,2,FALSE)</f>
        <v>348</v>
      </c>
      <c r="M308" s="67">
        <f>prodnorm24</f>
        <v>0</v>
      </c>
      <c r="N308" s="68">
        <f>dagwerk24</f>
        <v>0</v>
      </c>
      <c r="O308" s="64" t="s">
        <v>38</v>
      </c>
      <c r="P308" s="69">
        <f>uurtarief24</f>
        <v>0</v>
      </c>
      <c r="Q308" s="66" t="e">
        <f>IF(ISBLANK(M308),0,L308/ROUND(M308,4))</f>
        <v>#DIV/0!</v>
      </c>
      <c r="R308" s="66" t="e">
        <f>IF(ISBLANK(M308),0,Q308*ROUND(N308,2))</f>
        <v>#DIV/0!</v>
      </c>
      <c r="S308" s="69" t="e">
        <f>ROUND(P308,2)*Q308</f>
        <v>#DIV/0!</v>
      </c>
      <c r="T308" s="66" t="e">
        <f>Q308*dagenperjaar1</f>
        <v>#DIV/0!</v>
      </c>
      <c r="U308" s="70" t="e">
        <f>T308*ROUND(P308,2)</f>
        <v>#DIV/0!</v>
      </c>
    </row>
    <row r="309" spans="1:21" x14ac:dyDescent="0.2">
      <c r="A309" s="63" t="s">
        <v>530</v>
      </c>
      <c r="B309" s="64" t="s">
        <v>324</v>
      </c>
      <c r="C309" s="64" t="s">
        <v>345</v>
      </c>
      <c r="D309" s="64" t="s">
        <v>868</v>
      </c>
      <c r="E309" s="64" t="s">
        <v>324</v>
      </c>
      <c r="F309" s="65" t="s">
        <v>335</v>
      </c>
      <c r="G309" s="64" t="s">
        <v>328</v>
      </c>
      <c r="H309" s="64" t="s">
        <v>267</v>
      </c>
      <c r="I309" s="64" t="s">
        <v>10</v>
      </c>
      <c r="J309" s="64" t="s">
        <v>201</v>
      </c>
      <c r="K309" s="66">
        <v>20.7</v>
      </c>
      <c r="L309" s="66">
        <f>K309*VLOOKUP(I309,dagsoorttabel1,2,FALSE)</f>
        <v>20.7</v>
      </c>
      <c r="M309" s="67">
        <f>prodnorm65</f>
        <v>0</v>
      </c>
      <c r="N309" s="68">
        <f>dagwerk65</f>
        <v>0</v>
      </c>
      <c r="O309" s="64" t="s">
        <v>38</v>
      </c>
      <c r="P309" s="69">
        <f>uurtarief65</f>
        <v>0</v>
      </c>
      <c r="Q309" s="66" t="e">
        <f>IF(ISBLANK(M309),0,L309/ROUND(M309,4))</f>
        <v>#DIV/0!</v>
      </c>
      <c r="R309" s="66" t="e">
        <f>IF(ISBLANK(M309),0,Q309*ROUND(N309,2))</f>
        <v>#DIV/0!</v>
      </c>
      <c r="S309" s="69" t="e">
        <f>ROUND(P309,2)*Q309</f>
        <v>#DIV/0!</v>
      </c>
      <c r="T309" s="66" t="e">
        <f>Q309*dagenperjaar1</f>
        <v>#DIV/0!</v>
      </c>
      <c r="U309" s="70" t="e">
        <f>T309*ROUND(P309,2)</f>
        <v>#DIV/0!</v>
      </c>
    </row>
    <row r="310" spans="1:21" x14ac:dyDescent="0.2">
      <c r="A310" s="63" t="s">
        <v>530</v>
      </c>
      <c r="B310" s="64" t="s">
        <v>324</v>
      </c>
      <c r="C310" s="64" t="s">
        <v>345</v>
      </c>
      <c r="D310" s="64" t="s">
        <v>387</v>
      </c>
      <c r="E310" s="64" t="s">
        <v>324</v>
      </c>
      <c r="F310" s="65" t="s">
        <v>373</v>
      </c>
      <c r="G310" s="64" t="s">
        <v>862</v>
      </c>
      <c r="H310" s="64" t="s">
        <v>255</v>
      </c>
      <c r="I310" s="64" t="s">
        <v>10</v>
      </c>
      <c r="J310" s="64" t="s">
        <v>201</v>
      </c>
      <c r="K310" s="66">
        <v>12.1</v>
      </c>
      <c r="L310" s="66">
        <f>K310*VLOOKUP(I310,dagsoorttabel1,2,FALSE)</f>
        <v>12.1</v>
      </c>
      <c r="M310" s="67">
        <f>prodnorm59</f>
        <v>0</v>
      </c>
      <c r="N310" s="68">
        <f>dagwerk59</f>
        <v>0</v>
      </c>
      <c r="O310" s="64" t="s">
        <v>38</v>
      </c>
      <c r="P310" s="69">
        <f>uurtarief59</f>
        <v>0</v>
      </c>
      <c r="Q310" s="66" t="e">
        <f>IF(ISBLANK(M310),0,L310/ROUND(M310,4))</f>
        <v>#DIV/0!</v>
      </c>
      <c r="R310" s="66" t="e">
        <f>IF(ISBLANK(M310),0,Q310*ROUND(N310,2))</f>
        <v>#DIV/0!</v>
      </c>
      <c r="S310" s="69" t="e">
        <f>ROUND(P310,2)*Q310</f>
        <v>#DIV/0!</v>
      </c>
      <c r="T310" s="66" t="e">
        <f>Q310*dagenperjaar1</f>
        <v>#DIV/0!</v>
      </c>
      <c r="U310" s="70" t="e">
        <f>T310*ROUND(P310,2)</f>
        <v>#DIV/0!</v>
      </c>
    </row>
    <row r="311" spans="1:21" x14ac:dyDescent="0.2">
      <c r="A311" s="63" t="s">
        <v>530</v>
      </c>
      <c r="B311" s="64" t="s">
        <v>324</v>
      </c>
      <c r="C311" s="64" t="s">
        <v>345</v>
      </c>
      <c r="D311" s="64" t="s">
        <v>387</v>
      </c>
      <c r="E311" s="64" t="s">
        <v>324</v>
      </c>
      <c r="F311" s="65" t="s">
        <v>373</v>
      </c>
      <c r="G311" s="64" t="s">
        <v>862</v>
      </c>
      <c r="H311" s="64" t="s">
        <v>257</v>
      </c>
      <c r="I311" s="64" t="s">
        <v>10</v>
      </c>
      <c r="J311" s="64" t="s">
        <v>201</v>
      </c>
      <c r="K311" s="66">
        <v>12.1</v>
      </c>
      <c r="L311" s="66">
        <f>K311*VLOOKUP(I311,dagsoorttabel1,2,FALSE)</f>
        <v>12.1</v>
      </c>
      <c r="M311" s="67">
        <f>prodnorm60</f>
        <v>0</v>
      </c>
      <c r="N311" s="68">
        <f>dagwerk60</f>
        <v>0</v>
      </c>
      <c r="O311" s="64" t="s">
        <v>38</v>
      </c>
      <c r="P311" s="69">
        <f>uurtarief60</f>
        <v>0</v>
      </c>
      <c r="Q311" s="66" t="e">
        <f>IF(ISBLANK(M311),0,L311/ROUND(M311,4))</f>
        <v>#DIV/0!</v>
      </c>
      <c r="R311" s="66" t="e">
        <f>IF(ISBLANK(M311),0,Q311*ROUND(N311,2))</f>
        <v>#DIV/0!</v>
      </c>
      <c r="S311" s="69" t="e">
        <f>ROUND(P311,2)*Q311</f>
        <v>#DIV/0!</v>
      </c>
      <c r="T311" s="66" t="e">
        <f>Q311*dagenperjaar1</f>
        <v>#DIV/0!</v>
      </c>
      <c r="U311" s="70" t="e">
        <f>T311*ROUND(P311,2)</f>
        <v>#DIV/0!</v>
      </c>
    </row>
    <row r="312" spans="1:21" x14ac:dyDescent="0.2">
      <c r="A312" s="63" t="s">
        <v>530</v>
      </c>
      <c r="B312" s="64" t="s">
        <v>324</v>
      </c>
      <c r="C312" s="64" t="s">
        <v>345</v>
      </c>
      <c r="D312" s="64" t="s">
        <v>869</v>
      </c>
      <c r="E312" s="64" t="s">
        <v>324</v>
      </c>
      <c r="F312" s="65" t="s">
        <v>370</v>
      </c>
      <c r="G312" s="64" t="s">
        <v>862</v>
      </c>
      <c r="H312" s="64" t="s">
        <v>255</v>
      </c>
      <c r="I312" s="64" t="s">
        <v>10</v>
      </c>
      <c r="J312" s="64" t="s">
        <v>201</v>
      </c>
      <c r="K312" s="66">
        <v>12</v>
      </c>
      <c r="L312" s="66">
        <f>K312*VLOOKUP(I312,dagsoorttabel1,2,FALSE)</f>
        <v>12</v>
      </c>
      <c r="M312" s="67">
        <f>prodnorm59</f>
        <v>0</v>
      </c>
      <c r="N312" s="68">
        <f>dagwerk59</f>
        <v>0</v>
      </c>
      <c r="O312" s="64" t="s">
        <v>38</v>
      </c>
      <c r="P312" s="69">
        <f>uurtarief59</f>
        <v>0</v>
      </c>
      <c r="Q312" s="66" t="e">
        <f>IF(ISBLANK(M312),0,L312/ROUND(M312,4))</f>
        <v>#DIV/0!</v>
      </c>
      <c r="R312" s="66" t="e">
        <f>IF(ISBLANK(M312),0,Q312*ROUND(N312,2))</f>
        <v>#DIV/0!</v>
      </c>
      <c r="S312" s="69" t="e">
        <f>ROUND(P312,2)*Q312</f>
        <v>#DIV/0!</v>
      </c>
      <c r="T312" s="66" t="e">
        <f>Q312*dagenperjaar1</f>
        <v>#DIV/0!</v>
      </c>
      <c r="U312" s="70" t="e">
        <f>T312*ROUND(P312,2)</f>
        <v>#DIV/0!</v>
      </c>
    </row>
    <row r="313" spans="1:21" x14ac:dyDescent="0.2">
      <c r="A313" s="63" t="s">
        <v>530</v>
      </c>
      <c r="B313" s="64" t="s">
        <v>324</v>
      </c>
      <c r="C313" s="64" t="s">
        <v>345</v>
      </c>
      <c r="D313" s="64" t="s">
        <v>869</v>
      </c>
      <c r="E313" s="64" t="s">
        <v>324</v>
      </c>
      <c r="F313" s="65" t="s">
        <v>370</v>
      </c>
      <c r="G313" s="64" t="s">
        <v>862</v>
      </c>
      <c r="H313" s="64" t="s">
        <v>257</v>
      </c>
      <c r="I313" s="64" t="s">
        <v>10</v>
      </c>
      <c r="J313" s="64" t="s">
        <v>201</v>
      </c>
      <c r="K313" s="66">
        <v>12</v>
      </c>
      <c r="L313" s="66">
        <f>K313*VLOOKUP(I313,dagsoorttabel1,2,FALSE)</f>
        <v>12</v>
      </c>
      <c r="M313" s="67">
        <f>prodnorm60</f>
        <v>0</v>
      </c>
      <c r="N313" s="68">
        <f>dagwerk60</f>
        <v>0</v>
      </c>
      <c r="O313" s="64" t="s">
        <v>38</v>
      </c>
      <c r="P313" s="69">
        <f>uurtarief60</f>
        <v>0</v>
      </c>
      <c r="Q313" s="66" t="e">
        <f>IF(ISBLANK(M313),0,L313/ROUND(M313,4))</f>
        <v>#DIV/0!</v>
      </c>
      <c r="R313" s="66" t="e">
        <f>IF(ISBLANK(M313),0,Q313*ROUND(N313,2))</f>
        <v>#DIV/0!</v>
      </c>
      <c r="S313" s="69" t="e">
        <f>ROUND(P313,2)*Q313</f>
        <v>#DIV/0!</v>
      </c>
      <c r="T313" s="66" t="e">
        <f>Q313*dagenperjaar1</f>
        <v>#DIV/0!</v>
      </c>
      <c r="U313" s="70" t="e">
        <f>T313*ROUND(P313,2)</f>
        <v>#DIV/0!</v>
      </c>
    </row>
    <row r="314" spans="1:21" x14ac:dyDescent="0.2">
      <c r="A314" s="63" t="s">
        <v>530</v>
      </c>
      <c r="B314" s="64" t="s">
        <v>324</v>
      </c>
      <c r="C314" s="64" t="s">
        <v>345</v>
      </c>
      <c r="D314" s="64" t="s">
        <v>400</v>
      </c>
      <c r="E314" s="64" t="s">
        <v>324</v>
      </c>
      <c r="F314" s="65" t="s">
        <v>327</v>
      </c>
      <c r="G314" s="64" t="s">
        <v>324</v>
      </c>
      <c r="H314" s="64" t="s">
        <v>223</v>
      </c>
      <c r="I314" s="64" t="s">
        <v>16</v>
      </c>
      <c r="J314" s="64" t="s">
        <v>201</v>
      </c>
      <c r="K314" s="66">
        <v>2.5</v>
      </c>
      <c r="L314" s="66">
        <f>K314*VLOOKUP(I314,dagsoorttabel1,2,FALSE)</f>
        <v>0.5</v>
      </c>
      <c r="M314" s="67">
        <f>prodnorm40</f>
        <v>0</v>
      </c>
      <c r="N314" s="68">
        <f>dagwerk40</f>
        <v>0</v>
      </c>
      <c r="O314" s="64" t="s">
        <v>38</v>
      </c>
      <c r="P314" s="69">
        <f>uurtarief40</f>
        <v>0</v>
      </c>
      <c r="Q314" s="66" t="e">
        <f>IF(ISBLANK(M314),0,L314/ROUND(M314,4))</f>
        <v>#DIV/0!</v>
      </c>
      <c r="R314" s="66" t="e">
        <f>IF(ISBLANK(M314),0,Q314*ROUND(N314,2))</f>
        <v>#DIV/0!</v>
      </c>
      <c r="S314" s="69" t="e">
        <f>ROUND(P314,2)*Q314</f>
        <v>#DIV/0!</v>
      </c>
      <c r="T314" s="66" t="e">
        <f>Q314*dagenperjaar1</f>
        <v>#DIV/0!</v>
      </c>
      <c r="U314" s="70" t="e">
        <f>T314*ROUND(P314,2)</f>
        <v>#DIV/0!</v>
      </c>
    </row>
    <row r="315" spans="1:21" x14ac:dyDescent="0.2">
      <c r="A315" s="63" t="s">
        <v>530</v>
      </c>
      <c r="B315" s="64" t="s">
        <v>324</v>
      </c>
      <c r="C315" s="64" t="s">
        <v>345</v>
      </c>
      <c r="D315" s="64" t="s">
        <v>870</v>
      </c>
      <c r="E315" s="64" t="s">
        <v>324</v>
      </c>
      <c r="F315" s="65" t="s">
        <v>871</v>
      </c>
      <c r="G315" s="64" t="s">
        <v>328</v>
      </c>
      <c r="H315" s="64" t="s">
        <v>249</v>
      </c>
      <c r="I315" s="64" t="s">
        <v>10</v>
      </c>
      <c r="J315" s="64" t="s">
        <v>201</v>
      </c>
      <c r="K315" s="66">
        <v>52.2</v>
      </c>
      <c r="L315" s="66">
        <f>K315*VLOOKUP(I315,dagsoorttabel1,2,FALSE)</f>
        <v>52.2</v>
      </c>
      <c r="M315" s="67">
        <f>prodnorm56</f>
        <v>0</v>
      </c>
      <c r="N315" s="68">
        <f>dagwerk56</f>
        <v>0</v>
      </c>
      <c r="O315" s="64" t="s">
        <v>38</v>
      </c>
      <c r="P315" s="69">
        <f>uurtarief56</f>
        <v>0</v>
      </c>
      <c r="Q315" s="66" t="e">
        <f>IF(ISBLANK(M315),0,L315/ROUND(M315,4))</f>
        <v>#DIV/0!</v>
      </c>
      <c r="R315" s="66" t="e">
        <f>IF(ISBLANK(M315),0,Q315*ROUND(N315,2))</f>
        <v>#DIV/0!</v>
      </c>
      <c r="S315" s="69" t="e">
        <f>ROUND(P315,2)*Q315</f>
        <v>#DIV/0!</v>
      </c>
      <c r="T315" s="66" t="e">
        <f>Q315*dagenperjaar1</f>
        <v>#DIV/0!</v>
      </c>
      <c r="U315" s="70" t="e">
        <f>T315*ROUND(P315,2)</f>
        <v>#DIV/0!</v>
      </c>
    </row>
    <row r="316" spans="1:21" x14ac:dyDescent="0.2">
      <c r="A316" s="63" t="s">
        <v>530</v>
      </c>
      <c r="B316" s="64" t="s">
        <v>324</v>
      </c>
      <c r="C316" s="64" t="s">
        <v>345</v>
      </c>
      <c r="D316" s="64" t="s">
        <v>872</v>
      </c>
      <c r="E316" s="64" t="s">
        <v>324</v>
      </c>
      <c r="F316" s="65" t="s">
        <v>477</v>
      </c>
      <c r="G316" s="64" t="s">
        <v>328</v>
      </c>
      <c r="H316" s="64" t="s">
        <v>239</v>
      </c>
      <c r="I316" s="64" t="s">
        <v>10</v>
      </c>
      <c r="J316" s="64" t="s">
        <v>201</v>
      </c>
      <c r="K316" s="66">
        <v>112.5</v>
      </c>
      <c r="L316" s="66">
        <f>K316*VLOOKUP(I316,dagsoorttabel1,2,FALSE)</f>
        <v>112.5</v>
      </c>
      <c r="M316" s="67">
        <f>prodnorm50</f>
        <v>0</v>
      </c>
      <c r="N316" s="68">
        <f>dagwerk50</f>
        <v>0</v>
      </c>
      <c r="O316" s="64" t="s">
        <v>38</v>
      </c>
      <c r="P316" s="69">
        <f>uurtarief50</f>
        <v>0</v>
      </c>
      <c r="Q316" s="66" t="e">
        <f>IF(ISBLANK(M316),0,L316/ROUND(M316,4))</f>
        <v>#DIV/0!</v>
      </c>
      <c r="R316" s="66" t="e">
        <f>IF(ISBLANK(M316),0,Q316*ROUND(N316,2))</f>
        <v>#DIV/0!</v>
      </c>
      <c r="S316" s="69" t="e">
        <f>ROUND(P316,2)*Q316</f>
        <v>#DIV/0!</v>
      </c>
      <c r="T316" s="66" t="e">
        <f>Q316*dagenperjaar1</f>
        <v>#DIV/0!</v>
      </c>
      <c r="U316" s="70" t="e">
        <f>T316*ROUND(P316,2)</f>
        <v>#DIV/0!</v>
      </c>
    </row>
    <row r="317" spans="1:21" x14ac:dyDescent="0.2">
      <c r="A317" s="63" t="s">
        <v>530</v>
      </c>
      <c r="B317" s="64" t="s">
        <v>324</v>
      </c>
      <c r="C317" s="64" t="s">
        <v>345</v>
      </c>
      <c r="D317" s="64" t="s">
        <v>873</v>
      </c>
      <c r="E317" s="64" t="s">
        <v>324</v>
      </c>
      <c r="F317" s="65" t="s">
        <v>457</v>
      </c>
      <c r="G317" s="64" t="s">
        <v>328</v>
      </c>
      <c r="H317" s="64" t="s">
        <v>229</v>
      </c>
      <c r="I317" s="64" t="s">
        <v>10</v>
      </c>
      <c r="J317" s="64" t="s">
        <v>201</v>
      </c>
      <c r="K317" s="66">
        <v>57.9</v>
      </c>
      <c r="L317" s="66">
        <f>K317*VLOOKUP(I317,dagsoorttabel1,2,FALSE)</f>
        <v>57.9</v>
      </c>
      <c r="M317" s="67">
        <f>prodnorm43</f>
        <v>0</v>
      </c>
      <c r="N317" s="68">
        <f>dagwerk43</f>
        <v>0</v>
      </c>
      <c r="O317" s="64" t="s">
        <v>38</v>
      </c>
      <c r="P317" s="69">
        <f>uurtarief43</f>
        <v>0</v>
      </c>
      <c r="Q317" s="66" t="e">
        <f>IF(ISBLANK(M317),0,L317/ROUND(M317,4))</f>
        <v>#DIV/0!</v>
      </c>
      <c r="R317" s="66" t="e">
        <f>IF(ISBLANK(M317),0,Q317*ROUND(N317,2))</f>
        <v>#DIV/0!</v>
      </c>
      <c r="S317" s="69" t="e">
        <f>ROUND(P317,2)*Q317</f>
        <v>#DIV/0!</v>
      </c>
      <c r="T317" s="66" t="e">
        <f>Q317*dagenperjaar1</f>
        <v>#DIV/0!</v>
      </c>
      <c r="U317" s="70" t="e">
        <f>T317*ROUND(P317,2)</f>
        <v>#DIV/0!</v>
      </c>
    </row>
    <row r="318" spans="1:21" x14ac:dyDescent="0.2">
      <c r="A318" s="63" t="s">
        <v>530</v>
      </c>
      <c r="B318" s="64" t="s">
        <v>324</v>
      </c>
      <c r="C318" s="64" t="s">
        <v>345</v>
      </c>
      <c r="D318" s="64" t="s">
        <v>874</v>
      </c>
      <c r="E318" s="64" t="s">
        <v>324</v>
      </c>
      <c r="F318" s="65" t="s">
        <v>457</v>
      </c>
      <c r="G318" s="64" t="s">
        <v>328</v>
      </c>
      <c r="H318" s="64" t="s">
        <v>229</v>
      </c>
      <c r="I318" s="64" t="s">
        <v>10</v>
      </c>
      <c r="J318" s="64" t="s">
        <v>201</v>
      </c>
      <c r="K318" s="66">
        <v>55.8</v>
      </c>
      <c r="L318" s="66">
        <f>K318*VLOOKUP(I318,dagsoorttabel1,2,FALSE)</f>
        <v>55.8</v>
      </c>
      <c r="M318" s="67">
        <f>prodnorm43</f>
        <v>0</v>
      </c>
      <c r="N318" s="68">
        <f>dagwerk43</f>
        <v>0</v>
      </c>
      <c r="O318" s="64" t="s">
        <v>38</v>
      </c>
      <c r="P318" s="69">
        <f>uurtarief43</f>
        <v>0</v>
      </c>
      <c r="Q318" s="66" t="e">
        <f>IF(ISBLANK(M318),0,L318/ROUND(M318,4))</f>
        <v>#DIV/0!</v>
      </c>
      <c r="R318" s="66" t="e">
        <f>IF(ISBLANK(M318),0,Q318*ROUND(N318,2))</f>
        <v>#DIV/0!</v>
      </c>
      <c r="S318" s="69" t="e">
        <f>ROUND(P318,2)*Q318</f>
        <v>#DIV/0!</v>
      </c>
      <c r="T318" s="66" t="e">
        <f>Q318*dagenperjaar1</f>
        <v>#DIV/0!</v>
      </c>
      <c r="U318" s="70" t="e">
        <f>T318*ROUND(P318,2)</f>
        <v>#DIV/0!</v>
      </c>
    </row>
    <row r="319" spans="1:21" x14ac:dyDescent="0.2">
      <c r="A319" s="63" t="s">
        <v>530</v>
      </c>
      <c r="B319" s="64" t="s">
        <v>324</v>
      </c>
      <c r="C319" s="64" t="s">
        <v>345</v>
      </c>
      <c r="D319" s="64" t="s">
        <v>875</v>
      </c>
      <c r="E319" s="64" t="s">
        <v>324</v>
      </c>
      <c r="F319" s="65" t="s">
        <v>655</v>
      </c>
      <c r="G319" s="64" t="s">
        <v>328</v>
      </c>
      <c r="H319" s="64" t="s">
        <v>263</v>
      </c>
      <c r="I319" s="64" t="s">
        <v>10</v>
      </c>
      <c r="J319" s="64" t="s">
        <v>201</v>
      </c>
      <c r="K319" s="66">
        <v>26.1</v>
      </c>
      <c r="L319" s="66">
        <f>K319*VLOOKUP(I319,dagsoorttabel1,2,FALSE)</f>
        <v>26.1</v>
      </c>
      <c r="M319" s="67">
        <f>prodnorm63</f>
        <v>0</v>
      </c>
      <c r="N319" s="68">
        <f>dagwerk63</f>
        <v>0</v>
      </c>
      <c r="O319" s="64" t="s">
        <v>38</v>
      </c>
      <c r="P319" s="69">
        <f>uurtarief63</f>
        <v>0</v>
      </c>
      <c r="Q319" s="66" t="e">
        <f>IF(ISBLANK(M319),0,L319/ROUND(M319,4))</f>
        <v>#DIV/0!</v>
      </c>
      <c r="R319" s="66" t="e">
        <f>IF(ISBLANK(M319),0,Q319*ROUND(N319,2))</f>
        <v>#DIV/0!</v>
      </c>
      <c r="S319" s="69" t="e">
        <f>ROUND(P319,2)*Q319</f>
        <v>#DIV/0!</v>
      </c>
      <c r="T319" s="66" t="e">
        <f>Q319*dagenperjaar1</f>
        <v>#DIV/0!</v>
      </c>
      <c r="U319" s="70" t="e">
        <f>T319*ROUND(P319,2)</f>
        <v>#DIV/0!</v>
      </c>
    </row>
    <row r="320" spans="1:21" x14ac:dyDescent="0.2">
      <c r="A320" s="63" t="s">
        <v>530</v>
      </c>
      <c r="B320" s="64" t="s">
        <v>324</v>
      </c>
      <c r="C320" s="64" t="s">
        <v>345</v>
      </c>
      <c r="D320" s="64" t="s">
        <v>876</v>
      </c>
      <c r="E320" s="64" t="s">
        <v>324</v>
      </c>
      <c r="F320" s="65" t="s">
        <v>457</v>
      </c>
      <c r="G320" s="64" t="s">
        <v>328</v>
      </c>
      <c r="H320" s="64" t="s">
        <v>229</v>
      </c>
      <c r="I320" s="64" t="s">
        <v>10</v>
      </c>
      <c r="J320" s="64" t="s">
        <v>201</v>
      </c>
      <c r="K320" s="66">
        <v>55.3</v>
      </c>
      <c r="L320" s="66">
        <f>K320*VLOOKUP(I320,dagsoorttabel1,2,FALSE)</f>
        <v>55.3</v>
      </c>
      <c r="M320" s="67">
        <f>prodnorm43</f>
        <v>0</v>
      </c>
      <c r="N320" s="68">
        <f>dagwerk43</f>
        <v>0</v>
      </c>
      <c r="O320" s="64" t="s">
        <v>38</v>
      </c>
      <c r="P320" s="69">
        <f>uurtarief43</f>
        <v>0</v>
      </c>
      <c r="Q320" s="66" t="e">
        <f>IF(ISBLANK(M320),0,L320/ROUND(M320,4))</f>
        <v>#DIV/0!</v>
      </c>
      <c r="R320" s="66" t="e">
        <f>IF(ISBLANK(M320),0,Q320*ROUND(N320,2))</f>
        <v>#DIV/0!</v>
      </c>
      <c r="S320" s="69" t="e">
        <f>ROUND(P320,2)*Q320</f>
        <v>#DIV/0!</v>
      </c>
      <c r="T320" s="66" t="e">
        <f>Q320*dagenperjaar1</f>
        <v>#DIV/0!</v>
      </c>
      <c r="U320" s="70" t="e">
        <f>T320*ROUND(P320,2)</f>
        <v>#DIV/0!</v>
      </c>
    </row>
    <row r="321" spans="1:21" x14ac:dyDescent="0.2">
      <c r="A321" s="63" t="s">
        <v>530</v>
      </c>
      <c r="B321" s="64" t="s">
        <v>324</v>
      </c>
      <c r="C321" s="64" t="s">
        <v>345</v>
      </c>
      <c r="D321" s="64" t="s">
        <v>877</v>
      </c>
      <c r="E321" s="64" t="s">
        <v>324</v>
      </c>
      <c r="F321" s="65" t="s">
        <v>878</v>
      </c>
      <c r="G321" s="64" t="s">
        <v>328</v>
      </c>
      <c r="H321" s="64" t="s">
        <v>249</v>
      </c>
      <c r="I321" s="64" t="s">
        <v>10</v>
      </c>
      <c r="J321" s="64" t="s">
        <v>201</v>
      </c>
      <c r="K321" s="66">
        <v>98.4</v>
      </c>
      <c r="L321" s="66">
        <f>K321*VLOOKUP(I321,dagsoorttabel1,2,FALSE)</f>
        <v>98.4</v>
      </c>
      <c r="M321" s="67">
        <f>prodnorm56</f>
        <v>0</v>
      </c>
      <c r="N321" s="68">
        <f>dagwerk56</f>
        <v>0</v>
      </c>
      <c r="O321" s="64" t="s">
        <v>38</v>
      </c>
      <c r="P321" s="69">
        <f>uurtarief56</f>
        <v>0</v>
      </c>
      <c r="Q321" s="66" t="e">
        <f>IF(ISBLANK(M321),0,L321/ROUND(M321,4))</f>
        <v>#DIV/0!</v>
      </c>
      <c r="R321" s="66" t="e">
        <f>IF(ISBLANK(M321),0,Q321*ROUND(N321,2))</f>
        <v>#DIV/0!</v>
      </c>
      <c r="S321" s="69" t="e">
        <f>ROUND(P321,2)*Q321</f>
        <v>#DIV/0!</v>
      </c>
      <c r="T321" s="66" t="e">
        <f>Q321*dagenperjaar1</f>
        <v>#DIV/0!</v>
      </c>
      <c r="U321" s="70" t="e">
        <f>T321*ROUND(P321,2)</f>
        <v>#DIV/0!</v>
      </c>
    </row>
    <row r="322" spans="1:21" x14ac:dyDescent="0.2">
      <c r="A322" s="63" t="s">
        <v>530</v>
      </c>
      <c r="B322" s="64" t="s">
        <v>324</v>
      </c>
      <c r="C322" s="64" t="s">
        <v>345</v>
      </c>
      <c r="D322" s="64" t="s">
        <v>879</v>
      </c>
      <c r="E322" s="64" t="s">
        <v>324</v>
      </c>
      <c r="F322" s="65" t="s">
        <v>595</v>
      </c>
      <c r="G322" s="64" t="s">
        <v>328</v>
      </c>
      <c r="H322" s="64" t="s">
        <v>205</v>
      </c>
      <c r="I322" s="64" t="s">
        <v>10</v>
      </c>
      <c r="J322" s="64" t="s">
        <v>201</v>
      </c>
      <c r="K322" s="66">
        <v>36.6</v>
      </c>
      <c r="L322" s="66">
        <f>K322*VLOOKUP(I322,dagsoorttabel1,2,FALSE)</f>
        <v>36.6</v>
      </c>
      <c r="M322" s="67">
        <f>prodnorm26</f>
        <v>0</v>
      </c>
      <c r="N322" s="68">
        <f>dagwerk26</f>
        <v>0</v>
      </c>
      <c r="O322" s="64" t="s">
        <v>38</v>
      </c>
      <c r="P322" s="69">
        <f>uurtarief26</f>
        <v>0</v>
      </c>
      <c r="Q322" s="66" t="e">
        <f>IF(ISBLANK(M322),0,L322/ROUND(M322,4))</f>
        <v>#DIV/0!</v>
      </c>
      <c r="R322" s="66" t="e">
        <f>IF(ISBLANK(M322),0,Q322*ROUND(N322,2))</f>
        <v>#DIV/0!</v>
      </c>
      <c r="S322" s="69" t="e">
        <f>ROUND(P322,2)*Q322</f>
        <v>#DIV/0!</v>
      </c>
      <c r="T322" s="66" t="e">
        <f>Q322*dagenperjaar1</f>
        <v>#DIV/0!</v>
      </c>
      <c r="U322" s="70" t="e">
        <f>T322*ROUND(P322,2)</f>
        <v>#DIV/0!</v>
      </c>
    </row>
    <row r="323" spans="1:21" x14ac:dyDescent="0.2">
      <c r="A323" s="63" t="s">
        <v>530</v>
      </c>
      <c r="B323" s="64" t="s">
        <v>324</v>
      </c>
      <c r="C323" s="64" t="s">
        <v>345</v>
      </c>
      <c r="D323" s="64" t="s">
        <v>880</v>
      </c>
      <c r="E323" s="64" t="s">
        <v>324</v>
      </c>
      <c r="F323" s="65" t="s">
        <v>364</v>
      </c>
      <c r="G323" s="64" t="s">
        <v>862</v>
      </c>
      <c r="H323" s="64" t="s">
        <v>255</v>
      </c>
      <c r="I323" s="64" t="s">
        <v>10</v>
      </c>
      <c r="J323" s="64" t="s">
        <v>201</v>
      </c>
      <c r="K323" s="66">
        <v>5.4</v>
      </c>
      <c r="L323" s="66">
        <f>K323*VLOOKUP(I323,dagsoorttabel1,2,FALSE)</f>
        <v>5.4</v>
      </c>
      <c r="M323" s="67">
        <f>prodnorm59</f>
        <v>0</v>
      </c>
      <c r="N323" s="68">
        <f>dagwerk59</f>
        <v>0</v>
      </c>
      <c r="O323" s="64" t="s">
        <v>38</v>
      </c>
      <c r="P323" s="69">
        <f>uurtarief59</f>
        <v>0</v>
      </c>
      <c r="Q323" s="66" t="e">
        <f>IF(ISBLANK(M323),0,L323/ROUND(M323,4))</f>
        <v>#DIV/0!</v>
      </c>
      <c r="R323" s="66" t="e">
        <f>IF(ISBLANK(M323),0,Q323*ROUND(N323,2))</f>
        <v>#DIV/0!</v>
      </c>
      <c r="S323" s="69" t="e">
        <f>ROUND(P323,2)*Q323</f>
        <v>#DIV/0!</v>
      </c>
      <c r="T323" s="66" t="e">
        <f>Q323*dagenperjaar1</f>
        <v>#DIV/0!</v>
      </c>
      <c r="U323" s="70" t="e">
        <f>T323*ROUND(P323,2)</f>
        <v>#DIV/0!</v>
      </c>
    </row>
    <row r="324" spans="1:21" x14ac:dyDescent="0.2">
      <c r="A324" s="63" t="s">
        <v>530</v>
      </c>
      <c r="B324" s="64" t="s">
        <v>324</v>
      </c>
      <c r="C324" s="64" t="s">
        <v>345</v>
      </c>
      <c r="D324" s="64" t="s">
        <v>880</v>
      </c>
      <c r="E324" s="64" t="s">
        <v>324</v>
      </c>
      <c r="F324" s="65" t="s">
        <v>364</v>
      </c>
      <c r="G324" s="64" t="s">
        <v>862</v>
      </c>
      <c r="H324" s="64" t="s">
        <v>257</v>
      </c>
      <c r="I324" s="64" t="s">
        <v>10</v>
      </c>
      <c r="J324" s="64" t="s">
        <v>201</v>
      </c>
      <c r="K324" s="66">
        <v>5.4</v>
      </c>
      <c r="L324" s="66">
        <f>K324*VLOOKUP(I324,dagsoorttabel1,2,FALSE)</f>
        <v>5.4</v>
      </c>
      <c r="M324" s="67">
        <f>prodnorm60</f>
        <v>0</v>
      </c>
      <c r="N324" s="68">
        <f>dagwerk60</f>
        <v>0</v>
      </c>
      <c r="O324" s="64" t="s">
        <v>38</v>
      </c>
      <c r="P324" s="69">
        <f>uurtarief60</f>
        <v>0</v>
      </c>
      <c r="Q324" s="66" t="e">
        <f>IF(ISBLANK(M324),0,L324/ROUND(M324,4))</f>
        <v>#DIV/0!</v>
      </c>
      <c r="R324" s="66" t="e">
        <f>IF(ISBLANK(M324),0,Q324*ROUND(N324,2))</f>
        <v>#DIV/0!</v>
      </c>
      <c r="S324" s="69" t="e">
        <f>ROUND(P324,2)*Q324</f>
        <v>#DIV/0!</v>
      </c>
      <c r="T324" s="66" t="e">
        <f>Q324*dagenperjaar1</f>
        <v>#DIV/0!</v>
      </c>
      <c r="U324" s="70" t="e">
        <f>T324*ROUND(P324,2)</f>
        <v>#DIV/0!</v>
      </c>
    </row>
    <row r="325" spans="1:21" x14ac:dyDescent="0.2">
      <c r="A325" s="63" t="s">
        <v>530</v>
      </c>
      <c r="B325" s="64" t="s">
        <v>324</v>
      </c>
      <c r="C325" s="64" t="s">
        <v>345</v>
      </c>
      <c r="D325" s="64" t="s">
        <v>881</v>
      </c>
      <c r="E325" s="64" t="s">
        <v>324</v>
      </c>
      <c r="F325" s="65" t="s">
        <v>381</v>
      </c>
      <c r="G325" s="64" t="s">
        <v>328</v>
      </c>
      <c r="H325" s="64" t="s">
        <v>205</v>
      </c>
      <c r="I325" s="64" t="s">
        <v>10</v>
      </c>
      <c r="J325" s="64" t="s">
        <v>201</v>
      </c>
      <c r="K325" s="66">
        <v>33.9</v>
      </c>
      <c r="L325" s="66">
        <f>K325*VLOOKUP(I325,dagsoorttabel1,2,FALSE)</f>
        <v>33.9</v>
      </c>
      <c r="M325" s="67">
        <f>prodnorm26</f>
        <v>0</v>
      </c>
      <c r="N325" s="68">
        <f>dagwerk26</f>
        <v>0</v>
      </c>
      <c r="O325" s="64" t="s">
        <v>38</v>
      </c>
      <c r="P325" s="69">
        <f>uurtarief26</f>
        <v>0</v>
      </c>
      <c r="Q325" s="66" t="e">
        <f>IF(ISBLANK(M325),0,L325/ROUND(M325,4))</f>
        <v>#DIV/0!</v>
      </c>
      <c r="R325" s="66" t="e">
        <f>IF(ISBLANK(M325),0,Q325*ROUND(N325,2))</f>
        <v>#DIV/0!</v>
      </c>
      <c r="S325" s="69" t="e">
        <f>ROUND(P325,2)*Q325</f>
        <v>#DIV/0!</v>
      </c>
      <c r="T325" s="66" t="e">
        <f>Q325*dagenperjaar1</f>
        <v>#DIV/0!</v>
      </c>
      <c r="U325" s="70" t="e">
        <f>T325*ROUND(P325,2)</f>
        <v>#DIV/0!</v>
      </c>
    </row>
    <row r="326" spans="1:21" x14ac:dyDescent="0.2">
      <c r="A326" s="63" t="s">
        <v>530</v>
      </c>
      <c r="B326" s="64" t="s">
        <v>324</v>
      </c>
      <c r="C326" s="64" t="s">
        <v>345</v>
      </c>
      <c r="D326" s="64" t="s">
        <v>882</v>
      </c>
      <c r="E326" s="64" t="s">
        <v>324</v>
      </c>
      <c r="F326" s="65" t="s">
        <v>381</v>
      </c>
      <c r="G326" s="64" t="s">
        <v>328</v>
      </c>
      <c r="H326" s="64" t="s">
        <v>205</v>
      </c>
      <c r="I326" s="64" t="s">
        <v>10</v>
      </c>
      <c r="J326" s="64" t="s">
        <v>201</v>
      </c>
      <c r="K326" s="66">
        <v>33.9</v>
      </c>
      <c r="L326" s="66">
        <f>K326*VLOOKUP(I326,dagsoorttabel1,2,FALSE)</f>
        <v>33.9</v>
      </c>
      <c r="M326" s="67">
        <f>prodnorm26</f>
        <v>0</v>
      </c>
      <c r="N326" s="68">
        <f>dagwerk26</f>
        <v>0</v>
      </c>
      <c r="O326" s="64" t="s">
        <v>38</v>
      </c>
      <c r="P326" s="69">
        <f>uurtarief26</f>
        <v>0</v>
      </c>
      <c r="Q326" s="66" t="e">
        <f>IF(ISBLANK(M326),0,L326/ROUND(M326,4))</f>
        <v>#DIV/0!</v>
      </c>
      <c r="R326" s="66" t="e">
        <f>IF(ISBLANK(M326),0,Q326*ROUND(N326,2))</f>
        <v>#DIV/0!</v>
      </c>
      <c r="S326" s="69" t="e">
        <f>ROUND(P326,2)*Q326</f>
        <v>#DIV/0!</v>
      </c>
      <c r="T326" s="66" t="e">
        <f>Q326*dagenperjaar1</f>
        <v>#DIV/0!</v>
      </c>
      <c r="U326" s="70" t="e">
        <f>T326*ROUND(P326,2)</f>
        <v>#DIV/0!</v>
      </c>
    </row>
    <row r="327" spans="1:21" x14ac:dyDescent="0.2">
      <c r="A327" s="63" t="s">
        <v>530</v>
      </c>
      <c r="B327" s="64" t="s">
        <v>324</v>
      </c>
      <c r="C327" s="64" t="s">
        <v>345</v>
      </c>
      <c r="D327" s="64" t="s">
        <v>883</v>
      </c>
      <c r="E327" s="64" t="s">
        <v>324</v>
      </c>
      <c r="F327" s="65" t="s">
        <v>884</v>
      </c>
      <c r="G327" s="64" t="s">
        <v>328</v>
      </c>
      <c r="H327" s="64" t="s">
        <v>209</v>
      </c>
      <c r="I327" s="64" t="s">
        <v>10</v>
      </c>
      <c r="J327" s="64" t="s">
        <v>201</v>
      </c>
      <c r="K327" s="66">
        <v>99.7</v>
      </c>
      <c r="L327" s="66">
        <f>K327*VLOOKUP(I327,dagsoorttabel1,2,FALSE)</f>
        <v>99.7</v>
      </c>
      <c r="M327" s="67">
        <f>prodnorm30</f>
        <v>0</v>
      </c>
      <c r="N327" s="68">
        <f>dagwerk30</f>
        <v>0</v>
      </c>
      <c r="O327" s="64" t="s">
        <v>38</v>
      </c>
      <c r="P327" s="69">
        <f>uurtarief30</f>
        <v>0</v>
      </c>
      <c r="Q327" s="66" t="e">
        <f>IF(ISBLANK(M327),0,L327/ROUND(M327,4))</f>
        <v>#DIV/0!</v>
      </c>
      <c r="R327" s="66" t="e">
        <f>IF(ISBLANK(M327),0,Q327*ROUND(N327,2))</f>
        <v>#DIV/0!</v>
      </c>
      <c r="S327" s="69" t="e">
        <f>ROUND(P327,2)*Q327</f>
        <v>#DIV/0!</v>
      </c>
      <c r="T327" s="66" t="e">
        <f>Q327*dagenperjaar1</f>
        <v>#DIV/0!</v>
      </c>
      <c r="U327" s="70" t="e">
        <f>T327*ROUND(P327,2)</f>
        <v>#DIV/0!</v>
      </c>
    </row>
    <row r="328" spans="1:21" x14ac:dyDescent="0.2">
      <c r="A328" s="63" t="s">
        <v>530</v>
      </c>
      <c r="B328" s="64" t="s">
        <v>324</v>
      </c>
      <c r="C328" s="64" t="s">
        <v>345</v>
      </c>
      <c r="D328" s="64" t="s">
        <v>885</v>
      </c>
      <c r="E328" s="64" t="s">
        <v>324</v>
      </c>
      <c r="F328" s="65" t="s">
        <v>884</v>
      </c>
      <c r="G328" s="64" t="s">
        <v>857</v>
      </c>
      <c r="H328" s="64" t="s">
        <v>209</v>
      </c>
      <c r="I328" s="64" t="s">
        <v>10</v>
      </c>
      <c r="J328" s="64" t="s">
        <v>201</v>
      </c>
      <c r="K328" s="66">
        <v>78.400000000000006</v>
      </c>
      <c r="L328" s="66">
        <f>K328*VLOOKUP(I328,dagsoorttabel1,2,FALSE)</f>
        <v>78.400000000000006</v>
      </c>
      <c r="M328" s="67">
        <f>prodnorm30</f>
        <v>0</v>
      </c>
      <c r="N328" s="68">
        <f>dagwerk30</f>
        <v>0</v>
      </c>
      <c r="O328" s="64" t="s">
        <v>38</v>
      </c>
      <c r="P328" s="69">
        <f>uurtarief30</f>
        <v>0</v>
      </c>
      <c r="Q328" s="66" t="e">
        <f>IF(ISBLANK(M328),0,L328/ROUND(M328,4))</f>
        <v>#DIV/0!</v>
      </c>
      <c r="R328" s="66" t="e">
        <f>IF(ISBLANK(M328),0,Q328*ROUND(N328,2))</f>
        <v>#DIV/0!</v>
      </c>
      <c r="S328" s="69" t="e">
        <f>ROUND(P328,2)*Q328</f>
        <v>#DIV/0!</v>
      </c>
      <c r="T328" s="66" t="e">
        <f>Q328*dagenperjaar1</f>
        <v>#DIV/0!</v>
      </c>
      <c r="U328" s="70" t="e">
        <f>T328*ROUND(P328,2)</f>
        <v>#DIV/0!</v>
      </c>
    </row>
    <row r="329" spans="1:21" x14ac:dyDescent="0.2">
      <c r="A329" s="63" t="s">
        <v>530</v>
      </c>
      <c r="B329" s="64" t="s">
        <v>324</v>
      </c>
      <c r="C329" s="64" t="s">
        <v>345</v>
      </c>
      <c r="D329" s="64" t="s">
        <v>886</v>
      </c>
      <c r="E329" s="64" t="s">
        <v>324</v>
      </c>
      <c r="F329" s="65" t="s">
        <v>457</v>
      </c>
      <c r="G329" s="64" t="s">
        <v>328</v>
      </c>
      <c r="H329" s="64" t="s">
        <v>229</v>
      </c>
      <c r="I329" s="64" t="s">
        <v>10</v>
      </c>
      <c r="J329" s="64" t="s">
        <v>201</v>
      </c>
      <c r="K329" s="66">
        <v>59.1</v>
      </c>
      <c r="L329" s="66">
        <f>K329*VLOOKUP(I329,dagsoorttabel1,2,FALSE)</f>
        <v>59.1</v>
      </c>
      <c r="M329" s="67">
        <f>prodnorm43</f>
        <v>0</v>
      </c>
      <c r="N329" s="68">
        <f>dagwerk43</f>
        <v>0</v>
      </c>
      <c r="O329" s="64" t="s">
        <v>38</v>
      </c>
      <c r="P329" s="69">
        <f>uurtarief43</f>
        <v>0</v>
      </c>
      <c r="Q329" s="66" t="e">
        <f>IF(ISBLANK(M329),0,L329/ROUND(M329,4))</f>
        <v>#DIV/0!</v>
      </c>
      <c r="R329" s="66" t="e">
        <f>IF(ISBLANK(M329),0,Q329*ROUND(N329,2))</f>
        <v>#DIV/0!</v>
      </c>
      <c r="S329" s="69" t="e">
        <f>ROUND(P329,2)*Q329</f>
        <v>#DIV/0!</v>
      </c>
      <c r="T329" s="66" t="e">
        <f>Q329*dagenperjaar1</f>
        <v>#DIV/0!</v>
      </c>
      <c r="U329" s="70" t="e">
        <f>T329*ROUND(P329,2)</f>
        <v>#DIV/0!</v>
      </c>
    </row>
    <row r="330" spans="1:21" x14ac:dyDescent="0.2">
      <c r="A330" s="63" t="s">
        <v>530</v>
      </c>
      <c r="B330" s="64" t="s">
        <v>324</v>
      </c>
      <c r="C330" s="64" t="s">
        <v>345</v>
      </c>
      <c r="D330" s="64" t="s">
        <v>887</v>
      </c>
      <c r="E330" s="64" t="s">
        <v>324</v>
      </c>
      <c r="F330" s="65" t="s">
        <v>884</v>
      </c>
      <c r="G330" s="64" t="s">
        <v>328</v>
      </c>
      <c r="H330" s="64" t="s">
        <v>209</v>
      </c>
      <c r="I330" s="64" t="s">
        <v>10</v>
      </c>
      <c r="J330" s="64" t="s">
        <v>201</v>
      </c>
      <c r="K330" s="66">
        <v>90.3</v>
      </c>
      <c r="L330" s="66">
        <f>K330*VLOOKUP(I330,dagsoorttabel1,2,FALSE)</f>
        <v>90.3</v>
      </c>
      <c r="M330" s="67">
        <f>prodnorm30</f>
        <v>0</v>
      </c>
      <c r="N330" s="68">
        <f>dagwerk30</f>
        <v>0</v>
      </c>
      <c r="O330" s="64" t="s">
        <v>38</v>
      </c>
      <c r="P330" s="69">
        <f>uurtarief30</f>
        <v>0</v>
      </c>
      <c r="Q330" s="66" t="e">
        <f>IF(ISBLANK(M330),0,L330/ROUND(M330,4))</f>
        <v>#DIV/0!</v>
      </c>
      <c r="R330" s="66" t="e">
        <f>IF(ISBLANK(M330),0,Q330*ROUND(N330,2))</f>
        <v>#DIV/0!</v>
      </c>
      <c r="S330" s="69" t="e">
        <f>ROUND(P330,2)*Q330</f>
        <v>#DIV/0!</v>
      </c>
      <c r="T330" s="66" t="e">
        <f>Q330*dagenperjaar1</f>
        <v>#DIV/0!</v>
      </c>
      <c r="U330" s="70" t="e">
        <f>T330*ROUND(P330,2)</f>
        <v>#DIV/0!</v>
      </c>
    </row>
    <row r="331" spans="1:21" x14ac:dyDescent="0.2">
      <c r="A331" s="63" t="s">
        <v>530</v>
      </c>
      <c r="B331" s="64" t="s">
        <v>324</v>
      </c>
      <c r="C331" s="64" t="s">
        <v>345</v>
      </c>
      <c r="D331" s="64" t="s">
        <v>888</v>
      </c>
      <c r="E331" s="64" t="s">
        <v>324</v>
      </c>
      <c r="F331" s="65" t="s">
        <v>457</v>
      </c>
      <c r="G331" s="64" t="s">
        <v>328</v>
      </c>
      <c r="H331" s="64" t="s">
        <v>229</v>
      </c>
      <c r="I331" s="64" t="s">
        <v>10</v>
      </c>
      <c r="J331" s="64" t="s">
        <v>201</v>
      </c>
      <c r="K331" s="66">
        <v>54.8</v>
      </c>
      <c r="L331" s="66">
        <f>K331*VLOOKUP(I331,dagsoorttabel1,2,FALSE)</f>
        <v>54.8</v>
      </c>
      <c r="M331" s="67">
        <f>prodnorm43</f>
        <v>0</v>
      </c>
      <c r="N331" s="68">
        <f>dagwerk43</f>
        <v>0</v>
      </c>
      <c r="O331" s="64" t="s">
        <v>38</v>
      </c>
      <c r="P331" s="69">
        <f>uurtarief43</f>
        <v>0</v>
      </c>
      <c r="Q331" s="66" t="e">
        <f>IF(ISBLANK(M331),0,L331/ROUND(M331,4))</f>
        <v>#DIV/0!</v>
      </c>
      <c r="R331" s="66" t="e">
        <f>IF(ISBLANK(M331),0,Q331*ROUND(N331,2))</f>
        <v>#DIV/0!</v>
      </c>
      <c r="S331" s="69" t="e">
        <f>ROUND(P331,2)*Q331</f>
        <v>#DIV/0!</v>
      </c>
      <c r="T331" s="66" t="e">
        <f>Q331*dagenperjaar1</f>
        <v>#DIV/0!</v>
      </c>
      <c r="U331" s="70" t="e">
        <f>T331*ROUND(P331,2)</f>
        <v>#DIV/0!</v>
      </c>
    </row>
    <row r="332" spans="1:21" x14ac:dyDescent="0.2">
      <c r="A332" s="63" t="s">
        <v>530</v>
      </c>
      <c r="B332" s="64" t="s">
        <v>324</v>
      </c>
      <c r="C332" s="64" t="s">
        <v>345</v>
      </c>
      <c r="D332" s="64" t="s">
        <v>889</v>
      </c>
      <c r="E332" s="64" t="s">
        <v>324</v>
      </c>
      <c r="F332" s="65" t="s">
        <v>457</v>
      </c>
      <c r="G332" s="64" t="s">
        <v>328</v>
      </c>
      <c r="H332" s="64" t="s">
        <v>229</v>
      </c>
      <c r="I332" s="64" t="s">
        <v>10</v>
      </c>
      <c r="J332" s="64" t="s">
        <v>201</v>
      </c>
      <c r="K332" s="66">
        <v>53.8</v>
      </c>
      <c r="L332" s="66">
        <f>K332*VLOOKUP(I332,dagsoorttabel1,2,FALSE)</f>
        <v>53.8</v>
      </c>
      <c r="M332" s="67">
        <f>prodnorm43</f>
        <v>0</v>
      </c>
      <c r="N332" s="68">
        <f>dagwerk43</f>
        <v>0</v>
      </c>
      <c r="O332" s="64" t="s">
        <v>38</v>
      </c>
      <c r="P332" s="69">
        <f>uurtarief43</f>
        <v>0</v>
      </c>
      <c r="Q332" s="66" t="e">
        <f>IF(ISBLANK(M332),0,L332/ROUND(M332,4))</f>
        <v>#DIV/0!</v>
      </c>
      <c r="R332" s="66" t="e">
        <f>IF(ISBLANK(M332),0,Q332*ROUND(N332,2))</f>
        <v>#DIV/0!</v>
      </c>
      <c r="S332" s="69" t="e">
        <f>ROUND(P332,2)*Q332</f>
        <v>#DIV/0!</v>
      </c>
      <c r="T332" s="66" t="e">
        <f>Q332*dagenperjaar1</f>
        <v>#DIV/0!</v>
      </c>
      <c r="U332" s="70" t="e">
        <f>T332*ROUND(P332,2)</f>
        <v>#DIV/0!</v>
      </c>
    </row>
    <row r="333" spans="1:21" x14ac:dyDescent="0.2">
      <c r="A333" s="63" t="s">
        <v>530</v>
      </c>
      <c r="B333" s="64" t="s">
        <v>324</v>
      </c>
      <c r="C333" s="64" t="s">
        <v>345</v>
      </c>
      <c r="D333" s="64" t="s">
        <v>890</v>
      </c>
      <c r="E333" s="64" t="s">
        <v>324</v>
      </c>
      <c r="F333" s="65" t="s">
        <v>335</v>
      </c>
      <c r="G333" s="64" t="s">
        <v>328</v>
      </c>
      <c r="H333" s="64" t="s">
        <v>267</v>
      </c>
      <c r="I333" s="64" t="s">
        <v>10</v>
      </c>
      <c r="J333" s="64" t="s">
        <v>201</v>
      </c>
      <c r="K333" s="66">
        <v>47.6</v>
      </c>
      <c r="L333" s="66">
        <f>K333*VLOOKUP(I333,dagsoorttabel1,2,FALSE)</f>
        <v>47.6</v>
      </c>
      <c r="M333" s="67">
        <f>prodnorm65</f>
        <v>0</v>
      </c>
      <c r="N333" s="68">
        <f>dagwerk65</f>
        <v>0</v>
      </c>
      <c r="O333" s="64" t="s">
        <v>38</v>
      </c>
      <c r="P333" s="69">
        <f>uurtarief65</f>
        <v>0</v>
      </c>
      <c r="Q333" s="66" t="e">
        <f>IF(ISBLANK(M333),0,L333/ROUND(M333,4))</f>
        <v>#DIV/0!</v>
      </c>
      <c r="R333" s="66" t="e">
        <f>IF(ISBLANK(M333),0,Q333*ROUND(N333,2))</f>
        <v>#DIV/0!</v>
      </c>
      <c r="S333" s="69" t="e">
        <f>ROUND(P333,2)*Q333</f>
        <v>#DIV/0!</v>
      </c>
      <c r="T333" s="66" t="e">
        <f>Q333*dagenperjaar1</f>
        <v>#DIV/0!</v>
      </c>
      <c r="U333" s="70" t="e">
        <f>T333*ROUND(P333,2)</f>
        <v>#DIV/0!</v>
      </c>
    </row>
    <row r="334" spans="1:21" x14ac:dyDescent="0.2">
      <c r="A334" s="63" t="s">
        <v>530</v>
      </c>
      <c r="B334" s="64" t="s">
        <v>324</v>
      </c>
      <c r="C334" s="64" t="s">
        <v>345</v>
      </c>
      <c r="D334" s="64" t="s">
        <v>891</v>
      </c>
      <c r="E334" s="64" t="s">
        <v>324</v>
      </c>
      <c r="F334" s="65" t="s">
        <v>381</v>
      </c>
      <c r="G334" s="64" t="s">
        <v>328</v>
      </c>
      <c r="H334" s="64" t="s">
        <v>205</v>
      </c>
      <c r="I334" s="64" t="s">
        <v>10</v>
      </c>
      <c r="J334" s="64" t="s">
        <v>201</v>
      </c>
      <c r="K334" s="66">
        <v>44.5</v>
      </c>
      <c r="L334" s="66">
        <f>K334*VLOOKUP(I334,dagsoorttabel1,2,FALSE)</f>
        <v>44.5</v>
      </c>
      <c r="M334" s="67">
        <f>prodnorm26</f>
        <v>0</v>
      </c>
      <c r="N334" s="68">
        <f>dagwerk26</f>
        <v>0</v>
      </c>
      <c r="O334" s="64" t="s">
        <v>38</v>
      </c>
      <c r="P334" s="69">
        <f>uurtarief26</f>
        <v>0</v>
      </c>
      <c r="Q334" s="66" t="e">
        <f>IF(ISBLANK(M334),0,L334/ROUND(M334,4))</f>
        <v>#DIV/0!</v>
      </c>
      <c r="R334" s="66" t="e">
        <f>IF(ISBLANK(M334),0,Q334*ROUND(N334,2))</f>
        <v>#DIV/0!</v>
      </c>
      <c r="S334" s="69" t="e">
        <f>ROUND(P334,2)*Q334</f>
        <v>#DIV/0!</v>
      </c>
      <c r="T334" s="66" t="e">
        <f>Q334*dagenperjaar1</f>
        <v>#DIV/0!</v>
      </c>
      <c r="U334" s="70" t="e">
        <f>T334*ROUND(P334,2)</f>
        <v>#DIV/0!</v>
      </c>
    </row>
    <row r="335" spans="1:21" x14ac:dyDescent="0.2">
      <c r="A335" s="63" t="s">
        <v>530</v>
      </c>
      <c r="B335" s="64" t="s">
        <v>324</v>
      </c>
      <c r="C335" s="64" t="s">
        <v>345</v>
      </c>
      <c r="D335" s="64" t="s">
        <v>892</v>
      </c>
      <c r="E335" s="64" t="s">
        <v>324</v>
      </c>
      <c r="F335" s="65" t="s">
        <v>852</v>
      </c>
      <c r="G335" s="64" t="s">
        <v>328</v>
      </c>
      <c r="H335" s="64" t="s">
        <v>229</v>
      </c>
      <c r="I335" s="64" t="s">
        <v>10</v>
      </c>
      <c r="J335" s="64" t="s">
        <v>201</v>
      </c>
      <c r="K335" s="66">
        <v>66.5</v>
      </c>
      <c r="L335" s="66">
        <f>K335*VLOOKUP(I335,dagsoorttabel1,2,FALSE)</f>
        <v>66.5</v>
      </c>
      <c r="M335" s="67">
        <f>prodnorm43</f>
        <v>0</v>
      </c>
      <c r="N335" s="68">
        <f>dagwerk43</f>
        <v>0</v>
      </c>
      <c r="O335" s="64" t="s">
        <v>38</v>
      </c>
      <c r="P335" s="69">
        <f>uurtarief43</f>
        <v>0</v>
      </c>
      <c r="Q335" s="66" t="e">
        <f>IF(ISBLANK(M335),0,L335/ROUND(M335,4))</f>
        <v>#DIV/0!</v>
      </c>
      <c r="R335" s="66" t="e">
        <f>IF(ISBLANK(M335),0,Q335*ROUND(N335,2))</f>
        <v>#DIV/0!</v>
      </c>
      <c r="S335" s="69" t="e">
        <f>ROUND(P335,2)*Q335</f>
        <v>#DIV/0!</v>
      </c>
      <c r="T335" s="66" t="e">
        <f>Q335*dagenperjaar1</f>
        <v>#DIV/0!</v>
      </c>
      <c r="U335" s="70" t="e">
        <f>T335*ROUND(P335,2)</f>
        <v>#DIV/0!</v>
      </c>
    </row>
    <row r="336" spans="1:21" x14ac:dyDescent="0.2">
      <c r="A336" s="63" t="s">
        <v>530</v>
      </c>
      <c r="B336" s="64" t="s">
        <v>324</v>
      </c>
      <c r="C336" s="64" t="s">
        <v>345</v>
      </c>
      <c r="D336" s="64" t="s">
        <v>893</v>
      </c>
      <c r="E336" s="64" t="s">
        <v>324</v>
      </c>
      <c r="F336" s="65" t="s">
        <v>894</v>
      </c>
      <c r="G336" s="64" t="s">
        <v>328</v>
      </c>
      <c r="H336" s="64" t="s">
        <v>205</v>
      </c>
      <c r="I336" s="64" t="s">
        <v>10</v>
      </c>
      <c r="J336" s="64" t="s">
        <v>201</v>
      </c>
      <c r="K336" s="66">
        <v>36.6</v>
      </c>
      <c r="L336" s="66">
        <f>K336*VLOOKUP(I336,dagsoorttabel1,2,FALSE)</f>
        <v>36.6</v>
      </c>
      <c r="M336" s="67">
        <f>prodnorm26</f>
        <v>0</v>
      </c>
      <c r="N336" s="68">
        <f>dagwerk26</f>
        <v>0</v>
      </c>
      <c r="O336" s="64" t="s">
        <v>38</v>
      </c>
      <c r="P336" s="69">
        <f>uurtarief26</f>
        <v>0</v>
      </c>
      <c r="Q336" s="66" t="e">
        <f>IF(ISBLANK(M336),0,L336/ROUND(M336,4))</f>
        <v>#DIV/0!</v>
      </c>
      <c r="R336" s="66" t="e">
        <f>IF(ISBLANK(M336),0,Q336*ROUND(N336,2))</f>
        <v>#DIV/0!</v>
      </c>
      <c r="S336" s="69" t="e">
        <f>ROUND(P336,2)*Q336</f>
        <v>#DIV/0!</v>
      </c>
      <c r="T336" s="66" t="e">
        <f>Q336*dagenperjaar1</f>
        <v>#DIV/0!</v>
      </c>
      <c r="U336" s="70" t="e">
        <f>T336*ROUND(P336,2)</f>
        <v>#DIV/0!</v>
      </c>
    </row>
    <row r="337" spans="1:21" x14ac:dyDescent="0.2">
      <c r="A337" s="63" t="s">
        <v>530</v>
      </c>
      <c r="B337" s="64" t="s">
        <v>324</v>
      </c>
      <c r="C337" s="64" t="s">
        <v>345</v>
      </c>
      <c r="D337" s="64" t="s">
        <v>895</v>
      </c>
      <c r="E337" s="64" t="s">
        <v>324</v>
      </c>
      <c r="F337" s="65" t="s">
        <v>896</v>
      </c>
      <c r="G337" s="64" t="s">
        <v>328</v>
      </c>
      <c r="H337" s="64" t="s">
        <v>205</v>
      </c>
      <c r="I337" s="64" t="s">
        <v>10</v>
      </c>
      <c r="J337" s="64" t="s">
        <v>201</v>
      </c>
      <c r="K337" s="66">
        <v>32.700000000000003</v>
      </c>
      <c r="L337" s="66">
        <f>K337*VLOOKUP(I337,dagsoorttabel1,2,FALSE)</f>
        <v>32.700000000000003</v>
      </c>
      <c r="M337" s="67">
        <f>prodnorm26</f>
        <v>0</v>
      </c>
      <c r="N337" s="68">
        <f>dagwerk26</f>
        <v>0</v>
      </c>
      <c r="O337" s="64" t="s">
        <v>38</v>
      </c>
      <c r="P337" s="69">
        <f>uurtarief26</f>
        <v>0</v>
      </c>
      <c r="Q337" s="66" t="e">
        <f>IF(ISBLANK(M337),0,L337/ROUND(M337,4))</f>
        <v>#DIV/0!</v>
      </c>
      <c r="R337" s="66" t="e">
        <f>IF(ISBLANK(M337),0,Q337*ROUND(N337,2))</f>
        <v>#DIV/0!</v>
      </c>
      <c r="S337" s="69" t="e">
        <f>ROUND(P337,2)*Q337</f>
        <v>#DIV/0!</v>
      </c>
      <c r="T337" s="66" t="e">
        <f>Q337*dagenperjaar1</f>
        <v>#DIV/0!</v>
      </c>
      <c r="U337" s="70" t="e">
        <f>T337*ROUND(P337,2)</f>
        <v>#DIV/0!</v>
      </c>
    </row>
    <row r="338" spans="1:21" x14ac:dyDescent="0.2">
      <c r="A338" s="63" t="s">
        <v>530</v>
      </c>
      <c r="B338" s="64" t="s">
        <v>324</v>
      </c>
      <c r="C338" s="64" t="s">
        <v>345</v>
      </c>
      <c r="D338" s="64" t="s">
        <v>897</v>
      </c>
      <c r="E338" s="64" t="s">
        <v>324</v>
      </c>
      <c r="F338" s="65" t="s">
        <v>595</v>
      </c>
      <c r="G338" s="64" t="s">
        <v>328</v>
      </c>
      <c r="H338" s="64" t="s">
        <v>205</v>
      </c>
      <c r="I338" s="64" t="s">
        <v>10</v>
      </c>
      <c r="J338" s="64" t="s">
        <v>201</v>
      </c>
      <c r="K338" s="66">
        <v>28.7</v>
      </c>
      <c r="L338" s="66">
        <f>K338*VLOOKUP(I338,dagsoorttabel1,2,FALSE)</f>
        <v>28.7</v>
      </c>
      <c r="M338" s="67">
        <f>prodnorm26</f>
        <v>0</v>
      </c>
      <c r="N338" s="68">
        <f>dagwerk26</f>
        <v>0</v>
      </c>
      <c r="O338" s="64" t="s">
        <v>38</v>
      </c>
      <c r="P338" s="69">
        <f>uurtarief26</f>
        <v>0</v>
      </c>
      <c r="Q338" s="66" t="e">
        <f>IF(ISBLANK(M338),0,L338/ROUND(M338,4))</f>
        <v>#DIV/0!</v>
      </c>
      <c r="R338" s="66" t="e">
        <f>IF(ISBLANK(M338),0,Q338*ROUND(N338,2))</f>
        <v>#DIV/0!</v>
      </c>
      <c r="S338" s="69" t="e">
        <f>ROUND(P338,2)*Q338</f>
        <v>#DIV/0!</v>
      </c>
      <c r="T338" s="66" t="e">
        <f>Q338*dagenperjaar1</f>
        <v>#DIV/0!</v>
      </c>
      <c r="U338" s="70" t="e">
        <f>T338*ROUND(P338,2)</f>
        <v>#DIV/0!</v>
      </c>
    </row>
    <row r="339" spans="1:21" x14ac:dyDescent="0.2">
      <c r="A339" s="63" t="s">
        <v>530</v>
      </c>
      <c r="B339" s="64" t="s">
        <v>324</v>
      </c>
      <c r="C339" s="64" t="s">
        <v>345</v>
      </c>
      <c r="D339" s="64" t="s">
        <v>898</v>
      </c>
      <c r="E339" s="64" t="s">
        <v>324</v>
      </c>
      <c r="F339" s="65" t="s">
        <v>595</v>
      </c>
      <c r="G339" s="64" t="s">
        <v>328</v>
      </c>
      <c r="H339" s="64" t="s">
        <v>205</v>
      </c>
      <c r="I339" s="64" t="s">
        <v>10</v>
      </c>
      <c r="J339" s="64" t="s">
        <v>201</v>
      </c>
      <c r="K339" s="66">
        <v>17.5</v>
      </c>
      <c r="L339" s="66">
        <f>K339*VLOOKUP(I339,dagsoorttabel1,2,FALSE)</f>
        <v>17.5</v>
      </c>
      <c r="M339" s="67">
        <f>prodnorm26</f>
        <v>0</v>
      </c>
      <c r="N339" s="68">
        <f>dagwerk26</f>
        <v>0</v>
      </c>
      <c r="O339" s="64" t="s">
        <v>38</v>
      </c>
      <c r="P339" s="69">
        <f>uurtarief26</f>
        <v>0</v>
      </c>
      <c r="Q339" s="66" t="e">
        <f>IF(ISBLANK(M339),0,L339/ROUND(M339,4))</f>
        <v>#DIV/0!</v>
      </c>
      <c r="R339" s="66" t="e">
        <f>IF(ISBLANK(M339),0,Q339*ROUND(N339,2))</f>
        <v>#DIV/0!</v>
      </c>
      <c r="S339" s="69" t="e">
        <f>ROUND(P339,2)*Q339</f>
        <v>#DIV/0!</v>
      </c>
      <c r="T339" s="66" t="e">
        <f>Q339*dagenperjaar1</f>
        <v>#DIV/0!</v>
      </c>
      <c r="U339" s="70" t="e">
        <f>T339*ROUND(P339,2)</f>
        <v>#DIV/0!</v>
      </c>
    </row>
    <row r="340" spans="1:21" x14ac:dyDescent="0.2">
      <c r="A340" s="63" t="s">
        <v>530</v>
      </c>
      <c r="B340" s="64" t="s">
        <v>324</v>
      </c>
      <c r="C340" s="64" t="s">
        <v>345</v>
      </c>
      <c r="D340" s="64" t="s">
        <v>899</v>
      </c>
      <c r="E340" s="64" t="s">
        <v>324</v>
      </c>
      <c r="F340" s="65" t="s">
        <v>623</v>
      </c>
      <c r="G340" s="64" t="s">
        <v>328</v>
      </c>
      <c r="H340" s="64" t="s">
        <v>205</v>
      </c>
      <c r="I340" s="64" t="s">
        <v>10</v>
      </c>
      <c r="J340" s="64" t="s">
        <v>201</v>
      </c>
      <c r="K340" s="66">
        <v>77.5</v>
      </c>
      <c r="L340" s="66">
        <f>K340*VLOOKUP(I340,dagsoorttabel1,2,FALSE)</f>
        <v>77.5</v>
      </c>
      <c r="M340" s="67">
        <f>prodnorm26</f>
        <v>0</v>
      </c>
      <c r="N340" s="68">
        <f>dagwerk26</f>
        <v>0</v>
      </c>
      <c r="O340" s="64" t="s">
        <v>38</v>
      </c>
      <c r="P340" s="69">
        <f>uurtarief26</f>
        <v>0</v>
      </c>
      <c r="Q340" s="66" t="e">
        <f>IF(ISBLANK(M340),0,L340/ROUND(M340,4))</f>
        <v>#DIV/0!</v>
      </c>
      <c r="R340" s="66" t="e">
        <f>IF(ISBLANK(M340),0,Q340*ROUND(N340,2))</f>
        <v>#DIV/0!</v>
      </c>
      <c r="S340" s="69" t="e">
        <f>ROUND(P340,2)*Q340</f>
        <v>#DIV/0!</v>
      </c>
      <c r="T340" s="66" t="e">
        <f>Q340*dagenperjaar1</f>
        <v>#DIV/0!</v>
      </c>
      <c r="U340" s="70" t="e">
        <f>T340*ROUND(P340,2)</f>
        <v>#DIV/0!</v>
      </c>
    </row>
    <row r="341" spans="1:21" x14ac:dyDescent="0.2">
      <c r="A341" s="63" t="s">
        <v>530</v>
      </c>
      <c r="B341" s="64" t="s">
        <v>324</v>
      </c>
      <c r="C341" s="64" t="s">
        <v>345</v>
      </c>
      <c r="D341" s="64" t="s">
        <v>900</v>
      </c>
      <c r="E341" s="64" t="s">
        <v>324</v>
      </c>
      <c r="F341" s="65" t="s">
        <v>901</v>
      </c>
      <c r="G341" s="64" t="s">
        <v>328</v>
      </c>
      <c r="H341" s="64" t="s">
        <v>267</v>
      </c>
      <c r="I341" s="64" t="s">
        <v>10</v>
      </c>
      <c r="J341" s="64" t="s">
        <v>201</v>
      </c>
      <c r="K341" s="66">
        <v>93.2</v>
      </c>
      <c r="L341" s="66">
        <f>K341*VLOOKUP(I341,dagsoorttabel1,2,FALSE)</f>
        <v>93.2</v>
      </c>
      <c r="M341" s="67">
        <f>prodnorm65</f>
        <v>0</v>
      </c>
      <c r="N341" s="68">
        <f>dagwerk65</f>
        <v>0</v>
      </c>
      <c r="O341" s="64" t="s">
        <v>38</v>
      </c>
      <c r="P341" s="69">
        <f>uurtarief65</f>
        <v>0</v>
      </c>
      <c r="Q341" s="66" t="e">
        <f>IF(ISBLANK(M341),0,L341/ROUND(M341,4))</f>
        <v>#DIV/0!</v>
      </c>
      <c r="R341" s="66" t="e">
        <f>IF(ISBLANK(M341),0,Q341*ROUND(N341,2))</f>
        <v>#DIV/0!</v>
      </c>
      <c r="S341" s="69" t="e">
        <f>ROUND(P341,2)*Q341</f>
        <v>#DIV/0!</v>
      </c>
      <c r="T341" s="66" t="e">
        <f>Q341*dagenperjaar1</f>
        <v>#DIV/0!</v>
      </c>
      <c r="U341" s="70" t="e">
        <f>T341*ROUND(P341,2)</f>
        <v>#DIV/0!</v>
      </c>
    </row>
    <row r="342" spans="1:21" x14ac:dyDescent="0.2">
      <c r="A342" s="63" t="s">
        <v>530</v>
      </c>
      <c r="B342" s="64" t="s">
        <v>324</v>
      </c>
      <c r="C342" s="64" t="s">
        <v>345</v>
      </c>
      <c r="D342" s="64" t="s">
        <v>902</v>
      </c>
      <c r="E342" s="64" t="s">
        <v>324</v>
      </c>
      <c r="F342" s="65" t="s">
        <v>903</v>
      </c>
      <c r="G342" s="64" t="s">
        <v>328</v>
      </c>
      <c r="H342" s="64" t="s">
        <v>267</v>
      </c>
      <c r="I342" s="64" t="s">
        <v>10</v>
      </c>
      <c r="J342" s="64" t="s">
        <v>201</v>
      </c>
      <c r="K342" s="66">
        <v>82.5</v>
      </c>
      <c r="L342" s="66">
        <f>K342*VLOOKUP(I342,dagsoorttabel1,2,FALSE)</f>
        <v>82.5</v>
      </c>
      <c r="M342" s="67">
        <f>prodnorm65</f>
        <v>0</v>
      </c>
      <c r="N342" s="68">
        <f>dagwerk65</f>
        <v>0</v>
      </c>
      <c r="O342" s="64" t="s">
        <v>38</v>
      </c>
      <c r="P342" s="69">
        <f>uurtarief65</f>
        <v>0</v>
      </c>
      <c r="Q342" s="66" t="e">
        <f>IF(ISBLANK(M342),0,L342/ROUND(M342,4))</f>
        <v>#DIV/0!</v>
      </c>
      <c r="R342" s="66" t="e">
        <f>IF(ISBLANK(M342),0,Q342*ROUND(N342,2))</f>
        <v>#DIV/0!</v>
      </c>
      <c r="S342" s="69" t="e">
        <f>ROUND(P342,2)*Q342</f>
        <v>#DIV/0!</v>
      </c>
      <c r="T342" s="66" t="e">
        <f>Q342*dagenperjaar1</f>
        <v>#DIV/0!</v>
      </c>
      <c r="U342" s="70" t="e">
        <f>T342*ROUND(P342,2)</f>
        <v>#DIV/0!</v>
      </c>
    </row>
    <row r="343" spans="1:21" x14ac:dyDescent="0.2">
      <c r="A343" s="63" t="s">
        <v>530</v>
      </c>
      <c r="B343" s="64" t="s">
        <v>324</v>
      </c>
      <c r="C343" s="64" t="s">
        <v>345</v>
      </c>
      <c r="D343" s="64" t="s">
        <v>904</v>
      </c>
      <c r="E343" s="64" t="s">
        <v>324</v>
      </c>
      <c r="F343" s="65" t="s">
        <v>905</v>
      </c>
      <c r="G343" s="64" t="s">
        <v>328</v>
      </c>
      <c r="H343" s="64" t="s">
        <v>267</v>
      </c>
      <c r="I343" s="64" t="s">
        <v>10</v>
      </c>
      <c r="J343" s="64" t="s">
        <v>201</v>
      </c>
      <c r="K343" s="66">
        <v>65.099999999999994</v>
      </c>
      <c r="L343" s="66">
        <f>K343*VLOOKUP(I343,dagsoorttabel1,2,FALSE)</f>
        <v>65.099999999999994</v>
      </c>
      <c r="M343" s="67">
        <f>prodnorm65</f>
        <v>0</v>
      </c>
      <c r="N343" s="68">
        <f>dagwerk65</f>
        <v>0</v>
      </c>
      <c r="O343" s="64" t="s">
        <v>38</v>
      </c>
      <c r="P343" s="69">
        <f>uurtarief65</f>
        <v>0</v>
      </c>
      <c r="Q343" s="66" t="e">
        <f>IF(ISBLANK(M343),0,L343/ROUND(M343,4))</f>
        <v>#DIV/0!</v>
      </c>
      <c r="R343" s="66" t="e">
        <f>IF(ISBLANK(M343),0,Q343*ROUND(N343,2))</f>
        <v>#DIV/0!</v>
      </c>
      <c r="S343" s="69" t="e">
        <f>ROUND(P343,2)*Q343</f>
        <v>#DIV/0!</v>
      </c>
      <c r="T343" s="66" t="e">
        <f>Q343*dagenperjaar1</f>
        <v>#DIV/0!</v>
      </c>
      <c r="U343" s="70" t="e">
        <f>T343*ROUND(P343,2)</f>
        <v>#DIV/0!</v>
      </c>
    </row>
    <row r="344" spans="1:21" x14ac:dyDescent="0.2">
      <c r="A344" s="63" t="s">
        <v>530</v>
      </c>
      <c r="B344" s="64" t="s">
        <v>324</v>
      </c>
      <c r="C344" s="64" t="s">
        <v>345</v>
      </c>
      <c r="D344" s="64" t="s">
        <v>906</v>
      </c>
      <c r="E344" s="64" t="s">
        <v>324</v>
      </c>
      <c r="F344" s="65" t="s">
        <v>820</v>
      </c>
      <c r="G344" s="64" t="s">
        <v>857</v>
      </c>
      <c r="H344" s="64" t="s">
        <v>249</v>
      </c>
      <c r="I344" s="64" t="s">
        <v>10</v>
      </c>
      <c r="J344" s="64" t="s">
        <v>201</v>
      </c>
      <c r="K344" s="66">
        <v>260</v>
      </c>
      <c r="L344" s="66">
        <f>K344*VLOOKUP(I344,dagsoorttabel1,2,FALSE)</f>
        <v>260</v>
      </c>
      <c r="M344" s="67">
        <f>prodnorm56</f>
        <v>0</v>
      </c>
      <c r="N344" s="68">
        <f>dagwerk56</f>
        <v>0</v>
      </c>
      <c r="O344" s="64" t="s">
        <v>38</v>
      </c>
      <c r="P344" s="69">
        <f>uurtarief56</f>
        <v>0</v>
      </c>
      <c r="Q344" s="66" t="e">
        <f>IF(ISBLANK(M344),0,L344/ROUND(M344,4))</f>
        <v>#DIV/0!</v>
      </c>
      <c r="R344" s="66" t="e">
        <f>IF(ISBLANK(M344),0,Q344*ROUND(N344,2))</f>
        <v>#DIV/0!</v>
      </c>
      <c r="S344" s="69" t="e">
        <f>ROUND(P344,2)*Q344</f>
        <v>#DIV/0!</v>
      </c>
      <c r="T344" s="66" t="e">
        <f>Q344*dagenperjaar1</f>
        <v>#DIV/0!</v>
      </c>
      <c r="U344" s="70" t="e">
        <f>T344*ROUND(P344,2)</f>
        <v>#DIV/0!</v>
      </c>
    </row>
    <row r="345" spans="1:21" x14ac:dyDescent="0.2">
      <c r="A345" s="63" t="s">
        <v>530</v>
      </c>
      <c r="B345" s="64" t="s">
        <v>324</v>
      </c>
      <c r="C345" s="64" t="s">
        <v>345</v>
      </c>
      <c r="D345" s="64" t="s">
        <v>907</v>
      </c>
      <c r="E345" s="64" t="s">
        <v>324</v>
      </c>
      <c r="F345" s="65" t="s">
        <v>820</v>
      </c>
      <c r="G345" s="64" t="s">
        <v>857</v>
      </c>
      <c r="H345" s="64" t="s">
        <v>249</v>
      </c>
      <c r="I345" s="64" t="s">
        <v>10</v>
      </c>
      <c r="J345" s="64" t="s">
        <v>201</v>
      </c>
      <c r="K345" s="66">
        <v>81.099999999999994</v>
      </c>
      <c r="L345" s="66">
        <f>K345*VLOOKUP(I345,dagsoorttabel1,2,FALSE)</f>
        <v>81.099999999999994</v>
      </c>
      <c r="M345" s="67">
        <f>prodnorm56</f>
        <v>0</v>
      </c>
      <c r="N345" s="68">
        <f>dagwerk56</f>
        <v>0</v>
      </c>
      <c r="O345" s="64" t="s">
        <v>38</v>
      </c>
      <c r="P345" s="69">
        <f>uurtarief56</f>
        <v>0</v>
      </c>
      <c r="Q345" s="66" t="e">
        <f>IF(ISBLANK(M345),0,L345/ROUND(M345,4))</f>
        <v>#DIV/0!</v>
      </c>
      <c r="R345" s="66" t="e">
        <f>IF(ISBLANK(M345),0,Q345*ROUND(N345,2))</f>
        <v>#DIV/0!</v>
      </c>
      <c r="S345" s="69" t="e">
        <f>ROUND(P345,2)*Q345</f>
        <v>#DIV/0!</v>
      </c>
      <c r="T345" s="66" t="e">
        <f>Q345*dagenperjaar1</f>
        <v>#DIV/0!</v>
      </c>
      <c r="U345" s="70" t="e">
        <f>T345*ROUND(P345,2)</f>
        <v>#DIV/0!</v>
      </c>
    </row>
    <row r="346" spans="1:21" x14ac:dyDescent="0.2">
      <c r="A346" s="63" t="s">
        <v>530</v>
      </c>
      <c r="B346" s="64" t="s">
        <v>324</v>
      </c>
      <c r="C346" s="64" t="s">
        <v>345</v>
      </c>
      <c r="D346" s="64" t="s">
        <v>908</v>
      </c>
      <c r="E346" s="64" t="s">
        <v>324</v>
      </c>
      <c r="F346" s="65" t="s">
        <v>373</v>
      </c>
      <c r="G346" s="64" t="s">
        <v>862</v>
      </c>
      <c r="H346" s="64" t="s">
        <v>255</v>
      </c>
      <c r="I346" s="64" t="s">
        <v>10</v>
      </c>
      <c r="J346" s="64" t="s">
        <v>201</v>
      </c>
      <c r="K346" s="66">
        <v>16.5</v>
      </c>
      <c r="L346" s="66">
        <f>K346*VLOOKUP(I346,dagsoorttabel1,2,FALSE)</f>
        <v>16.5</v>
      </c>
      <c r="M346" s="67">
        <f>prodnorm59</f>
        <v>0</v>
      </c>
      <c r="N346" s="68">
        <f>dagwerk59</f>
        <v>0</v>
      </c>
      <c r="O346" s="64" t="s">
        <v>38</v>
      </c>
      <c r="P346" s="69">
        <f>uurtarief59</f>
        <v>0</v>
      </c>
      <c r="Q346" s="66" t="e">
        <f>IF(ISBLANK(M346),0,L346/ROUND(M346,4))</f>
        <v>#DIV/0!</v>
      </c>
      <c r="R346" s="66" t="e">
        <f>IF(ISBLANK(M346),0,Q346*ROUND(N346,2))</f>
        <v>#DIV/0!</v>
      </c>
      <c r="S346" s="69" t="e">
        <f>ROUND(P346,2)*Q346</f>
        <v>#DIV/0!</v>
      </c>
      <c r="T346" s="66" t="e">
        <f>Q346*dagenperjaar1</f>
        <v>#DIV/0!</v>
      </c>
      <c r="U346" s="70" t="e">
        <f>T346*ROUND(P346,2)</f>
        <v>#DIV/0!</v>
      </c>
    </row>
    <row r="347" spans="1:21" x14ac:dyDescent="0.2">
      <c r="A347" s="63" t="s">
        <v>530</v>
      </c>
      <c r="B347" s="64" t="s">
        <v>324</v>
      </c>
      <c r="C347" s="64" t="s">
        <v>345</v>
      </c>
      <c r="D347" s="64" t="s">
        <v>908</v>
      </c>
      <c r="E347" s="64" t="s">
        <v>324</v>
      </c>
      <c r="F347" s="65" t="s">
        <v>373</v>
      </c>
      <c r="G347" s="64" t="s">
        <v>862</v>
      </c>
      <c r="H347" s="64" t="s">
        <v>257</v>
      </c>
      <c r="I347" s="64" t="s">
        <v>10</v>
      </c>
      <c r="J347" s="64" t="s">
        <v>201</v>
      </c>
      <c r="K347" s="66">
        <v>16.5</v>
      </c>
      <c r="L347" s="66">
        <f>K347*VLOOKUP(I347,dagsoorttabel1,2,FALSE)</f>
        <v>16.5</v>
      </c>
      <c r="M347" s="67">
        <f>prodnorm60</f>
        <v>0</v>
      </c>
      <c r="N347" s="68">
        <f>dagwerk60</f>
        <v>0</v>
      </c>
      <c r="O347" s="64" t="s">
        <v>38</v>
      </c>
      <c r="P347" s="69">
        <f>uurtarief60</f>
        <v>0</v>
      </c>
      <c r="Q347" s="66" t="e">
        <f>IF(ISBLANK(M347),0,L347/ROUND(M347,4))</f>
        <v>#DIV/0!</v>
      </c>
      <c r="R347" s="66" t="e">
        <f>IF(ISBLANK(M347),0,Q347*ROUND(N347,2))</f>
        <v>#DIV/0!</v>
      </c>
      <c r="S347" s="69" t="e">
        <f>ROUND(P347,2)*Q347</f>
        <v>#DIV/0!</v>
      </c>
      <c r="T347" s="66" t="e">
        <f>Q347*dagenperjaar1</f>
        <v>#DIV/0!</v>
      </c>
      <c r="U347" s="70" t="e">
        <f>T347*ROUND(P347,2)</f>
        <v>#DIV/0!</v>
      </c>
    </row>
    <row r="348" spans="1:21" x14ac:dyDescent="0.2">
      <c r="A348" s="63" t="s">
        <v>530</v>
      </c>
      <c r="B348" s="64" t="s">
        <v>324</v>
      </c>
      <c r="C348" s="64" t="s">
        <v>345</v>
      </c>
      <c r="D348" s="64" t="s">
        <v>909</v>
      </c>
      <c r="E348" s="64" t="s">
        <v>324</v>
      </c>
      <c r="F348" s="65" t="s">
        <v>370</v>
      </c>
      <c r="G348" s="64" t="s">
        <v>862</v>
      </c>
      <c r="H348" s="64" t="s">
        <v>255</v>
      </c>
      <c r="I348" s="64" t="s">
        <v>10</v>
      </c>
      <c r="J348" s="64" t="s">
        <v>201</v>
      </c>
      <c r="K348" s="66">
        <v>16.600000000000001</v>
      </c>
      <c r="L348" s="66">
        <f>K348*VLOOKUP(I348,dagsoorttabel1,2,FALSE)</f>
        <v>16.600000000000001</v>
      </c>
      <c r="M348" s="67">
        <f>prodnorm59</f>
        <v>0</v>
      </c>
      <c r="N348" s="68">
        <f>dagwerk59</f>
        <v>0</v>
      </c>
      <c r="O348" s="64" t="s">
        <v>38</v>
      </c>
      <c r="P348" s="69">
        <f>uurtarief59</f>
        <v>0</v>
      </c>
      <c r="Q348" s="66" t="e">
        <f>IF(ISBLANK(M348),0,L348/ROUND(M348,4))</f>
        <v>#DIV/0!</v>
      </c>
      <c r="R348" s="66" t="e">
        <f>IF(ISBLANK(M348),0,Q348*ROUND(N348,2))</f>
        <v>#DIV/0!</v>
      </c>
      <c r="S348" s="69" t="e">
        <f>ROUND(P348,2)*Q348</f>
        <v>#DIV/0!</v>
      </c>
      <c r="T348" s="66" t="e">
        <f>Q348*dagenperjaar1</f>
        <v>#DIV/0!</v>
      </c>
      <c r="U348" s="70" t="e">
        <f>T348*ROUND(P348,2)</f>
        <v>#DIV/0!</v>
      </c>
    </row>
    <row r="349" spans="1:21" x14ac:dyDescent="0.2">
      <c r="A349" s="63" t="s">
        <v>530</v>
      </c>
      <c r="B349" s="64" t="s">
        <v>324</v>
      </c>
      <c r="C349" s="64" t="s">
        <v>345</v>
      </c>
      <c r="D349" s="64" t="s">
        <v>909</v>
      </c>
      <c r="E349" s="64" t="s">
        <v>324</v>
      </c>
      <c r="F349" s="65" t="s">
        <v>370</v>
      </c>
      <c r="G349" s="64" t="s">
        <v>862</v>
      </c>
      <c r="H349" s="64" t="s">
        <v>257</v>
      </c>
      <c r="I349" s="64" t="s">
        <v>10</v>
      </c>
      <c r="J349" s="64" t="s">
        <v>201</v>
      </c>
      <c r="K349" s="66">
        <v>16.600000000000001</v>
      </c>
      <c r="L349" s="66">
        <f>K349*VLOOKUP(I349,dagsoorttabel1,2,FALSE)</f>
        <v>16.600000000000001</v>
      </c>
      <c r="M349" s="67">
        <f>prodnorm60</f>
        <v>0</v>
      </c>
      <c r="N349" s="68">
        <f>dagwerk60</f>
        <v>0</v>
      </c>
      <c r="O349" s="64" t="s">
        <v>38</v>
      </c>
      <c r="P349" s="69">
        <f>uurtarief60</f>
        <v>0</v>
      </c>
      <c r="Q349" s="66" t="e">
        <f>IF(ISBLANK(M349),0,L349/ROUND(M349,4))</f>
        <v>#DIV/0!</v>
      </c>
      <c r="R349" s="66" t="e">
        <f>IF(ISBLANK(M349),0,Q349*ROUND(N349,2))</f>
        <v>#DIV/0!</v>
      </c>
      <c r="S349" s="69" t="e">
        <f>ROUND(P349,2)*Q349</f>
        <v>#DIV/0!</v>
      </c>
      <c r="T349" s="66" t="e">
        <f>Q349*dagenperjaar1</f>
        <v>#DIV/0!</v>
      </c>
      <c r="U349" s="70" t="e">
        <f>T349*ROUND(P349,2)</f>
        <v>#DIV/0!</v>
      </c>
    </row>
    <row r="350" spans="1:21" x14ac:dyDescent="0.2">
      <c r="A350" s="63" t="s">
        <v>530</v>
      </c>
      <c r="B350" s="64" t="s">
        <v>324</v>
      </c>
      <c r="C350" s="64" t="s">
        <v>345</v>
      </c>
      <c r="D350" s="64" t="s">
        <v>910</v>
      </c>
      <c r="E350" s="64" t="s">
        <v>324</v>
      </c>
      <c r="F350" s="65" t="s">
        <v>911</v>
      </c>
      <c r="G350" s="64" t="s">
        <v>862</v>
      </c>
      <c r="H350" s="64" t="s">
        <v>255</v>
      </c>
      <c r="I350" s="64" t="s">
        <v>10</v>
      </c>
      <c r="J350" s="64" t="s">
        <v>201</v>
      </c>
      <c r="K350" s="66">
        <v>7.7</v>
      </c>
      <c r="L350" s="66">
        <f>K350*VLOOKUP(I350,dagsoorttabel1,2,FALSE)</f>
        <v>7.7</v>
      </c>
      <c r="M350" s="67">
        <f>prodnorm59</f>
        <v>0</v>
      </c>
      <c r="N350" s="68">
        <f>dagwerk59</f>
        <v>0</v>
      </c>
      <c r="O350" s="64" t="s">
        <v>38</v>
      </c>
      <c r="P350" s="69">
        <f>uurtarief59</f>
        <v>0</v>
      </c>
      <c r="Q350" s="66" t="e">
        <f>IF(ISBLANK(M350),0,L350/ROUND(M350,4))</f>
        <v>#DIV/0!</v>
      </c>
      <c r="R350" s="66" t="e">
        <f>IF(ISBLANK(M350),0,Q350*ROUND(N350,2))</f>
        <v>#DIV/0!</v>
      </c>
      <c r="S350" s="69" t="e">
        <f>ROUND(P350,2)*Q350</f>
        <v>#DIV/0!</v>
      </c>
      <c r="T350" s="66" t="e">
        <f>Q350*dagenperjaar1</f>
        <v>#DIV/0!</v>
      </c>
      <c r="U350" s="70" t="e">
        <f>T350*ROUND(P350,2)</f>
        <v>#DIV/0!</v>
      </c>
    </row>
    <row r="351" spans="1:21" x14ac:dyDescent="0.2">
      <c r="A351" s="63" t="s">
        <v>530</v>
      </c>
      <c r="B351" s="64" t="s">
        <v>324</v>
      </c>
      <c r="C351" s="64" t="s">
        <v>345</v>
      </c>
      <c r="D351" s="64" t="s">
        <v>910</v>
      </c>
      <c r="E351" s="64" t="s">
        <v>324</v>
      </c>
      <c r="F351" s="65" t="s">
        <v>911</v>
      </c>
      <c r="G351" s="64" t="s">
        <v>862</v>
      </c>
      <c r="H351" s="64" t="s">
        <v>257</v>
      </c>
      <c r="I351" s="64" t="s">
        <v>10</v>
      </c>
      <c r="J351" s="64" t="s">
        <v>201</v>
      </c>
      <c r="K351" s="66">
        <v>7.7</v>
      </c>
      <c r="L351" s="66">
        <f>K351*VLOOKUP(I351,dagsoorttabel1,2,FALSE)</f>
        <v>7.7</v>
      </c>
      <c r="M351" s="67">
        <f>prodnorm60</f>
        <v>0</v>
      </c>
      <c r="N351" s="68">
        <f>dagwerk60</f>
        <v>0</v>
      </c>
      <c r="O351" s="64" t="s">
        <v>38</v>
      </c>
      <c r="P351" s="69">
        <f>uurtarief60</f>
        <v>0</v>
      </c>
      <c r="Q351" s="66" t="e">
        <f>IF(ISBLANK(M351),0,L351/ROUND(M351,4))</f>
        <v>#DIV/0!</v>
      </c>
      <c r="R351" s="66" t="e">
        <f>IF(ISBLANK(M351),0,Q351*ROUND(N351,2))</f>
        <v>#DIV/0!</v>
      </c>
      <c r="S351" s="69" t="e">
        <f>ROUND(P351,2)*Q351</f>
        <v>#DIV/0!</v>
      </c>
      <c r="T351" s="66" t="e">
        <f>Q351*dagenperjaar1</f>
        <v>#DIV/0!</v>
      </c>
      <c r="U351" s="70" t="e">
        <f>T351*ROUND(P351,2)</f>
        <v>#DIV/0!</v>
      </c>
    </row>
    <row r="352" spans="1:21" x14ac:dyDescent="0.2">
      <c r="A352" s="63" t="s">
        <v>530</v>
      </c>
      <c r="B352" s="64" t="s">
        <v>324</v>
      </c>
      <c r="C352" s="64" t="s">
        <v>345</v>
      </c>
      <c r="D352" s="64" t="s">
        <v>912</v>
      </c>
      <c r="E352" s="64" t="s">
        <v>324</v>
      </c>
      <c r="F352" s="65" t="s">
        <v>913</v>
      </c>
      <c r="G352" s="64" t="s">
        <v>862</v>
      </c>
      <c r="H352" s="64" t="s">
        <v>255</v>
      </c>
      <c r="I352" s="64" t="s">
        <v>10</v>
      </c>
      <c r="J352" s="64" t="s">
        <v>201</v>
      </c>
      <c r="K352" s="66">
        <v>7.7</v>
      </c>
      <c r="L352" s="66">
        <f>K352*VLOOKUP(I352,dagsoorttabel1,2,FALSE)</f>
        <v>7.7</v>
      </c>
      <c r="M352" s="67">
        <f>prodnorm59</f>
        <v>0</v>
      </c>
      <c r="N352" s="68">
        <f>dagwerk59</f>
        <v>0</v>
      </c>
      <c r="O352" s="64" t="s">
        <v>38</v>
      </c>
      <c r="P352" s="69">
        <f>uurtarief59</f>
        <v>0</v>
      </c>
      <c r="Q352" s="66" t="e">
        <f>IF(ISBLANK(M352),0,L352/ROUND(M352,4))</f>
        <v>#DIV/0!</v>
      </c>
      <c r="R352" s="66" t="e">
        <f>IF(ISBLANK(M352),0,Q352*ROUND(N352,2))</f>
        <v>#DIV/0!</v>
      </c>
      <c r="S352" s="69" t="e">
        <f>ROUND(P352,2)*Q352</f>
        <v>#DIV/0!</v>
      </c>
      <c r="T352" s="66" t="e">
        <f>Q352*dagenperjaar1</f>
        <v>#DIV/0!</v>
      </c>
      <c r="U352" s="70" t="e">
        <f>T352*ROUND(P352,2)</f>
        <v>#DIV/0!</v>
      </c>
    </row>
    <row r="353" spans="1:21" x14ac:dyDescent="0.2">
      <c r="A353" s="63" t="s">
        <v>530</v>
      </c>
      <c r="B353" s="64" t="s">
        <v>324</v>
      </c>
      <c r="C353" s="64" t="s">
        <v>345</v>
      </c>
      <c r="D353" s="64" t="s">
        <v>912</v>
      </c>
      <c r="E353" s="64" t="s">
        <v>324</v>
      </c>
      <c r="F353" s="65" t="s">
        <v>913</v>
      </c>
      <c r="G353" s="64" t="s">
        <v>862</v>
      </c>
      <c r="H353" s="64" t="s">
        <v>257</v>
      </c>
      <c r="I353" s="64" t="s">
        <v>10</v>
      </c>
      <c r="J353" s="64" t="s">
        <v>201</v>
      </c>
      <c r="K353" s="66">
        <v>7.7</v>
      </c>
      <c r="L353" s="66">
        <f>K353*VLOOKUP(I353,dagsoorttabel1,2,FALSE)</f>
        <v>7.7</v>
      </c>
      <c r="M353" s="67">
        <f>prodnorm60</f>
        <v>0</v>
      </c>
      <c r="N353" s="68">
        <f>dagwerk60</f>
        <v>0</v>
      </c>
      <c r="O353" s="64" t="s">
        <v>38</v>
      </c>
      <c r="P353" s="69">
        <f>uurtarief60</f>
        <v>0</v>
      </c>
      <c r="Q353" s="66" t="e">
        <f>IF(ISBLANK(M353),0,L353/ROUND(M353,4))</f>
        <v>#DIV/0!</v>
      </c>
      <c r="R353" s="66" t="e">
        <f>IF(ISBLANK(M353),0,Q353*ROUND(N353,2))</f>
        <v>#DIV/0!</v>
      </c>
      <c r="S353" s="69" t="e">
        <f>ROUND(P353,2)*Q353</f>
        <v>#DIV/0!</v>
      </c>
      <c r="T353" s="66" t="e">
        <f>Q353*dagenperjaar1</f>
        <v>#DIV/0!</v>
      </c>
      <c r="U353" s="70" t="e">
        <f>T353*ROUND(P353,2)</f>
        <v>#DIV/0!</v>
      </c>
    </row>
    <row r="354" spans="1:21" x14ac:dyDescent="0.2">
      <c r="A354" s="63" t="s">
        <v>530</v>
      </c>
      <c r="B354" s="64" t="s">
        <v>324</v>
      </c>
      <c r="C354" s="64" t="s">
        <v>323</v>
      </c>
      <c r="D354" s="64" t="s">
        <v>426</v>
      </c>
      <c r="E354" s="64" t="s">
        <v>324</v>
      </c>
      <c r="F354" s="65" t="s">
        <v>914</v>
      </c>
      <c r="G354" s="64" t="s">
        <v>328</v>
      </c>
      <c r="H354" s="64" t="s">
        <v>205</v>
      </c>
      <c r="I354" s="64" t="s">
        <v>10</v>
      </c>
      <c r="J354" s="64" t="s">
        <v>201</v>
      </c>
      <c r="K354" s="66">
        <v>49.4</v>
      </c>
      <c r="L354" s="66">
        <f>K354*VLOOKUP(I354,dagsoorttabel1,2,FALSE)</f>
        <v>49.4</v>
      </c>
      <c r="M354" s="67">
        <f>prodnorm26</f>
        <v>0</v>
      </c>
      <c r="N354" s="68">
        <f>dagwerk26</f>
        <v>0</v>
      </c>
      <c r="O354" s="64" t="s">
        <v>38</v>
      </c>
      <c r="P354" s="69">
        <f>uurtarief26</f>
        <v>0</v>
      </c>
      <c r="Q354" s="66" t="e">
        <f>IF(ISBLANK(M354),0,L354/ROUND(M354,4))</f>
        <v>#DIV/0!</v>
      </c>
      <c r="R354" s="66" t="e">
        <f>IF(ISBLANK(M354),0,Q354*ROUND(N354,2))</f>
        <v>#DIV/0!</v>
      </c>
      <c r="S354" s="69" t="e">
        <f>ROUND(P354,2)*Q354</f>
        <v>#DIV/0!</v>
      </c>
      <c r="T354" s="66" t="e">
        <f>Q354*dagenperjaar1</f>
        <v>#DIV/0!</v>
      </c>
      <c r="U354" s="70" t="e">
        <f>T354*ROUND(P354,2)</f>
        <v>#DIV/0!</v>
      </c>
    </row>
    <row r="355" spans="1:21" ht="25.5" x14ac:dyDescent="0.2">
      <c r="A355" s="63" t="s">
        <v>530</v>
      </c>
      <c r="B355" s="64" t="s">
        <v>324</v>
      </c>
      <c r="C355" s="64" t="s">
        <v>323</v>
      </c>
      <c r="D355" s="64" t="s">
        <v>438</v>
      </c>
      <c r="E355" s="64" t="s">
        <v>324</v>
      </c>
      <c r="F355" s="65" t="s">
        <v>915</v>
      </c>
      <c r="G355" s="64" t="s">
        <v>328</v>
      </c>
      <c r="H355" s="64" t="s">
        <v>205</v>
      </c>
      <c r="I355" s="64" t="s">
        <v>10</v>
      </c>
      <c r="J355" s="64" t="s">
        <v>201</v>
      </c>
      <c r="K355" s="66">
        <v>29.2</v>
      </c>
      <c r="L355" s="66">
        <f>K355*VLOOKUP(I355,dagsoorttabel1,2,FALSE)</f>
        <v>29.2</v>
      </c>
      <c r="M355" s="67">
        <f>prodnorm26</f>
        <v>0</v>
      </c>
      <c r="N355" s="68">
        <f>dagwerk26</f>
        <v>0</v>
      </c>
      <c r="O355" s="64" t="s">
        <v>38</v>
      </c>
      <c r="P355" s="69">
        <f>uurtarief26</f>
        <v>0</v>
      </c>
      <c r="Q355" s="66" t="e">
        <f>IF(ISBLANK(M355),0,L355/ROUND(M355,4))</f>
        <v>#DIV/0!</v>
      </c>
      <c r="R355" s="66" t="e">
        <f>IF(ISBLANK(M355),0,Q355*ROUND(N355,2))</f>
        <v>#DIV/0!</v>
      </c>
      <c r="S355" s="69" t="e">
        <f>ROUND(P355,2)*Q355</f>
        <v>#DIV/0!</v>
      </c>
      <c r="T355" s="66" t="e">
        <f>Q355*dagenperjaar1</f>
        <v>#DIV/0!</v>
      </c>
      <c r="U355" s="70" t="e">
        <f>T355*ROUND(P355,2)</f>
        <v>#DIV/0!</v>
      </c>
    </row>
    <row r="356" spans="1:21" x14ac:dyDescent="0.2">
      <c r="A356" s="63" t="s">
        <v>530</v>
      </c>
      <c r="B356" s="64" t="s">
        <v>324</v>
      </c>
      <c r="C356" s="64" t="s">
        <v>323</v>
      </c>
      <c r="D356" s="64" t="s">
        <v>441</v>
      </c>
      <c r="E356" s="64" t="s">
        <v>324</v>
      </c>
      <c r="F356" s="65" t="s">
        <v>916</v>
      </c>
      <c r="G356" s="64" t="s">
        <v>328</v>
      </c>
      <c r="H356" s="64" t="s">
        <v>229</v>
      </c>
      <c r="I356" s="64" t="s">
        <v>10</v>
      </c>
      <c r="J356" s="64" t="s">
        <v>201</v>
      </c>
      <c r="K356" s="66">
        <v>54.1</v>
      </c>
      <c r="L356" s="66">
        <f>K356*VLOOKUP(I356,dagsoorttabel1,2,FALSE)</f>
        <v>54.1</v>
      </c>
      <c r="M356" s="67">
        <f>prodnorm43</f>
        <v>0</v>
      </c>
      <c r="N356" s="68">
        <f>dagwerk43</f>
        <v>0</v>
      </c>
      <c r="O356" s="64" t="s">
        <v>38</v>
      </c>
      <c r="P356" s="69">
        <f>uurtarief43</f>
        <v>0</v>
      </c>
      <c r="Q356" s="66" t="e">
        <f>IF(ISBLANK(M356),0,L356/ROUND(M356,4))</f>
        <v>#DIV/0!</v>
      </c>
      <c r="R356" s="66" t="e">
        <f>IF(ISBLANK(M356),0,Q356*ROUND(N356,2))</f>
        <v>#DIV/0!</v>
      </c>
      <c r="S356" s="69" t="e">
        <f>ROUND(P356,2)*Q356</f>
        <v>#DIV/0!</v>
      </c>
      <c r="T356" s="66" t="e">
        <f>Q356*dagenperjaar1</f>
        <v>#DIV/0!</v>
      </c>
      <c r="U356" s="70" t="e">
        <f>T356*ROUND(P356,2)</f>
        <v>#DIV/0!</v>
      </c>
    </row>
    <row r="357" spans="1:21" x14ac:dyDescent="0.2">
      <c r="A357" s="63" t="s">
        <v>530</v>
      </c>
      <c r="B357" s="64" t="s">
        <v>324</v>
      </c>
      <c r="C357" s="64" t="s">
        <v>323</v>
      </c>
      <c r="D357" s="64" t="s">
        <v>442</v>
      </c>
      <c r="E357" s="64" t="s">
        <v>324</v>
      </c>
      <c r="F357" s="65" t="s">
        <v>917</v>
      </c>
      <c r="G357" s="64" t="s">
        <v>328</v>
      </c>
      <c r="H357" s="64" t="s">
        <v>229</v>
      </c>
      <c r="I357" s="64" t="s">
        <v>10</v>
      </c>
      <c r="J357" s="64" t="s">
        <v>201</v>
      </c>
      <c r="K357" s="66">
        <v>70.599999999999994</v>
      </c>
      <c r="L357" s="66">
        <f>K357*VLOOKUP(I357,dagsoorttabel1,2,FALSE)</f>
        <v>70.599999999999994</v>
      </c>
      <c r="M357" s="67">
        <f>prodnorm43</f>
        <v>0</v>
      </c>
      <c r="N357" s="68">
        <f>dagwerk43</f>
        <v>0</v>
      </c>
      <c r="O357" s="64" t="s">
        <v>38</v>
      </c>
      <c r="P357" s="69">
        <f>uurtarief43</f>
        <v>0</v>
      </c>
      <c r="Q357" s="66" t="e">
        <f>IF(ISBLANK(M357),0,L357/ROUND(M357,4))</f>
        <v>#DIV/0!</v>
      </c>
      <c r="R357" s="66" t="e">
        <f>IF(ISBLANK(M357),0,Q357*ROUND(N357,2))</f>
        <v>#DIV/0!</v>
      </c>
      <c r="S357" s="69" t="e">
        <f>ROUND(P357,2)*Q357</f>
        <v>#DIV/0!</v>
      </c>
      <c r="T357" s="66" t="e">
        <f>Q357*dagenperjaar1</f>
        <v>#DIV/0!</v>
      </c>
      <c r="U357" s="70" t="e">
        <f>T357*ROUND(P357,2)</f>
        <v>#DIV/0!</v>
      </c>
    </row>
    <row r="358" spans="1:21" x14ac:dyDescent="0.2">
      <c r="A358" s="63" t="s">
        <v>530</v>
      </c>
      <c r="B358" s="64" t="s">
        <v>324</v>
      </c>
      <c r="C358" s="64" t="s">
        <v>323</v>
      </c>
      <c r="D358" s="64" t="s">
        <v>918</v>
      </c>
      <c r="E358" s="64" t="s">
        <v>324</v>
      </c>
      <c r="F358" s="65" t="s">
        <v>919</v>
      </c>
      <c r="G358" s="64" t="s">
        <v>328</v>
      </c>
      <c r="H358" s="64" t="s">
        <v>229</v>
      </c>
      <c r="I358" s="64" t="s">
        <v>10</v>
      </c>
      <c r="J358" s="64" t="s">
        <v>201</v>
      </c>
      <c r="K358" s="66">
        <v>53.8</v>
      </c>
      <c r="L358" s="66">
        <f>K358*VLOOKUP(I358,dagsoorttabel1,2,FALSE)</f>
        <v>53.8</v>
      </c>
      <c r="M358" s="67">
        <f>prodnorm43</f>
        <v>0</v>
      </c>
      <c r="N358" s="68">
        <f>dagwerk43</f>
        <v>0</v>
      </c>
      <c r="O358" s="64" t="s">
        <v>38</v>
      </c>
      <c r="P358" s="69">
        <f>uurtarief43</f>
        <v>0</v>
      </c>
      <c r="Q358" s="66" t="e">
        <f>IF(ISBLANK(M358),0,L358/ROUND(M358,4))</f>
        <v>#DIV/0!</v>
      </c>
      <c r="R358" s="66" t="e">
        <f>IF(ISBLANK(M358),0,Q358*ROUND(N358,2))</f>
        <v>#DIV/0!</v>
      </c>
      <c r="S358" s="69" t="e">
        <f>ROUND(P358,2)*Q358</f>
        <v>#DIV/0!</v>
      </c>
      <c r="T358" s="66" t="e">
        <f>Q358*dagenperjaar1</f>
        <v>#DIV/0!</v>
      </c>
      <c r="U358" s="70" t="e">
        <f>T358*ROUND(P358,2)</f>
        <v>#DIV/0!</v>
      </c>
    </row>
    <row r="359" spans="1:21" x14ac:dyDescent="0.2">
      <c r="A359" s="63" t="s">
        <v>530</v>
      </c>
      <c r="B359" s="64" t="s">
        <v>324</v>
      </c>
      <c r="C359" s="64" t="s">
        <v>323</v>
      </c>
      <c r="D359" s="64" t="s">
        <v>444</v>
      </c>
      <c r="E359" s="64" t="s">
        <v>324</v>
      </c>
      <c r="F359" s="65" t="s">
        <v>919</v>
      </c>
      <c r="G359" s="64" t="s">
        <v>328</v>
      </c>
      <c r="H359" s="64" t="s">
        <v>229</v>
      </c>
      <c r="I359" s="64" t="s">
        <v>10</v>
      </c>
      <c r="J359" s="64" t="s">
        <v>201</v>
      </c>
      <c r="K359" s="66">
        <v>54</v>
      </c>
      <c r="L359" s="66">
        <f>K359*VLOOKUP(I359,dagsoorttabel1,2,FALSE)</f>
        <v>54</v>
      </c>
      <c r="M359" s="67">
        <f>prodnorm43</f>
        <v>0</v>
      </c>
      <c r="N359" s="68">
        <f>dagwerk43</f>
        <v>0</v>
      </c>
      <c r="O359" s="64" t="s">
        <v>38</v>
      </c>
      <c r="P359" s="69">
        <f>uurtarief43</f>
        <v>0</v>
      </c>
      <c r="Q359" s="66" t="e">
        <f>IF(ISBLANK(M359),0,L359/ROUND(M359,4))</f>
        <v>#DIV/0!</v>
      </c>
      <c r="R359" s="66" t="e">
        <f>IF(ISBLANK(M359),0,Q359*ROUND(N359,2))</f>
        <v>#DIV/0!</v>
      </c>
      <c r="S359" s="69" t="e">
        <f>ROUND(P359,2)*Q359</f>
        <v>#DIV/0!</v>
      </c>
      <c r="T359" s="66" t="e">
        <f>Q359*dagenperjaar1</f>
        <v>#DIV/0!</v>
      </c>
      <c r="U359" s="70" t="e">
        <f>T359*ROUND(P359,2)</f>
        <v>#DIV/0!</v>
      </c>
    </row>
    <row r="360" spans="1:21" x14ac:dyDescent="0.2">
      <c r="A360" s="63" t="s">
        <v>530</v>
      </c>
      <c r="B360" s="64" t="s">
        <v>324</v>
      </c>
      <c r="C360" s="64" t="s">
        <v>323</v>
      </c>
      <c r="D360" s="64" t="s">
        <v>446</v>
      </c>
      <c r="E360" s="64" t="s">
        <v>324</v>
      </c>
      <c r="F360" s="65" t="s">
        <v>920</v>
      </c>
      <c r="G360" s="64" t="s">
        <v>328</v>
      </c>
      <c r="H360" s="64" t="s">
        <v>267</v>
      </c>
      <c r="I360" s="64" t="s">
        <v>10</v>
      </c>
      <c r="J360" s="64" t="s">
        <v>201</v>
      </c>
      <c r="K360" s="66">
        <v>126.5</v>
      </c>
      <c r="L360" s="66">
        <f>K360*VLOOKUP(I360,dagsoorttabel1,2,FALSE)</f>
        <v>126.5</v>
      </c>
      <c r="M360" s="67">
        <f>prodnorm65</f>
        <v>0</v>
      </c>
      <c r="N360" s="68">
        <f>dagwerk65</f>
        <v>0</v>
      </c>
      <c r="O360" s="64" t="s">
        <v>38</v>
      </c>
      <c r="P360" s="69">
        <f>uurtarief65</f>
        <v>0</v>
      </c>
      <c r="Q360" s="66" t="e">
        <f>IF(ISBLANK(M360),0,L360/ROUND(M360,4))</f>
        <v>#DIV/0!</v>
      </c>
      <c r="R360" s="66" t="e">
        <f>IF(ISBLANK(M360),0,Q360*ROUND(N360,2))</f>
        <v>#DIV/0!</v>
      </c>
      <c r="S360" s="69" t="e">
        <f>ROUND(P360,2)*Q360</f>
        <v>#DIV/0!</v>
      </c>
      <c r="T360" s="66" t="e">
        <f>Q360*dagenperjaar1</f>
        <v>#DIV/0!</v>
      </c>
      <c r="U360" s="70" t="e">
        <f>T360*ROUND(P360,2)</f>
        <v>#DIV/0!</v>
      </c>
    </row>
    <row r="361" spans="1:21" x14ac:dyDescent="0.2">
      <c r="A361" s="63" t="s">
        <v>530</v>
      </c>
      <c r="B361" s="64" t="s">
        <v>324</v>
      </c>
      <c r="C361" s="64" t="s">
        <v>323</v>
      </c>
      <c r="D361" s="64" t="s">
        <v>921</v>
      </c>
      <c r="E361" s="64" t="s">
        <v>324</v>
      </c>
      <c r="F361" s="65" t="s">
        <v>922</v>
      </c>
      <c r="G361" s="64" t="s">
        <v>328</v>
      </c>
      <c r="H361" s="64" t="s">
        <v>229</v>
      </c>
      <c r="I361" s="64" t="s">
        <v>10</v>
      </c>
      <c r="J361" s="64" t="s">
        <v>201</v>
      </c>
      <c r="K361" s="66">
        <v>53.65</v>
      </c>
      <c r="L361" s="66">
        <f>K361*VLOOKUP(I361,dagsoorttabel1,2,FALSE)</f>
        <v>53.65</v>
      </c>
      <c r="M361" s="67">
        <f>prodnorm43</f>
        <v>0</v>
      </c>
      <c r="N361" s="68">
        <f>dagwerk43</f>
        <v>0</v>
      </c>
      <c r="O361" s="64" t="s">
        <v>38</v>
      </c>
      <c r="P361" s="69">
        <f>uurtarief43</f>
        <v>0</v>
      </c>
      <c r="Q361" s="66" t="e">
        <f>IF(ISBLANK(M361),0,L361/ROUND(M361,4))</f>
        <v>#DIV/0!</v>
      </c>
      <c r="R361" s="66" t="e">
        <f>IF(ISBLANK(M361),0,Q361*ROUND(N361,2))</f>
        <v>#DIV/0!</v>
      </c>
      <c r="S361" s="69" t="e">
        <f>ROUND(P361,2)*Q361</f>
        <v>#DIV/0!</v>
      </c>
      <c r="T361" s="66" t="e">
        <f>Q361*dagenperjaar1</f>
        <v>#DIV/0!</v>
      </c>
      <c r="U361" s="70" t="e">
        <f>T361*ROUND(P361,2)</f>
        <v>#DIV/0!</v>
      </c>
    </row>
    <row r="362" spans="1:21" x14ac:dyDescent="0.2">
      <c r="A362" s="63" t="s">
        <v>530</v>
      </c>
      <c r="B362" s="64" t="s">
        <v>324</v>
      </c>
      <c r="C362" s="64" t="s">
        <v>323</v>
      </c>
      <c r="D362" s="64" t="s">
        <v>448</v>
      </c>
      <c r="E362" s="64" t="s">
        <v>324</v>
      </c>
      <c r="F362" s="65" t="s">
        <v>922</v>
      </c>
      <c r="G362" s="64" t="s">
        <v>328</v>
      </c>
      <c r="H362" s="64" t="s">
        <v>229</v>
      </c>
      <c r="I362" s="64" t="s">
        <v>10</v>
      </c>
      <c r="J362" s="64" t="s">
        <v>201</v>
      </c>
      <c r="K362" s="66">
        <v>53.65</v>
      </c>
      <c r="L362" s="66">
        <f>K362*VLOOKUP(I362,dagsoorttabel1,2,FALSE)</f>
        <v>53.65</v>
      </c>
      <c r="M362" s="67">
        <f>prodnorm43</f>
        <v>0</v>
      </c>
      <c r="N362" s="68">
        <f>dagwerk43</f>
        <v>0</v>
      </c>
      <c r="O362" s="64" t="s">
        <v>38</v>
      </c>
      <c r="P362" s="69">
        <f>uurtarief43</f>
        <v>0</v>
      </c>
      <c r="Q362" s="66" t="e">
        <f>IF(ISBLANK(M362),0,L362/ROUND(M362,4))</f>
        <v>#DIV/0!</v>
      </c>
      <c r="R362" s="66" t="e">
        <f>IF(ISBLANK(M362),0,Q362*ROUND(N362,2))</f>
        <v>#DIV/0!</v>
      </c>
      <c r="S362" s="69" t="e">
        <f>ROUND(P362,2)*Q362</f>
        <v>#DIV/0!</v>
      </c>
      <c r="T362" s="66" t="e">
        <f>Q362*dagenperjaar1</f>
        <v>#DIV/0!</v>
      </c>
      <c r="U362" s="70" t="e">
        <f>T362*ROUND(P362,2)</f>
        <v>#DIV/0!</v>
      </c>
    </row>
    <row r="363" spans="1:21" x14ac:dyDescent="0.2">
      <c r="A363" s="63" t="s">
        <v>530</v>
      </c>
      <c r="B363" s="64" t="s">
        <v>324</v>
      </c>
      <c r="C363" s="64" t="s">
        <v>323</v>
      </c>
      <c r="D363" s="64" t="s">
        <v>451</v>
      </c>
      <c r="E363" s="64" t="s">
        <v>324</v>
      </c>
      <c r="F363" s="65" t="s">
        <v>923</v>
      </c>
      <c r="G363" s="64" t="s">
        <v>328</v>
      </c>
      <c r="H363" s="64" t="s">
        <v>243</v>
      </c>
      <c r="I363" s="64" t="s">
        <v>16</v>
      </c>
      <c r="J363" s="64" t="s">
        <v>201</v>
      </c>
      <c r="K363" s="66">
        <v>73.099999999999994</v>
      </c>
      <c r="L363" s="66">
        <f>K363*VLOOKUP(I363,dagsoorttabel1,2,FALSE)</f>
        <v>14.62</v>
      </c>
      <c r="M363" s="67">
        <f>prodnorm53</f>
        <v>0</v>
      </c>
      <c r="N363" s="68">
        <f>dagwerk53</f>
        <v>0</v>
      </c>
      <c r="O363" s="64" t="s">
        <v>38</v>
      </c>
      <c r="P363" s="69">
        <f>uurtarief53</f>
        <v>0</v>
      </c>
      <c r="Q363" s="66" t="e">
        <f>IF(ISBLANK(M363),0,L363/ROUND(M363,4))</f>
        <v>#DIV/0!</v>
      </c>
      <c r="R363" s="66" t="e">
        <f>IF(ISBLANK(M363),0,Q363*ROUND(N363,2))</f>
        <v>#DIV/0!</v>
      </c>
      <c r="S363" s="69" t="e">
        <f>ROUND(P363,2)*Q363</f>
        <v>#DIV/0!</v>
      </c>
      <c r="T363" s="66" t="e">
        <f>Q363*dagenperjaar1</f>
        <v>#DIV/0!</v>
      </c>
      <c r="U363" s="70" t="e">
        <f>T363*ROUND(P363,2)</f>
        <v>#DIV/0!</v>
      </c>
    </row>
    <row r="364" spans="1:21" x14ac:dyDescent="0.2">
      <c r="A364" s="63" t="s">
        <v>530</v>
      </c>
      <c r="B364" s="64" t="s">
        <v>324</v>
      </c>
      <c r="C364" s="64" t="s">
        <v>323</v>
      </c>
      <c r="D364" s="64" t="s">
        <v>453</v>
      </c>
      <c r="E364" s="64" t="s">
        <v>324</v>
      </c>
      <c r="F364" s="65" t="s">
        <v>924</v>
      </c>
      <c r="G364" s="64" t="s">
        <v>328</v>
      </c>
      <c r="H364" s="64" t="s">
        <v>239</v>
      </c>
      <c r="I364" s="64" t="s">
        <v>10</v>
      </c>
      <c r="J364" s="64" t="s">
        <v>201</v>
      </c>
      <c r="K364" s="66">
        <v>217.7</v>
      </c>
      <c r="L364" s="66">
        <f>K364*VLOOKUP(I364,dagsoorttabel1,2,FALSE)</f>
        <v>217.7</v>
      </c>
      <c r="M364" s="67">
        <f>prodnorm50</f>
        <v>0</v>
      </c>
      <c r="N364" s="68">
        <f>dagwerk50</f>
        <v>0</v>
      </c>
      <c r="O364" s="64" t="s">
        <v>38</v>
      </c>
      <c r="P364" s="69">
        <f>uurtarief50</f>
        <v>0</v>
      </c>
      <c r="Q364" s="66" t="e">
        <f>IF(ISBLANK(M364),0,L364/ROUND(M364,4))</f>
        <v>#DIV/0!</v>
      </c>
      <c r="R364" s="66" t="e">
        <f>IF(ISBLANK(M364),0,Q364*ROUND(N364,2))</f>
        <v>#DIV/0!</v>
      </c>
      <c r="S364" s="69" t="e">
        <f>ROUND(P364,2)*Q364</f>
        <v>#DIV/0!</v>
      </c>
      <c r="T364" s="66" t="e">
        <f>Q364*dagenperjaar1</f>
        <v>#DIV/0!</v>
      </c>
      <c r="U364" s="70" t="e">
        <f>T364*ROUND(P364,2)</f>
        <v>#DIV/0!</v>
      </c>
    </row>
    <row r="365" spans="1:21" x14ac:dyDescent="0.2">
      <c r="A365" s="63" t="s">
        <v>530</v>
      </c>
      <c r="B365" s="64" t="s">
        <v>324</v>
      </c>
      <c r="C365" s="64" t="s">
        <v>323</v>
      </c>
      <c r="D365" s="64" t="s">
        <v>455</v>
      </c>
      <c r="E365" s="64" t="s">
        <v>324</v>
      </c>
      <c r="F365" s="65" t="s">
        <v>335</v>
      </c>
      <c r="G365" s="64" t="s">
        <v>328</v>
      </c>
      <c r="H365" s="64" t="s">
        <v>267</v>
      </c>
      <c r="I365" s="64" t="s">
        <v>10</v>
      </c>
      <c r="J365" s="64" t="s">
        <v>201</v>
      </c>
      <c r="K365" s="66">
        <v>64</v>
      </c>
      <c r="L365" s="66">
        <f>K365*VLOOKUP(I365,dagsoorttabel1,2,FALSE)</f>
        <v>64</v>
      </c>
      <c r="M365" s="67">
        <f>prodnorm65</f>
        <v>0</v>
      </c>
      <c r="N365" s="68">
        <f>dagwerk65</f>
        <v>0</v>
      </c>
      <c r="O365" s="64" t="s">
        <v>38</v>
      </c>
      <c r="P365" s="69">
        <f>uurtarief65</f>
        <v>0</v>
      </c>
      <c r="Q365" s="66" t="e">
        <f>IF(ISBLANK(M365),0,L365/ROUND(M365,4))</f>
        <v>#DIV/0!</v>
      </c>
      <c r="R365" s="66" t="e">
        <f>IF(ISBLANK(M365),0,Q365*ROUND(N365,2))</f>
        <v>#DIV/0!</v>
      </c>
      <c r="S365" s="69" t="e">
        <f>ROUND(P365,2)*Q365</f>
        <v>#DIV/0!</v>
      </c>
      <c r="T365" s="66" t="e">
        <f>Q365*dagenperjaar1</f>
        <v>#DIV/0!</v>
      </c>
      <c r="U365" s="70" t="e">
        <f>T365*ROUND(P365,2)</f>
        <v>#DIV/0!</v>
      </c>
    </row>
    <row r="366" spans="1:21" x14ac:dyDescent="0.2">
      <c r="A366" s="63" t="s">
        <v>530</v>
      </c>
      <c r="B366" s="64" t="s">
        <v>324</v>
      </c>
      <c r="C366" s="64" t="s">
        <v>323</v>
      </c>
      <c r="D366" s="64" t="s">
        <v>459</v>
      </c>
      <c r="E366" s="64" t="s">
        <v>324</v>
      </c>
      <c r="F366" s="65" t="s">
        <v>925</v>
      </c>
      <c r="G366" s="64" t="s">
        <v>862</v>
      </c>
      <c r="H366" s="64" t="s">
        <v>255</v>
      </c>
      <c r="I366" s="64" t="s">
        <v>10</v>
      </c>
      <c r="J366" s="64" t="s">
        <v>201</v>
      </c>
      <c r="K366" s="66">
        <v>5.9</v>
      </c>
      <c r="L366" s="66">
        <f>K366*VLOOKUP(I366,dagsoorttabel1,2,FALSE)</f>
        <v>5.9</v>
      </c>
      <c r="M366" s="67">
        <f>prodnorm59</f>
        <v>0</v>
      </c>
      <c r="N366" s="68">
        <f>dagwerk59</f>
        <v>0</v>
      </c>
      <c r="O366" s="64" t="s">
        <v>38</v>
      </c>
      <c r="P366" s="69">
        <f>uurtarief59</f>
        <v>0</v>
      </c>
      <c r="Q366" s="66" t="e">
        <f>IF(ISBLANK(M366),0,L366/ROUND(M366,4))</f>
        <v>#DIV/0!</v>
      </c>
      <c r="R366" s="66" t="e">
        <f>IF(ISBLANK(M366),0,Q366*ROUND(N366,2))</f>
        <v>#DIV/0!</v>
      </c>
      <c r="S366" s="69" t="e">
        <f>ROUND(P366,2)*Q366</f>
        <v>#DIV/0!</v>
      </c>
      <c r="T366" s="66" t="e">
        <f>Q366*dagenperjaar1</f>
        <v>#DIV/0!</v>
      </c>
      <c r="U366" s="70" t="e">
        <f>T366*ROUND(P366,2)</f>
        <v>#DIV/0!</v>
      </c>
    </row>
    <row r="367" spans="1:21" x14ac:dyDescent="0.2">
      <c r="A367" s="63" t="s">
        <v>530</v>
      </c>
      <c r="B367" s="64" t="s">
        <v>324</v>
      </c>
      <c r="C367" s="64" t="s">
        <v>323</v>
      </c>
      <c r="D367" s="64" t="s">
        <v>459</v>
      </c>
      <c r="E367" s="64" t="s">
        <v>324</v>
      </c>
      <c r="F367" s="65" t="s">
        <v>925</v>
      </c>
      <c r="G367" s="64" t="s">
        <v>862</v>
      </c>
      <c r="H367" s="64" t="s">
        <v>257</v>
      </c>
      <c r="I367" s="64" t="s">
        <v>10</v>
      </c>
      <c r="J367" s="64" t="s">
        <v>201</v>
      </c>
      <c r="K367" s="66">
        <v>5.9</v>
      </c>
      <c r="L367" s="66">
        <f>K367*VLOOKUP(I367,dagsoorttabel1,2,FALSE)</f>
        <v>5.9</v>
      </c>
      <c r="M367" s="67">
        <f>prodnorm60</f>
        <v>0</v>
      </c>
      <c r="N367" s="68">
        <f>dagwerk60</f>
        <v>0</v>
      </c>
      <c r="O367" s="64" t="s">
        <v>38</v>
      </c>
      <c r="P367" s="69">
        <f>uurtarief60</f>
        <v>0</v>
      </c>
      <c r="Q367" s="66" t="e">
        <f>IF(ISBLANK(M367),0,L367/ROUND(M367,4))</f>
        <v>#DIV/0!</v>
      </c>
      <c r="R367" s="66" t="e">
        <f>IF(ISBLANK(M367),0,Q367*ROUND(N367,2))</f>
        <v>#DIV/0!</v>
      </c>
      <c r="S367" s="69" t="e">
        <f>ROUND(P367,2)*Q367</f>
        <v>#DIV/0!</v>
      </c>
      <c r="T367" s="66" t="e">
        <f>Q367*dagenperjaar1</f>
        <v>#DIV/0!</v>
      </c>
      <c r="U367" s="70" t="e">
        <f>T367*ROUND(P367,2)</f>
        <v>#DIV/0!</v>
      </c>
    </row>
    <row r="368" spans="1:21" x14ac:dyDescent="0.2">
      <c r="A368" s="63" t="s">
        <v>530</v>
      </c>
      <c r="B368" s="64" t="s">
        <v>324</v>
      </c>
      <c r="C368" s="64" t="s">
        <v>323</v>
      </c>
      <c r="D368" s="64" t="s">
        <v>461</v>
      </c>
      <c r="E368" s="64" t="s">
        <v>324</v>
      </c>
      <c r="F368" s="65" t="s">
        <v>671</v>
      </c>
      <c r="G368" s="64" t="s">
        <v>862</v>
      </c>
      <c r="H368" s="64" t="s">
        <v>255</v>
      </c>
      <c r="I368" s="64" t="s">
        <v>10</v>
      </c>
      <c r="J368" s="64" t="s">
        <v>201</v>
      </c>
      <c r="K368" s="66">
        <v>12.1</v>
      </c>
      <c r="L368" s="66">
        <f>K368*VLOOKUP(I368,dagsoorttabel1,2,FALSE)</f>
        <v>12.1</v>
      </c>
      <c r="M368" s="67">
        <f>prodnorm59</f>
        <v>0</v>
      </c>
      <c r="N368" s="68">
        <f>dagwerk59</f>
        <v>0</v>
      </c>
      <c r="O368" s="64" t="s">
        <v>38</v>
      </c>
      <c r="P368" s="69">
        <f>uurtarief59</f>
        <v>0</v>
      </c>
      <c r="Q368" s="66" t="e">
        <f>IF(ISBLANK(M368),0,L368/ROUND(M368,4))</f>
        <v>#DIV/0!</v>
      </c>
      <c r="R368" s="66" t="e">
        <f>IF(ISBLANK(M368),0,Q368*ROUND(N368,2))</f>
        <v>#DIV/0!</v>
      </c>
      <c r="S368" s="69" t="e">
        <f>ROUND(P368,2)*Q368</f>
        <v>#DIV/0!</v>
      </c>
      <c r="T368" s="66" t="e">
        <f>Q368*dagenperjaar1</f>
        <v>#DIV/0!</v>
      </c>
      <c r="U368" s="70" t="e">
        <f>T368*ROUND(P368,2)</f>
        <v>#DIV/0!</v>
      </c>
    </row>
    <row r="369" spans="1:21" x14ac:dyDescent="0.2">
      <c r="A369" s="63" t="s">
        <v>530</v>
      </c>
      <c r="B369" s="64" t="s">
        <v>324</v>
      </c>
      <c r="C369" s="64" t="s">
        <v>323</v>
      </c>
      <c r="D369" s="64" t="s">
        <v>461</v>
      </c>
      <c r="E369" s="64" t="s">
        <v>324</v>
      </c>
      <c r="F369" s="65" t="s">
        <v>671</v>
      </c>
      <c r="G369" s="64" t="s">
        <v>862</v>
      </c>
      <c r="H369" s="64" t="s">
        <v>257</v>
      </c>
      <c r="I369" s="64" t="s">
        <v>10</v>
      </c>
      <c r="J369" s="64" t="s">
        <v>201</v>
      </c>
      <c r="K369" s="66">
        <v>12.1</v>
      </c>
      <c r="L369" s="66">
        <f>K369*VLOOKUP(I369,dagsoorttabel1,2,FALSE)</f>
        <v>12.1</v>
      </c>
      <c r="M369" s="67">
        <f>prodnorm60</f>
        <v>0</v>
      </c>
      <c r="N369" s="68">
        <f>dagwerk60</f>
        <v>0</v>
      </c>
      <c r="O369" s="64" t="s">
        <v>38</v>
      </c>
      <c r="P369" s="69">
        <f>uurtarief60</f>
        <v>0</v>
      </c>
      <c r="Q369" s="66" t="e">
        <f>IF(ISBLANK(M369),0,L369/ROUND(M369,4))</f>
        <v>#DIV/0!</v>
      </c>
      <c r="R369" s="66" t="e">
        <f>IF(ISBLANK(M369),0,Q369*ROUND(N369,2))</f>
        <v>#DIV/0!</v>
      </c>
      <c r="S369" s="69" t="e">
        <f>ROUND(P369,2)*Q369</f>
        <v>#DIV/0!</v>
      </c>
      <c r="T369" s="66" t="e">
        <f>Q369*dagenperjaar1</f>
        <v>#DIV/0!</v>
      </c>
      <c r="U369" s="70" t="e">
        <f>T369*ROUND(P369,2)</f>
        <v>#DIV/0!</v>
      </c>
    </row>
    <row r="370" spans="1:21" x14ac:dyDescent="0.2">
      <c r="A370" s="63" t="s">
        <v>530</v>
      </c>
      <c r="B370" s="64" t="s">
        <v>324</v>
      </c>
      <c r="C370" s="64" t="s">
        <v>323</v>
      </c>
      <c r="D370" s="64" t="s">
        <v>926</v>
      </c>
      <c r="E370" s="64" t="s">
        <v>324</v>
      </c>
      <c r="F370" s="65" t="s">
        <v>373</v>
      </c>
      <c r="G370" s="64" t="s">
        <v>862</v>
      </c>
      <c r="H370" s="64" t="s">
        <v>255</v>
      </c>
      <c r="I370" s="64" t="s">
        <v>10</v>
      </c>
      <c r="J370" s="64" t="s">
        <v>201</v>
      </c>
      <c r="K370" s="66">
        <v>5.9</v>
      </c>
      <c r="L370" s="66">
        <f>K370*VLOOKUP(I370,dagsoorttabel1,2,FALSE)</f>
        <v>5.9</v>
      </c>
      <c r="M370" s="67">
        <f>prodnorm59</f>
        <v>0</v>
      </c>
      <c r="N370" s="68">
        <f>dagwerk59</f>
        <v>0</v>
      </c>
      <c r="O370" s="64" t="s">
        <v>38</v>
      </c>
      <c r="P370" s="69">
        <f>uurtarief59</f>
        <v>0</v>
      </c>
      <c r="Q370" s="66" t="e">
        <f>IF(ISBLANK(M370),0,L370/ROUND(M370,4))</f>
        <v>#DIV/0!</v>
      </c>
      <c r="R370" s="66" t="e">
        <f>IF(ISBLANK(M370),0,Q370*ROUND(N370,2))</f>
        <v>#DIV/0!</v>
      </c>
      <c r="S370" s="69" t="e">
        <f>ROUND(P370,2)*Q370</f>
        <v>#DIV/0!</v>
      </c>
      <c r="T370" s="66" t="e">
        <f>Q370*dagenperjaar1</f>
        <v>#DIV/0!</v>
      </c>
      <c r="U370" s="70" t="e">
        <f>T370*ROUND(P370,2)</f>
        <v>#DIV/0!</v>
      </c>
    </row>
    <row r="371" spans="1:21" x14ac:dyDescent="0.2">
      <c r="A371" s="63" t="s">
        <v>530</v>
      </c>
      <c r="B371" s="64" t="s">
        <v>324</v>
      </c>
      <c r="C371" s="64" t="s">
        <v>323</v>
      </c>
      <c r="D371" s="64" t="s">
        <v>926</v>
      </c>
      <c r="E371" s="64" t="s">
        <v>324</v>
      </c>
      <c r="F371" s="65" t="s">
        <v>373</v>
      </c>
      <c r="G371" s="64" t="s">
        <v>862</v>
      </c>
      <c r="H371" s="64" t="s">
        <v>257</v>
      </c>
      <c r="I371" s="64" t="s">
        <v>10</v>
      </c>
      <c r="J371" s="64" t="s">
        <v>201</v>
      </c>
      <c r="K371" s="66">
        <v>5.9</v>
      </c>
      <c r="L371" s="66">
        <f>K371*VLOOKUP(I371,dagsoorttabel1,2,FALSE)</f>
        <v>5.9</v>
      </c>
      <c r="M371" s="67">
        <f>prodnorm60</f>
        <v>0</v>
      </c>
      <c r="N371" s="68">
        <f>dagwerk60</f>
        <v>0</v>
      </c>
      <c r="O371" s="64" t="s">
        <v>38</v>
      </c>
      <c r="P371" s="69">
        <f>uurtarief60</f>
        <v>0</v>
      </c>
      <c r="Q371" s="66" t="e">
        <f>IF(ISBLANK(M371),0,L371/ROUND(M371,4))</f>
        <v>#DIV/0!</v>
      </c>
      <c r="R371" s="66" t="e">
        <f>IF(ISBLANK(M371),0,Q371*ROUND(N371,2))</f>
        <v>#DIV/0!</v>
      </c>
      <c r="S371" s="69" t="e">
        <f>ROUND(P371,2)*Q371</f>
        <v>#DIV/0!</v>
      </c>
      <c r="T371" s="66" t="e">
        <f>Q371*dagenperjaar1</f>
        <v>#DIV/0!</v>
      </c>
      <c r="U371" s="70" t="e">
        <f>T371*ROUND(P371,2)</f>
        <v>#DIV/0!</v>
      </c>
    </row>
    <row r="372" spans="1:21" x14ac:dyDescent="0.2">
      <c r="A372" s="63" t="s">
        <v>530</v>
      </c>
      <c r="B372" s="64" t="s">
        <v>324</v>
      </c>
      <c r="C372" s="64" t="s">
        <v>323</v>
      </c>
      <c r="D372" s="64" t="s">
        <v>927</v>
      </c>
      <c r="E372" s="64" t="s">
        <v>324</v>
      </c>
      <c r="F372" s="65" t="s">
        <v>370</v>
      </c>
      <c r="G372" s="64" t="s">
        <v>862</v>
      </c>
      <c r="H372" s="64" t="s">
        <v>255</v>
      </c>
      <c r="I372" s="64" t="s">
        <v>10</v>
      </c>
      <c r="J372" s="64" t="s">
        <v>201</v>
      </c>
      <c r="K372" s="66">
        <v>8.8000000000000007</v>
      </c>
      <c r="L372" s="66">
        <f>K372*VLOOKUP(I372,dagsoorttabel1,2,FALSE)</f>
        <v>8.8000000000000007</v>
      </c>
      <c r="M372" s="67">
        <f>prodnorm59</f>
        <v>0</v>
      </c>
      <c r="N372" s="68">
        <f>dagwerk59</f>
        <v>0</v>
      </c>
      <c r="O372" s="64" t="s">
        <v>38</v>
      </c>
      <c r="P372" s="69">
        <f>uurtarief59</f>
        <v>0</v>
      </c>
      <c r="Q372" s="66" t="e">
        <f>IF(ISBLANK(M372),0,L372/ROUND(M372,4))</f>
        <v>#DIV/0!</v>
      </c>
      <c r="R372" s="66" t="e">
        <f>IF(ISBLANK(M372),0,Q372*ROUND(N372,2))</f>
        <v>#DIV/0!</v>
      </c>
      <c r="S372" s="69" t="e">
        <f>ROUND(P372,2)*Q372</f>
        <v>#DIV/0!</v>
      </c>
      <c r="T372" s="66" t="e">
        <f>Q372*dagenperjaar1</f>
        <v>#DIV/0!</v>
      </c>
      <c r="U372" s="70" t="e">
        <f>T372*ROUND(P372,2)</f>
        <v>#DIV/0!</v>
      </c>
    </row>
    <row r="373" spans="1:21" x14ac:dyDescent="0.2">
      <c r="A373" s="63" t="s">
        <v>530</v>
      </c>
      <c r="B373" s="64" t="s">
        <v>324</v>
      </c>
      <c r="C373" s="64" t="s">
        <v>323</v>
      </c>
      <c r="D373" s="64" t="s">
        <v>927</v>
      </c>
      <c r="E373" s="64" t="s">
        <v>324</v>
      </c>
      <c r="F373" s="65" t="s">
        <v>370</v>
      </c>
      <c r="G373" s="64" t="s">
        <v>862</v>
      </c>
      <c r="H373" s="64" t="s">
        <v>257</v>
      </c>
      <c r="I373" s="64" t="s">
        <v>10</v>
      </c>
      <c r="J373" s="64" t="s">
        <v>201</v>
      </c>
      <c r="K373" s="66">
        <v>8.8000000000000007</v>
      </c>
      <c r="L373" s="66">
        <f>K373*VLOOKUP(I373,dagsoorttabel1,2,FALSE)</f>
        <v>8.8000000000000007</v>
      </c>
      <c r="M373" s="67">
        <f>prodnorm60</f>
        <v>0</v>
      </c>
      <c r="N373" s="68">
        <f>dagwerk60</f>
        <v>0</v>
      </c>
      <c r="O373" s="64" t="s">
        <v>38</v>
      </c>
      <c r="P373" s="69">
        <f>uurtarief60</f>
        <v>0</v>
      </c>
      <c r="Q373" s="66" t="e">
        <f>IF(ISBLANK(M373),0,L373/ROUND(M373,4))</f>
        <v>#DIV/0!</v>
      </c>
      <c r="R373" s="66" t="e">
        <f>IF(ISBLANK(M373),0,Q373*ROUND(N373,2))</f>
        <v>#DIV/0!</v>
      </c>
      <c r="S373" s="69" t="e">
        <f>ROUND(P373,2)*Q373</f>
        <v>#DIV/0!</v>
      </c>
      <c r="T373" s="66" t="e">
        <f>Q373*dagenperjaar1</f>
        <v>#DIV/0!</v>
      </c>
      <c r="U373" s="70" t="e">
        <f>T373*ROUND(P373,2)</f>
        <v>#DIV/0!</v>
      </c>
    </row>
    <row r="374" spans="1:21" x14ac:dyDescent="0.2">
      <c r="A374" s="63" t="s">
        <v>530</v>
      </c>
      <c r="B374" s="64" t="s">
        <v>324</v>
      </c>
      <c r="C374" s="64" t="s">
        <v>323</v>
      </c>
      <c r="D374" s="64" t="s">
        <v>928</v>
      </c>
      <c r="E374" s="64" t="s">
        <v>324</v>
      </c>
      <c r="F374" s="65" t="s">
        <v>373</v>
      </c>
      <c r="G374" s="64" t="s">
        <v>862</v>
      </c>
      <c r="H374" s="64" t="s">
        <v>255</v>
      </c>
      <c r="I374" s="64" t="s">
        <v>10</v>
      </c>
      <c r="J374" s="64" t="s">
        <v>201</v>
      </c>
      <c r="K374" s="66">
        <v>8.8000000000000007</v>
      </c>
      <c r="L374" s="66">
        <f>K374*VLOOKUP(I374,dagsoorttabel1,2,FALSE)</f>
        <v>8.8000000000000007</v>
      </c>
      <c r="M374" s="67">
        <f>prodnorm59</f>
        <v>0</v>
      </c>
      <c r="N374" s="68">
        <f>dagwerk59</f>
        <v>0</v>
      </c>
      <c r="O374" s="64" t="s">
        <v>38</v>
      </c>
      <c r="P374" s="69">
        <f>uurtarief59</f>
        <v>0</v>
      </c>
      <c r="Q374" s="66" t="e">
        <f>IF(ISBLANK(M374),0,L374/ROUND(M374,4))</f>
        <v>#DIV/0!</v>
      </c>
      <c r="R374" s="66" t="e">
        <f>IF(ISBLANK(M374),0,Q374*ROUND(N374,2))</f>
        <v>#DIV/0!</v>
      </c>
      <c r="S374" s="69" t="e">
        <f>ROUND(P374,2)*Q374</f>
        <v>#DIV/0!</v>
      </c>
      <c r="T374" s="66" t="e">
        <f>Q374*dagenperjaar1</f>
        <v>#DIV/0!</v>
      </c>
      <c r="U374" s="70" t="e">
        <f>T374*ROUND(P374,2)</f>
        <v>#DIV/0!</v>
      </c>
    </row>
    <row r="375" spans="1:21" x14ac:dyDescent="0.2">
      <c r="A375" s="63" t="s">
        <v>530</v>
      </c>
      <c r="B375" s="64" t="s">
        <v>324</v>
      </c>
      <c r="C375" s="64" t="s">
        <v>323</v>
      </c>
      <c r="D375" s="64" t="s">
        <v>928</v>
      </c>
      <c r="E375" s="64" t="s">
        <v>324</v>
      </c>
      <c r="F375" s="65" t="s">
        <v>373</v>
      </c>
      <c r="G375" s="64" t="s">
        <v>862</v>
      </c>
      <c r="H375" s="64" t="s">
        <v>257</v>
      </c>
      <c r="I375" s="64" t="s">
        <v>10</v>
      </c>
      <c r="J375" s="64" t="s">
        <v>201</v>
      </c>
      <c r="K375" s="66">
        <v>8.8000000000000007</v>
      </c>
      <c r="L375" s="66">
        <f>K375*VLOOKUP(I375,dagsoorttabel1,2,FALSE)</f>
        <v>8.8000000000000007</v>
      </c>
      <c r="M375" s="67">
        <f>prodnorm60</f>
        <v>0</v>
      </c>
      <c r="N375" s="68">
        <f>dagwerk60</f>
        <v>0</v>
      </c>
      <c r="O375" s="64" t="s">
        <v>38</v>
      </c>
      <c r="P375" s="69">
        <f>uurtarief60</f>
        <v>0</v>
      </c>
      <c r="Q375" s="66" t="e">
        <f>IF(ISBLANK(M375),0,L375/ROUND(M375,4))</f>
        <v>#DIV/0!</v>
      </c>
      <c r="R375" s="66" t="e">
        <f>IF(ISBLANK(M375),0,Q375*ROUND(N375,2))</f>
        <v>#DIV/0!</v>
      </c>
      <c r="S375" s="69" t="e">
        <f>ROUND(P375,2)*Q375</f>
        <v>#DIV/0!</v>
      </c>
      <c r="T375" s="66" t="e">
        <f>Q375*dagenperjaar1</f>
        <v>#DIV/0!</v>
      </c>
      <c r="U375" s="70" t="e">
        <f>T375*ROUND(P375,2)</f>
        <v>#DIV/0!</v>
      </c>
    </row>
    <row r="376" spans="1:21" x14ac:dyDescent="0.2">
      <c r="A376" s="63" t="s">
        <v>530</v>
      </c>
      <c r="B376" s="64" t="s">
        <v>324</v>
      </c>
      <c r="C376" s="64" t="s">
        <v>323</v>
      </c>
      <c r="D376" s="64" t="s">
        <v>929</v>
      </c>
      <c r="E376" s="64" t="s">
        <v>324</v>
      </c>
      <c r="F376" s="65" t="s">
        <v>930</v>
      </c>
      <c r="G376" s="64" t="s">
        <v>931</v>
      </c>
      <c r="H376" s="64" t="s">
        <v>267</v>
      </c>
      <c r="I376" s="64" t="s">
        <v>10</v>
      </c>
      <c r="J376" s="64" t="s">
        <v>201</v>
      </c>
      <c r="K376" s="66">
        <v>14.5</v>
      </c>
      <c r="L376" s="66">
        <f>K376*VLOOKUP(I376,dagsoorttabel1,2,FALSE)</f>
        <v>14.5</v>
      </c>
      <c r="M376" s="67">
        <f>prodnorm65</f>
        <v>0</v>
      </c>
      <c r="N376" s="68">
        <f>dagwerk65</f>
        <v>0</v>
      </c>
      <c r="O376" s="64" t="s">
        <v>38</v>
      </c>
      <c r="P376" s="69">
        <f>uurtarief65</f>
        <v>0</v>
      </c>
      <c r="Q376" s="66" t="e">
        <f>IF(ISBLANK(M376),0,L376/ROUND(M376,4))</f>
        <v>#DIV/0!</v>
      </c>
      <c r="R376" s="66" t="e">
        <f>IF(ISBLANK(M376),0,Q376*ROUND(N376,2))</f>
        <v>#DIV/0!</v>
      </c>
      <c r="S376" s="69" t="e">
        <f>ROUND(P376,2)*Q376</f>
        <v>#DIV/0!</v>
      </c>
      <c r="T376" s="66" t="e">
        <f>Q376*dagenperjaar1</f>
        <v>#DIV/0!</v>
      </c>
      <c r="U376" s="70" t="e">
        <f>T376*ROUND(P376,2)</f>
        <v>#DIV/0!</v>
      </c>
    </row>
    <row r="377" spans="1:21" x14ac:dyDescent="0.2">
      <c r="A377" s="63" t="s">
        <v>530</v>
      </c>
      <c r="B377" s="64" t="s">
        <v>324</v>
      </c>
      <c r="C377" s="64" t="s">
        <v>323</v>
      </c>
      <c r="D377" s="64" t="s">
        <v>932</v>
      </c>
      <c r="E377" s="64" t="s">
        <v>324</v>
      </c>
      <c r="F377" s="65" t="s">
        <v>933</v>
      </c>
      <c r="G377" s="64" t="s">
        <v>934</v>
      </c>
      <c r="H377" s="64" t="s">
        <v>251</v>
      </c>
      <c r="I377" s="64" t="s">
        <v>10</v>
      </c>
      <c r="J377" s="64" t="s">
        <v>201</v>
      </c>
      <c r="K377" s="66">
        <v>26</v>
      </c>
      <c r="L377" s="66">
        <f>K377*VLOOKUP(I377,dagsoorttabel1,2,FALSE)</f>
        <v>26</v>
      </c>
      <c r="M377" s="67">
        <f>prodnorm57</f>
        <v>0</v>
      </c>
      <c r="N377" s="68">
        <f>dagwerk57</f>
        <v>0</v>
      </c>
      <c r="O377" s="64" t="s">
        <v>38</v>
      </c>
      <c r="P377" s="69">
        <f>uurtarief57</f>
        <v>0</v>
      </c>
      <c r="Q377" s="66" t="e">
        <f>IF(ISBLANK(M377),0,L377/ROUND(M377,4))</f>
        <v>#DIV/0!</v>
      </c>
      <c r="R377" s="66" t="e">
        <f>IF(ISBLANK(M377),0,Q377*ROUND(N377,2))</f>
        <v>#DIV/0!</v>
      </c>
      <c r="S377" s="69" t="e">
        <f>ROUND(P377,2)*Q377</f>
        <v>#DIV/0!</v>
      </c>
      <c r="T377" s="66" t="e">
        <f>Q377*dagenperjaar1</f>
        <v>#DIV/0!</v>
      </c>
      <c r="U377" s="70" t="e">
        <f>T377*ROUND(P377,2)</f>
        <v>#DIV/0!</v>
      </c>
    </row>
    <row r="378" spans="1:21" x14ac:dyDescent="0.2">
      <c r="A378" s="63" t="s">
        <v>530</v>
      </c>
      <c r="B378" s="64" t="s">
        <v>324</v>
      </c>
      <c r="C378" s="64" t="s">
        <v>323</v>
      </c>
      <c r="D378" s="64" t="s">
        <v>935</v>
      </c>
      <c r="E378" s="64" t="s">
        <v>324</v>
      </c>
      <c r="F378" s="65" t="s">
        <v>936</v>
      </c>
      <c r="G378" s="64" t="s">
        <v>857</v>
      </c>
      <c r="H378" s="64" t="s">
        <v>200</v>
      </c>
      <c r="I378" s="64" t="s">
        <v>10</v>
      </c>
      <c r="J378" s="64" t="s">
        <v>201</v>
      </c>
      <c r="K378" s="66">
        <v>93.5</v>
      </c>
      <c r="L378" s="66">
        <f>K378*VLOOKUP(I378,dagsoorttabel1,2,FALSE)</f>
        <v>93.5</v>
      </c>
      <c r="M378" s="67">
        <f>prodnorm24</f>
        <v>0</v>
      </c>
      <c r="N378" s="68">
        <f>dagwerk24</f>
        <v>0</v>
      </c>
      <c r="O378" s="64" t="s">
        <v>38</v>
      </c>
      <c r="P378" s="69">
        <f>uurtarief24</f>
        <v>0</v>
      </c>
      <c r="Q378" s="66" t="e">
        <f>IF(ISBLANK(M378),0,L378/ROUND(M378,4))</f>
        <v>#DIV/0!</v>
      </c>
      <c r="R378" s="66" t="e">
        <f>IF(ISBLANK(M378),0,Q378*ROUND(N378,2))</f>
        <v>#DIV/0!</v>
      </c>
      <c r="S378" s="69" t="e">
        <f>ROUND(P378,2)*Q378</f>
        <v>#DIV/0!</v>
      </c>
      <c r="T378" s="66" t="e">
        <f>Q378*dagenperjaar1</f>
        <v>#DIV/0!</v>
      </c>
      <c r="U378" s="70" t="e">
        <f>T378*ROUND(P378,2)</f>
        <v>#DIV/0!</v>
      </c>
    </row>
    <row r="379" spans="1:21" x14ac:dyDescent="0.2">
      <c r="A379" s="63" t="s">
        <v>530</v>
      </c>
      <c r="B379" s="64" t="s">
        <v>324</v>
      </c>
      <c r="C379" s="64" t="s">
        <v>323</v>
      </c>
      <c r="D379" s="64" t="s">
        <v>465</v>
      </c>
      <c r="E379" s="64" t="s">
        <v>324</v>
      </c>
      <c r="F379" s="65" t="s">
        <v>937</v>
      </c>
      <c r="G379" s="64" t="s">
        <v>934</v>
      </c>
      <c r="H379" s="64" t="s">
        <v>251</v>
      </c>
      <c r="I379" s="64" t="s">
        <v>10</v>
      </c>
      <c r="J379" s="64" t="s">
        <v>201</v>
      </c>
      <c r="K379" s="66">
        <v>61.2</v>
      </c>
      <c r="L379" s="66">
        <f>K379*VLOOKUP(I379,dagsoorttabel1,2,FALSE)</f>
        <v>61.2</v>
      </c>
      <c r="M379" s="67">
        <f>prodnorm57</f>
        <v>0</v>
      </c>
      <c r="N379" s="68">
        <f>dagwerk57</f>
        <v>0</v>
      </c>
      <c r="O379" s="64" t="s">
        <v>38</v>
      </c>
      <c r="P379" s="69">
        <f>uurtarief57</f>
        <v>0</v>
      </c>
      <c r="Q379" s="66" t="e">
        <f>IF(ISBLANK(M379),0,L379/ROUND(M379,4))</f>
        <v>#DIV/0!</v>
      </c>
      <c r="R379" s="66" t="e">
        <f>IF(ISBLANK(M379),0,Q379*ROUND(N379,2))</f>
        <v>#DIV/0!</v>
      </c>
      <c r="S379" s="69" t="e">
        <f>ROUND(P379,2)*Q379</f>
        <v>#DIV/0!</v>
      </c>
      <c r="T379" s="66" t="e">
        <f>Q379*dagenperjaar1</f>
        <v>#DIV/0!</v>
      </c>
      <c r="U379" s="70" t="e">
        <f>T379*ROUND(P379,2)</f>
        <v>#DIV/0!</v>
      </c>
    </row>
    <row r="380" spans="1:21" x14ac:dyDescent="0.2">
      <c r="A380" s="63" t="s">
        <v>530</v>
      </c>
      <c r="B380" s="64" t="s">
        <v>324</v>
      </c>
      <c r="C380" s="64" t="s">
        <v>323</v>
      </c>
      <c r="D380" s="64" t="s">
        <v>467</v>
      </c>
      <c r="E380" s="64" t="s">
        <v>324</v>
      </c>
      <c r="F380" s="65" t="s">
        <v>938</v>
      </c>
      <c r="G380" s="64" t="s">
        <v>857</v>
      </c>
      <c r="H380" s="64" t="s">
        <v>251</v>
      </c>
      <c r="I380" s="64" t="s">
        <v>10</v>
      </c>
      <c r="J380" s="64" t="s">
        <v>201</v>
      </c>
      <c r="K380" s="66">
        <v>70.900000000000006</v>
      </c>
      <c r="L380" s="66">
        <f>K380*VLOOKUP(I380,dagsoorttabel1,2,FALSE)</f>
        <v>70.900000000000006</v>
      </c>
      <c r="M380" s="67">
        <f>prodnorm57</f>
        <v>0</v>
      </c>
      <c r="N380" s="68">
        <f>dagwerk57</f>
        <v>0</v>
      </c>
      <c r="O380" s="64" t="s">
        <v>38</v>
      </c>
      <c r="P380" s="69">
        <f>uurtarief57</f>
        <v>0</v>
      </c>
      <c r="Q380" s="66" t="e">
        <f>IF(ISBLANK(M380),0,L380/ROUND(M380,4))</f>
        <v>#DIV/0!</v>
      </c>
      <c r="R380" s="66" t="e">
        <f>IF(ISBLANK(M380),0,Q380*ROUND(N380,2))</f>
        <v>#DIV/0!</v>
      </c>
      <c r="S380" s="69" t="e">
        <f>ROUND(P380,2)*Q380</f>
        <v>#DIV/0!</v>
      </c>
      <c r="T380" s="66" t="e">
        <f>Q380*dagenperjaar1</f>
        <v>#DIV/0!</v>
      </c>
      <c r="U380" s="70" t="e">
        <f>T380*ROUND(P380,2)</f>
        <v>#DIV/0!</v>
      </c>
    </row>
    <row r="381" spans="1:21" x14ac:dyDescent="0.2">
      <c r="A381" s="63" t="s">
        <v>530</v>
      </c>
      <c r="B381" s="64" t="s">
        <v>324</v>
      </c>
      <c r="C381" s="64" t="s">
        <v>323</v>
      </c>
      <c r="D381" s="64" t="s">
        <v>470</v>
      </c>
      <c r="E381" s="64" t="s">
        <v>324</v>
      </c>
      <c r="F381" s="65" t="s">
        <v>938</v>
      </c>
      <c r="G381" s="64" t="s">
        <v>857</v>
      </c>
      <c r="H381" s="64" t="s">
        <v>251</v>
      </c>
      <c r="I381" s="64" t="s">
        <v>10</v>
      </c>
      <c r="J381" s="64" t="s">
        <v>201</v>
      </c>
      <c r="K381" s="66">
        <v>77.2</v>
      </c>
      <c r="L381" s="66">
        <f>K381*VLOOKUP(I381,dagsoorttabel1,2,FALSE)</f>
        <v>77.2</v>
      </c>
      <c r="M381" s="67">
        <f>prodnorm57</f>
        <v>0</v>
      </c>
      <c r="N381" s="68">
        <f>dagwerk57</f>
        <v>0</v>
      </c>
      <c r="O381" s="64" t="s">
        <v>38</v>
      </c>
      <c r="P381" s="69">
        <f>uurtarief57</f>
        <v>0</v>
      </c>
      <c r="Q381" s="66" t="e">
        <f>IF(ISBLANK(M381),0,L381/ROUND(M381,4))</f>
        <v>#DIV/0!</v>
      </c>
      <c r="R381" s="66" t="e">
        <f>IF(ISBLANK(M381),0,Q381*ROUND(N381,2))</f>
        <v>#DIV/0!</v>
      </c>
      <c r="S381" s="69" t="e">
        <f>ROUND(P381,2)*Q381</f>
        <v>#DIV/0!</v>
      </c>
      <c r="T381" s="66" t="e">
        <f>Q381*dagenperjaar1</f>
        <v>#DIV/0!</v>
      </c>
      <c r="U381" s="70" t="e">
        <f>T381*ROUND(P381,2)</f>
        <v>#DIV/0!</v>
      </c>
    </row>
    <row r="382" spans="1:21" x14ac:dyDescent="0.2">
      <c r="A382" s="63" t="s">
        <v>530</v>
      </c>
      <c r="B382" s="64" t="s">
        <v>324</v>
      </c>
      <c r="C382" s="64" t="s">
        <v>323</v>
      </c>
      <c r="D382" s="64" t="s">
        <v>939</v>
      </c>
      <c r="E382" s="64" t="s">
        <v>324</v>
      </c>
      <c r="F382" s="65" t="s">
        <v>655</v>
      </c>
      <c r="G382" s="64" t="s">
        <v>328</v>
      </c>
      <c r="H382" s="64" t="s">
        <v>263</v>
      </c>
      <c r="I382" s="64" t="s">
        <v>10</v>
      </c>
      <c r="J382" s="64" t="s">
        <v>201</v>
      </c>
      <c r="K382" s="66">
        <v>30.3</v>
      </c>
      <c r="L382" s="66">
        <f>K382*VLOOKUP(I382,dagsoorttabel1,2,FALSE)</f>
        <v>30.3</v>
      </c>
      <c r="M382" s="67">
        <f>prodnorm63</f>
        <v>0</v>
      </c>
      <c r="N382" s="68">
        <f>dagwerk63</f>
        <v>0</v>
      </c>
      <c r="O382" s="64" t="s">
        <v>38</v>
      </c>
      <c r="P382" s="69">
        <f>uurtarief63</f>
        <v>0</v>
      </c>
      <c r="Q382" s="66" t="e">
        <f>IF(ISBLANK(M382),0,L382/ROUND(M382,4))</f>
        <v>#DIV/0!</v>
      </c>
      <c r="R382" s="66" t="e">
        <f>IF(ISBLANK(M382),0,Q382*ROUND(N382,2))</f>
        <v>#DIV/0!</v>
      </c>
      <c r="S382" s="69" t="e">
        <f>ROUND(P382,2)*Q382</f>
        <v>#DIV/0!</v>
      </c>
      <c r="T382" s="66" t="e">
        <f>Q382*dagenperjaar1</f>
        <v>#DIV/0!</v>
      </c>
      <c r="U382" s="70" t="e">
        <f>T382*ROUND(P382,2)</f>
        <v>#DIV/0!</v>
      </c>
    </row>
    <row r="383" spans="1:21" x14ac:dyDescent="0.2">
      <c r="A383" s="63" t="s">
        <v>530</v>
      </c>
      <c r="B383" s="64" t="s">
        <v>324</v>
      </c>
      <c r="C383" s="64" t="s">
        <v>323</v>
      </c>
      <c r="D383" s="64" t="s">
        <v>940</v>
      </c>
      <c r="E383" s="64" t="s">
        <v>324</v>
      </c>
      <c r="F383" s="65" t="s">
        <v>941</v>
      </c>
      <c r="G383" s="64" t="s">
        <v>328</v>
      </c>
      <c r="H383" s="64" t="s">
        <v>205</v>
      </c>
      <c r="I383" s="64" t="s">
        <v>16</v>
      </c>
      <c r="J383" s="64" t="s">
        <v>201</v>
      </c>
      <c r="K383" s="66">
        <v>12.3</v>
      </c>
      <c r="L383" s="66">
        <f>K383*VLOOKUP(I383,dagsoorttabel1,2,FALSE)</f>
        <v>2.4600000000000004</v>
      </c>
      <c r="M383" s="67">
        <f>prodnorm27</f>
        <v>0</v>
      </c>
      <c r="N383" s="68">
        <f>dagwerk27</f>
        <v>0</v>
      </c>
      <c r="O383" s="64" t="s">
        <v>38</v>
      </c>
      <c r="P383" s="69">
        <f>uurtarief27</f>
        <v>0</v>
      </c>
      <c r="Q383" s="66" t="e">
        <f>IF(ISBLANK(M383),0,L383/ROUND(M383,4))</f>
        <v>#DIV/0!</v>
      </c>
      <c r="R383" s="66" t="e">
        <f>IF(ISBLANK(M383),0,Q383*ROUND(N383,2))</f>
        <v>#DIV/0!</v>
      </c>
      <c r="S383" s="69" t="e">
        <f>ROUND(P383,2)*Q383</f>
        <v>#DIV/0!</v>
      </c>
      <c r="T383" s="66" t="e">
        <f>Q383*dagenperjaar1</f>
        <v>#DIV/0!</v>
      </c>
      <c r="U383" s="70" t="e">
        <f>T383*ROUND(P383,2)</f>
        <v>#DIV/0!</v>
      </c>
    </row>
    <row r="384" spans="1:21" x14ac:dyDescent="0.2">
      <c r="A384" s="63" t="s">
        <v>530</v>
      </c>
      <c r="B384" s="64" t="s">
        <v>324</v>
      </c>
      <c r="C384" s="64" t="s">
        <v>323</v>
      </c>
      <c r="D384" s="64" t="s">
        <v>942</v>
      </c>
      <c r="E384" s="64" t="s">
        <v>324</v>
      </c>
      <c r="F384" s="65" t="s">
        <v>943</v>
      </c>
      <c r="G384" s="64" t="s">
        <v>328</v>
      </c>
      <c r="H384" s="64" t="s">
        <v>205</v>
      </c>
      <c r="I384" s="64" t="s">
        <v>10</v>
      </c>
      <c r="J384" s="64" t="s">
        <v>201</v>
      </c>
      <c r="K384" s="66">
        <v>54.9</v>
      </c>
      <c r="L384" s="66">
        <f>K384*VLOOKUP(I384,dagsoorttabel1,2,FALSE)</f>
        <v>54.9</v>
      </c>
      <c r="M384" s="67">
        <f>prodnorm26</f>
        <v>0</v>
      </c>
      <c r="N384" s="68">
        <f>dagwerk26</f>
        <v>0</v>
      </c>
      <c r="O384" s="64" t="s">
        <v>38</v>
      </c>
      <c r="P384" s="69">
        <f>uurtarief26</f>
        <v>0</v>
      </c>
      <c r="Q384" s="66" t="e">
        <f>IF(ISBLANK(M384),0,L384/ROUND(M384,4))</f>
        <v>#DIV/0!</v>
      </c>
      <c r="R384" s="66" t="e">
        <f>IF(ISBLANK(M384),0,Q384*ROUND(N384,2))</f>
        <v>#DIV/0!</v>
      </c>
      <c r="S384" s="69" t="e">
        <f>ROUND(P384,2)*Q384</f>
        <v>#DIV/0!</v>
      </c>
      <c r="T384" s="66" t="e">
        <f>Q384*dagenperjaar1</f>
        <v>#DIV/0!</v>
      </c>
      <c r="U384" s="70" t="e">
        <f>T384*ROUND(P384,2)</f>
        <v>#DIV/0!</v>
      </c>
    </row>
    <row r="385" spans="1:21" x14ac:dyDescent="0.2">
      <c r="A385" s="63" t="s">
        <v>530</v>
      </c>
      <c r="B385" s="64" t="s">
        <v>324</v>
      </c>
      <c r="C385" s="64" t="s">
        <v>323</v>
      </c>
      <c r="D385" s="64" t="s">
        <v>944</v>
      </c>
      <c r="E385" s="64" t="s">
        <v>324</v>
      </c>
      <c r="F385" s="65" t="s">
        <v>943</v>
      </c>
      <c r="G385" s="64" t="s">
        <v>328</v>
      </c>
      <c r="H385" s="64" t="s">
        <v>205</v>
      </c>
      <c r="I385" s="64" t="s">
        <v>10</v>
      </c>
      <c r="J385" s="64" t="s">
        <v>201</v>
      </c>
      <c r="K385" s="66">
        <v>54.7</v>
      </c>
      <c r="L385" s="66">
        <f>K385*VLOOKUP(I385,dagsoorttabel1,2,FALSE)</f>
        <v>54.7</v>
      </c>
      <c r="M385" s="67">
        <f>prodnorm26</f>
        <v>0</v>
      </c>
      <c r="N385" s="68">
        <f>dagwerk26</f>
        <v>0</v>
      </c>
      <c r="O385" s="64" t="s">
        <v>38</v>
      </c>
      <c r="P385" s="69">
        <f>uurtarief26</f>
        <v>0</v>
      </c>
      <c r="Q385" s="66" t="e">
        <f>IF(ISBLANK(M385),0,L385/ROUND(M385,4))</f>
        <v>#DIV/0!</v>
      </c>
      <c r="R385" s="66" t="e">
        <f>IF(ISBLANK(M385),0,Q385*ROUND(N385,2))</f>
        <v>#DIV/0!</v>
      </c>
      <c r="S385" s="69" t="e">
        <f>ROUND(P385,2)*Q385</f>
        <v>#DIV/0!</v>
      </c>
      <c r="T385" s="66" t="e">
        <f>Q385*dagenperjaar1</f>
        <v>#DIV/0!</v>
      </c>
      <c r="U385" s="70" t="e">
        <f>T385*ROUND(P385,2)</f>
        <v>#DIV/0!</v>
      </c>
    </row>
    <row r="386" spans="1:21" x14ac:dyDescent="0.2">
      <c r="A386" s="63" t="s">
        <v>530</v>
      </c>
      <c r="B386" s="64" t="s">
        <v>324</v>
      </c>
      <c r="C386" s="64" t="s">
        <v>323</v>
      </c>
      <c r="D386" s="64" t="s">
        <v>945</v>
      </c>
      <c r="E386" s="64" t="s">
        <v>324</v>
      </c>
      <c r="F386" s="65" t="s">
        <v>943</v>
      </c>
      <c r="G386" s="64" t="s">
        <v>328</v>
      </c>
      <c r="H386" s="64" t="s">
        <v>205</v>
      </c>
      <c r="I386" s="64" t="s">
        <v>10</v>
      </c>
      <c r="J386" s="64" t="s">
        <v>201</v>
      </c>
      <c r="K386" s="66">
        <v>50.2</v>
      </c>
      <c r="L386" s="66">
        <f>K386*VLOOKUP(I386,dagsoorttabel1,2,FALSE)</f>
        <v>50.2</v>
      </c>
      <c r="M386" s="67">
        <f>prodnorm26</f>
        <v>0</v>
      </c>
      <c r="N386" s="68">
        <f>dagwerk26</f>
        <v>0</v>
      </c>
      <c r="O386" s="64" t="s">
        <v>38</v>
      </c>
      <c r="P386" s="69">
        <f>uurtarief26</f>
        <v>0</v>
      </c>
      <c r="Q386" s="66" t="e">
        <f>IF(ISBLANK(M386),0,L386/ROUND(M386,4))</f>
        <v>#DIV/0!</v>
      </c>
      <c r="R386" s="66" t="e">
        <f>IF(ISBLANK(M386),0,Q386*ROUND(N386,2))</f>
        <v>#DIV/0!</v>
      </c>
      <c r="S386" s="69" t="e">
        <f>ROUND(P386,2)*Q386</f>
        <v>#DIV/0!</v>
      </c>
      <c r="T386" s="66" t="e">
        <f>Q386*dagenperjaar1</f>
        <v>#DIV/0!</v>
      </c>
      <c r="U386" s="70" t="e">
        <f>T386*ROUND(P386,2)</f>
        <v>#DIV/0!</v>
      </c>
    </row>
    <row r="387" spans="1:21" x14ac:dyDescent="0.2">
      <c r="A387" s="63" t="s">
        <v>530</v>
      </c>
      <c r="B387" s="64" t="s">
        <v>324</v>
      </c>
      <c r="C387" s="64" t="s">
        <v>323</v>
      </c>
      <c r="D387" s="64" t="s">
        <v>946</v>
      </c>
      <c r="E387" s="64" t="s">
        <v>324</v>
      </c>
      <c r="F387" s="65" t="s">
        <v>335</v>
      </c>
      <c r="G387" s="64" t="s">
        <v>328</v>
      </c>
      <c r="H387" s="64" t="s">
        <v>267</v>
      </c>
      <c r="I387" s="64" t="s">
        <v>10</v>
      </c>
      <c r="J387" s="64" t="s">
        <v>201</v>
      </c>
      <c r="K387" s="66">
        <v>36.4</v>
      </c>
      <c r="L387" s="66">
        <f>K387*VLOOKUP(I387,dagsoorttabel1,2,FALSE)</f>
        <v>36.4</v>
      </c>
      <c r="M387" s="67">
        <f>prodnorm65</f>
        <v>0</v>
      </c>
      <c r="N387" s="68">
        <f>dagwerk65</f>
        <v>0</v>
      </c>
      <c r="O387" s="64" t="s">
        <v>38</v>
      </c>
      <c r="P387" s="69">
        <f>uurtarief65</f>
        <v>0</v>
      </c>
      <c r="Q387" s="66" t="e">
        <f>IF(ISBLANK(M387),0,L387/ROUND(M387,4))</f>
        <v>#DIV/0!</v>
      </c>
      <c r="R387" s="66" t="e">
        <f>IF(ISBLANK(M387),0,Q387*ROUND(N387,2))</f>
        <v>#DIV/0!</v>
      </c>
      <c r="S387" s="69" t="e">
        <f>ROUND(P387,2)*Q387</f>
        <v>#DIV/0!</v>
      </c>
      <c r="T387" s="66" t="e">
        <f>Q387*dagenperjaar1</f>
        <v>#DIV/0!</v>
      </c>
      <c r="U387" s="70" t="e">
        <f>T387*ROUND(P387,2)</f>
        <v>#DIV/0!</v>
      </c>
    </row>
    <row r="388" spans="1:21" x14ac:dyDescent="0.2">
      <c r="A388" s="63" t="s">
        <v>530</v>
      </c>
      <c r="B388" s="64" t="s">
        <v>324</v>
      </c>
      <c r="C388" s="64" t="s">
        <v>323</v>
      </c>
      <c r="D388" s="64" t="s">
        <v>947</v>
      </c>
      <c r="E388" s="64" t="s">
        <v>324</v>
      </c>
      <c r="F388" s="65" t="s">
        <v>335</v>
      </c>
      <c r="G388" s="64" t="s">
        <v>328</v>
      </c>
      <c r="H388" s="64" t="s">
        <v>267</v>
      </c>
      <c r="I388" s="64" t="s">
        <v>10</v>
      </c>
      <c r="J388" s="64" t="s">
        <v>201</v>
      </c>
      <c r="K388" s="66">
        <v>16.399999999999999</v>
      </c>
      <c r="L388" s="66">
        <f>K388*VLOOKUP(I388,dagsoorttabel1,2,FALSE)</f>
        <v>16.399999999999999</v>
      </c>
      <c r="M388" s="67">
        <f>prodnorm65</f>
        <v>0</v>
      </c>
      <c r="N388" s="68">
        <f>dagwerk65</f>
        <v>0</v>
      </c>
      <c r="O388" s="64" t="s">
        <v>38</v>
      </c>
      <c r="P388" s="69">
        <f>uurtarief65</f>
        <v>0</v>
      </c>
      <c r="Q388" s="66" t="e">
        <f>IF(ISBLANK(M388),0,L388/ROUND(M388,4))</f>
        <v>#DIV/0!</v>
      </c>
      <c r="R388" s="66" t="e">
        <f>IF(ISBLANK(M388),0,Q388*ROUND(N388,2))</f>
        <v>#DIV/0!</v>
      </c>
      <c r="S388" s="69" t="e">
        <f>ROUND(P388,2)*Q388</f>
        <v>#DIV/0!</v>
      </c>
      <c r="T388" s="66" t="e">
        <f>Q388*dagenperjaar1</f>
        <v>#DIV/0!</v>
      </c>
      <c r="U388" s="70" t="e">
        <f>T388*ROUND(P388,2)</f>
        <v>#DIV/0!</v>
      </c>
    </row>
    <row r="389" spans="1:21" x14ac:dyDescent="0.2">
      <c r="A389" s="63" t="s">
        <v>530</v>
      </c>
      <c r="B389" s="64" t="s">
        <v>324</v>
      </c>
      <c r="C389" s="64" t="s">
        <v>323</v>
      </c>
      <c r="D389" s="64" t="s">
        <v>948</v>
      </c>
      <c r="E389" s="64" t="s">
        <v>324</v>
      </c>
      <c r="F389" s="65" t="s">
        <v>335</v>
      </c>
      <c r="G389" s="64" t="s">
        <v>328</v>
      </c>
      <c r="H389" s="64" t="s">
        <v>267</v>
      </c>
      <c r="I389" s="64" t="s">
        <v>10</v>
      </c>
      <c r="J389" s="64" t="s">
        <v>201</v>
      </c>
      <c r="K389" s="66">
        <v>7.1</v>
      </c>
      <c r="L389" s="66">
        <f>K389*VLOOKUP(I389,dagsoorttabel1,2,FALSE)</f>
        <v>7.1</v>
      </c>
      <c r="M389" s="67">
        <f>prodnorm65</f>
        <v>0</v>
      </c>
      <c r="N389" s="68">
        <f>dagwerk65</f>
        <v>0</v>
      </c>
      <c r="O389" s="64" t="s">
        <v>38</v>
      </c>
      <c r="P389" s="69">
        <f>uurtarief65</f>
        <v>0</v>
      </c>
      <c r="Q389" s="66" t="e">
        <f>IF(ISBLANK(M389),0,L389/ROUND(M389,4))</f>
        <v>#DIV/0!</v>
      </c>
      <c r="R389" s="66" t="e">
        <f>IF(ISBLANK(M389),0,Q389*ROUND(N389,2))</f>
        <v>#DIV/0!</v>
      </c>
      <c r="S389" s="69" t="e">
        <f>ROUND(P389,2)*Q389</f>
        <v>#DIV/0!</v>
      </c>
      <c r="T389" s="66" t="e">
        <f>Q389*dagenperjaar1</f>
        <v>#DIV/0!</v>
      </c>
      <c r="U389" s="70" t="e">
        <f>T389*ROUND(P389,2)</f>
        <v>#DIV/0!</v>
      </c>
    </row>
    <row r="390" spans="1:21" x14ac:dyDescent="0.2">
      <c r="A390" s="63" t="s">
        <v>530</v>
      </c>
      <c r="B390" s="64" t="s">
        <v>324</v>
      </c>
      <c r="C390" s="64" t="s">
        <v>323</v>
      </c>
      <c r="D390" s="64" t="s">
        <v>949</v>
      </c>
      <c r="E390" s="64" t="s">
        <v>324</v>
      </c>
      <c r="F390" s="65" t="s">
        <v>335</v>
      </c>
      <c r="G390" s="64" t="s">
        <v>328</v>
      </c>
      <c r="H390" s="64" t="s">
        <v>267</v>
      </c>
      <c r="I390" s="64" t="s">
        <v>10</v>
      </c>
      <c r="J390" s="64" t="s">
        <v>201</v>
      </c>
      <c r="K390" s="66">
        <v>36</v>
      </c>
      <c r="L390" s="66">
        <f>K390*VLOOKUP(I390,dagsoorttabel1,2,FALSE)</f>
        <v>36</v>
      </c>
      <c r="M390" s="67">
        <f>prodnorm65</f>
        <v>0</v>
      </c>
      <c r="N390" s="68">
        <f>dagwerk65</f>
        <v>0</v>
      </c>
      <c r="O390" s="64" t="s">
        <v>38</v>
      </c>
      <c r="P390" s="69">
        <f>uurtarief65</f>
        <v>0</v>
      </c>
      <c r="Q390" s="66" t="e">
        <f>IF(ISBLANK(M390),0,L390/ROUND(M390,4))</f>
        <v>#DIV/0!</v>
      </c>
      <c r="R390" s="66" t="e">
        <f>IF(ISBLANK(M390),0,Q390*ROUND(N390,2))</f>
        <v>#DIV/0!</v>
      </c>
      <c r="S390" s="69" t="e">
        <f>ROUND(P390,2)*Q390</f>
        <v>#DIV/0!</v>
      </c>
      <c r="T390" s="66" t="e">
        <f>Q390*dagenperjaar1</f>
        <v>#DIV/0!</v>
      </c>
      <c r="U390" s="70" t="e">
        <f>T390*ROUND(P390,2)</f>
        <v>#DIV/0!</v>
      </c>
    </row>
    <row r="391" spans="1:21" x14ac:dyDescent="0.2">
      <c r="A391" s="63" t="s">
        <v>530</v>
      </c>
      <c r="B391" s="64" t="s">
        <v>324</v>
      </c>
      <c r="C391" s="64" t="s">
        <v>323</v>
      </c>
      <c r="D391" s="64" t="s">
        <v>950</v>
      </c>
      <c r="E391" s="64" t="s">
        <v>324</v>
      </c>
      <c r="F391" s="65" t="s">
        <v>951</v>
      </c>
      <c r="G391" s="64" t="s">
        <v>328</v>
      </c>
      <c r="H391" s="64" t="s">
        <v>237</v>
      </c>
      <c r="I391" s="64" t="s">
        <v>16</v>
      </c>
      <c r="J391" s="64" t="s">
        <v>201</v>
      </c>
      <c r="K391" s="66">
        <v>10.1</v>
      </c>
      <c r="L391" s="66">
        <f>K391*VLOOKUP(I391,dagsoorttabel1,2,FALSE)</f>
        <v>2.02</v>
      </c>
      <c r="M391" s="67">
        <f>prodnorm49</f>
        <v>0</v>
      </c>
      <c r="N391" s="68">
        <f>dagwerk49</f>
        <v>0</v>
      </c>
      <c r="O391" s="64" t="s">
        <v>38</v>
      </c>
      <c r="P391" s="69">
        <f>uurtarief49</f>
        <v>0</v>
      </c>
      <c r="Q391" s="66" t="e">
        <f>IF(ISBLANK(M391),0,L391/ROUND(M391,4))</f>
        <v>#DIV/0!</v>
      </c>
      <c r="R391" s="66" t="e">
        <f>IF(ISBLANK(M391),0,Q391*ROUND(N391,2))</f>
        <v>#DIV/0!</v>
      </c>
      <c r="S391" s="69" t="e">
        <f>ROUND(P391,2)*Q391</f>
        <v>#DIV/0!</v>
      </c>
      <c r="T391" s="66" t="e">
        <f>Q391*dagenperjaar1</f>
        <v>#DIV/0!</v>
      </c>
      <c r="U391" s="70" t="e">
        <f>T391*ROUND(P391,2)</f>
        <v>#DIV/0!</v>
      </c>
    </row>
    <row r="392" spans="1:21" x14ac:dyDescent="0.2">
      <c r="A392" s="63" t="s">
        <v>530</v>
      </c>
      <c r="B392" s="64" t="s">
        <v>324</v>
      </c>
      <c r="C392" s="64" t="s">
        <v>323</v>
      </c>
      <c r="D392" s="64" t="s">
        <v>952</v>
      </c>
      <c r="E392" s="64" t="s">
        <v>324</v>
      </c>
      <c r="F392" s="65" t="s">
        <v>953</v>
      </c>
      <c r="G392" s="64" t="s">
        <v>328</v>
      </c>
      <c r="H392" s="64" t="s">
        <v>237</v>
      </c>
      <c r="I392" s="64" t="s">
        <v>16</v>
      </c>
      <c r="J392" s="64" t="s">
        <v>201</v>
      </c>
      <c r="K392" s="66">
        <v>10.1</v>
      </c>
      <c r="L392" s="66">
        <f>K392*VLOOKUP(I392,dagsoorttabel1,2,FALSE)</f>
        <v>2.02</v>
      </c>
      <c r="M392" s="67">
        <f>prodnorm49</f>
        <v>0</v>
      </c>
      <c r="N392" s="68">
        <f>dagwerk49</f>
        <v>0</v>
      </c>
      <c r="O392" s="64" t="s">
        <v>38</v>
      </c>
      <c r="P392" s="69">
        <f>uurtarief49</f>
        <v>0</v>
      </c>
      <c r="Q392" s="66" t="e">
        <f>IF(ISBLANK(M392),0,L392/ROUND(M392,4))</f>
        <v>#DIV/0!</v>
      </c>
      <c r="R392" s="66" t="e">
        <f>IF(ISBLANK(M392),0,Q392*ROUND(N392,2))</f>
        <v>#DIV/0!</v>
      </c>
      <c r="S392" s="69" t="e">
        <f>ROUND(P392,2)*Q392</f>
        <v>#DIV/0!</v>
      </c>
      <c r="T392" s="66" t="e">
        <f>Q392*dagenperjaar1</f>
        <v>#DIV/0!</v>
      </c>
      <c r="U392" s="70" t="e">
        <f>T392*ROUND(P392,2)</f>
        <v>#DIV/0!</v>
      </c>
    </row>
    <row r="393" spans="1:21" x14ac:dyDescent="0.2">
      <c r="A393" s="63" t="s">
        <v>530</v>
      </c>
      <c r="B393" s="64" t="s">
        <v>324</v>
      </c>
      <c r="C393" s="64" t="s">
        <v>323</v>
      </c>
      <c r="D393" s="64" t="s">
        <v>954</v>
      </c>
      <c r="E393" s="64" t="s">
        <v>324</v>
      </c>
      <c r="F393" s="65" t="s">
        <v>955</v>
      </c>
      <c r="G393" s="64" t="s">
        <v>328</v>
      </c>
      <c r="H393" s="64" t="s">
        <v>229</v>
      </c>
      <c r="I393" s="64" t="s">
        <v>10</v>
      </c>
      <c r="J393" s="64" t="s">
        <v>201</v>
      </c>
      <c r="K393" s="66">
        <v>65.900000000000006</v>
      </c>
      <c r="L393" s="66">
        <f>K393*VLOOKUP(I393,dagsoorttabel1,2,FALSE)</f>
        <v>65.900000000000006</v>
      </c>
      <c r="M393" s="67">
        <f>prodnorm43</f>
        <v>0</v>
      </c>
      <c r="N393" s="68">
        <f>dagwerk43</f>
        <v>0</v>
      </c>
      <c r="O393" s="64" t="s">
        <v>38</v>
      </c>
      <c r="P393" s="69">
        <f>uurtarief43</f>
        <v>0</v>
      </c>
      <c r="Q393" s="66" t="e">
        <f>IF(ISBLANK(M393),0,L393/ROUND(M393,4))</f>
        <v>#DIV/0!</v>
      </c>
      <c r="R393" s="66" t="e">
        <f>IF(ISBLANK(M393),0,Q393*ROUND(N393,2))</f>
        <v>#DIV/0!</v>
      </c>
      <c r="S393" s="69" t="e">
        <f>ROUND(P393,2)*Q393</f>
        <v>#DIV/0!</v>
      </c>
      <c r="T393" s="66" t="e">
        <f>Q393*dagenperjaar1</f>
        <v>#DIV/0!</v>
      </c>
      <c r="U393" s="70" t="e">
        <f>T393*ROUND(P393,2)</f>
        <v>#DIV/0!</v>
      </c>
    </row>
    <row r="394" spans="1:21" x14ac:dyDescent="0.2">
      <c r="A394" s="63" t="s">
        <v>530</v>
      </c>
      <c r="B394" s="64" t="s">
        <v>324</v>
      </c>
      <c r="C394" s="64" t="s">
        <v>323</v>
      </c>
      <c r="D394" s="64" t="s">
        <v>956</v>
      </c>
      <c r="E394" s="64" t="s">
        <v>324</v>
      </c>
      <c r="F394" s="65" t="s">
        <v>955</v>
      </c>
      <c r="G394" s="64" t="s">
        <v>328</v>
      </c>
      <c r="H394" s="64" t="s">
        <v>229</v>
      </c>
      <c r="I394" s="64" t="s">
        <v>10</v>
      </c>
      <c r="J394" s="64" t="s">
        <v>201</v>
      </c>
      <c r="K394" s="66">
        <v>66</v>
      </c>
      <c r="L394" s="66">
        <f>K394*VLOOKUP(I394,dagsoorttabel1,2,FALSE)</f>
        <v>66</v>
      </c>
      <c r="M394" s="67">
        <f>prodnorm43</f>
        <v>0</v>
      </c>
      <c r="N394" s="68">
        <f>dagwerk43</f>
        <v>0</v>
      </c>
      <c r="O394" s="64" t="s">
        <v>38</v>
      </c>
      <c r="P394" s="69">
        <f>uurtarief43</f>
        <v>0</v>
      </c>
      <c r="Q394" s="66" t="e">
        <f>IF(ISBLANK(M394),0,L394/ROUND(M394,4))</f>
        <v>#DIV/0!</v>
      </c>
      <c r="R394" s="66" t="e">
        <f>IF(ISBLANK(M394),0,Q394*ROUND(N394,2))</f>
        <v>#DIV/0!</v>
      </c>
      <c r="S394" s="69" t="e">
        <f>ROUND(P394,2)*Q394</f>
        <v>#DIV/0!</v>
      </c>
      <c r="T394" s="66" t="e">
        <f>Q394*dagenperjaar1</f>
        <v>#DIV/0!</v>
      </c>
      <c r="U394" s="70" t="e">
        <f>T394*ROUND(P394,2)</f>
        <v>#DIV/0!</v>
      </c>
    </row>
    <row r="395" spans="1:21" x14ac:dyDescent="0.2">
      <c r="A395" s="63" t="s">
        <v>530</v>
      </c>
      <c r="B395" s="64" t="s">
        <v>324</v>
      </c>
      <c r="C395" s="64" t="s">
        <v>323</v>
      </c>
      <c r="D395" s="64" t="s">
        <v>957</v>
      </c>
      <c r="E395" s="64" t="s">
        <v>324</v>
      </c>
      <c r="F395" s="65" t="s">
        <v>641</v>
      </c>
      <c r="G395" s="64" t="s">
        <v>862</v>
      </c>
      <c r="H395" s="64" t="s">
        <v>255</v>
      </c>
      <c r="I395" s="64" t="s">
        <v>10</v>
      </c>
      <c r="J395" s="64" t="s">
        <v>201</v>
      </c>
      <c r="K395" s="66">
        <v>6.2</v>
      </c>
      <c r="L395" s="66">
        <f>K395*VLOOKUP(I395,dagsoorttabel1,2,FALSE)</f>
        <v>6.2</v>
      </c>
      <c r="M395" s="67">
        <f>prodnorm59</f>
        <v>0</v>
      </c>
      <c r="N395" s="68">
        <f>dagwerk59</f>
        <v>0</v>
      </c>
      <c r="O395" s="64" t="s">
        <v>38</v>
      </c>
      <c r="P395" s="69">
        <f>uurtarief59</f>
        <v>0</v>
      </c>
      <c r="Q395" s="66" t="e">
        <f>IF(ISBLANK(M395),0,L395/ROUND(M395,4))</f>
        <v>#DIV/0!</v>
      </c>
      <c r="R395" s="66" t="e">
        <f>IF(ISBLANK(M395),0,Q395*ROUND(N395,2))</f>
        <v>#DIV/0!</v>
      </c>
      <c r="S395" s="69" t="e">
        <f>ROUND(P395,2)*Q395</f>
        <v>#DIV/0!</v>
      </c>
      <c r="T395" s="66" t="e">
        <f>Q395*dagenperjaar1</f>
        <v>#DIV/0!</v>
      </c>
      <c r="U395" s="70" t="e">
        <f>T395*ROUND(P395,2)</f>
        <v>#DIV/0!</v>
      </c>
    </row>
    <row r="396" spans="1:21" x14ac:dyDescent="0.2">
      <c r="A396" s="63" t="s">
        <v>530</v>
      </c>
      <c r="B396" s="64" t="s">
        <v>324</v>
      </c>
      <c r="C396" s="64" t="s">
        <v>323</v>
      </c>
      <c r="D396" s="64" t="s">
        <v>957</v>
      </c>
      <c r="E396" s="64" t="s">
        <v>324</v>
      </c>
      <c r="F396" s="65" t="s">
        <v>641</v>
      </c>
      <c r="G396" s="64" t="s">
        <v>862</v>
      </c>
      <c r="H396" s="64" t="s">
        <v>257</v>
      </c>
      <c r="I396" s="64" t="s">
        <v>10</v>
      </c>
      <c r="J396" s="64" t="s">
        <v>201</v>
      </c>
      <c r="K396" s="66">
        <v>6.2</v>
      </c>
      <c r="L396" s="66">
        <f>K396*VLOOKUP(I396,dagsoorttabel1,2,FALSE)</f>
        <v>6.2</v>
      </c>
      <c r="M396" s="67">
        <f>prodnorm60</f>
        <v>0</v>
      </c>
      <c r="N396" s="68">
        <f>dagwerk60</f>
        <v>0</v>
      </c>
      <c r="O396" s="64" t="s">
        <v>38</v>
      </c>
      <c r="P396" s="69">
        <f>uurtarief60</f>
        <v>0</v>
      </c>
      <c r="Q396" s="66" t="e">
        <f>IF(ISBLANK(M396),0,L396/ROUND(M396,4))</f>
        <v>#DIV/0!</v>
      </c>
      <c r="R396" s="66" t="e">
        <f>IF(ISBLANK(M396),0,Q396*ROUND(N396,2))</f>
        <v>#DIV/0!</v>
      </c>
      <c r="S396" s="69" t="e">
        <f>ROUND(P396,2)*Q396</f>
        <v>#DIV/0!</v>
      </c>
      <c r="T396" s="66" t="e">
        <f>Q396*dagenperjaar1</f>
        <v>#DIV/0!</v>
      </c>
      <c r="U396" s="70" t="e">
        <f>T396*ROUND(P396,2)</f>
        <v>#DIV/0!</v>
      </c>
    </row>
    <row r="397" spans="1:21" x14ac:dyDescent="0.2">
      <c r="A397" s="63" t="s">
        <v>530</v>
      </c>
      <c r="B397" s="64" t="s">
        <v>324</v>
      </c>
      <c r="C397" s="64" t="s">
        <v>323</v>
      </c>
      <c r="D397" s="64" t="s">
        <v>958</v>
      </c>
      <c r="E397" s="64" t="s">
        <v>324</v>
      </c>
      <c r="F397" s="65" t="s">
        <v>641</v>
      </c>
      <c r="G397" s="64" t="s">
        <v>862</v>
      </c>
      <c r="H397" s="64" t="s">
        <v>255</v>
      </c>
      <c r="I397" s="64" t="s">
        <v>10</v>
      </c>
      <c r="J397" s="64" t="s">
        <v>201</v>
      </c>
      <c r="K397" s="66">
        <v>6.2</v>
      </c>
      <c r="L397" s="66">
        <f>K397*VLOOKUP(I397,dagsoorttabel1,2,FALSE)</f>
        <v>6.2</v>
      </c>
      <c r="M397" s="67">
        <f>prodnorm59</f>
        <v>0</v>
      </c>
      <c r="N397" s="68">
        <f>dagwerk59</f>
        <v>0</v>
      </c>
      <c r="O397" s="64" t="s">
        <v>38</v>
      </c>
      <c r="P397" s="69">
        <f>uurtarief59</f>
        <v>0</v>
      </c>
      <c r="Q397" s="66" t="e">
        <f>IF(ISBLANK(M397),0,L397/ROUND(M397,4))</f>
        <v>#DIV/0!</v>
      </c>
      <c r="R397" s="66" t="e">
        <f>IF(ISBLANK(M397),0,Q397*ROUND(N397,2))</f>
        <v>#DIV/0!</v>
      </c>
      <c r="S397" s="69" t="e">
        <f>ROUND(P397,2)*Q397</f>
        <v>#DIV/0!</v>
      </c>
      <c r="T397" s="66" t="e">
        <f>Q397*dagenperjaar1</f>
        <v>#DIV/0!</v>
      </c>
      <c r="U397" s="70" t="e">
        <f>T397*ROUND(P397,2)</f>
        <v>#DIV/0!</v>
      </c>
    </row>
    <row r="398" spans="1:21" x14ac:dyDescent="0.2">
      <c r="A398" s="63" t="s">
        <v>530</v>
      </c>
      <c r="B398" s="64" t="s">
        <v>324</v>
      </c>
      <c r="C398" s="64" t="s">
        <v>323</v>
      </c>
      <c r="D398" s="64" t="s">
        <v>958</v>
      </c>
      <c r="E398" s="64" t="s">
        <v>324</v>
      </c>
      <c r="F398" s="65" t="s">
        <v>641</v>
      </c>
      <c r="G398" s="64" t="s">
        <v>862</v>
      </c>
      <c r="H398" s="64" t="s">
        <v>257</v>
      </c>
      <c r="I398" s="64" t="s">
        <v>10</v>
      </c>
      <c r="J398" s="64" t="s">
        <v>201</v>
      </c>
      <c r="K398" s="66">
        <v>6.2</v>
      </c>
      <c r="L398" s="66">
        <f>K398*VLOOKUP(I398,dagsoorttabel1,2,FALSE)</f>
        <v>6.2</v>
      </c>
      <c r="M398" s="67">
        <f>prodnorm60</f>
        <v>0</v>
      </c>
      <c r="N398" s="68">
        <f>dagwerk60</f>
        <v>0</v>
      </c>
      <c r="O398" s="64" t="s">
        <v>38</v>
      </c>
      <c r="P398" s="69">
        <f>uurtarief60</f>
        <v>0</v>
      </c>
      <c r="Q398" s="66" t="e">
        <f>IF(ISBLANK(M398),0,L398/ROUND(M398,4))</f>
        <v>#DIV/0!</v>
      </c>
      <c r="R398" s="66" t="e">
        <f>IF(ISBLANK(M398),0,Q398*ROUND(N398,2))</f>
        <v>#DIV/0!</v>
      </c>
      <c r="S398" s="69" t="e">
        <f>ROUND(P398,2)*Q398</f>
        <v>#DIV/0!</v>
      </c>
      <c r="T398" s="66" t="e">
        <f>Q398*dagenperjaar1</f>
        <v>#DIV/0!</v>
      </c>
      <c r="U398" s="70" t="e">
        <f>T398*ROUND(P398,2)</f>
        <v>#DIV/0!</v>
      </c>
    </row>
    <row r="399" spans="1:21" x14ac:dyDescent="0.2">
      <c r="A399" s="63" t="s">
        <v>530</v>
      </c>
      <c r="B399" s="64" t="s">
        <v>324</v>
      </c>
      <c r="C399" s="64" t="s">
        <v>323</v>
      </c>
      <c r="D399" s="64" t="s">
        <v>959</v>
      </c>
      <c r="E399" s="64" t="s">
        <v>324</v>
      </c>
      <c r="F399" s="65" t="s">
        <v>655</v>
      </c>
      <c r="G399" s="64" t="s">
        <v>328</v>
      </c>
      <c r="H399" s="64" t="s">
        <v>263</v>
      </c>
      <c r="I399" s="64" t="s">
        <v>10</v>
      </c>
      <c r="J399" s="64" t="s">
        <v>201</v>
      </c>
      <c r="K399" s="66">
        <v>30.2</v>
      </c>
      <c r="L399" s="66">
        <f>K399*VLOOKUP(I399,dagsoorttabel1,2,FALSE)</f>
        <v>30.2</v>
      </c>
      <c r="M399" s="67">
        <f>prodnorm63</f>
        <v>0</v>
      </c>
      <c r="N399" s="68">
        <f>dagwerk63</f>
        <v>0</v>
      </c>
      <c r="O399" s="64" t="s">
        <v>38</v>
      </c>
      <c r="P399" s="69">
        <f>uurtarief63</f>
        <v>0</v>
      </c>
      <c r="Q399" s="66" t="e">
        <f>IF(ISBLANK(M399),0,L399/ROUND(M399,4))</f>
        <v>#DIV/0!</v>
      </c>
      <c r="R399" s="66" t="e">
        <f>IF(ISBLANK(M399),0,Q399*ROUND(N399,2))</f>
        <v>#DIV/0!</v>
      </c>
      <c r="S399" s="69" t="e">
        <f>ROUND(P399,2)*Q399</f>
        <v>#DIV/0!</v>
      </c>
      <c r="T399" s="66" t="e">
        <f>Q399*dagenperjaar1</f>
        <v>#DIV/0!</v>
      </c>
      <c r="U399" s="70" t="e">
        <f>T399*ROUND(P399,2)</f>
        <v>#DIV/0!</v>
      </c>
    </row>
    <row r="400" spans="1:21" x14ac:dyDescent="0.2">
      <c r="A400" s="63" t="s">
        <v>530</v>
      </c>
      <c r="B400" s="64" t="s">
        <v>324</v>
      </c>
      <c r="C400" s="64" t="s">
        <v>472</v>
      </c>
      <c r="D400" s="64" t="s">
        <v>473</v>
      </c>
      <c r="E400" s="64" t="s">
        <v>324</v>
      </c>
      <c r="F400" s="65" t="s">
        <v>335</v>
      </c>
      <c r="G400" s="64" t="s">
        <v>328</v>
      </c>
      <c r="H400" s="64" t="s">
        <v>267</v>
      </c>
      <c r="I400" s="64" t="s">
        <v>10</v>
      </c>
      <c r="J400" s="64" t="s">
        <v>201</v>
      </c>
      <c r="K400" s="66">
        <v>152.5</v>
      </c>
      <c r="L400" s="66">
        <f>K400*VLOOKUP(I400,dagsoorttabel1,2,FALSE)</f>
        <v>152.5</v>
      </c>
      <c r="M400" s="67">
        <f>prodnorm65</f>
        <v>0</v>
      </c>
      <c r="N400" s="68">
        <f>dagwerk65</f>
        <v>0</v>
      </c>
      <c r="O400" s="64" t="s">
        <v>38</v>
      </c>
      <c r="P400" s="69">
        <f>uurtarief65</f>
        <v>0</v>
      </c>
      <c r="Q400" s="66" t="e">
        <f>IF(ISBLANK(M400),0,L400/ROUND(M400,4))</f>
        <v>#DIV/0!</v>
      </c>
      <c r="R400" s="66" t="e">
        <f>IF(ISBLANK(M400),0,Q400*ROUND(N400,2))</f>
        <v>#DIV/0!</v>
      </c>
      <c r="S400" s="69" t="e">
        <f>ROUND(P400,2)*Q400</f>
        <v>#DIV/0!</v>
      </c>
      <c r="T400" s="66" t="e">
        <f>Q400*dagenperjaar1</f>
        <v>#DIV/0!</v>
      </c>
      <c r="U400" s="70" t="e">
        <f>T400*ROUND(P400,2)</f>
        <v>#DIV/0!</v>
      </c>
    </row>
    <row r="401" spans="1:21" x14ac:dyDescent="0.2">
      <c r="A401" s="63" t="s">
        <v>530</v>
      </c>
      <c r="B401" s="64" t="s">
        <v>324</v>
      </c>
      <c r="C401" s="64" t="s">
        <v>472</v>
      </c>
      <c r="D401" s="64" t="s">
        <v>960</v>
      </c>
      <c r="E401" s="64" t="s">
        <v>324</v>
      </c>
      <c r="F401" s="65" t="s">
        <v>961</v>
      </c>
      <c r="G401" s="64" t="s">
        <v>328</v>
      </c>
      <c r="H401" s="64" t="s">
        <v>251</v>
      </c>
      <c r="I401" s="64" t="s">
        <v>10</v>
      </c>
      <c r="J401" s="64" t="s">
        <v>201</v>
      </c>
      <c r="K401" s="66">
        <v>91.1</v>
      </c>
      <c r="L401" s="66">
        <f>K401*VLOOKUP(I401,dagsoorttabel1,2,FALSE)</f>
        <v>91.1</v>
      </c>
      <c r="M401" s="67">
        <f>prodnorm57</f>
        <v>0</v>
      </c>
      <c r="N401" s="68">
        <f>dagwerk57</f>
        <v>0</v>
      </c>
      <c r="O401" s="64" t="s">
        <v>38</v>
      </c>
      <c r="P401" s="69">
        <f>uurtarief57</f>
        <v>0</v>
      </c>
      <c r="Q401" s="66" t="e">
        <f>IF(ISBLANK(M401),0,L401/ROUND(M401,4))</f>
        <v>#DIV/0!</v>
      </c>
      <c r="R401" s="66" t="e">
        <f>IF(ISBLANK(M401),0,Q401*ROUND(N401,2))</f>
        <v>#DIV/0!</v>
      </c>
      <c r="S401" s="69" t="e">
        <f>ROUND(P401,2)*Q401</f>
        <v>#DIV/0!</v>
      </c>
      <c r="T401" s="66" t="e">
        <f>Q401*dagenperjaar1</f>
        <v>#DIV/0!</v>
      </c>
      <c r="U401" s="70" t="e">
        <f>T401*ROUND(P401,2)</f>
        <v>#DIV/0!</v>
      </c>
    </row>
    <row r="402" spans="1:21" x14ac:dyDescent="0.2">
      <c r="A402" s="63" t="s">
        <v>530</v>
      </c>
      <c r="B402" s="64" t="s">
        <v>324</v>
      </c>
      <c r="C402" s="64" t="s">
        <v>472</v>
      </c>
      <c r="D402" s="64" t="s">
        <v>495</v>
      </c>
      <c r="E402" s="64" t="s">
        <v>324</v>
      </c>
      <c r="F402" s="65" t="s">
        <v>962</v>
      </c>
      <c r="G402" s="64" t="s">
        <v>328</v>
      </c>
      <c r="H402" s="64" t="s">
        <v>229</v>
      </c>
      <c r="I402" s="64" t="s">
        <v>10</v>
      </c>
      <c r="J402" s="64" t="s">
        <v>201</v>
      </c>
      <c r="K402" s="66">
        <v>53.2</v>
      </c>
      <c r="L402" s="66">
        <f>K402*VLOOKUP(I402,dagsoorttabel1,2,FALSE)</f>
        <v>53.2</v>
      </c>
      <c r="M402" s="67">
        <f>prodnorm43</f>
        <v>0</v>
      </c>
      <c r="N402" s="68">
        <f>dagwerk43</f>
        <v>0</v>
      </c>
      <c r="O402" s="64" t="s">
        <v>38</v>
      </c>
      <c r="P402" s="69">
        <f>uurtarief43</f>
        <v>0</v>
      </c>
      <c r="Q402" s="66" t="e">
        <f>IF(ISBLANK(M402),0,L402/ROUND(M402,4))</f>
        <v>#DIV/0!</v>
      </c>
      <c r="R402" s="66" t="e">
        <f>IF(ISBLANK(M402),0,Q402*ROUND(N402,2))</f>
        <v>#DIV/0!</v>
      </c>
      <c r="S402" s="69" t="e">
        <f>ROUND(P402,2)*Q402</f>
        <v>#DIV/0!</v>
      </c>
      <c r="T402" s="66" t="e">
        <f>Q402*dagenperjaar1</f>
        <v>#DIV/0!</v>
      </c>
      <c r="U402" s="70" t="e">
        <f>T402*ROUND(P402,2)</f>
        <v>#DIV/0!</v>
      </c>
    </row>
    <row r="403" spans="1:21" x14ac:dyDescent="0.2">
      <c r="A403" s="63" t="s">
        <v>530</v>
      </c>
      <c r="B403" s="64" t="s">
        <v>324</v>
      </c>
      <c r="C403" s="64" t="s">
        <v>472</v>
      </c>
      <c r="D403" s="64" t="s">
        <v>963</v>
      </c>
      <c r="E403" s="64" t="s">
        <v>324</v>
      </c>
      <c r="F403" s="65" t="s">
        <v>964</v>
      </c>
      <c r="G403" s="64" t="s">
        <v>328</v>
      </c>
      <c r="H403" s="64" t="s">
        <v>229</v>
      </c>
      <c r="I403" s="64" t="s">
        <v>10</v>
      </c>
      <c r="J403" s="64" t="s">
        <v>201</v>
      </c>
      <c r="K403" s="66">
        <v>53.2</v>
      </c>
      <c r="L403" s="66">
        <f>K403*VLOOKUP(I403,dagsoorttabel1,2,FALSE)</f>
        <v>53.2</v>
      </c>
      <c r="M403" s="67">
        <f>prodnorm43</f>
        <v>0</v>
      </c>
      <c r="N403" s="68">
        <f>dagwerk43</f>
        <v>0</v>
      </c>
      <c r="O403" s="64" t="s">
        <v>38</v>
      </c>
      <c r="P403" s="69">
        <f>uurtarief43</f>
        <v>0</v>
      </c>
      <c r="Q403" s="66" t="e">
        <f>IF(ISBLANK(M403),0,L403/ROUND(M403,4))</f>
        <v>#DIV/0!</v>
      </c>
      <c r="R403" s="66" t="e">
        <f>IF(ISBLANK(M403),0,Q403*ROUND(N403,2))</f>
        <v>#DIV/0!</v>
      </c>
      <c r="S403" s="69" t="e">
        <f>ROUND(P403,2)*Q403</f>
        <v>#DIV/0!</v>
      </c>
      <c r="T403" s="66" t="e">
        <f>Q403*dagenperjaar1</f>
        <v>#DIV/0!</v>
      </c>
      <c r="U403" s="70" t="e">
        <f>T403*ROUND(P403,2)</f>
        <v>#DIV/0!</v>
      </c>
    </row>
    <row r="404" spans="1:21" x14ac:dyDescent="0.2">
      <c r="A404" s="63" t="s">
        <v>530</v>
      </c>
      <c r="B404" s="64" t="s">
        <v>324</v>
      </c>
      <c r="C404" s="64" t="s">
        <v>472</v>
      </c>
      <c r="D404" s="64" t="s">
        <v>497</v>
      </c>
      <c r="E404" s="64" t="s">
        <v>324</v>
      </c>
      <c r="F404" s="65" t="s">
        <v>964</v>
      </c>
      <c r="G404" s="64" t="s">
        <v>328</v>
      </c>
      <c r="H404" s="64" t="s">
        <v>229</v>
      </c>
      <c r="I404" s="64" t="s">
        <v>10</v>
      </c>
      <c r="J404" s="64" t="s">
        <v>201</v>
      </c>
      <c r="K404" s="66">
        <v>54.3</v>
      </c>
      <c r="L404" s="66">
        <f>K404*VLOOKUP(I404,dagsoorttabel1,2,FALSE)</f>
        <v>54.3</v>
      </c>
      <c r="M404" s="67">
        <f>prodnorm43</f>
        <v>0</v>
      </c>
      <c r="N404" s="68">
        <f>dagwerk43</f>
        <v>0</v>
      </c>
      <c r="O404" s="64" t="s">
        <v>38</v>
      </c>
      <c r="P404" s="69">
        <f>uurtarief43</f>
        <v>0</v>
      </c>
      <c r="Q404" s="66" t="e">
        <f>IF(ISBLANK(M404),0,L404/ROUND(M404,4))</f>
        <v>#DIV/0!</v>
      </c>
      <c r="R404" s="66" t="e">
        <f>IF(ISBLANK(M404),0,Q404*ROUND(N404,2))</f>
        <v>#DIV/0!</v>
      </c>
      <c r="S404" s="69" t="e">
        <f>ROUND(P404,2)*Q404</f>
        <v>#DIV/0!</v>
      </c>
      <c r="T404" s="66" t="e">
        <f>Q404*dagenperjaar1</f>
        <v>#DIV/0!</v>
      </c>
      <c r="U404" s="70" t="e">
        <f>T404*ROUND(P404,2)</f>
        <v>#DIV/0!</v>
      </c>
    </row>
    <row r="405" spans="1:21" x14ac:dyDescent="0.2">
      <c r="A405" s="63" t="s">
        <v>530</v>
      </c>
      <c r="B405" s="64" t="s">
        <v>324</v>
      </c>
      <c r="C405" s="64" t="s">
        <v>472</v>
      </c>
      <c r="D405" s="64" t="s">
        <v>499</v>
      </c>
      <c r="E405" s="64" t="s">
        <v>324</v>
      </c>
      <c r="F405" s="65" t="s">
        <v>381</v>
      </c>
      <c r="G405" s="64" t="s">
        <v>328</v>
      </c>
      <c r="H405" s="64" t="s">
        <v>205</v>
      </c>
      <c r="I405" s="64" t="s">
        <v>10</v>
      </c>
      <c r="J405" s="64" t="s">
        <v>201</v>
      </c>
      <c r="K405" s="66">
        <v>12.9</v>
      </c>
      <c r="L405" s="66">
        <f>K405*VLOOKUP(I405,dagsoorttabel1,2,FALSE)</f>
        <v>12.9</v>
      </c>
      <c r="M405" s="67">
        <f>prodnorm26</f>
        <v>0</v>
      </c>
      <c r="N405" s="68">
        <f>dagwerk26</f>
        <v>0</v>
      </c>
      <c r="O405" s="64" t="s">
        <v>38</v>
      </c>
      <c r="P405" s="69">
        <f>uurtarief26</f>
        <v>0</v>
      </c>
      <c r="Q405" s="66" t="e">
        <f>IF(ISBLANK(M405),0,L405/ROUND(M405,4))</f>
        <v>#DIV/0!</v>
      </c>
      <c r="R405" s="66" t="e">
        <f>IF(ISBLANK(M405),0,Q405*ROUND(N405,2))</f>
        <v>#DIV/0!</v>
      </c>
      <c r="S405" s="69" t="e">
        <f>ROUND(P405,2)*Q405</f>
        <v>#DIV/0!</v>
      </c>
      <c r="T405" s="66" t="e">
        <f>Q405*dagenperjaar1</f>
        <v>#DIV/0!</v>
      </c>
      <c r="U405" s="70" t="e">
        <f>T405*ROUND(P405,2)</f>
        <v>#DIV/0!</v>
      </c>
    </row>
    <row r="406" spans="1:21" x14ac:dyDescent="0.2">
      <c r="A406" s="63" t="s">
        <v>530</v>
      </c>
      <c r="B406" s="64" t="s">
        <v>324</v>
      </c>
      <c r="C406" s="64" t="s">
        <v>472</v>
      </c>
      <c r="D406" s="64" t="s">
        <v>501</v>
      </c>
      <c r="E406" s="64" t="s">
        <v>324</v>
      </c>
      <c r="F406" s="65" t="s">
        <v>609</v>
      </c>
      <c r="G406" s="64" t="s">
        <v>328</v>
      </c>
      <c r="H406" s="64" t="s">
        <v>205</v>
      </c>
      <c r="I406" s="64" t="s">
        <v>10</v>
      </c>
      <c r="J406" s="64" t="s">
        <v>201</v>
      </c>
      <c r="K406" s="66">
        <v>12.9</v>
      </c>
      <c r="L406" s="66">
        <f>K406*VLOOKUP(I406,dagsoorttabel1,2,FALSE)</f>
        <v>12.9</v>
      </c>
      <c r="M406" s="67">
        <f>prodnorm26</f>
        <v>0</v>
      </c>
      <c r="N406" s="68">
        <f>dagwerk26</f>
        <v>0</v>
      </c>
      <c r="O406" s="64" t="s">
        <v>38</v>
      </c>
      <c r="P406" s="69">
        <f>uurtarief26</f>
        <v>0</v>
      </c>
      <c r="Q406" s="66" t="e">
        <f>IF(ISBLANK(M406),0,L406/ROUND(M406,4))</f>
        <v>#DIV/0!</v>
      </c>
      <c r="R406" s="66" t="e">
        <f>IF(ISBLANK(M406),0,Q406*ROUND(N406,2))</f>
        <v>#DIV/0!</v>
      </c>
      <c r="S406" s="69" t="e">
        <f>ROUND(P406,2)*Q406</f>
        <v>#DIV/0!</v>
      </c>
      <c r="T406" s="66" t="e">
        <f>Q406*dagenperjaar1</f>
        <v>#DIV/0!</v>
      </c>
      <c r="U406" s="70" t="e">
        <f>T406*ROUND(P406,2)</f>
        <v>#DIV/0!</v>
      </c>
    </row>
    <row r="407" spans="1:21" x14ac:dyDescent="0.2">
      <c r="A407" s="63" t="s">
        <v>530</v>
      </c>
      <c r="B407" s="64" t="s">
        <v>324</v>
      </c>
      <c r="C407" s="64" t="s">
        <v>472</v>
      </c>
      <c r="D407" s="64" t="s">
        <v>504</v>
      </c>
      <c r="E407" s="64" t="s">
        <v>324</v>
      </c>
      <c r="F407" s="65" t="s">
        <v>457</v>
      </c>
      <c r="G407" s="64" t="s">
        <v>328</v>
      </c>
      <c r="H407" s="64" t="s">
        <v>229</v>
      </c>
      <c r="I407" s="64" t="s">
        <v>10</v>
      </c>
      <c r="J407" s="64" t="s">
        <v>201</v>
      </c>
      <c r="K407" s="66">
        <v>54.3</v>
      </c>
      <c r="L407" s="66">
        <f>K407*VLOOKUP(I407,dagsoorttabel1,2,FALSE)</f>
        <v>54.3</v>
      </c>
      <c r="M407" s="67">
        <f>prodnorm43</f>
        <v>0</v>
      </c>
      <c r="N407" s="68">
        <f>dagwerk43</f>
        <v>0</v>
      </c>
      <c r="O407" s="64" t="s">
        <v>38</v>
      </c>
      <c r="P407" s="69">
        <f>uurtarief43</f>
        <v>0</v>
      </c>
      <c r="Q407" s="66" t="e">
        <f>IF(ISBLANK(M407),0,L407/ROUND(M407,4))</f>
        <v>#DIV/0!</v>
      </c>
      <c r="R407" s="66" t="e">
        <f>IF(ISBLANK(M407),0,Q407*ROUND(N407,2))</f>
        <v>#DIV/0!</v>
      </c>
      <c r="S407" s="69" t="e">
        <f>ROUND(P407,2)*Q407</f>
        <v>#DIV/0!</v>
      </c>
      <c r="T407" s="66" t="e">
        <f>Q407*dagenperjaar1</f>
        <v>#DIV/0!</v>
      </c>
      <c r="U407" s="70" t="e">
        <f>T407*ROUND(P407,2)</f>
        <v>#DIV/0!</v>
      </c>
    </row>
    <row r="408" spans="1:21" x14ac:dyDescent="0.2">
      <c r="A408" s="63" t="s">
        <v>530</v>
      </c>
      <c r="B408" s="64" t="s">
        <v>324</v>
      </c>
      <c r="C408" s="64" t="s">
        <v>472</v>
      </c>
      <c r="D408" s="64" t="s">
        <v>965</v>
      </c>
      <c r="E408" s="64" t="s">
        <v>324</v>
      </c>
      <c r="F408" s="65" t="s">
        <v>457</v>
      </c>
      <c r="G408" s="64" t="s">
        <v>328</v>
      </c>
      <c r="H408" s="64" t="s">
        <v>229</v>
      </c>
      <c r="I408" s="64" t="s">
        <v>10</v>
      </c>
      <c r="J408" s="64" t="s">
        <v>201</v>
      </c>
      <c r="K408" s="66">
        <v>53.2</v>
      </c>
      <c r="L408" s="66">
        <f>K408*VLOOKUP(I408,dagsoorttabel1,2,FALSE)</f>
        <v>53.2</v>
      </c>
      <c r="M408" s="67">
        <f>prodnorm43</f>
        <v>0</v>
      </c>
      <c r="N408" s="68">
        <f>dagwerk43</f>
        <v>0</v>
      </c>
      <c r="O408" s="64" t="s">
        <v>38</v>
      </c>
      <c r="P408" s="69">
        <f>uurtarief43</f>
        <v>0</v>
      </c>
      <c r="Q408" s="66" t="e">
        <f>IF(ISBLANK(M408),0,L408/ROUND(M408,4))</f>
        <v>#DIV/0!</v>
      </c>
      <c r="R408" s="66" t="e">
        <f>IF(ISBLANK(M408),0,Q408*ROUND(N408,2))</f>
        <v>#DIV/0!</v>
      </c>
      <c r="S408" s="69" t="e">
        <f>ROUND(P408,2)*Q408</f>
        <v>#DIV/0!</v>
      </c>
      <c r="T408" s="66" t="e">
        <f>Q408*dagenperjaar1</f>
        <v>#DIV/0!</v>
      </c>
      <c r="U408" s="70" t="e">
        <f>T408*ROUND(P408,2)</f>
        <v>#DIV/0!</v>
      </c>
    </row>
    <row r="409" spans="1:21" x14ac:dyDescent="0.2">
      <c r="A409" s="63" t="s">
        <v>530</v>
      </c>
      <c r="B409" s="64" t="s">
        <v>324</v>
      </c>
      <c r="C409" s="64" t="s">
        <v>472</v>
      </c>
      <c r="D409" s="64" t="s">
        <v>506</v>
      </c>
      <c r="E409" s="64" t="s">
        <v>324</v>
      </c>
      <c r="F409" s="65" t="s">
        <v>457</v>
      </c>
      <c r="G409" s="64" t="s">
        <v>328</v>
      </c>
      <c r="H409" s="64" t="s">
        <v>229</v>
      </c>
      <c r="I409" s="64" t="s">
        <v>10</v>
      </c>
      <c r="J409" s="64" t="s">
        <v>201</v>
      </c>
      <c r="K409" s="66">
        <v>106.4</v>
      </c>
      <c r="L409" s="66">
        <f>K409*VLOOKUP(I409,dagsoorttabel1,2,FALSE)</f>
        <v>106.4</v>
      </c>
      <c r="M409" s="67">
        <f>prodnorm43</f>
        <v>0</v>
      </c>
      <c r="N409" s="68">
        <f>dagwerk43</f>
        <v>0</v>
      </c>
      <c r="O409" s="64" t="s">
        <v>38</v>
      </c>
      <c r="P409" s="69">
        <f>uurtarief43</f>
        <v>0</v>
      </c>
      <c r="Q409" s="66" t="e">
        <f>IF(ISBLANK(M409),0,L409/ROUND(M409,4))</f>
        <v>#DIV/0!</v>
      </c>
      <c r="R409" s="66" t="e">
        <f>IF(ISBLANK(M409),0,Q409*ROUND(N409,2))</f>
        <v>#DIV/0!</v>
      </c>
      <c r="S409" s="69" t="e">
        <f>ROUND(P409,2)*Q409</f>
        <v>#DIV/0!</v>
      </c>
      <c r="T409" s="66" t="e">
        <f>Q409*dagenperjaar1</f>
        <v>#DIV/0!</v>
      </c>
      <c r="U409" s="70" t="e">
        <f>T409*ROUND(P409,2)</f>
        <v>#DIV/0!</v>
      </c>
    </row>
    <row r="410" spans="1:21" x14ac:dyDescent="0.2">
      <c r="A410" s="63" t="s">
        <v>530</v>
      </c>
      <c r="B410" s="64" t="s">
        <v>324</v>
      </c>
      <c r="C410" s="64" t="s">
        <v>472</v>
      </c>
      <c r="D410" s="64" t="s">
        <v>510</v>
      </c>
      <c r="E410" s="64" t="s">
        <v>324</v>
      </c>
      <c r="F410" s="65" t="s">
        <v>966</v>
      </c>
      <c r="G410" s="64" t="s">
        <v>328</v>
      </c>
      <c r="H410" s="64" t="s">
        <v>200</v>
      </c>
      <c r="I410" s="64" t="s">
        <v>10</v>
      </c>
      <c r="J410" s="64" t="s">
        <v>201</v>
      </c>
      <c r="K410" s="66">
        <v>78.599999999999994</v>
      </c>
      <c r="L410" s="66">
        <f>K410*VLOOKUP(I410,dagsoorttabel1,2,FALSE)</f>
        <v>78.599999999999994</v>
      </c>
      <c r="M410" s="67">
        <f>prodnorm24</f>
        <v>0</v>
      </c>
      <c r="N410" s="68">
        <f>dagwerk24</f>
        <v>0</v>
      </c>
      <c r="O410" s="64" t="s">
        <v>38</v>
      </c>
      <c r="P410" s="69">
        <f>uurtarief24</f>
        <v>0</v>
      </c>
      <c r="Q410" s="66" t="e">
        <f>IF(ISBLANK(M410),0,L410/ROUND(M410,4))</f>
        <v>#DIV/0!</v>
      </c>
      <c r="R410" s="66" t="e">
        <f>IF(ISBLANK(M410),0,Q410*ROUND(N410,2))</f>
        <v>#DIV/0!</v>
      </c>
      <c r="S410" s="69" t="e">
        <f>ROUND(P410,2)*Q410</f>
        <v>#DIV/0!</v>
      </c>
      <c r="T410" s="66" t="e">
        <f>Q410*dagenperjaar1</f>
        <v>#DIV/0!</v>
      </c>
      <c r="U410" s="70" t="e">
        <f>T410*ROUND(P410,2)</f>
        <v>#DIV/0!</v>
      </c>
    </row>
    <row r="411" spans="1:21" x14ac:dyDescent="0.2">
      <c r="A411" s="63" t="s">
        <v>530</v>
      </c>
      <c r="B411" s="64" t="s">
        <v>324</v>
      </c>
      <c r="C411" s="64" t="s">
        <v>472</v>
      </c>
      <c r="D411" s="64" t="s">
        <v>514</v>
      </c>
      <c r="E411" s="64" t="s">
        <v>324</v>
      </c>
      <c r="F411" s="65" t="s">
        <v>967</v>
      </c>
      <c r="G411" s="64" t="s">
        <v>328</v>
      </c>
      <c r="H411" s="64" t="s">
        <v>239</v>
      </c>
      <c r="I411" s="64" t="s">
        <v>10</v>
      </c>
      <c r="J411" s="64" t="s">
        <v>201</v>
      </c>
      <c r="K411" s="66">
        <v>21.1</v>
      </c>
      <c r="L411" s="66">
        <f>K411*VLOOKUP(I411,dagsoorttabel1,2,FALSE)</f>
        <v>21.1</v>
      </c>
      <c r="M411" s="67">
        <f>prodnorm50</f>
        <v>0</v>
      </c>
      <c r="N411" s="68">
        <f>dagwerk50</f>
        <v>0</v>
      </c>
      <c r="O411" s="64" t="s">
        <v>38</v>
      </c>
      <c r="P411" s="69">
        <f>uurtarief50</f>
        <v>0</v>
      </c>
      <c r="Q411" s="66" t="e">
        <f>IF(ISBLANK(M411),0,L411/ROUND(M411,4))</f>
        <v>#DIV/0!</v>
      </c>
      <c r="R411" s="66" t="e">
        <f>IF(ISBLANK(M411),0,Q411*ROUND(N411,2))</f>
        <v>#DIV/0!</v>
      </c>
      <c r="S411" s="69" t="e">
        <f>ROUND(P411,2)*Q411</f>
        <v>#DIV/0!</v>
      </c>
      <c r="T411" s="66" t="e">
        <f>Q411*dagenperjaar1</f>
        <v>#DIV/0!</v>
      </c>
      <c r="U411" s="70" t="e">
        <f>T411*ROUND(P411,2)</f>
        <v>#DIV/0!</v>
      </c>
    </row>
    <row r="412" spans="1:21" x14ac:dyDescent="0.2">
      <c r="A412" s="63" t="s">
        <v>530</v>
      </c>
      <c r="B412" s="64" t="s">
        <v>324</v>
      </c>
      <c r="C412" s="64" t="s">
        <v>472</v>
      </c>
      <c r="D412" s="64" t="s">
        <v>516</v>
      </c>
      <c r="E412" s="64" t="s">
        <v>324</v>
      </c>
      <c r="F412" s="65" t="s">
        <v>457</v>
      </c>
      <c r="G412" s="64" t="s">
        <v>328</v>
      </c>
      <c r="H412" s="64" t="s">
        <v>229</v>
      </c>
      <c r="I412" s="64" t="s">
        <v>10</v>
      </c>
      <c r="J412" s="64" t="s">
        <v>201</v>
      </c>
      <c r="K412" s="66">
        <v>71</v>
      </c>
      <c r="L412" s="66">
        <f>K412*VLOOKUP(I412,dagsoorttabel1,2,FALSE)</f>
        <v>71</v>
      </c>
      <c r="M412" s="67">
        <f>prodnorm43</f>
        <v>0</v>
      </c>
      <c r="N412" s="68">
        <f>dagwerk43</f>
        <v>0</v>
      </c>
      <c r="O412" s="64" t="s">
        <v>38</v>
      </c>
      <c r="P412" s="69">
        <f>uurtarief43</f>
        <v>0</v>
      </c>
      <c r="Q412" s="66" t="e">
        <f>IF(ISBLANK(M412),0,L412/ROUND(M412,4))</f>
        <v>#DIV/0!</v>
      </c>
      <c r="R412" s="66" t="e">
        <f>IF(ISBLANK(M412),0,Q412*ROUND(N412,2))</f>
        <v>#DIV/0!</v>
      </c>
      <c r="S412" s="69" t="e">
        <f>ROUND(P412,2)*Q412</f>
        <v>#DIV/0!</v>
      </c>
      <c r="T412" s="66" t="e">
        <f>Q412*dagenperjaar1</f>
        <v>#DIV/0!</v>
      </c>
      <c r="U412" s="70" t="e">
        <f>T412*ROUND(P412,2)</f>
        <v>#DIV/0!</v>
      </c>
    </row>
    <row r="413" spans="1:21" x14ac:dyDescent="0.2">
      <c r="A413" s="63" t="s">
        <v>530</v>
      </c>
      <c r="B413" s="64" t="s">
        <v>324</v>
      </c>
      <c r="C413" s="64" t="s">
        <v>472</v>
      </c>
      <c r="D413" s="64" t="s">
        <v>968</v>
      </c>
      <c r="E413" s="64" t="s">
        <v>324</v>
      </c>
      <c r="F413" s="65" t="s">
        <v>969</v>
      </c>
      <c r="G413" s="64" t="s">
        <v>328</v>
      </c>
      <c r="H413" s="64" t="s">
        <v>237</v>
      </c>
      <c r="I413" s="64" t="s">
        <v>19</v>
      </c>
      <c r="J413" s="64" t="s">
        <v>201</v>
      </c>
      <c r="K413" s="66">
        <v>17.5</v>
      </c>
      <c r="L413" s="66">
        <f>K413*VLOOKUP(I413,dagsoorttabel1,2,FALSE)</f>
        <v>0.875</v>
      </c>
      <c r="M413" s="67">
        <f>prodnorm47</f>
        <v>0</v>
      </c>
      <c r="N413" s="68">
        <f>dagwerk47</f>
        <v>0</v>
      </c>
      <c r="O413" s="64" t="s">
        <v>38</v>
      </c>
      <c r="P413" s="69">
        <f>uurtarief47</f>
        <v>0</v>
      </c>
      <c r="Q413" s="66" t="e">
        <f>IF(ISBLANK(M413),0,L413/ROUND(M413,4))</f>
        <v>#DIV/0!</v>
      </c>
      <c r="R413" s="66" t="e">
        <f>IF(ISBLANK(M413),0,Q413*ROUND(N413,2))</f>
        <v>#DIV/0!</v>
      </c>
      <c r="S413" s="69" t="e">
        <f>ROUND(P413,2)*Q413</f>
        <v>#DIV/0!</v>
      </c>
      <c r="T413" s="66" t="e">
        <f>Q413*dagenperjaar1</f>
        <v>#DIV/0!</v>
      </c>
      <c r="U413" s="70" t="e">
        <f>T413*ROUND(P413,2)</f>
        <v>#DIV/0!</v>
      </c>
    </row>
    <row r="414" spans="1:21" x14ac:dyDescent="0.2">
      <c r="A414" s="63" t="s">
        <v>530</v>
      </c>
      <c r="B414" s="64" t="s">
        <v>324</v>
      </c>
      <c r="C414" s="64" t="s">
        <v>472</v>
      </c>
      <c r="D414" s="64" t="s">
        <v>970</v>
      </c>
      <c r="E414" s="64" t="s">
        <v>324</v>
      </c>
      <c r="F414" s="65" t="s">
        <v>651</v>
      </c>
      <c r="G414" s="64" t="s">
        <v>328</v>
      </c>
      <c r="H414" s="64" t="s">
        <v>251</v>
      </c>
      <c r="I414" s="64" t="s">
        <v>10</v>
      </c>
      <c r="J414" s="64" t="s">
        <v>201</v>
      </c>
      <c r="K414" s="66">
        <v>89</v>
      </c>
      <c r="L414" s="66">
        <f>K414*VLOOKUP(I414,dagsoorttabel1,2,FALSE)</f>
        <v>89</v>
      </c>
      <c r="M414" s="67">
        <f>prodnorm57</f>
        <v>0</v>
      </c>
      <c r="N414" s="68">
        <f>dagwerk57</f>
        <v>0</v>
      </c>
      <c r="O414" s="64" t="s">
        <v>38</v>
      </c>
      <c r="P414" s="69">
        <f>uurtarief57</f>
        <v>0</v>
      </c>
      <c r="Q414" s="66" t="e">
        <f>IF(ISBLANK(M414),0,L414/ROUND(M414,4))</f>
        <v>#DIV/0!</v>
      </c>
      <c r="R414" s="66" t="e">
        <f>IF(ISBLANK(M414),0,Q414*ROUND(N414,2))</f>
        <v>#DIV/0!</v>
      </c>
      <c r="S414" s="69" t="e">
        <f>ROUND(P414,2)*Q414</f>
        <v>#DIV/0!</v>
      </c>
      <c r="T414" s="66" t="e">
        <f>Q414*dagenperjaar1</f>
        <v>#DIV/0!</v>
      </c>
      <c r="U414" s="70" t="e">
        <f>T414*ROUND(P414,2)</f>
        <v>#DIV/0!</v>
      </c>
    </row>
    <row r="415" spans="1:21" x14ac:dyDescent="0.2">
      <c r="A415" s="63" t="s">
        <v>530</v>
      </c>
      <c r="B415" s="64" t="s">
        <v>324</v>
      </c>
      <c r="C415" s="64" t="s">
        <v>472</v>
      </c>
      <c r="D415" s="64" t="s">
        <v>971</v>
      </c>
      <c r="E415" s="64" t="s">
        <v>324</v>
      </c>
      <c r="F415" s="65" t="s">
        <v>972</v>
      </c>
      <c r="G415" s="64" t="s">
        <v>328</v>
      </c>
      <c r="H415" s="64" t="s">
        <v>247</v>
      </c>
      <c r="I415" s="64" t="s">
        <v>10</v>
      </c>
      <c r="J415" s="64" t="s">
        <v>201</v>
      </c>
      <c r="K415" s="66">
        <v>40.6</v>
      </c>
      <c r="L415" s="66">
        <f>K415*VLOOKUP(I415,dagsoorttabel1,2,FALSE)</f>
        <v>40.6</v>
      </c>
      <c r="M415" s="67">
        <f>prodnorm55</f>
        <v>0</v>
      </c>
      <c r="N415" s="68">
        <f>dagwerk55</f>
        <v>0</v>
      </c>
      <c r="O415" s="64" t="s">
        <v>38</v>
      </c>
      <c r="P415" s="69">
        <f>uurtarief55</f>
        <v>0</v>
      </c>
      <c r="Q415" s="66" t="e">
        <f>IF(ISBLANK(M415),0,L415/ROUND(M415,4))</f>
        <v>#DIV/0!</v>
      </c>
      <c r="R415" s="66" t="e">
        <f>IF(ISBLANK(M415),0,Q415*ROUND(N415,2))</f>
        <v>#DIV/0!</v>
      </c>
      <c r="S415" s="69" t="e">
        <f>ROUND(P415,2)*Q415</f>
        <v>#DIV/0!</v>
      </c>
      <c r="T415" s="66" t="e">
        <f>Q415*dagenperjaar1</f>
        <v>#DIV/0!</v>
      </c>
      <c r="U415" s="70" t="e">
        <f>T415*ROUND(P415,2)</f>
        <v>#DIV/0!</v>
      </c>
    </row>
    <row r="416" spans="1:21" x14ac:dyDescent="0.2">
      <c r="A416" s="63" t="s">
        <v>530</v>
      </c>
      <c r="B416" s="64" t="s">
        <v>324</v>
      </c>
      <c r="C416" s="64" t="s">
        <v>472</v>
      </c>
      <c r="D416" s="64" t="s">
        <v>518</v>
      </c>
      <c r="E416" s="64" t="s">
        <v>324</v>
      </c>
      <c r="F416" s="65" t="s">
        <v>651</v>
      </c>
      <c r="G416" s="64" t="s">
        <v>328</v>
      </c>
      <c r="H416" s="64" t="s">
        <v>251</v>
      </c>
      <c r="I416" s="64" t="s">
        <v>10</v>
      </c>
      <c r="J416" s="64" t="s">
        <v>201</v>
      </c>
      <c r="K416" s="66">
        <v>89.4</v>
      </c>
      <c r="L416" s="66">
        <f>K416*VLOOKUP(I416,dagsoorttabel1,2,FALSE)</f>
        <v>89.4</v>
      </c>
      <c r="M416" s="67">
        <f>prodnorm57</f>
        <v>0</v>
      </c>
      <c r="N416" s="68">
        <f>dagwerk57</f>
        <v>0</v>
      </c>
      <c r="O416" s="64" t="s">
        <v>38</v>
      </c>
      <c r="P416" s="69">
        <f>uurtarief57</f>
        <v>0</v>
      </c>
      <c r="Q416" s="66" t="e">
        <f>IF(ISBLANK(M416),0,L416/ROUND(M416,4))</f>
        <v>#DIV/0!</v>
      </c>
      <c r="R416" s="66" t="e">
        <f>IF(ISBLANK(M416),0,Q416*ROUND(N416,2))</f>
        <v>#DIV/0!</v>
      </c>
      <c r="S416" s="69" t="e">
        <f>ROUND(P416,2)*Q416</f>
        <v>#DIV/0!</v>
      </c>
      <c r="T416" s="66" t="e">
        <f>Q416*dagenperjaar1</f>
        <v>#DIV/0!</v>
      </c>
      <c r="U416" s="70" t="e">
        <f>T416*ROUND(P416,2)</f>
        <v>#DIV/0!</v>
      </c>
    </row>
    <row r="417" spans="1:21" x14ac:dyDescent="0.2">
      <c r="A417" s="63" t="s">
        <v>530</v>
      </c>
      <c r="B417" s="64" t="s">
        <v>324</v>
      </c>
      <c r="C417" s="64" t="s">
        <v>472</v>
      </c>
      <c r="D417" s="64" t="s">
        <v>521</v>
      </c>
      <c r="E417" s="64" t="s">
        <v>324</v>
      </c>
      <c r="F417" s="65" t="s">
        <v>655</v>
      </c>
      <c r="G417" s="64" t="s">
        <v>328</v>
      </c>
      <c r="H417" s="64" t="s">
        <v>263</v>
      </c>
      <c r="I417" s="64" t="s">
        <v>10</v>
      </c>
      <c r="J417" s="64" t="s">
        <v>201</v>
      </c>
      <c r="K417" s="66">
        <v>30.4</v>
      </c>
      <c r="L417" s="66">
        <f>K417*VLOOKUP(I417,dagsoorttabel1,2,FALSE)</f>
        <v>30.4</v>
      </c>
      <c r="M417" s="67">
        <f>prodnorm63</f>
        <v>0</v>
      </c>
      <c r="N417" s="68">
        <f>dagwerk63</f>
        <v>0</v>
      </c>
      <c r="O417" s="64" t="s">
        <v>38</v>
      </c>
      <c r="P417" s="69">
        <f>uurtarief63</f>
        <v>0</v>
      </c>
      <c r="Q417" s="66" t="e">
        <f>IF(ISBLANK(M417),0,L417/ROUND(M417,4))</f>
        <v>#DIV/0!</v>
      </c>
      <c r="R417" s="66" t="e">
        <f>IF(ISBLANK(M417),0,Q417*ROUND(N417,2))</f>
        <v>#DIV/0!</v>
      </c>
      <c r="S417" s="69" t="e">
        <f>ROUND(P417,2)*Q417</f>
        <v>#DIV/0!</v>
      </c>
      <c r="T417" s="66" t="e">
        <f>Q417*dagenperjaar1</f>
        <v>#DIV/0!</v>
      </c>
      <c r="U417" s="70" t="e">
        <f>T417*ROUND(P417,2)</f>
        <v>#DIV/0!</v>
      </c>
    </row>
    <row r="418" spans="1:21" x14ac:dyDescent="0.2">
      <c r="A418" s="63" t="s">
        <v>530</v>
      </c>
      <c r="B418" s="64" t="s">
        <v>324</v>
      </c>
      <c r="C418" s="64" t="s">
        <v>472</v>
      </c>
      <c r="D418" s="64" t="s">
        <v>973</v>
      </c>
      <c r="E418" s="64" t="s">
        <v>324</v>
      </c>
      <c r="F418" s="65" t="s">
        <v>381</v>
      </c>
      <c r="G418" s="64" t="s">
        <v>328</v>
      </c>
      <c r="H418" s="64" t="s">
        <v>205</v>
      </c>
      <c r="I418" s="64" t="s">
        <v>10</v>
      </c>
      <c r="J418" s="64" t="s">
        <v>201</v>
      </c>
      <c r="K418" s="66">
        <v>12.3</v>
      </c>
      <c r="L418" s="66">
        <f>K418*VLOOKUP(I418,dagsoorttabel1,2,FALSE)</f>
        <v>12.3</v>
      </c>
      <c r="M418" s="67">
        <f>prodnorm26</f>
        <v>0</v>
      </c>
      <c r="N418" s="68">
        <f>dagwerk26</f>
        <v>0</v>
      </c>
      <c r="O418" s="64" t="s">
        <v>38</v>
      </c>
      <c r="P418" s="69">
        <f>uurtarief26</f>
        <v>0</v>
      </c>
      <c r="Q418" s="66" t="e">
        <f>IF(ISBLANK(M418),0,L418/ROUND(M418,4))</f>
        <v>#DIV/0!</v>
      </c>
      <c r="R418" s="66" t="e">
        <f>IF(ISBLANK(M418),0,Q418*ROUND(N418,2))</f>
        <v>#DIV/0!</v>
      </c>
      <c r="S418" s="69" t="e">
        <f>ROUND(P418,2)*Q418</f>
        <v>#DIV/0!</v>
      </c>
      <c r="T418" s="66" t="e">
        <f>Q418*dagenperjaar1</f>
        <v>#DIV/0!</v>
      </c>
      <c r="U418" s="70" t="e">
        <f>T418*ROUND(P418,2)</f>
        <v>#DIV/0!</v>
      </c>
    </row>
    <row r="419" spans="1:21" x14ac:dyDescent="0.2">
      <c r="A419" s="63" t="s">
        <v>530</v>
      </c>
      <c r="B419" s="64" t="s">
        <v>324</v>
      </c>
      <c r="C419" s="64" t="s">
        <v>472</v>
      </c>
      <c r="D419" s="64" t="s">
        <v>525</v>
      </c>
      <c r="E419" s="64" t="s">
        <v>324</v>
      </c>
      <c r="F419" s="65" t="s">
        <v>457</v>
      </c>
      <c r="G419" s="64" t="s">
        <v>328</v>
      </c>
      <c r="H419" s="64" t="s">
        <v>229</v>
      </c>
      <c r="I419" s="64" t="s">
        <v>10</v>
      </c>
      <c r="J419" s="64" t="s">
        <v>201</v>
      </c>
      <c r="K419" s="66">
        <v>54.3</v>
      </c>
      <c r="L419" s="66">
        <f>K419*VLOOKUP(I419,dagsoorttabel1,2,FALSE)</f>
        <v>54.3</v>
      </c>
      <c r="M419" s="67">
        <f>prodnorm43</f>
        <v>0</v>
      </c>
      <c r="N419" s="68">
        <f>dagwerk43</f>
        <v>0</v>
      </c>
      <c r="O419" s="64" t="s">
        <v>38</v>
      </c>
      <c r="P419" s="69">
        <f>uurtarief43</f>
        <v>0</v>
      </c>
      <c r="Q419" s="66" t="e">
        <f>IF(ISBLANK(M419),0,L419/ROUND(M419,4))</f>
        <v>#DIV/0!</v>
      </c>
      <c r="R419" s="66" t="e">
        <f>IF(ISBLANK(M419),0,Q419*ROUND(N419,2))</f>
        <v>#DIV/0!</v>
      </c>
      <c r="S419" s="69" t="e">
        <f>ROUND(P419,2)*Q419</f>
        <v>#DIV/0!</v>
      </c>
      <c r="T419" s="66" t="e">
        <f>Q419*dagenperjaar1</f>
        <v>#DIV/0!</v>
      </c>
      <c r="U419" s="70" t="e">
        <f>T419*ROUND(P419,2)</f>
        <v>#DIV/0!</v>
      </c>
    </row>
    <row r="420" spans="1:21" x14ac:dyDescent="0.2">
      <c r="A420" s="63" t="s">
        <v>530</v>
      </c>
      <c r="B420" s="64" t="s">
        <v>324</v>
      </c>
      <c r="C420" s="64" t="s">
        <v>472</v>
      </c>
      <c r="D420" s="64" t="s">
        <v>527</v>
      </c>
      <c r="E420" s="64" t="s">
        <v>324</v>
      </c>
      <c r="F420" s="65" t="s">
        <v>457</v>
      </c>
      <c r="G420" s="64" t="s">
        <v>328</v>
      </c>
      <c r="H420" s="64" t="s">
        <v>229</v>
      </c>
      <c r="I420" s="64" t="s">
        <v>10</v>
      </c>
      <c r="J420" s="64" t="s">
        <v>201</v>
      </c>
      <c r="K420" s="66">
        <v>53.2</v>
      </c>
      <c r="L420" s="66">
        <f>K420*VLOOKUP(I420,dagsoorttabel1,2,FALSE)</f>
        <v>53.2</v>
      </c>
      <c r="M420" s="67">
        <f>prodnorm43</f>
        <v>0</v>
      </c>
      <c r="N420" s="68">
        <f>dagwerk43</f>
        <v>0</v>
      </c>
      <c r="O420" s="64" t="s">
        <v>38</v>
      </c>
      <c r="P420" s="69">
        <f>uurtarief43</f>
        <v>0</v>
      </c>
      <c r="Q420" s="66" t="e">
        <f>IF(ISBLANK(M420),0,L420/ROUND(M420,4))</f>
        <v>#DIV/0!</v>
      </c>
      <c r="R420" s="66" t="e">
        <f>IF(ISBLANK(M420),0,Q420*ROUND(N420,2))</f>
        <v>#DIV/0!</v>
      </c>
      <c r="S420" s="69" t="e">
        <f>ROUND(P420,2)*Q420</f>
        <v>#DIV/0!</v>
      </c>
      <c r="T420" s="66" t="e">
        <f>Q420*dagenperjaar1</f>
        <v>#DIV/0!</v>
      </c>
      <c r="U420" s="70" t="e">
        <f>T420*ROUND(P420,2)</f>
        <v>#DIV/0!</v>
      </c>
    </row>
    <row r="421" spans="1:21" x14ac:dyDescent="0.2">
      <c r="A421" s="63" t="s">
        <v>530</v>
      </c>
      <c r="B421" s="64" t="s">
        <v>324</v>
      </c>
      <c r="C421" s="64" t="s">
        <v>472</v>
      </c>
      <c r="D421" s="64" t="s">
        <v>974</v>
      </c>
      <c r="E421" s="64" t="s">
        <v>324</v>
      </c>
      <c r="F421" s="65" t="s">
        <v>975</v>
      </c>
      <c r="G421" s="64" t="s">
        <v>328</v>
      </c>
      <c r="H421" s="64" t="s">
        <v>205</v>
      </c>
      <c r="I421" s="64" t="s">
        <v>10</v>
      </c>
      <c r="J421" s="64" t="s">
        <v>201</v>
      </c>
      <c r="K421" s="66">
        <v>34.6</v>
      </c>
      <c r="L421" s="66">
        <f>K421*VLOOKUP(I421,dagsoorttabel1,2,FALSE)</f>
        <v>34.6</v>
      </c>
      <c r="M421" s="67">
        <f>prodnorm26</f>
        <v>0</v>
      </c>
      <c r="N421" s="68">
        <f>dagwerk26</f>
        <v>0</v>
      </c>
      <c r="O421" s="64" t="s">
        <v>38</v>
      </c>
      <c r="P421" s="69">
        <f>uurtarief26</f>
        <v>0</v>
      </c>
      <c r="Q421" s="66" t="e">
        <f>IF(ISBLANK(M421),0,L421/ROUND(M421,4))</f>
        <v>#DIV/0!</v>
      </c>
      <c r="R421" s="66" t="e">
        <f>IF(ISBLANK(M421),0,Q421*ROUND(N421,2))</f>
        <v>#DIV/0!</v>
      </c>
      <c r="S421" s="69" t="e">
        <f>ROUND(P421,2)*Q421</f>
        <v>#DIV/0!</v>
      </c>
      <c r="T421" s="66" t="e">
        <f>Q421*dagenperjaar1</f>
        <v>#DIV/0!</v>
      </c>
      <c r="U421" s="70" t="e">
        <f>T421*ROUND(P421,2)</f>
        <v>#DIV/0!</v>
      </c>
    </row>
    <row r="422" spans="1:21" x14ac:dyDescent="0.2">
      <c r="A422" s="63" t="s">
        <v>530</v>
      </c>
      <c r="B422" s="64" t="s">
        <v>324</v>
      </c>
      <c r="C422" s="64" t="s">
        <v>472</v>
      </c>
      <c r="D422" s="64" t="s">
        <v>976</v>
      </c>
      <c r="E422" s="64" t="s">
        <v>324</v>
      </c>
      <c r="F422" s="65" t="s">
        <v>457</v>
      </c>
      <c r="G422" s="64" t="s">
        <v>328</v>
      </c>
      <c r="H422" s="64" t="s">
        <v>229</v>
      </c>
      <c r="I422" s="64" t="s">
        <v>10</v>
      </c>
      <c r="J422" s="64" t="s">
        <v>201</v>
      </c>
      <c r="K422" s="66">
        <v>53.8</v>
      </c>
      <c r="L422" s="66">
        <f>K422*VLOOKUP(I422,dagsoorttabel1,2,FALSE)</f>
        <v>53.8</v>
      </c>
      <c r="M422" s="67">
        <f>prodnorm43</f>
        <v>0</v>
      </c>
      <c r="N422" s="68">
        <f>dagwerk43</f>
        <v>0</v>
      </c>
      <c r="O422" s="64" t="s">
        <v>38</v>
      </c>
      <c r="P422" s="69">
        <f>uurtarief43</f>
        <v>0</v>
      </c>
      <c r="Q422" s="66" t="e">
        <f>IF(ISBLANK(M422),0,L422/ROUND(M422,4))</f>
        <v>#DIV/0!</v>
      </c>
      <c r="R422" s="66" t="e">
        <f>IF(ISBLANK(M422),0,Q422*ROUND(N422,2))</f>
        <v>#DIV/0!</v>
      </c>
      <c r="S422" s="69" t="e">
        <f>ROUND(P422,2)*Q422</f>
        <v>#DIV/0!</v>
      </c>
      <c r="T422" s="66" t="e">
        <f>Q422*dagenperjaar1</f>
        <v>#DIV/0!</v>
      </c>
      <c r="U422" s="70" t="e">
        <f>T422*ROUND(P422,2)</f>
        <v>#DIV/0!</v>
      </c>
    </row>
    <row r="423" spans="1:21" x14ac:dyDescent="0.2">
      <c r="A423" s="63" t="s">
        <v>530</v>
      </c>
      <c r="B423" s="64" t="s">
        <v>324</v>
      </c>
      <c r="C423" s="64" t="s">
        <v>472</v>
      </c>
      <c r="D423" s="64" t="s">
        <v>977</v>
      </c>
      <c r="E423" s="64" t="s">
        <v>324</v>
      </c>
      <c r="F423" s="65" t="s">
        <v>457</v>
      </c>
      <c r="G423" s="64" t="s">
        <v>328</v>
      </c>
      <c r="H423" s="64" t="s">
        <v>229</v>
      </c>
      <c r="I423" s="64" t="s">
        <v>10</v>
      </c>
      <c r="J423" s="64" t="s">
        <v>201</v>
      </c>
      <c r="K423" s="66">
        <v>79.3</v>
      </c>
      <c r="L423" s="66">
        <f>K423*VLOOKUP(I423,dagsoorttabel1,2,FALSE)</f>
        <v>79.3</v>
      </c>
      <c r="M423" s="67">
        <f>prodnorm43</f>
        <v>0</v>
      </c>
      <c r="N423" s="68">
        <f>dagwerk43</f>
        <v>0</v>
      </c>
      <c r="O423" s="64" t="s">
        <v>38</v>
      </c>
      <c r="P423" s="69">
        <f>uurtarief43</f>
        <v>0</v>
      </c>
      <c r="Q423" s="66" t="e">
        <f>IF(ISBLANK(M423),0,L423/ROUND(M423,4))</f>
        <v>#DIV/0!</v>
      </c>
      <c r="R423" s="66" t="e">
        <f>IF(ISBLANK(M423),0,Q423*ROUND(N423,2))</f>
        <v>#DIV/0!</v>
      </c>
      <c r="S423" s="69" t="e">
        <f>ROUND(P423,2)*Q423</f>
        <v>#DIV/0!</v>
      </c>
      <c r="T423" s="66" t="e">
        <f>Q423*dagenperjaar1</f>
        <v>#DIV/0!</v>
      </c>
      <c r="U423" s="70" t="e">
        <f>T423*ROUND(P423,2)</f>
        <v>#DIV/0!</v>
      </c>
    </row>
    <row r="424" spans="1:21" x14ac:dyDescent="0.2">
      <c r="A424" s="63" t="s">
        <v>530</v>
      </c>
      <c r="B424" s="64" t="s">
        <v>324</v>
      </c>
      <c r="C424" s="64" t="s">
        <v>472</v>
      </c>
      <c r="D424" s="64" t="s">
        <v>978</v>
      </c>
      <c r="E424" s="64" t="s">
        <v>324</v>
      </c>
      <c r="F424" s="65" t="s">
        <v>979</v>
      </c>
      <c r="G424" s="64" t="s">
        <v>328</v>
      </c>
      <c r="H424" s="64" t="s">
        <v>205</v>
      </c>
      <c r="I424" s="64" t="s">
        <v>10</v>
      </c>
      <c r="J424" s="64" t="s">
        <v>201</v>
      </c>
      <c r="K424" s="66">
        <v>41.4</v>
      </c>
      <c r="L424" s="66">
        <f>K424*VLOOKUP(I424,dagsoorttabel1,2,FALSE)</f>
        <v>41.4</v>
      </c>
      <c r="M424" s="67">
        <f>prodnorm26</f>
        <v>0</v>
      </c>
      <c r="N424" s="68">
        <f>dagwerk26</f>
        <v>0</v>
      </c>
      <c r="O424" s="64" t="s">
        <v>38</v>
      </c>
      <c r="P424" s="69">
        <f>uurtarief26</f>
        <v>0</v>
      </c>
      <c r="Q424" s="66" t="e">
        <f>IF(ISBLANK(M424),0,L424/ROUND(M424,4))</f>
        <v>#DIV/0!</v>
      </c>
      <c r="R424" s="66" t="e">
        <f>IF(ISBLANK(M424),0,Q424*ROUND(N424,2))</f>
        <v>#DIV/0!</v>
      </c>
      <c r="S424" s="69" t="e">
        <f>ROUND(P424,2)*Q424</f>
        <v>#DIV/0!</v>
      </c>
      <c r="T424" s="66" t="e">
        <f>Q424*dagenperjaar1</f>
        <v>#DIV/0!</v>
      </c>
      <c r="U424" s="70" t="e">
        <f>T424*ROUND(P424,2)</f>
        <v>#DIV/0!</v>
      </c>
    </row>
    <row r="425" spans="1:21" x14ac:dyDescent="0.2">
      <c r="A425" s="63" t="s">
        <v>530</v>
      </c>
      <c r="B425" s="64" t="s">
        <v>324</v>
      </c>
      <c r="C425" s="64" t="s">
        <v>472</v>
      </c>
      <c r="D425" s="64" t="s">
        <v>980</v>
      </c>
      <c r="E425" s="64" t="s">
        <v>324</v>
      </c>
      <c r="F425" s="65" t="s">
        <v>370</v>
      </c>
      <c r="G425" s="64" t="s">
        <v>862</v>
      </c>
      <c r="H425" s="64" t="s">
        <v>255</v>
      </c>
      <c r="I425" s="64" t="s">
        <v>10</v>
      </c>
      <c r="J425" s="64" t="s">
        <v>201</v>
      </c>
      <c r="K425" s="66">
        <v>5.9</v>
      </c>
      <c r="L425" s="66">
        <f>K425*VLOOKUP(I425,dagsoorttabel1,2,FALSE)</f>
        <v>5.9</v>
      </c>
      <c r="M425" s="67">
        <f>prodnorm59</f>
        <v>0</v>
      </c>
      <c r="N425" s="68">
        <f>dagwerk59</f>
        <v>0</v>
      </c>
      <c r="O425" s="64" t="s">
        <v>38</v>
      </c>
      <c r="P425" s="69">
        <f>uurtarief59</f>
        <v>0</v>
      </c>
      <c r="Q425" s="66" t="e">
        <f>IF(ISBLANK(M425),0,L425/ROUND(M425,4))</f>
        <v>#DIV/0!</v>
      </c>
      <c r="R425" s="66" t="e">
        <f>IF(ISBLANK(M425),0,Q425*ROUND(N425,2))</f>
        <v>#DIV/0!</v>
      </c>
      <c r="S425" s="69" t="e">
        <f>ROUND(P425,2)*Q425</f>
        <v>#DIV/0!</v>
      </c>
      <c r="T425" s="66" t="e">
        <f>Q425*dagenperjaar1</f>
        <v>#DIV/0!</v>
      </c>
      <c r="U425" s="70" t="e">
        <f>T425*ROUND(P425,2)</f>
        <v>#DIV/0!</v>
      </c>
    </row>
    <row r="426" spans="1:21" x14ac:dyDescent="0.2">
      <c r="A426" s="63" t="s">
        <v>530</v>
      </c>
      <c r="B426" s="64" t="s">
        <v>324</v>
      </c>
      <c r="C426" s="64" t="s">
        <v>472</v>
      </c>
      <c r="D426" s="64" t="s">
        <v>980</v>
      </c>
      <c r="E426" s="64" t="s">
        <v>324</v>
      </c>
      <c r="F426" s="65" t="s">
        <v>370</v>
      </c>
      <c r="G426" s="64" t="s">
        <v>862</v>
      </c>
      <c r="H426" s="64" t="s">
        <v>257</v>
      </c>
      <c r="I426" s="64" t="s">
        <v>10</v>
      </c>
      <c r="J426" s="64" t="s">
        <v>201</v>
      </c>
      <c r="K426" s="66">
        <v>5.9</v>
      </c>
      <c r="L426" s="66">
        <f>K426*VLOOKUP(I426,dagsoorttabel1,2,FALSE)</f>
        <v>5.9</v>
      </c>
      <c r="M426" s="67">
        <f>prodnorm60</f>
        <v>0</v>
      </c>
      <c r="N426" s="68">
        <f>dagwerk60</f>
        <v>0</v>
      </c>
      <c r="O426" s="64" t="s">
        <v>38</v>
      </c>
      <c r="P426" s="69">
        <f>uurtarief60</f>
        <v>0</v>
      </c>
      <c r="Q426" s="66" t="e">
        <f>IF(ISBLANK(M426),0,L426/ROUND(M426,4))</f>
        <v>#DIV/0!</v>
      </c>
      <c r="R426" s="66" t="e">
        <f>IF(ISBLANK(M426),0,Q426*ROUND(N426,2))</f>
        <v>#DIV/0!</v>
      </c>
      <c r="S426" s="69" t="e">
        <f>ROUND(P426,2)*Q426</f>
        <v>#DIV/0!</v>
      </c>
      <c r="T426" s="66" t="e">
        <f>Q426*dagenperjaar1</f>
        <v>#DIV/0!</v>
      </c>
      <c r="U426" s="70" t="e">
        <f>T426*ROUND(P426,2)</f>
        <v>#DIV/0!</v>
      </c>
    </row>
    <row r="427" spans="1:21" x14ac:dyDescent="0.2">
      <c r="A427" s="63" t="s">
        <v>530</v>
      </c>
      <c r="B427" s="64" t="s">
        <v>324</v>
      </c>
      <c r="C427" s="64" t="s">
        <v>472</v>
      </c>
      <c r="D427" s="64" t="s">
        <v>981</v>
      </c>
      <c r="E427" s="64" t="s">
        <v>324</v>
      </c>
      <c r="F427" s="65" t="s">
        <v>373</v>
      </c>
      <c r="G427" s="64" t="s">
        <v>862</v>
      </c>
      <c r="H427" s="64" t="s">
        <v>255</v>
      </c>
      <c r="I427" s="64" t="s">
        <v>10</v>
      </c>
      <c r="J427" s="64" t="s">
        <v>201</v>
      </c>
      <c r="K427" s="66">
        <v>5.9</v>
      </c>
      <c r="L427" s="66">
        <f>K427*VLOOKUP(I427,dagsoorttabel1,2,FALSE)</f>
        <v>5.9</v>
      </c>
      <c r="M427" s="67">
        <f>prodnorm59</f>
        <v>0</v>
      </c>
      <c r="N427" s="68">
        <f>dagwerk59</f>
        <v>0</v>
      </c>
      <c r="O427" s="64" t="s">
        <v>38</v>
      </c>
      <c r="P427" s="69">
        <f>uurtarief59</f>
        <v>0</v>
      </c>
      <c r="Q427" s="66" t="e">
        <f>IF(ISBLANK(M427),0,L427/ROUND(M427,4))</f>
        <v>#DIV/0!</v>
      </c>
      <c r="R427" s="66" t="e">
        <f>IF(ISBLANK(M427),0,Q427*ROUND(N427,2))</f>
        <v>#DIV/0!</v>
      </c>
      <c r="S427" s="69" t="e">
        <f>ROUND(P427,2)*Q427</f>
        <v>#DIV/0!</v>
      </c>
      <c r="T427" s="66" t="e">
        <f>Q427*dagenperjaar1</f>
        <v>#DIV/0!</v>
      </c>
      <c r="U427" s="70" t="e">
        <f>T427*ROUND(P427,2)</f>
        <v>#DIV/0!</v>
      </c>
    </row>
    <row r="428" spans="1:21" x14ac:dyDescent="0.2">
      <c r="A428" s="63" t="s">
        <v>530</v>
      </c>
      <c r="B428" s="64" t="s">
        <v>324</v>
      </c>
      <c r="C428" s="64" t="s">
        <v>472</v>
      </c>
      <c r="D428" s="64" t="s">
        <v>981</v>
      </c>
      <c r="E428" s="64" t="s">
        <v>324</v>
      </c>
      <c r="F428" s="65" t="s">
        <v>373</v>
      </c>
      <c r="G428" s="64" t="s">
        <v>862</v>
      </c>
      <c r="H428" s="64" t="s">
        <v>257</v>
      </c>
      <c r="I428" s="64" t="s">
        <v>10</v>
      </c>
      <c r="J428" s="64" t="s">
        <v>201</v>
      </c>
      <c r="K428" s="66">
        <v>5.9</v>
      </c>
      <c r="L428" s="66">
        <f>K428*VLOOKUP(I428,dagsoorttabel1,2,FALSE)</f>
        <v>5.9</v>
      </c>
      <c r="M428" s="67">
        <f>prodnorm60</f>
        <v>0</v>
      </c>
      <c r="N428" s="68">
        <f>dagwerk60</f>
        <v>0</v>
      </c>
      <c r="O428" s="64" t="s">
        <v>38</v>
      </c>
      <c r="P428" s="69">
        <f>uurtarief60</f>
        <v>0</v>
      </c>
      <c r="Q428" s="66" t="e">
        <f>IF(ISBLANK(M428),0,L428/ROUND(M428,4))</f>
        <v>#DIV/0!</v>
      </c>
      <c r="R428" s="66" t="e">
        <f>IF(ISBLANK(M428),0,Q428*ROUND(N428,2))</f>
        <v>#DIV/0!</v>
      </c>
      <c r="S428" s="69" t="e">
        <f>ROUND(P428,2)*Q428</f>
        <v>#DIV/0!</v>
      </c>
      <c r="T428" s="66" t="e">
        <f>Q428*dagenperjaar1</f>
        <v>#DIV/0!</v>
      </c>
      <c r="U428" s="70" t="e">
        <f>T428*ROUND(P428,2)</f>
        <v>#DIV/0!</v>
      </c>
    </row>
    <row r="429" spans="1:21" x14ac:dyDescent="0.2">
      <c r="A429" s="63" t="s">
        <v>530</v>
      </c>
      <c r="B429" s="64" t="s">
        <v>324</v>
      </c>
      <c r="C429" s="64" t="s">
        <v>472</v>
      </c>
      <c r="D429" s="64" t="s">
        <v>982</v>
      </c>
      <c r="E429" s="64" t="s">
        <v>324</v>
      </c>
      <c r="F429" s="65" t="s">
        <v>335</v>
      </c>
      <c r="G429" s="64" t="s">
        <v>328</v>
      </c>
      <c r="H429" s="64" t="s">
        <v>267</v>
      </c>
      <c r="I429" s="64" t="s">
        <v>10</v>
      </c>
      <c r="J429" s="64" t="s">
        <v>201</v>
      </c>
      <c r="K429" s="66">
        <v>121.5</v>
      </c>
      <c r="L429" s="66">
        <f>K429*VLOOKUP(I429,dagsoorttabel1,2,FALSE)</f>
        <v>121.5</v>
      </c>
      <c r="M429" s="67">
        <f>prodnorm65</f>
        <v>0</v>
      </c>
      <c r="N429" s="68">
        <f>dagwerk65</f>
        <v>0</v>
      </c>
      <c r="O429" s="64" t="s">
        <v>38</v>
      </c>
      <c r="P429" s="69">
        <f>uurtarief65</f>
        <v>0</v>
      </c>
      <c r="Q429" s="66" t="e">
        <f>IF(ISBLANK(M429),0,L429/ROUND(M429,4))</f>
        <v>#DIV/0!</v>
      </c>
      <c r="R429" s="66" t="e">
        <f>IF(ISBLANK(M429),0,Q429*ROUND(N429,2))</f>
        <v>#DIV/0!</v>
      </c>
      <c r="S429" s="69" t="e">
        <f>ROUND(P429,2)*Q429</f>
        <v>#DIV/0!</v>
      </c>
      <c r="T429" s="66" t="e">
        <f>Q429*dagenperjaar1</f>
        <v>#DIV/0!</v>
      </c>
      <c r="U429" s="70" t="e">
        <f>T429*ROUND(P429,2)</f>
        <v>#DIV/0!</v>
      </c>
    </row>
    <row r="430" spans="1:21" x14ac:dyDescent="0.2">
      <c r="A430" s="63" t="s">
        <v>530</v>
      </c>
      <c r="B430" s="64" t="s">
        <v>324</v>
      </c>
      <c r="C430" s="64" t="s">
        <v>472</v>
      </c>
      <c r="D430" s="64" t="s">
        <v>983</v>
      </c>
      <c r="E430" s="64" t="s">
        <v>324</v>
      </c>
      <c r="F430" s="65" t="s">
        <v>967</v>
      </c>
      <c r="G430" s="64" t="s">
        <v>328</v>
      </c>
      <c r="H430" s="64" t="s">
        <v>239</v>
      </c>
      <c r="I430" s="64" t="s">
        <v>10</v>
      </c>
      <c r="J430" s="64" t="s">
        <v>201</v>
      </c>
      <c r="K430" s="66">
        <v>24</v>
      </c>
      <c r="L430" s="66">
        <f>K430*VLOOKUP(I430,dagsoorttabel1,2,FALSE)</f>
        <v>24</v>
      </c>
      <c r="M430" s="67">
        <f>prodnorm50</f>
        <v>0</v>
      </c>
      <c r="N430" s="68">
        <f>dagwerk50</f>
        <v>0</v>
      </c>
      <c r="O430" s="64" t="s">
        <v>38</v>
      </c>
      <c r="P430" s="69">
        <f>uurtarief50</f>
        <v>0</v>
      </c>
      <c r="Q430" s="66" t="e">
        <f>IF(ISBLANK(M430),0,L430/ROUND(M430,4))</f>
        <v>#DIV/0!</v>
      </c>
      <c r="R430" s="66" t="e">
        <f>IF(ISBLANK(M430),0,Q430*ROUND(N430,2))</f>
        <v>#DIV/0!</v>
      </c>
      <c r="S430" s="69" t="e">
        <f>ROUND(P430,2)*Q430</f>
        <v>#DIV/0!</v>
      </c>
      <c r="T430" s="66" t="e">
        <f>Q430*dagenperjaar1</f>
        <v>#DIV/0!</v>
      </c>
      <c r="U430" s="70" t="e">
        <f>T430*ROUND(P430,2)</f>
        <v>#DIV/0!</v>
      </c>
    </row>
    <row r="431" spans="1:21" x14ac:dyDescent="0.2">
      <c r="A431" s="63" t="s">
        <v>530</v>
      </c>
      <c r="B431" s="64" t="s">
        <v>324</v>
      </c>
      <c r="C431" s="64" t="s">
        <v>472</v>
      </c>
      <c r="D431" s="64" t="s">
        <v>984</v>
      </c>
      <c r="E431" s="64" t="s">
        <v>324</v>
      </c>
      <c r="F431" s="65" t="s">
        <v>967</v>
      </c>
      <c r="G431" s="64" t="s">
        <v>328</v>
      </c>
      <c r="H431" s="64" t="s">
        <v>239</v>
      </c>
      <c r="I431" s="64" t="s">
        <v>10</v>
      </c>
      <c r="J431" s="64" t="s">
        <v>201</v>
      </c>
      <c r="K431" s="66">
        <v>52</v>
      </c>
      <c r="L431" s="66">
        <f>K431*VLOOKUP(I431,dagsoorttabel1,2,FALSE)</f>
        <v>52</v>
      </c>
      <c r="M431" s="67">
        <f>prodnorm50</f>
        <v>0</v>
      </c>
      <c r="N431" s="68">
        <f>dagwerk50</f>
        <v>0</v>
      </c>
      <c r="O431" s="64" t="s">
        <v>38</v>
      </c>
      <c r="P431" s="69">
        <f>uurtarief50</f>
        <v>0</v>
      </c>
      <c r="Q431" s="66" t="e">
        <f>IF(ISBLANK(M431),0,L431/ROUND(M431,4))</f>
        <v>#DIV/0!</v>
      </c>
      <c r="R431" s="66" t="e">
        <f>IF(ISBLANK(M431),0,Q431*ROUND(N431,2))</f>
        <v>#DIV/0!</v>
      </c>
      <c r="S431" s="69" t="e">
        <f>ROUND(P431,2)*Q431</f>
        <v>#DIV/0!</v>
      </c>
      <c r="T431" s="66" t="e">
        <f>Q431*dagenperjaar1</f>
        <v>#DIV/0!</v>
      </c>
      <c r="U431" s="70" t="e">
        <f>T431*ROUND(P431,2)</f>
        <v>#DIV/0!</v>
      </c>
    </row>
    <row r="432" spans="1:21" x14ac:dyDescent="0.2">
      <c r="A432" s="63" t="s">
        <v>530</v>
      </c>
      <c r="B432" s="64" t="s">
        <v>324</v>
      </c>
      <c r="C432" s="64" t="s">
        <v>472</v>
      </c>
      <c r="D432" s="64" t="s">
        <v>985</v>
      </c>
      <c r="E432" s="64" t="s">
        <v>324</v>
      </c>
      <c r="F432" s="65" t="s">
        <v>370</v>
      </c>
      <c r="G432" s="64" t="s">
        <v>862</v>
      </c>
      <c r="H432" s="64" t="s">
        <v>255</v>
      </c>
      <c r="I432" s="64" t="s">
        <v>10</v>
      </c>
      <c r="J432" s="64" t="s">
        <v>201</v>
      </c>
      <c r="K432" s="66">
        <v>7.4</v>
      </c>
      <c r="L432" s="66">
        <f>K432*VLOOKUP(I432,dagsoorttabel1,2,FALSE)</f>
        <v>7.4</v>
      </c>
      <c r="M432" s="67">
        <f>prodnorm59</f>
        <v>0</v>
      </c>
      <c r="N432" s="68">
        <f>dagwerk59</f>
        <v>0</v>
      </c>
      <c r="O432" s="64" t="s">
        <v>38</v>
      </c>
      <c r="P432" s="69">
        <f>uurtarief59</f>
        <v>0</v>
      </c>
      <c r="Q432" s="66" t="e">
        <f>IF(ISBLANK(M432),0,L432/ROUND(M432,4))</f>
        <v>#DIV/0!</v>
      </c>
      <c r="R432" s="66" t="e">
        <f>IF(ISBLANK(M432),0,Q432*ROUND(N432,2))</f>
        <v>#DIV/0!</v>
      </c>
      <c r="S432" s="69" t="e">
        <f>ROUND(P432,2)*Q432</f>
        <v>#DIV/0!</v>
      </c>
      <c r="T432" s="66" t="e">
        <f>Q432*dagenperjaar1</f>
        <v>#DIV/0!</v>
      </c>
      <c r="U432" s="70" t="e">
        <f>T432*ROUND(P432,2)</f>
        <v>#DIV/0!</v>
      </c>
    </row>
    <row r="433" spans="1:21" x14ac:dyDescent="0.2">
      <c r="A433" s="63" t="s">
        <v>530</v>
      </c>
      <c r="B433" s="64" t="s">
        <v>324</v>
      </c>
      <c r="C433" s="64" t="s">
        <v>472</v>
      </c>
      <c r="D433" s="64" t="s">
        <v>985</v>
      </c>
      <c r="E433" s="64" t="s">
        <v>324</v>
      </c>
      <c r="F433" s="65" t="s">
        <v>370</v>
      </c>
      <c r="G433" s="64" t="s">
        <v>862</v>
      </c>
      <c r="H433" s="64" t="s">
        <v>257</v>
      </c>
      <c r="I433" s="64" t="s">
        <v>10</v>
      </c>
      <c r="J433" s="64" t="s">
        <v>201</v>
      </c>
      <c r="K433" s="66">
        <v>7.4</v>
      </c>
      <c r="L433" s="66">
        <f>K433*VLOOKUP(I433,dagsoorttabel1,2,FALSE)</f>
        <v>7.4</v>
      </c>
      <c r="M433" s="67">
        <f>prodnorm60</f>
        <v>0</v>
      </c>
      <c r="N433" s="68">
        <f>dagwerk60</f>
        <v>0</v>
      </c>
      <c r="O433" s="64" t="s">
        <v>38</v>
      </c>
      <c r="P433" s="69">
        <f>uurtarief60</f>
        <v>0</v>
      </c>
      <c r="Q433" s="66" t="e">
        <f>IF(ISBLANK(M433),0,L433/ROUND(M433,4))</f>
        <v>#DIV/0!</v>
      </c>
      <c r="R433" s="66" t="e">
        <f>IF(ISBLANK(M433),0,Q433*ROUND(N433,2))</f>
        <v>#DIV/0!</v>
      </c>
      <c r="S433" s="69" t="e">
        <f>ROUND(P433,2)*Q433</f>
        <v>#DIV/0!</v>
      </c>
      <c r="T433" s="66" t="e">
        <f>Q433*dagenperjaar1</f>
        <v>#DIV/0!</v>
      </c>
      <c r="U433" s="70" t="e">
        <f>T433*ROUND(P433,2)</f>
        <v>#DIV/0!</v>
      </c>
    </row>
    <row r="434" spans="1:21" x14ac:dyDescent="0.2">
      <c r="A434" s="63" t="s">
        <v>530</v>
      </c>
      <c r="B434" s="64" t="s">
        <v>324</v>
      </c>
      <c r="C434" s="64" t="s">
        <v>472</v>
      </c>
      <c r="D434" s="64" t="s">
        <v>986</v>
      </c>
      <c r="E434" s="64" t="s">
        <v>324</v>
      </c>
      <c r="F434" s="65" t="s">
        <v>373</v>
      </c>
      <c r="G434" s="64" t="s">
        <v>862</v>
      </c>
      <c r="H434" s="64" t="s">
        <v>255</v>
      </c>
      <c r="I434" s="64" t="s">
        <v>10</v>
      </c>
      <c r="J434" s="64" t="s">
        <v>201</v>
      </c>
      <c r="K434" s="66">
        <v>7.5</v>
      </c>
      <c r="L434" s="66">
        <f>K434*VLOOKUP(I434,dagsoorttabel1,2,FALSE)</f>
        <v>7.5</v>
      </c>
      <c r="M434" s="67">
        <f>prodnorm59</f>
        <v>0</v>
      </c>
      <c r="N434" s="68">
        <f>dagwerk59</f>
        <v>0</v>
      </c>
      <c r="O434" s="64" t="s">
        <v>38</v>
      </c>
      <c r="P434" s="69">
        <f>uurtarief59</f>
        <v>0</v>
      </c>
      <c r="Q434" s="66" t="e">
        <f>IF(ISBLANK(M434),0,L434/ROUND(M434,4))</f>
        <v>#DIV/0!</v>
      </c>
      <c r="R434" s="66" t="e">
        <f>IF(ISBLANK(M434),0,Q434*ROUND(N434,2))</f>
        <v>#DIV/0!</v>
      </c>
      <c r="S434" s="69" t="e">
        <f>ROUND(P434,2)*Q434</f>
        <v>#DIV/0!</v>
      </c>
      <c r="T434" s="66" t="e">
        <f>Q434*dagenperjaar1</f>
        <v>#DIV/0!</v>
      </c>
      <c r="U434" s="70" t="e">
        <f>T434*ROUND(P434,2)</f>
        <v>#DIV/0!</v>
      </c>
    </row>
    <row r="435" spans="1:21" x14ac:dyDescent="0.2">
      <c r="A435" s="63" t="s">
        <v>530</v>
      </c>
      <c r="B435" s="64" t="s">
        <v>324</v>
      </c>
      <c r="C435" s="64" t="s">
        <v>472</v>
      </c>
      <c r="D435" s="64" t="s">
        <v>986</v>
      </c>
      <c r="E435" s="64" t="s">
        <v>324</v>
      </c>
      <c r="F435" s="65" t="s">
        <v>373</v>
      </c>
      <c r="G435" s="64" t="s">
        <v>862</v>
      </c>
      <c r="H435" s="64" t="s">
        <v>257</v>
      </c>
      <c r="I435" s="64" t="s">
        <v>10</v>
      </c>
      <c r="J435" s="64" t="s">
        <v>201</v>
      </c>
      <c r="K435" s="66">
        <v>7.5</v>
      </c>
      <c r="L435" s="66">
        <f>K435*VLOOKUP(I435,dagsoorttabel1,2,FALSE)</f>
        <v>7.5</v>
      </c>
      <c r="M435" s="67">
        <f>prodnorm60</f>
        <v>0</v>
      </c>
      <c r="N435" s="68">
        <f>dagwerk60</f>
        <v>0</v>
      </c>
      <c r="O435" s="64" t="s">
        <v>38</v>
      </c>
      <c r="P435" s="69">
        <f>uurtarief60</f>
        <v>0</v>
      </c>
      <c r="Q435" s="66" t="e">
        <f>IF(ISBLANK(M435),0,L435/ROUND(M435,4))</f>
        <v>#DIV/0!</v>
      </c>
      <c r="R435" s="66" t="e">
        <f>IF(ISBLANK(M435),0,Q435*ROUND(N435,2))</f>
        <v>#DIV/0!</v>
      </c>
      <c r="S435" s="69" t="e">
        <f>ROUND(P435,2)*Q435</f>
        <v>#DIV/0!</v>
      </c>
      <c r="T435" s="66" t="e">
        <f>Q435*dagenperjaar1</f>
        <v>#DIV/0!</v>
      </c>
      <c r="U435" s="70" t="e">
        <f>T435*ROUND(P435,2)</f>
        <v>#DIV/0!</v>
      </c>
    </row>
    <row r="436" spans="1:21" x14ac:dyDescent="0.2">
      <c r="A436" s="63" t="s">
        <v>530</v>
      </c>
      <c r="B436" s="64" t="s">
        <v>324</v>
      </c>
      <c r="C436" s="64" t="s">
        <v>472</v>
      </c>
      <c r="D436" s="64" t="s">
        <v>987</v>
      </c>
      <c r="E436" s="64" t="s">
        <v>324</v>
      </c>
      <c r="F436" s="65" t="s">
        <v>988</v>
      </c>
      <c r="G436" s="64" t="s">
        <v>328</v>
      </c>
      <c r="H436" s="64" t="s">
        <v>239</v>
      </c>
      <c r="I436" s="64" t="s">
        <v>10</v>
      </c>
      <c r="J436" s="64" t="s">
        <v>201</v>
      </c>
      <c r="K436" s="66">
        <v>101.6</v>
      </c>
      <c r="L436" s="66">
        <f>K436*VLOOKUP(I436,dagsoorttabel1,2,FALSE)</f>
        <v>101.6</v>
      </c>
      <c r="M436" s="67">
        <f>prodnorm50</f>
        <v>0</v>
      </c>
      <c r="N436" s="68">
        <f>dagwerk50</f>
        <v>0</v>
      </c>
      <c r="O436" s="64" t="s">
        <v>38</v>
      </c>
      <c r="P436" s="69">
        <f>uurtarief50</f>
        <v>0</v>
      </c>
      <c r="Q436" s="66" t="e">
        <f>IF(ISBLANK(M436),0,L436/ROUND(M436,4))</f>
        <v>#DIV/0!</v>
      </c>
      <c r="R436" s="66" t="e">
        <f>IF(ISBLANK(M436),0,Q436*ROUND(N436,2))</f>
        <v>#DIV/0!</v>
      </c>
      <c r="S436" s="69" t="e">
        <f>ROUND(P436,2)*Q436</f>
        <v>#DIV/0!</v>
      </c>
      <c r="T436" s="66" t="e">
        <f>Q436*dagenperjaar1</f>
        <v>#DIV/0!</v>
      </c>
      <c r="U436" s="70" t="e">
        <f>T436*ROUND(P436,2)</f>
        <v>#DIV/0!</v>
      </c>
    </row>
    <row r="437" spans="1:21" x14ac:dyDescent="0.2">
      <c r="A437" s="71" t="s">
        <v>530</v>
      </c>
      <c r="B437" s="72" t="s">
        <v>324</v>
      </c>
      <c r="C437" s="72" t="s">
        <v>472</v>
      </c>
      <c r="D437" s="72" t="s">
        <v>989</v>
      </c>
      <c r="E437" s="72" t="s">
        <v>324</v>
      </c>
      <c r="F437" s="73" t="s">
        <v>335</v>
      </c>
      <c r="G437" s="72" t="s">
        <v>328</v>
      </c>
      <c r="H437" s="72" t="s">
        <v>267</v>
      </c>
      <c r="I437" s="72" t="s">
        <v>10</v>
      </c>
      <c r="J437" s="72" t="s">
        <v>201</v>
      </c>
      <c r="K437" s="74">
        <v>88.3</v>
      </c>
      <c r="L437" s="74">
        <f>K437*VLOOKUP(I437,dagsoorttabel1,2,FALSE)</f>
        <v>88.3</v>
      </c>
      <c r="M437" s="75">
        <f>prodnorm65</f>
        <v>0</v>
      </c>
      <c r="N437" s="76">
        <f>dagwerk65</f>
        <v>0</v>
      </c>
      <c r="O437" s="72" t="s">
        <v>38</v>
      </c>
      <c r="P437" s="77">
        <f>uurtarief65</f>
        <v>0</v>
      </c>
      <c r="Q437" s="74" t="e">
        <f>IF(ISBLANK(M437),0,L437/ROUND(M437,4))</f>
        <v>#DIV/0!</v>
      </c>
      <c r="R437" s="74" t="e">
        <f>IF(ISBLANK(M437),0,Q437*ROUND(N437,2))</f>
        <v>#DIV/0!</v>
      </c>
      <c r="S437" s="77" t="e">
        <f>ROUND(P437,2)*Q437</f>
        <v>#DIV/0!</v>
      </c>
      <c r="T437" s="74" t="e">
        <f>Q437*dagenperjaar1</f>
        <v>#DIV/0!</v>
      </c>
      <c r="U437" s="78" t="e">
        <f>T437*ROUND(P437,2)</f>
        <v>#DIV/0!</v>
      </c>
    </row>
    <row r="438" spans="1:21" x14ac:dyDescent="0.2">
      <c r="A438" s="79" t="s">
        <v>602</v>
      </c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6" t="e">
        <f>IF(_xlfn.SINGLE(object3_urenjaar1)&gt;0,_xlfn.SINGLE(object3_prijsjaar1)/_xlfn.SINGLE(object3_urenjaar1),0)</f>
        <v>#DIV/0!</v>
      </c>
      <c r="Q438" s="45" t="e">
        <f>SUM(Q290:Q437)</f>
        <v>#DIV/0!</v>
      </c>
      <c r="R438" s="45" t="e">
        <f>SUM(R290:R437)</f>
        <v>#DIV/0!</v>
      </c>
      <c r="S438" s="46" t="e">
        <f>SUM(S290:S437)</f>
        <v>#DIV/0!</v>
      </c>
      <c r="T438" s="45" t="e">
        <f>SUM(T290:T437)</f>
        <v>#DIV/0!</v>
      </c>
      <c r="U438" s="47" t="e">
        <f>SUM(U290:U437)</f>
        <v>#DIV/0!</v>
      </c>
    </row>
    <row r="439" spans="1:21" x14ac:dyDescent="0.2">
      <c r="A439" s="54" t="s">
        <v>990</v>
      </c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42"/>
    </row>
    <row r="440" spans="1:21" x14ac:dyDescent="0.2">
      <c r="A440" s="55" t="s">
        <v>774</v>
      </c>
      <c r="B440" s="56" t="s">
        <v>324</v>
      </c>
      <c r="C440" s="56" t="s">
        <v>345</v>
      </c>
      <c r="D440" s="56" t="s">
        <v>991</v>
      </c>
      <c r="E440" s="56" t="s">
        <v>324</v>
      </c>
      <c r="F440" s="57" t="s">
        <v>992</v>
      </c>
      <c r="G440" s="56" t="s">
        <v>365</v>
      </c>
      <c r="H440" s="56" t="s">
        <v>267</v>
      </c>
      <c r="I440" s="56" t="s">
        <v>16</v>
      </c>
      <c r="J440" s="56" t="s">
        <v>201</v>
      </c>
      <c r="K440" s="58">
        <v>7</v>
      </c>
      <c r="L440" s="58">
        <f>K440*VLOOKUP(I440,dagsoorttabel1,2,FALSE)</f>
        <v>1.4000000000000001</v>
      </c>
      <c r="M440" s="59">
        <f>prodnorm66</f>
        <v>0</v>
      </c>
      <c r="N440" s="60">
        <f>dagwerk66</f>
        <v>0</v>
      </c>
      <c r="O440" s="56" t="s">
        <v>38</v>
      </c>
      <c r="P440" s="61">
        <f>uurtarief66</f>
        <v>0</v>
      </c>
      <c r="Q440" s="58" t="e">
        <f>IF(ISBLANK(M440),0,L440/ROUND(M440,4))</f>
        <v>#DIV/0!</v>
      </c>
      <c r="R440" s="58" t="e">
        <f>IF(ISBLANK(M440),0,Q440*ROUND(N440,2))</f>
        <v>#DIV/0!</v>
      </c>
      <c r="S440" s="61" t="e">
        <f>ROUND(P440,2)*Q440</f>
        <v>#DIV/0!</v>
      </c>
      <c r="T440" s="58" t="e">
        <f>Q440*dagenperjaar1</f>
        <v>#DIV/0!</v>
      </c>
      <c r="U440" s="62" t="e">
        <f>T440*ROUND(P440,2)</f>
        <v>#DIV/0!</v>
      </c>
    </row>
    <row r="441" spans="1:21" x14ac:dyDescent="0.2">
      <c r="A441" s="63" t="s">
        <v>774</v>
      </c>
      <c r="B441" s="64" t="s">
        <v>324</v>
      </c>
      <c r="C441" s="64" t="s">
        <v>345</v>
      </c>
      <c r="D441" s="64" t="s">
        <v>993</v>
      </c>
      <c r="E441" s="64" t="s">
        <v>324</v>
      </c>
      <c r="F441" s="65" t="s">
        <v>994</v>
      </c>
      <c r="G441" s="64" t="s">
        <v>365</v>
      </c>
      <c r="H441" s="64" t="s">
        <v>267</v>
      </c>
      <c r="I441" s="64" t="s">
        <v>16</v>
      </c>
      <c r="J441" s="64" t="s">
        <v>201</v>
      </c>
      <c r="K441" s="66">
        <v>3</v>
      </c>
      <c r="L441" s="66">
        <f>K441*VLOOKUP(I441,dagsoorttabel1,2,FALSE)</f>
        <v>0.60000000000000009</v>
      </c>
      <c r="M441" s="67">
        <f>prodnorm66</f>
        <v>0</v>
      </c>
      <c r="N441" s="68">
        <f>dagwerk66</f>
        <v>0</v>
      </c>
      <c r="O441" s="64" t="s">
        <v>38</v>
      </c>
      <c r="P441" s="69">
        <f>uurtarief66</f>
        <v>0</v>
      </c>
      <c r="Q441" s="66" t="e">
        <f>IF(ISBLANK(M441),0,L441/ROUND(M441,4))</f>
        <v>#DIV/0!</v>
      </c>
      <c r="R441" s="66" t="e">
        <f>IF(ISBLANK(M441),0,Q441*ROUND(N441,2))</f>
        <v>#DIV/0!</v>
      </c>
      <c r="S441" s="69" t="e">
        <f>ROUND(P441,2)*Q441</f>
        <v>#DIV/0!</v>
      </c>
      <c r="T441" s="66" t="e">
        <f>Q441*dagenperjaar1</f>
        <v>#DIV/0!</v>
      </c>
      <c r="U441" s="70" t="e">
        <f>T441*ROUND(P441,2)</f>
        <v>#DIV/0!</v>
      </c>
    </row>
    <row r="442" spans="1:21" x14ac:dyDescent="0.2">
      <c r="A442" s="63" t="s">
        <v>774</v>
      </c>
      <c r="B442" s="64" t="s">
        <v>324</v>
      </c>
      <c r="C442" s="64" t="s">
        <v>345</v>
      </c>
      <c r="D442" s="64" t="s">
        <v>995</v>
      </c>
      <c r="E442" s="64" t="s">
        <v>324</v>
      </c>
      <c r="F442" s="65" t="s">
        <v>996</v>
      </c>
      <c r="G442" s="64" t="s">
        <v>365</v>
      </c>
      <c r="H442" s="64" t="s">
        <v>255</v>
      </c>
      <c r="I442" s="64" t="s">
        <v>10</v>
      </c>
      <c r="J442" s="64" t="s">
        <v>201</v>
      </c>
      <c r="K442" s="66">
        <v>17.3</v>
      </c>
      <c r="L442" s="66">
        <f>K442*VLOOKUP(I442,dagsoorttabel1,2,FALSE)</f>
        <v>17.3</v>
      </c>
      <c r="M442" s="67">
        <f>prodnorm59</f>
        <v>0</v>
      </c>
      <c r="N442" s="68">
        <f>dagwerk59</f>
        <v>0</v>
      </c>
      <c r="O442" s="64" t="s">
        <v>38</v>
      </c>
      <c r="P442" s="69">
        <f>uurtarief59</f>
        <v>0</v>
      </c>
      <c r="Q442" s="66" t="e">
        <f>IF(ISBLANK(M442),0,L442/ROUND(M442,4))</f>
        <v>#DIV/0!</v>
      </c>
      <c r="R442" s="66" t="e">
        <f>IF(ISBLANK(M442),0,Q442*ROUND(N442,2))</f>
        <v>#DIV/0!</v>
      </c>
      <c r="S442" s="69" t="e">
        <f>ROUND(P442,2)*Q442</f>
        <v>#DIV/0!</v>
      </c>
      <c r="T442" s="66" t="e">
        <f>Q442*dagenperjaar1</f>
        <v>#DIV/0!</v>
      </c>
      <c r="U442" s="70" t="e">
        <f>T442*ROUND(P442,2)</f>
        <v>#DIV/0!</v>
      </c>
    </row>
    <row r="443" spans="1:21" x14ac:dyDescent="0.2">
      <c r="A443" s="63" t="s">
        <v>774</v>
      </c>
      <c r="B443" s="64" t="s">
        <v>324</v>
      </c>
      <c r="C443" s="64" t="s">
        <v>345</v>
      </c>
      <c r="D443" s="64" t="s">
        <v>997</v>
      </c>
      <c r="E443" s="64" t="s">
        <v>324</v>
      </c>
      <c r="F443" s="65" t="s">
        <v>998</v>
      </c>
      <c r="G443" s="64" t="s">
        <v>365</v>
      </c>
      <c r="H443" s="64" t="s">
        <v>267</v>
      </c>
      <c r="I443" s="64" t="s">
        <v>10</v>
      </c>
      <c r="J443" s="64" t="s">
        <v>201</v>
      </c>
      <c r="K443" s="66">
        <v>32.200000000000003</v>
      </c>
      <c r="L443" s="66">
        <f>K443*VLOOKUP(I443,dagsoorttabel1,2,FALSE)</f>
        <v>32.200000000000003</v>
      </c>
      <c r="M443" s="67">
        <f>prodnorm65</f>
        <v>0</v>
      </c>
      <c r="N443" s="68">
        <f>dagwerk65</f>
        <v>0</v>
      </c>
      <c r="O443" s="64" t="s">
        <v>38</v>
      </c>
      <c r="P443" s="69">
        <f>uurtarief65</f>
        <v>0</v>
      </c>
      <c r="Q443" s="66" t="e">
        <f>IF(ISBLANK(M443),0,L443/ROUND(M443,4))</f>
        <v>#DIV/0!</v>
      </c>
      <c r="R443" s="66" t="e">
        <f>IF(ISBLANK(M443),0,Q443*ROUND(N443,2))</f>
        <v>#DIV/0!</v>
      </c>
      <c r="S443" s="69" t="e">
        <f>ROUND(P443,2)*Q443</f>
        <v>#DIV/0!</v>
      </c>
      <c r="T443" s="66" t="e">
        <f>Q443*dagenperjaar1</f>
        <v>#DIV/0!</v>
      </c>
      <c r="U443" s="70" t="e">
        <f>T443*ROUND(P443,2)</f>
        <v>#DIV/0!</v>
      </c>
    </row>
    <row r="444" spans="1:21" x14ac:dyDescent="0.2">
      <c r="A444" s="63" t="s">
        <v>774</v>
      </c>
      <c r="B444" s="64" t="s">
        <v>324</v>
      </c>
      <c r="C444" s="64" t="s">
        <v>345</v>
      </c>
      <c r="D444" s="64" t="s">
        <v>999</v>
      </c>
      <c r="E444" s="64" t="s">
        <v>324</v>
      </c>
      <c r="F444" s="65" t="s">
        <v>1000</v>
      </c>
      <c r="G444" s="64" t="s">
        <v>365</v>
      </c>
      <c r="H444" s="64" t="s">
        <v>249</v>
      </c>
      <c r="I444" s="64" t="s">
        <v>10</v>
      </c>
      <c r="J444" s="64" t="s">
        <v>201</v>
      </c>
      <c r="K444" s="66">
        <v>25.5</v>
      </c>
      <c r="L444" s="66">
        <f>K444*VLOOKUP(I444,dagsoorttabel1,2,FALSE)</f>
        <v>25.5</v>
      </c>
      <c r="M444" s="67">
        <f>prodnorm56</f>
        <v>0</v>
      </c>
      <c r="N444" s="68">
        <f>dagwerk56</f>
        <v>0</v>
      </c>
      <c r="O444" s="64" t="s">
        <v>38</v>
      </c>
      <c r="P444" s="69">
        <f>uurtarief56</f>
        <v>0</v>
      </c>
      <c r="Q444" s="66" t="e">
        <f>IF(ISBLANK(M444),0,L444/ROUND(M444,4))</f>
        <v>#DIV/0!</v>
      </c>
      <c r="R444" s="66" t="e">
        <f>IF(ISBLANK(M444),0,Q444*ROUND(N444,2))</f>
        <v>#DIV/0!</v>
      </c>
      <c r="S444" s="69" t="e">
        <f>ROUND(P444,2)*Q444</f>
        <v>#DIV/0!</v>
      </c>
      <c r="T444" s="66" t="e">
        <f>Q444*dagenperjaar1</f>
        <v>#DIV/0!</v>
      </c>
      <c r="U444" s="70" t="e">
        <f>T444*ROUND(P444,2)</f>
        <v>#DIV/0!</v>
      </c>
    </row>
    <row r="445" spans="1:21" x14ac:dyDescent="0.2">
      <c r="A445" s="63" t="s">
        <v>774</v>
      </c>
      <c r="B445" s="64" t="s">
        <v>324</v>
      </c>
      <c r="C445" s="64" t="s">
        <v>345</v>
      </c>
      <c r="D445" s="64" t="s">
        <v>1001</v>
      </c>
      <c r="E445" s="64" t="s">
        <v>324</v>
      </c>
      <c r="F445" s="65" t="s">
        <v>1002</v>
      </c>
      <c r="G445" s="64" t="s">
        <v>365</v>
      </c>
      <c r="H445" s="64" t="s">
        <v>229</v>
      </c>
      <c r="I445" s="64" t="s">
        <v>10</v>
      </c>
      <c r="J445" s="64" t="s">
        <v>201</v>
      </c>
      <c r="K445" s="66">
        <v>72.3</v>
      </c>
      <c r="L445" s="66">
        <f>K445*VLOOKUP(I445,dagsoorttabel1,2,FALSE)</f>
        <v>72.3</v>
      </c>
      <c r="M445" s="67">
        <f>prodnorm43</f>
        <v>0</v>
      </c>
      <c r="N445" s="68">
        <f>dagwerk43</f>
        <v>0</v>
      </c>
      <c r="O445" s="64" t="s">
        <v>38</v>
      </c>
      <c r="P445" s="69">
        <f>uurtarief43</f>
        <v>0</v>
      </c>
      <c r="Q445" s="66" t="e">
        <f>IF(ISBLANK(M445),0,L445/ROUND(M445,4))</f>
        <v>#DIV/0!</v>
      </c>
      <c r="R445" s="66" t="e">
        <f>IF(ISBLANK(M445),0,Q445*ROUND(N445,2))</f>
        <v>#DIV/0!</v>
      </c>
      <c r="S445" s="69" t="e">
        <f>ROUND(P445,2)*Q445</f>
        <v>#DIV/0!</v>
      </c>
      <c r="T445" s="66" t="e">
        <f>Q445*dagenperjaar1</f>
        <v>#DIV/0!</v>
      </c>
      <c r="U445" s="70" t="e">
        <f>T445*ROUND(P445,2)</f>
        <v>#DIV/0!</v>
      </c>
    </row>
    <row r="446" spans="1:21" x14ac:dyDescent="0.2">
      <c r="A446" s="63" t="s">
        <v>774</v>
      </c>
      <c r="B446" s="64" t="s">
        <v>324</v>
      </c>
      <c r="C446" s="64" t="s">
        <v>345</v>
      </c>
      <c r="D446" s="64" t="s">
        <v>1003</v>
      </c>
      <c r="E446" s="64" t="s">
        <v>324</v>
      </c>
      <c r="F446" s="65" t="s">
        <v>1004</v>
      </c>
      <c r="G446" s="64" t="s">
        <v>365</v>
      </c>
      <c r="H446" s="64" t="s">
        <v>229</v>
      </c>
      <c r="I446" s="64" t="s">
        <v>10</v>
      </c>
      <c r="J446" s="64" t="s">
        <v>201</v>
      </c>
      <c r="K446" s="66">
        <v>85.5</v>
      </c>
      <c r="L446" s="66">
        <f>K446*VLOOKUP(I446,dagsoorttabel1,2,FALSE)</f>
        <v>85.5</v>
      </c>
      <c r="M446" s="67">
        <f>prodnorm43</f>
        <v>0</v>
      </c>
      <c r="N446" s="68">
        <f>dagwerk43</f>
        <v>0</v>
      </c>
      <c r="O446" s="64" t="s">
        <v>38</v>
      </c>
      <c r="P446" s="69">
        <f>uurtarief43</f>
        <v>0</v>
      </c>
      <c r="Q446" s="66" t="e">
        <f>IF(ISBLANK(M446),0,L446/ROUND(M446,4))</f>
        <v>#DIV/0!</v>
      </c>
      <c r="R446" s="66" t="e">
        <f>IF(ISBLANK(M446),0,Q446*ROUND(N446,2))</f>
        <v>#DIV/0!</v>
      </c>
      <c r="S446" s="69" t="e">
        <f>ROUND(P446,2)*Q446</f>
        <v>#DIV/0!</v>
      </c>
      <c r="T446" s="66" t="e">
        <f>Q446*dagenperjaar1</f>
        <v>#DIV/0!</v>
      </c>
      <c r="U446" s="70" t="e">
        <f>T446*ROUND(P446,2)</f>
        <v>#DIV/0!</v>
      </c>
    </row>
    <row r="447" spans="1:21" x14ac:dyDescent="0.2">
      <c r="A447" s="63" t="s">
        <v>774</v>
      </c>
      <c r="B447" s="64" t="s">
        <v>324</v>
      </c>
      <c r="C447" s="64" t="s">
        <v>345</v>
      </c>
      <c r="D447" s="64" t="s">
        <v>1005</v>
      </c>
      <c r="E447" s="64" t="s">
        <v>324</v>
      </c>
      <c r="F447" s="65" t="s">
        <v>1006</v>
      </c>
      <c r="G447" s="64" t="s">
        <v>365</v>
      </c>
      <c r="H447" s="64" t="s">
        <v>251</v>
      </c>
      <c r="I447" s="64" t="s">
        <v>10</v>
      </c>
      <c r="J447" s="64" t="s">
        <v>201</v>
      </c>
      <c r="K447" s="66">
        <v>87.5</v>
      </c>
      <c r="L447" s="66">
        <f>K447*VLOOKUP(I447,dagsoorttabel1,2,FALSE)</f>
        <v>87.5</v>
      </c>
      <c r="M447" s="67">
        <f>prodnorm57</f>
        <v>0</v>
      </c>
      <c r="N447" s="68">
        <f>dagwerk57</f>
        <v>0</v>
      </c>
      <c r="O447" s="64" t="s">
        <v>38</v>
      </c>
      <c r="P447" s="69">
        <f>uurtarief57</f>
        <v>0</v>
      </c>
      <c r="Q447" s="66" t="e">
        <f>IF(ISBLANK(M447),0,L447/ROUND(M447,4))</f>
        <v>#DIV/0!</v>
      </c>
      <c r="R447" s="66" t="e">
        <f>IF(ISBLANK(M447),0,Q447*ROUND(N447,2))</f>
        <v>#DIV/0!</v>
      </c>
      <c r="S447" s="69" t="e">
        <f>ROUND(P447,2)*Q447</f>
        <v>#DIV/0!</v>
      </c>
      <c r="T447" s="66" t="e">
        <f>Q447*dagenperjaar1</f>
        <v>#DIV/0!</v>
      </c>
      <c r="U447" s="70" t="e">
        <f>T447*ROUND(P447,2)</f>
        <v>#DIV/0!</v>
      </c>
    </row>
    <row r="448" spans="1:21" x14ac:dyDescent="0.2">
      <c r="A448" s="63" t="s">
        <v>774</v>
      </c>
      <c r="B448" s="64" t="s">
        <v>324</v>
      </c>
      <c r="C448" s="64" t="s">
        <v>345</v>
      </c>
      <c r="D448" s="64" t="s">
        <v>1007</v>
      </c>
      <c r="E448" s="64" t="s">
        <v>324</v>
      </c>
      <c r="F448" s="65" t="s">
        <v>996</v>
      </c>
      <c r="G448" s="64" t="s">
        <v>365</v>
      </c>
      <c r="H448" s="64" t="s">
        <v>255</v>
      </c>
      <c r="I448" s="64" t="s">
        <v>10</v>
      </c>
      <c r="J448" s="64" t="s">
        <v>201</v>
      </c>
      <c r="K448" s="66">
        <v>5.3</v>
      </c>
      <c r="L448" s="66">
        <f>K448*VLOOKUP(I448,dagsoorttabel1,2,FALSE)</f>
        <v>5.3</v>
      </c>
      <c r="M448" s="67">
        <f>prodnorm59</f>
        <v>0</v>
      </c>
      <c r="N448" s="68">
        <f>dagwerk59</f>
        <v>0</v>
      </c>
      <c r="O448" s="64" t="s">
        <v>38</v>
      </c>
      <c r="P448" s="69">
        <f>uurtarief59</f>
        <v>0</v>
      </c>
      <c r="Q448" s="66" t="e">
        <f>IF(ISBLANK(M448),0,L448/ROUND(M448,4))</f>
        <v>#DIV/0!</v>
      </c>
      <c r="R448" s="66" t="e">
        <f>IF(ISBLANK(M448),0,Q448*ROUND(N448,2))</f>
        <v>#DIV/0!</v>
      </c>
      <c r="S448" s="69" t="e">
        <f>ROUND(P448,2)*Q448</f>
        <v>#DIV/0!</v>
      </c>
      <c r="T448" s="66" t="e">
        <f>Q448*dagenperjaar1</f>
        <v>#DIV/0!</v>
      </c>
      <c r="U448" s="70" t="e">
        <f>T448*ROUND(P448,2)</f>
        <v>#DIV/0!</v>
      </c>
    </row>
    <row r="449" spans="1:21" x14ac:dyDescent="0.2">
      <c r="A449" s="63" t="s">
        <v>774</v>
      </c>
      <c r="B449" s="64" t="s">
        <v>324</v>
      </c>
      <c r="C449" s="64" t="s">
        <v>345</v>
      </c>
      <c r="D449" s="64" t="s">
        <v>1008</v>
      </c>
      <c r="E449" s="64" t="s">
        <v>324</v>
      </c>
      <c r="F449" s="65" t="s">
        <v>1009</v>
      </c>
      <c r="G449" s="64" t="s">
        <v>365</v>
      </c>
      <c r="H449" s="64" t="s">
        <v>255</v>
      </c>
      <c r="I449" s="64" t="s">
        <v>10</v>
      </c>
      <c r="J449" s="64" t="s">
        <v>201</v>
      </c>
      <c r="K449" s="66">
        <v>5.3</v>
      </c>
      <c r="L449" s="66">
        <f>K449*VLOOKUP(I449,dagsoorttabel1,2,FALSE)</f>
        <v>5.3</v>
      </c>
      <c r="M449" s="67">
        <f>prodnorm59</f>
        <v>0</v>
      </c>
      <c r="N449" s="68">
        <f>dagwerk59</f>
        <v>0</v>
      </c>
      <c r="O449" s="64" t="s">
        <v>38</v>
      </c>
      <c r="P449" s="69">
        <f>uurtarief59</f>
        <v>0</v>
      </c>
      <c r="Q449" s="66" t="e">
        <f>IF(ISBLANK(M449),0,L449/ROUND(M449,4))</f>
        <v>#DIV/0!</v>
      </c>
      <c r="R449" s="66" t="e">
        <f>IF(ISBLANK(M449),0,Q449*ROUND(N449,2))</f>
        <v>#DIV/0!</v>
      </c>
      <c r="S449" s="69" t="e">
        <f>ROUND(P449,2)*Q449</f>
        <v>#DIV/0!</v>
      </c>
      <c r="T449" s="66" t="e">
        <f>Q449*dagenperjaar1</f>
        <v>#DIV/0!</v>
      </c>
      <c r="U449" s="70" t="e">
        <f>T449*ROUND(P449,2)</f>
        <v>#DIV/0!</v>
      </c>
    </row>
    <row r="450" spans="1:21" x14ac:dyDescent="0.2">
      <c r="A450" s="63" t="s">
        <v>774</v>
      </c>
      <c r="B450" s="64" t="s">
        <v>324</v>
      </c>
      <c r="C450" s="64" t="s">
        <v>345</v>
      </c>
      <c r="D450" s="64" t="s">
        <v>1010</v>
      </c>
      <c r="E450" s="64" t="s">
        <v>324</v>
      </c>
      <c r="F450" s="65" t="s">
        <v>1011</v>
      </c>
      <c r="G450" s="64" t="s">
        <v>365</v>
      </c>
      <c r="H450" s="64" t="s">
        <v>267</v>
      </c>
      <c r="I450" s="64" t="s">
        <v>10</v>
      </c>
      <c r="J450" s="64" t="s">
        <v>201</v>
      </c>
      <c r="K450" s="66">
        <v>49.1</v>
      </c>
      <c r="L450" s="66">
        <f>K450*VLOOKUP(I450,dagsoorttabel1,2,FALSE)</f>
        <v>49.1</v>
      </c>
      <c r="M450" s="67">
        <f>prodnorm65</f>
        <v>0</v>
      </c>
      <c r="N450" s="68">
        <f>dagwerk65</f>
        <v>0</v>
      </c>
      <c r="O450" s="64" t="s">
        <v>38</v>
      </c>
      <c r="P450" s="69">
        <f>uurtarief65</f>
        <v>0</v>
      </c>
      <c r="Q450" s="66" t="e">
        <f>IF(ISBLANK(M450),0,L450/ROUND(M450,4))</f>
        <v>#DIV/0!</v>
      </c>
      <c r="R450" s="66" t="e">
        <f>IF(ISBLANK(M450),0,Q450*ROUND(N450,2))</f>
        <v>#DIV/0!</v>
      </c>
      <c r="S450" s="69" t="e">
        <f>ROUND(P450,2)*Q450</f>
        <v>#DIV/0!</v>
      </c>
      <c r="T450" s="66" t="e">
        <f>Q450*dagenperjaar1</f>
        <v>#DIV/0!</v>
      </c>
      <c r="U450" s="70" t="e">
        <f>T450*ROUND(P450,2)</f>
        <v>#DIV/0!</v>
      </c>
    </row>
    <row r="451" spans="1:21" x14ac:dyDescent="0.2">
      <c r="A451" s="63" t="s">
        <v>774</v>
      </c>
      <c r="B451" s="64" t="s">
        <v>324</v>
      </c>
      <c r="C451" s="64" t="s">
        <v>345</v>
      </c>
      <c r="D451" s="64" t="s">
        <v>1012</v>
      </c>
      <c r="E451" s="64" t="s">
        <v>324</v>
      </c>
      <c r="F451" s="65" t="s">
        <v>1013</v>
      </c>
      <c r="G451" s="64" t="s">
        <v>365</v>
      </c>
      <c r="H451" s="64" t="s">
        <v>243</v>
      </c>
      <c r="I451" s="64" t="s">
        <v>16</v>
      </c>
      <c r="J451" s="64" t="s">
        <v>201</v>
      </c>
      <c r="K451" s="66">
        <v>43.7</v>
      </c>
      <c r="L451" s="66">
        <f>K451*VLOOKUP(I451,dagsoorttabel1,2,FALSE)</f>
        <v>8.74</v>
      </c>
      <c r="M451" s="67">
        <f>prodnorm53</f>
        <v>0</v>
      </c>
      <c r="N451" s="68">
        <f>dagwerk53</f>
        <v>0</v>
      </c>
      <c r="O451" s="64" t="s">
        <v>38</v>
      </c>
      <c r="P451" s="69">
        <f>uurtarief53</f>
        <v>0</v>
      </c>
      <c r="Q451" s="66" t="e">
        <f>IF(ISBLANK(M451),0,L451/ROUND(M451,4))</f>
        <v>#DIV/0!</v>
      </c>
      <c r="R451" s="66" t="e">
        <f>IF(ISBLANK(M451),0,Q451*ROUND(N451,2))</f>
        <v>#DIV/0!</v>
      </c>
      <c r="S451" s="69" t="e">
        <f>ROUND(P451,2)*Q451</f>
        <v>#DIV/0!</v>
      </c>
      <c r="T451" s="66" t="e">
        <f>Q451*dagenperjaar1</f>
        <v>#DIV/0!</v>
      </c>
      <c r="U451" s="70" t="e">
        <f>T451*ROUND(P451,2)</f>
        <v>#DIV/0!</v>
      </c>
    </row>
    <row r="452" spans="1:21" x14ac:dyDescent="0.2">
      <c r="A452" s="63" t="s">
        <v>774</v>
      </c>
      <c r="B452" s="64" t="s">
        <v>324</v>
      </c>
      <c r="C452" s="64" t="s">
        <v>345</v>
      </c>
      <c r="D452" s="64" t="s">
        <v>1014</v>
      </c>
      <c r="E452" s="64" t="s">
        <v>324</v>
      </c>
      <c r="F452" s="65" t="s">
        <v>1006</v>
      </c>
      <c r="G452" s="64" t="s">
        <v>365</v>
      </c>
      <c r="H452" s="64" t="s">
        <v>251</v>
      </c>
      <c r="I452" s="64" t="s">
        <v>10</v>
      </c>
      <c r="J452" s="64" t="s">
        <v>201</v>
      </c>
      <c r="K452" s="66">
        <v>97.1</v>
      </c>
      <c r="L452" s="66">
        <f>K452*VLOOKUP(I452,dagsoorttabel1,2,FALSE)</f>
        <v>97.1</v>
      </c>
      <c r="M452" s="67">
        <f>prodnorm57</f>
        <v>0</v>
      </c>
      <c r="N452" s="68">
        <f>dagwerk57</f>
        <v>0</v>
      </c>
      <c r="O452" s="64" t="s">
        <v>38</v>
      </c>
      <c r="P452" s="69">
        <f>uurtarief57</f>
        <v>0</v>
      </c>
      <c r="Q452" s="66" t="e">
        <f>IF(ISBLANK(M452),0,L452/ROUND(M452,4))</f>
        <v>#DIV/0!</v>
      </c>
      <c r="R452" s="66" t="e">
        <f>IF(ISBLANK(M452),0,Q452*ROUND(N452,2))</f>
        <v>#DIV/0!</v>
      </c>
      <c r="S452" s="69" t="e">
        <f>ROUND(P452,2)*Q452</f>
        <v>#DIV/0!</v>
      </c>
      <c r="T452" s="66" t="e">
        <f>Q452*dagenperjaar1</f>
        <v>#DIV/0!</v>
      </c>
      <c r="U452" s="70" t="e">
        <f>T452*ROUND(P452,2)</f>
        <v>#DIV/0!</v>
      </c>
    </row>
    <row r="453" spans="1:21" x14ac:dyDescent="0.2">
      <c r="A453" s="63" t="s">
        <v>774</v>
      </c>
      <c r="B453" s="64" t="s">
        <v>324</v>
      </c>
      <c r="C453" s="64" t="s">
        <v>345</v>
      </c>
      <c r="D453" s="64" t="s">
        <v>1015</v>
      </c>
      <c r="E453" s="64" t="s">
        <v>324</v>
      </c>
      <c r="F453" s="65" t="s">
        <v>1006</v>
      </c>
      <c r="G453" s="64" t="s">
        <v>365</v>
      </c>
      <c r="H453" s="64" t="s">
        <v>251</v>
      </c>
      <c r="I453" s="64" t="s">
        <v>10</v>
      </c>
      <c r="J453" s="64" t="s">
        <v>201</v>
      </c>
      <c r="K453" s="66">
        <v>93.6</v>
      </c>
      <c r="L453" s="66">
        <f>K453*VLOOKUP(I453,dagsoorttabel1,2,FALSE)</f>
        <v>93.6</v>
      </c>
      <c r="M453" s="67">
        <f>prodnorm57</f>
        <v>0</v>
      </c>
      <c r="N453" s="68">
        <f>dagwerk57</f>
        <v>0</v>
      </c>
      <c r="O453" s="64" t="s">
        <v>38</v>
      </c>
      <c r="P453" s="69">
        <f>uurtarief57</f>
        <v>0</v>
      </c>
      <c r="Q453" s="66" t="e">
        <f>IF(ISBLANK(M453),0,L453/ROUND(M453,4))</f>
        <v>#DIV/0!</v>
      </c>
      <c r="R453" s="66" t="e">
        <f>IF(ISBLANK(M453),0,Q453*ROUND(N453,2))</f>
        <v>#DIV/0!</v>
      </c>
      <c r="S453" s="69" t="e">
        <f>ROUND(P453,2)*Q453</f>
        <v>#DIV/0!</v>
      </c>
      <c r="T453" s="66" t="e">
        <f>Q453*dagenperjaar1</f>
        <v>#DIV/0!</v>
      </c>
      <c r="U453" s="70" t="e">
        <f>T453*ROUND(P453,2)</f>
        <v>#DIV/0!</v>
      </c>
    </row>
    <row r="454" spans="1:21" x14ac:dyDescent="0.2">
      <c r="A454" s="63" t="s">
        <v>774</v>
      </c>
      <c r="B454" s="64" t="s">
        <v>324</v>
      </c>
      <c r="C454" s="64" t="s">
        <v>345</v>
      </c>
      <c r="D454" s="64" t="s">
        <v>1016</v>
      </c>
      <c r="E454" s="64" t="s">
        <v>324</v>
      </c>
      <c r="F454" s="65" t="s">
        <v>1017</v>
      </c>
      <c r="G454" s="64" t="s">
        <v>365</v>
      </c>
      <c r="H454" s="64" t="s">
        <v>229</v>
      </c>
      <c r="I454" s="64" t="s">
        <v>10</v>
      </c>
      <c r="J454" s="64" t="s">
        <v>201</v>
      </c>
      <c r="K454" s="66">
        <v>16</v>
      </c>
      <c r="L454" s="66">
        <f>K454*VLOOKUP(I454,dagsoorttabel1,2,FALSE)</f>
        <v>16</v>
      </c>
      <c r="M454" s="67">
        <f>prodnorm43</f>
        <v>0</v>
      </c>
      <c r="N454" s="68">
        <f>dagwerk43</f>
        <v>0</v>
      </c>
      <c r="O454" s="64" t="s">
        <v>38</v>
      </c>
      <c r="P454" s="69">
        <f>uurtarief43</f>
        <v>0</v>
      </c>
      <c r="Q454" s="66" t="e">
        <f>IF(ISBLANK(M454),0,L454/ROUND(M454,4))</f>
        <v>#DIV/0!</v>
      </c>
      <c r="R454" s="66" t="e">
        <f>IF(ISBLANK(M454),0,Q454*ROUND(N454,2))</f>
        <v>#DIV/0!</v>
      </c>
      <c r="S454" s="69" t="e">
        <f>ROUND(P454,2)*Q454</f>
        <v>#DIV/0!</v>
      </c>
      <c r="T454" s="66" t="e">
        <f>Q454*dagenperjaar1</f>
        <v>#DIV/0!</v>
      </c>
      <c r="U454" s="70" t="e">
        <f>T454*ROUND(P454,2)</f>
        <v>#DIV/0!</v>
      </c>
    </row>
    <row r="455" spans="1:21" x14ac:dyDescent="0.2">
      <c r="A455" s="63" t="s">
        <v>774</v>
      </c>
      <c r="B455" s="64" t="s">
        <v>324</v>
      </c>
      <c r="C455" s="64" t="s">
        <v>345</v>
      </c>
      <c r="D455" s="64" t="s">
        <v>1018</v>
      </c>
      <c r="E455" s="64" t="s">
        <v>324</v>
      </c>
      <c r="F455" s="65" t="s">
        <v>1006</v>
      </c>
      <c r="G455" s="64" t="s">
        <v>365</v>
      </c>
      <c r="H455" s="64" t="s">
        <v>251</v>
      </c>
      <c r="I455" s="64" t="s">
        <v>10</v>
      </c>
      <c r="J455" s="64" t="s">
        <v>201</v>
      </c>
      <c r="K455" s="66">
        <v>91.7</v>
      </c>
      <c r="L455" s="66">
        <f>K455*VLOOKUP(I455,dagsoorttabel1,2,FALSE)</f>
        <v>91.7</v>
      </c>
      <c r="M455" s="67">
        <f>prodnorm57</f>
        <v>0</v>
      </c>
      <c r="N455" s="68">
        <f>dagwerk57</f>
        <v>0</v>
      </c>
      <c r="O455" s="64" t="s">
        <v>38</v>
      </c>
      <c r="P455" s="69">
        <f>uurtarief57</f>
        <v>0</v>
      </c>
      <c r="Q455" s="66" t="e">
        <f>IF(ISBLANK(M455),0,L455/ROUND(M455,4))</f>
        <v>#DIV/0!</v>
      </c>
      <c r="R455" s="66" t="e">
        <f>IF(ISBLANK(M455),0,Q455*ROUND(N455,2))</f>
        <v>#DIV/0!</v>
      </c>
      <c r="S455" s="69" t="e">
        <f>ROUND(P455,2)*Q455</f>
        <v>#DIV/0!</v>
      </c>
      <c r="T455" s="66" t="e">
        <f>Q455*dagenperjaar1</f>
        <v>#DIV/0!</v>
      </c>
      <c r="U455" s="70" t="e">
        <f>T455*ROUND(P455,2)</f>
        <v>#DIV/0!</v>
      </c>
    </row>
    <row r="456" spans="1:21" x14ac:dyDescent="0.2">
      <c r="A456" s="63" t="s">
        <v>774</v>
      </c>
      <c r="B456" s="64" t="s">
        <v>324</v>
      </c>
      <c r="C456" s="64" t="s">
        <v>345</v>
      </c>
      <c r="D456" s="64" t="s">
        <v>1019</v>
      </c>
      <c r="E456" s="64" t="s">
        <v>324</v>
      </c>
      <c r="F456" s="65" t="s">
        <v>1020</v>
      </c>
      <c r="G456" s="64" t="s">
        <v>365</v>
      </c>
      <c r="H456" s="64" t="s">
        <v>267</v>
      </c>
      <c r="I456" s="64" t="s">
        <v>10</v>
      </c>
      <c r="J456" s="64" t="s">
        <v>201</v>
      </c>
      <c r="K456" s="66">
        <v>25.3</v>
      </c>
      <c r="L456" s="66">
        <f>K456*VLOOKUP(I456,dagsoorttabel1,2,FALSE)</f>
        <v>25.3</v>
      </c>
      <c r="M456" s="67">
        <f>prodnorm65</f>
        <v>0</v>
      </c>
      <c r="N456" s="68">
        <f>dagwerk65</f>
        <v>0</v>
      </c>
      <c r="O456" s="64" t="s">
        <v>38</v>
      </c>
      <c r="P456" s="69">
        <f>uurtarief65</f>
        <v>0</v>
      </c>
      <c r="Q456" s="66" t="e">
        <f>IF(ISBLANK(M456),0,L456/ROUND(M456,4))</f>
        <v>#DIV/0!</v>
      </c>
      <c r="R456" s="66" t="e">
        <f>IF(ISBLANK(M456),0,Q456*ROUND(N456,2))</f>
        <v>#DIV/0!</v>
      </c>
      <c r="S456" s="69" t="e">
        <f>ROUND(P456,2)*Q456</f>
        <v>#DIV/0!</v>
      </c>
      <c r="T456" s="66" t="e">
        <f>Q456*dagenperjaar1</f>
        <v>#DIV/0!</v>
      </c>
      <c r="U456" s="70" t="e">
        <f>T456*ROUND(P456,2)</f>
        <v>#DIV/0!</v>
      </c>
    </row>
    <row r="457" spans="1:21" x14ac:dyDescent="0.2">
      <c r="A457" s="63" t="s">
        <v>774</v>
      </c>
      <c r="B457" s="64" t="s">
        <v>324</v>
      </c>
      <c r="C457" s="64" t="s">
        <v>345</v>
      </c>
      <c r="D457" s="64" t="s">
        <v>1021</v>
      </c>
      <c r="E457" s="64" t="s">
        <v>324</v>
      </c>
      <c r="F457" s="65" t="s">
        <v>1004</v>
      </c>
      <c r="G457" s="64" t="s">
        <v>365</v>
      </c>
      <c r="H457" s="64" t="s">
        <v>229</v>
      </c>
      <c r="I457" s="64" t="s">
        <v>10</v>
      </c>
      <c r="J457" s="64" t="s">
        <v>201</v>
      </c>
      <c r="K457" s="66">
        <v>72.400000000000006</v>
      </c>
      <c r="L457" s="66">
        <f>K457*VLOOKUP(I457,dagsoorttabel1,2,FALSE)</f>
        <v>72.400000000000006</v>
      </c>
      <c r="M457" s="67">
        <f>prodnorm43</f>
        <v>0</v>
      </c>
      <c r="N457" s="68">
        <f>dagwerk43</f>
        <v>0</v>
      </c>
      <c r="O457" s="64" t="s">
        <v>38</v>
      </c>
      <c r="P457" s="69">
        <f>uurtarief43</f>
        <v>0</v>
      </c>
      <c r="Q457" s="66" t="e">
        <f>IF(ISBLANK(M457),0,L457/ROUND(M457,4))</f>
        <v>#DIV/0!</v>
      </c>
      <c r="R457" s="66" t="e">
        <f>IF(ISBLANK(M457),0,Q457*ROUND(N457,2))</f>
        <v>#DIV/0!</v>
      </c>
      <c r="S457" s="69" t="e">
        <f>ROUND(P457,2)*Q457</f>
        <v>#DIV/0!</v>
      </c>
      <c r="T457" s="66" t="e">
        <f>Q457*dagenperjaar1</f>
        <v>#DIV/0!</v>
      </c>
      <c r="U457" s="70" t="e">
        <f>T457*ROUND(P457,2)</f>
        <v>#DIV/0!</v>
      </c>
    </row>
    <row r="458" spans="1:21" x14ac:dyDescent="0.2">
      <c r="A458" s="63" t="s">
        <v>774</v>
      </c>
      <c r="B458" s="64" t="s">
        <v>324</v>
      </c>
      <c r="C458" s="64" t="s">
        <v>345</v>
      </c>
      <c r="D458" s="64" t="s">
        <v>1022</v>
      </c>
      <c r="E458" s="64" t="s">
        <v>324</v>
      </c>
      <c r="F458" s="65" t="s">
        <v>1023</v>
      </c>
      <c r="G458" s="64" t="s">
        <v>365</v>
      </c>
      <c r="H458" s="64" t="s">
        <v>267</v>
      </c>
      <c r="I458" s="64" t="s">
        <v>10</v>
      </c>
      <c r="J458" s="64" t="s">
        <v>201</v>
      </c>
      <c r="K458" s="66">
        <v>8.6</v>
      </c>
      <c r="L458" s="66">
        <f>K458*VLOOKUP(I458,dagsoorttabel1,2,FALSE)</f>
        <v>8.6</v>
      </c>
      <c r="M458" s="67">
        <f>prodnorm65</f>
        <v>0</v>
      </c>
      <c r="N458" s="68">
        <f>dagwerk65</f>
        <v>0</v>
      </c>
      <c r="O458" s="64" t="s">
        <v>38</v>
      </c>
      <c r="P458" s="69">
        <f>uurtarief65</f>
        <v>0</v>
      </c>
      <c r="Q458" s="66" t="e">
        <f>IF(ISBLANK(M458),0,L458/ROUND(M458,4))</f>
        <v>#DIV/0!</v>
      </c>
      <c r="R458" s="66" t="e">
        <f>IF(ISBLANK(M458),0,Q458*ROUND(N458,2))</f>
        <v>#DIV/0!</v>
      </c>
      <c r="S458" s="69" t="e">
        <f>ROUND(P458,2)*Q458</f>
        <v>#DIV/0!</v>
      </c>
      <c r="T458" s="66" t="e">
        <f>Q458*dagenperjaar1</f>
        <v>#DIV/0!</v>
      </c>
      <c r="U458" s="70" t="e">
        <f>T458*ROUND(P458,2)</f>
        <v>#DIV/0!</v>
      </c>
    </row>
    <row r="459" spans="1:21" x14ac:dyDescent="0.2">
      <c r="A459" s="63" t="s">
        <v>774</v>
      </c>
      <c r="B459" s="64" t="s">
        <v>324</v>
      </c>
      <c r="C459" s="64" t="s">
        <v>345</v>
      </c>
      <c r="D459" s="64" t="s">
        <v>1024</v>
      </c>
      <c r="E459" s="64" t="s">
        <v>324</v>
      </c>
      <c r="F459" s="65" t="s">
        <v>1025</v>
      </c>
      <c r="G459" s="64" t="s">
        <v>365</v>
      </c>
      <c r="H459" s="64" t="s">
        <v>255</v>
      </c>
      <c r="I459" s="64" t="s">
        <v>10</v>
      </c>
      <c r="J459" s="64" t="s">
        <v>201</v>
      </c>
      <c r="K459" s="66">
        <v>5.0999999999999996</v>
      </c>
      <c r="L459" s="66">
        <f>K459*VLOOKUP(I459,dagsoorttabel1,2,FALSE)</f>
        <v>5.0999999999999996</v>
      </c>
      <c r="M459" s="67">
        <f>prodnorm59</f>
        <v>0</v>
      </c>
      <c r="N459" s="68">
        <f>dagwerk59</f>
        <v>0</v>
      </c>
      <c r="O459" s="64" t="s">
        <v>38</v>
      </c>
      <c r="P459" s="69">
        <f>uurtarief59</f>
        <v>0</v>
      </c>
      <c r="Q459" s="66" t="e">
        <f>IF(ISBLANK(M459),0,L459/ROUND(M459,4))</f>
        <v>#DIV/0!</v>
      </c>
      <c r="R459" s="66" t="e">
        <f>IF(ISBLANK(M459),0,Q459*ROUND(N459,2))</f>
        <v>#DIV/0!</v>
      </c>
      <c r="S459" s="69" t="e">
        <f>ROUND(P459,2)*Q459</f>
        <v>#DIV/0!</v>
      </c>
      <c r="T459" s="66" t="e">
        <f>Q459*dagenperjaar1</f>
        <v>#DIV/0!</v>
      </c>
      <c r="U459" s="70" t="e">
        <f>T459*ROUND(P459,2)</f>
        <v>#DIV/0!</v>
      </c>
    </row>
    <row r="460" spans="1:21" x14ac:dyDescent="0.2">
      <c r="A460" s="63" t="s">
        <v>774</v>
      </c>
      <c r="B460" s="64" t="s">
        <v>324</v>
      </c>
      <c r="C460" s="64" t="s">
        <v>345</v>
      </c>
      <c r="D460" s="64" t="s">
        <v>1026</v>
      </c>
      <c r="E460" s="64" t="s">
        <v>324</v>
      </c>
      <c r="F460" s="65" t="s">
        <v>1009</v>
      </c>
      <c r="G460" s="64" t="s">
        <v>365</v>
      </c>
      <c r="H460" s="64" t="s">
        <v>255</v>
      </c>
      <c r="I460" s="64" t="s">
        <v>10</v>
      </c>
      <c r="J460" s="64" t="s">
        <v>201</v>
      </c>
      <c r="K460" s="66">
        <v>25.3</v>
      </c>
      <c r="L460" s="66">
        <f>K460*VLOOKUP(I460,dagsoorttabel1,2,FALSE)</f>
        <v>25.3</v>
      </c>
      <c r="M460" s="67">
        <f>prodnorm59</f>
        <v>0</v>
      </c>
      <c r="N460" s="68">
        <f>dagwerk59</f>
        <v>0</v>
      </c>
      <c r="O460" s="64" t="s">
        <v>38</v>
      </c>
      <c r="P460" s="69">
        <f>uurtarief59</f>
        <v>0</v>
      </c>
      <c r="Q460" s="66" t="e">
        <f>IF(ISBLANK(M460),0,L460/ROUND(M460,4))</f>
        <v>#DIV/0!</v>
      </c>
      <c r="R460" s="66" t="e">
        <f>IF(ISBLANK(M460),0,Q460*ROUND(N460,2))</f>
        <v>#DIV/0!</v>
      </c>
      <c r="S460" s="69" t="e">
        <f>ROUND(P460,2)*Q460</f>
        <v>#DIV/0!</v>
      </c>
      <c r="T460" s="66" t="e">
        <f>Q460*dagenperjaar1</f>
        <v>#DIV/0!</v>
      </c>
      <c r="U460" s="70" t="e">
        <f>T460*ROUND(P460,2)</f>
        <v>#DIV/0!</v>
      </c>
    </row>
    <row r="461" spans="1:21" x14ac:dyDescent="0.2">
      <c r="A461" s="63" t="s">
        <v>774</v>
      </c>
      <c r="B461" s="64" t="s">
        <v>324</v>
      </c>
      <c r="C461" s="64" t="s">
        <v>345</v>
      </c>
      <c r="D461" s="64" t="s">
        <v>1027</v>
      </c>
      <c r="E461" s="64" t="s">
        <v>324</v>
      </c>
      <c r="F461" s="65" t="s">
        <v>1028</v>
      </c>
      <c r="G461" s="64" t="s">
        <v>365</v>
      </c>
      <c r="H461" s="64" t="s">
        <v>255</v>
      </c>
      <c r="I461" s="64" t="s">
        <v>10</v>
      </c>
      <c r="J461" s="64" t="s">
        <v>201</v>
      </c>
      <c r="K461" s="66">
        <v>8.3000000000000007</v>
      </c>
      <c r="L461" s="66">
        <f>K461*VLOOKUP(I461,dagsoorttabel1,2,FALSE)</f>
        <v>8.3000000000000007</v>
      </c>
      <c r="M461" s="67">
        <f>prodnorm59</f>
        <v>0</v>
      </c>
      <c r="N461" s="68">
        <f>dagwerk59</f>
        <v>0</v>
      </c>
      <c r="O461" s="64" t="s">
        <v>38</v>
      </c>
      <c r="P461" s="69">
        <f>uurtarief59</f>
        <v>0</v>
      </c>
      <c r="Q461" s="66" t="e">
        <f>IF(ISBLANK(M461),0,L461/ROUND(M461,4))</f>
        <v>#DIV/0!</v>
      </c>
      <c r="R461" s="66" t="e">
        <f>IF(ISBLANK(M461),0,Q461*ROUND(N461,2))</f>
        <v>#DIV/0!</v>
      </c>
      <c r="S461" s="69" t="e">
        <f>ROUND(P461,2)*Q461</f>
        <v>#DIV/0!</v>
      </c>
      <c r="T461" s="66" t="e">
        <f>Q461*dagenperjaar1</f>
        <v>#DIV/0!</v>
      </c>
      <c r="U461" s="70" t="e">
        <f>T461*ROUND(P461,2)</f>
        <v>#DIV/0!</v>
      </c>
    </row>
    <row r="462" spans="1:21" x14ac:dyDescent="0.2">
      <c r="A462" s="63" t="s">
        <v>774</v>
      </c>
      <c r="B462" s="64" t="s">
        <v>324</v>
      </c>
      <c r="C462" s="64" t="s">
        <v>345</v>
      </c>
      <c r="D462" s="64" t="s">
        <v>1029</v>
      </c>
      <c r="E462" s="64" t="s">
        <v>324</v>
      </c>
      <c r="F462" s="65" t="s">
        <v>1028</v>
      </c>
      <c r="G462" s="64" t="s">
        <v>365</v>
      </c>
      <c r="H462" s="64" t="s">
        <v>255</v>
      </c>
      <c r="I462" s="64" t="s">
        <v>10</v>
      </c>
      <c r="J462" s="64" t="s">
        <v>201</v>
      </c>
      <c r="K462" s="66">
        <v>8.3000000000000007</v>
      </c>
      <c r="L462" s="66">
        <f>K462*VLOOKUP(I462,dagsoorttabel1,2,FALSE)</f>
        <v>8.3000000000000007</v>
      </c>
      <c r="M462" s="67">
        <f>prodnorm59</f>
        <v>0</v>
      </c>
      <c r="N462" s="68">
        <f>dagwerk59</f>
        <v>0</v>
      </c>
      <c r="O462" s="64" t="s">
        <v>38</v>
      </c>
      <c r="P462" s="69">
        <f>uurtarief59</f>
        <v>0</v>
      </c>
      <c r="Q462" s="66" t="e">
        <f>IF(ISBLANK(M462),0,L462/ROUND(M462,4))</f>
        <v>#DIV/0!</v>
      </c>
      <c r="R462" s="66" t="e">
        <f>IF(ISBLANK(M462),0,Q462*ROUND(N462,2))</f>
        <v>#DIV/0!</v>
      </c>
      <c r="S462" s="69" t="e">
        <f>ROUND(P462,2)*Q462</f>
        <v>#DIV/0!</v>
      </c>
      <c r="T462" s="66" t="e">
        <f>Q462*dagenperjaar1</f>
        <v>#DIV/0!</v>
      </c>
      <c r="U462" s="70" t="e">
        <f>T462*ROUND(P462,2)</f>
        <v>#DIV/0!</v>
      </c>
    </row>
    <row r="463" spans="1:21" x14ac:dyDescent="0.2">
      <c r="A463" s="63" t="s">
        <v>774</v>
      </c>
      <c r="B463" s="64" t="s">
        <v>324</v>
      </c>
      <c r="C463" s="64" t="s">
        <v>345</v>
      </c>
      <c r="D463" s="64" t="s">
        <v>1030</v>
      </c>
      <c r="E463" s="64" t="s">
        <v>324</v>
      </c>
      <c r="F463" s="65" t="s">
        <v>1020</v>
      </c>
      <c r="G463" s="64" t="s">
        <v>365</v>
      </c>
      <c r="H463" s="64" t="s">
        <v>267</v>
      </c>
      <c r="I463" s="64" t="s">
        <v>10</v>
      </c>
      <c r="J463" s="64" t="s">
        <v>201</v>
      </c>
      <c r="K463" s="66">
        <v>32.6</v>
      </c>
      <c r="L463" s="66">
        <f>K463*VLOOKUP(I463,dagsoorttabel1,2,FALSE)</f>
        <v>32.6</v>
      </c>
      <c r="M463" s="67">
        <f>prodnorm65</f>
        <v>0</v>
      </c>
      <c r="N463" s="68">
        <f>dagwerk65</f>
        <v>0</v>
      </c>
      <c r="O463" s="64" t="s">
        <v>38</v>
      </c>
      <c r="P463" s="69">
        <f>uurtarief65</f>
        <v>0</v>
      </c>
      <c r="Q463" s="66" t="e">
        <f>IF(ISBLANK(M463),0,L463/ROUND(M463,4))</f>
        <v>#DIV/0!</v>
      </c>
      <c r="R463" s="66" t="e">
        <f>IF(ISBLANK(M463),0,Q463*ROUND(N463,2))</f>
        <v>#DIV/0!</v>
      </c>
      <c r="S463" s="69" t="e">
        <f>ROUND(P463,2)*Q463</f>
        <v>#DIV/0!</v>
      </c>
      <c r="T463" s="66" t="e">
        <f>Q463*dagenperjaar1</f>
        <v>#DIV/0!</v>
      </c>
      <c r="U463" s="70" t="e">
        <f>T463*ROUND(P463,2)</f>
        <v>#DIV/0!</v>
      </c>
    </row>
    <row r="464" spans="1:21" x14ac:dyDescent="0.2">
      <c r="A464" s="63" t="s">
        <v>774</v>
      </c>
      <c r="B464" s="64" t="s">
        <v>324</v>
      </c>
      <c r="C464" s="64" t="s">
        <v>345</v>
      </c>
      <c r="D464" s="64" t="s">
        <v>1031</v>
      </c>
      <c r="E464" s="64" t="s">
        <v>324</v>
      </c>
      <c r="F464" s="65" t="s">
        <v>1011</v>
      </c>
      <c r="G464" s="64" t="s">
        <v>365</v>
      </c>
      <c r="H464" s="64" t="s">
        <v>267</v>
      </c>
      <c r="I464" s="64" t="s">
        <v>10</v>
      </c>
      <c r="J464" s="64" t="s">
        <v>201</v>
      </c>
      <c r="K464" s="66">
        <v>82.4</v>
      </c>
      <c r="L464" s="66">
        <f>K464*VLOOKUP(I464,dagsoorttabel1,2,FALSE)</f>
        <v>82.4</v>
      </c>
      <c r="M464" s="67">
        <f>prodnorm65</f>
        <v>0</v>
      </c>
      <c r="N464" s="68">
        <f>dagwerk65</f>
        <v>0</v>
      </c>
      <c r="O464" s="64" t="s">
        <v>38</v>
      </c>
      <c r="P464" s="69">
        <f>uurtarief65</f>
        <v>0</v>
      </c>
      <c r="Q464" s="66" t="e">
        <f>IF(ISBLANK(M464),0,L464/ROUND(M464,4))</f>
        <v>#DIV/0!</v>
      </c>
      <c r="R464" s="66" t="e">
        <f>IF(ISBLANK(M464),0,Q464*ROUND(N464,2))</f>
        <v>#DIV/0!</v>
      </c>
      <c r="S464" s="69" t="e">
        <f>ROUND(P464,2)*Q464</f>
        <v>#DIV/0!</v>
      </c>
      <c r="T464" s="66" t="e">
        <f>Q464*dagenperjaar1</f>
        <v>#DIV/0!</v>
      </c>
      <c r="U464" s="70" t="e">
        <f>T464*ROUND(P464,2)</f>
        <v>#DIV/0!</v>
      </c>
    </row>
    <row r="465" spans="1:21" x14ac:dyDescent="0.2">
      <c r="A465" s="63" t="s">
        <v>774</v>
      </c>
      <c r="B465" s="64" t="s">
        <v>324</v>
      </c>
      <c r="C465" s="64" t="s">
        <v>345</v>
      </c>
      <c r="D465" s="64" t="s">
        <v>1032</v>
      </c>
      <c r="E465" s="64" t="s">
        <v>324</v>
      </c>
      <c r="F465" s="65" t="s">
        <v>1033</v>
      </c>
      <c r="G465" s="64" t="s">
        <v>365</v>
      </c>
      <c r="H465" s="64" t="s">
        <v>267</v>
      </c>
      <c r="I465" s="64" t="s">
        <v>10</v>
      </c>
      <c r="J465" s="64" t="s">
        <v>201</v>
      </c>
      <c r="K465" s="66">
        <v>80.400000000000006</v>
      </c>
      <c r="L465" s="66">
        <f>K465*VLOOKUP(I465,dagsoorttabel1,2,FALSE)</f>
        <v>80.400000000000006</v>
      </c>
      <c r="M465" s="67">
        <f>prodnorm65</f>
        <v>0</v>
      </c>
      <c r="N465" s="68">
        <f>dagwerk65</f>
        <v>0</v>
      </c>
      <c r="O465" s="64" t="s">
        <v>38</v>
      </c>
      <c r="P465" s="69">
        <f>uurtarief65</f>
        <v>0</v>
      </c>
      <c r="Q465" s="66" t="e">
        <f>IF(ISBLANK(M465),0,L465/ROUND(M465,4))</f>
        <v>#DIV/0!</v>
      </c>
      <c r="R465" s="66" t="e">
        <f>IF(ISBLANK(M465),0,Q465*ROUND(N465,2))</f>
        <v>#DIV/0!</v>
      </c>
      <c r="S465" s="69" t="e">
        <f>ROUND(P465,2)*Q465</f>
        <v>#DIV/0!</v>
      </c>
      <c r="T465" s="66" t="e">
        <f>Q465*dagenperjaar1</f>
        <v>#DIV/0!</v>
      </c>
      <c r="U465" s="70" t="e">
        <f>T465*ROUND(P465,2)</f>
        <v>#DIV/0!</v>
      </c>
    </row>
    <row r="466" spans="1:21" x14ac:dyDescent="0.2">
      <c r="A466" s="63" t="s">
        <v>774</v>
      </c>
      <c r="B466" s="64" t="s">
        <v>324</v>
      </c>
      <c r="C466" s="64" t="s">
        <v>345</v>
      </c>
      <c r="D466" s="64" t="s">
        <v>1034</v>
      </c>
      <c r="E466" s="64" t="s">
        <v>324</v>
      </c>
      <c r="F466" s="65" t="s">
        <v>1035</v>
      </c>
      <c r="G466" s="64" t="s">
        <v>1036</v>
      </c>
      <c r="H466" s="64" t="s">
        <v>200</v>
      </c>
      <c r="I466" s="64" t="s">
        <v>10</v>
      </c>
      <c r="J466" s="64" t="s">
        <v>201</v>
      </c>
      <c r="K466" s="66">
        <v>646</v>
      </c>
      <c r="L466" s="66">
        <f>K466*VLOOKUP(I466,dagsoorttabel1,2,FALSE)</f>
        <v>646</v>
      </c>
      <c r="M466" s="67">
        <f>prodnorm24</f>
        <v>0</v>
      </c>
      <c r="N466" s="68">
        <f>dagwerk24</f>
        <v>0</v>
      </c>
      <c r="O466" s="64" t="s">
        <v>38</v>
      </c>
      <c r="P466" s="69">
        <f>uurtarief24</f>
        <v>0</v>
      </c>
      <c r="Q466" s="66" t="e">
        <f>IF(ISBLANK(M466),0,L466/ROUND(M466,4))</f>
        <v>#DIV/0!</v>
      </c>
      <c r="R466" s="66" t="e">
        <f>IF(ISBLANK(M466),0,Q466*ROUND(N466,2))</f>
        <v>#DIV/0!</v>
      </c>
      <c r="S466" s="69" t="e">
        <f>ROUND(P466,2)*Q466</f>
        <v>#DIV/0!</v>
      </c>
      <c r="T466" s="66" t="e">
        <f>Q466*dagenperjaar1</f>
        <v>#DIV/0!</v>
      </c>
      <c r="U466" s="70" t="e">
        <f>T466*ROUND(P466,2)</f>
        <v>#DIV/0!</v>
      </c>
    </row>
    <row r="467" spans="1:21" x14ac:dyDescent="0.2">
      <c r="A467" s="63" t="s">
        <v>774</v>
      </c>
      <c r="B467" s="64" t="s">
        <v>324</v>
      </c>
      <c r="C467" s="64" t="s">
        <v>345</v>
      </c>
      <c r="D467" s="64" t="s">
        <v>1037</v>
      </c>
      <c r="E467" s="64" t="s">
        <v>324</v>
      </c>
      <c r="F467" s="65" t="s">
        <v>1033</v>
      </c>
      <c r="G467" s="64" t="s">
        <v>365</v>
      </c>
      <c r="H467" s="64" t="s">
        <v>267</v>
      </c>
      <c r="I467" s="64" t="s">
        <v>10</v>
      </c>
      <c r="J467" s="64" t="s">
        <v>201</v>
      </c>
      <c r="K467" s="66">
        <v>80.400000000000006</v>
      </c>
      <c r="L467" s="66">
        <f>K467*VLOOKUP(I467,dagsoorttabel1,2,FALSE)</f>
        <v>80.400000000000006</v>
      </c>
      <c r="M467" s="67">
        <f>prodnorm65</f>
        <v>0</v>
      </c>
      <c r="N467" s="68">
        <f>dagwerk65</f>
        <v>0</v>
      </c>
      <c r="O467" s="64" t="s">
        <v>38</v>
      </c>
      <c r="P467" s="69">
        <f>uurtarief65</f>
        <v>0</v>
      </c>
      <c r="Q467" s="66" t="e">
        <f>IF(ISBLANK(M467),0,L467/ROUND(M467,4))</f>
        <v>#DIV/0!</v>
      </c>
      <c r="R467" s="66" t="e">
        <f>IF(ISBLANK(M467),0,Q467*ROUND(N467,2))</f>
        <v>#DIV/0!</v>
      </c>
      <c r="S467" s="69" t="e">
        <f>ROUND(P467,2)*Q467</f>
        <v>#DIV/0!</v>
      </c>
      <c r="T467" s="66" t="e">
        <f>Q467*dagenperjaar1</f>
        <v>#DIV/0!</v>
      </c>
      <c r="U467" s="70" t="e">
        <f>T467*ROUND(P467,2)</f>
        <v>#DIV/0!</v>
      </c>
    </row>
    <row r="468" spans="1:21" x14ac:dyDescent="0.2">
      <c r="A468" s="63" t="s">
        <v>774</v>
      </c>
      <c r="B468" s="64" t="s">
        <v>324</v>
      </c>
      <c r="C468" s="64" t="s">
        <v>345</v>
      </c>
      <c r="D468" s="64" t="s">
        <v>1038</v>
      </c>
      <c r="E468" s="64" t="s">
        <v>324</v>
      </c>
      <c r="F468" s="65" t="s">
        <v>1033</v>
      </c>
      <c r="G468" s="64" t="s">
        <v>365</v>
      </c>
      <c r="H468" s="64" t="s">
        <v>267</v>
      </c>
      <c r="I468" s="64" t="s">
        <v>10</v>
      </c>
      <c r="J468" s="64" t="s">
        <v>201</v>
      </c>
      <c r="K468" s="66">
        <v>80.400000000000006</v>
      </c>
      <c r="L468" s="66">
        <f>K468*VLOOKUP(I468,dagsoorttabel1,2,FALSE)</f>
        <v>80.400000000000006</v>
      </c>
      <c r="M468" s="67">
        <f>prodnorm65</f>
        <v>0</v>
      </c>
      <c r="N468" s="68">
        <f>dagwerk65</f>
        <v>0</v>
      </c>
      <c r="O468" s="64" t="s">
        <v>38</v>
      </c>
      <c r="P468" s="69">
        <f>uurtarief65</f>
        <v>0</v>
      </c>
      <c r="Q468" s="66" t="e">
        <f>IF(ISBLANK(M468),0,L468/ROUND(M468,4))</f>
        <v>#DIV/0!</v>
      </c>
      <c r="R468" s="66" t="e">
        <f>IF(ISBLANK(M468),0,Q468*ROUND(N468,2))</f>
        <v>#DIV/0!</v>
      </c>
      <c r="S468" s="69" t="e">
        <f>ROUND(P468,2)*Q468</f>
        <v>#DIV/0!</v>
      </c>
      <c r="T468" s="66" t="e">
        <f>Q468*dagenperjaar1</f>
        <v>#DIV/0!</v>
      </c>
      <c r="U468" s="70" t="e">
        <f>T468*ROUND(P468,2)</f>
        <v>#DIV/0!</v>
      </c>
    </row>
    <row r="469" spans="1:21" x14ac:dyDescent="0.2">
      <c r="A469" s="63" t="s">
        <v>774</v>
      </c>
      <c r="B469" s="64" t="s">
        <v>324</v>
      </c>
      <c r="C469" s="64" t="s">
        <v>345</v>
      </c>
      <c r="D469" s="64" t="s">
        <v>1039</v>
      </c>
      <c r="E469" s="64" t="s">
        <v>324</v>
      </c>
      <c r="F469" s="65" t="s">
        <v>1040</v>
      </c>
      <c r="G469" s="64" t="s">
        <v>351</v>
      </c>
      <c r="H469" s="64" t="s">
        <v>267</v>
      </c>
      <c r="I469" s="64" t="s">
        <v>10</v>
      </c>
      <c r="J469" s="64" t="s">
        <v>201</v>
      </c>
      <c r="K469" s="66">
        <v>70</v>
      </c>
      <c r="L469" s="66">
        <f>K469*VLOOKUP(I469,dagsoorttabel1,2,FALSE)</f>
        <v>70</v>
      </c>
      <c r="M469" s="67">
        <f>prodnorm65</f>
        <v>0</v>
      </c>
      <c r="N469" s="68">
        <f>dagwerk65</f>
        <v>0</v>
      </c>
      <c r="O469" s="64" t="s">
        <v>38</v>
      </c>
      <c r="P469" s="69">
        <f>uurtarief65</f>
        <v>0</v>
      </c>
      <c r="Q469" s="66" t="e">
        <f>IF(ISBLANK(M469),0,L469/ROUND(M469,4))</f>
        <v>#DIV/0!</v>
      </c>
      <c r="R469" s="66" t="e">
        <f>IF(ISBLANK(M469),0,Q469*ROUND(N469,2))</f>
        <v>#DIV/0!</v>
      </c>
      <c r="S469" s="69" t="e">
        <f>ROUND(P469,2)*Q469</f>
        <v>#DIV/0!</v>
      </c>
      <c r="T469" s="66" t="e">
        <f>Q469*dagenperjaar1</f>
        <v>#DIV/0!</v>
      </c>
      <c r="U469" s="70" t="e">
        <f>T469*ROUND(P469,2)</f>
        <v>#DIV/0!</v>
      </c>
    </row>
    <row r="470" spans="1:21" x14ac:dyDescent="0.2">
      <c r="A470" s="63" t="s">
        <v>774</v>
      </c>
      <c r="B470" s="64" t="s">
        <v>324</v>
      </c>
      <c r="C470" s="64" t="s">
        <v>345</v>
      </c>
      <c r="D470" s="64" t="s">
        <v>1041</v>
      </c>
      <c r="E470" s="64" t="s">
        <v>324</v>
      </c>
      <c r="F470" s="65" t="s">
        <v>1040</v>
      </c>
      <c r="G470" s="64" t="s">
        <v>351</v>
      </c>
      <c r="H470" s="64" t="s">
        <v>267</v>
      </c>
      <c r="I470" s="64" t="s">
        <v>10</v>
      </c>
      <c r="J470" s="64" t="s">
        <v>201</v>
      </c>
      <c r="K470" s="66">
        <v>87.3</v>
      </c>
      <c r="L470" s="66">
        <f>K470*VLOOKUP(I470,dagsoorttabel1,2,FALSE)</f>
        <v>87.3</v>
      </c>
      <c r="M470" s="67">
        <f>prodnorm65</f>
        <v>0</v>
      </c>
      <c r="N470" s="68">
        <f>dagwerk65</f>
        <v>0</v>
      </c>
      <c r="O470" s="64" t="s">
        <v>38</v>
      </c>
      <c r="P470" s="69">
        <f>uurtarief65</f>
        <v>0</v>
      </c>
      <c r="Q470" s="66" t="e">
        <f>IF(ISBLANK(M470),0,L470/ROUND(M470,4))</f>
        <v>#DIV/0!</v>
      </c>
      <c r="R470" s="66" t="e">
        <f>IF(ISBLANK(M470),0,Q470*ROUND(N470,2))</f>
        <v>#DIV/0!</v>
      </c>
      <c r="S470" s="69" t="e">
        <f>ROUND(P470,2)*Q470</f>
        <v>#DIV/0!</v>
      </c>
      <c r="T470" s="66" t="e">
        <f>Q470*dagenperjaar1</f>
        <v>#DIV/0!</v>
      </c>
      <c r="U470" s="70" t="e">
        <f>T470*ROUND(P470,2)</f>
        <v>#DIV/0!</v>
      </c>
    </row>
    <row r="471" spans="1:21" x14ac:dyDescent="0.2">
      <c r="A471" s="63" t="s">
        <v>774</v>
      </c>
      <c r="B471" s="64" t="s">
        <v>324</v>
      </c>
      <c r="C471" s="64" t="s">
        <v>345</v>
      </c>
      <c r="D471" s="64" t="s">
        <v>1042</v>
      </c>
      <c r="E471" s="64" t="s">
        <v>324</v>
      </c>
      <c r="F471" s="65" t="s">
        <v>1043</v>
      </c>
      <c r="G471" s="64" t="s">
        <v>365</v>
      </c>
      <c r="H471" s="64" t="s">
        <v>205</v>
      </c>
      <c r="I471" s="64" t="s">
        <v>10</v>
      </c>
      <c r="J471" s="64" t="s">
        <v>201</v>
      </c>
      <c r="K471" s="66">
        <v>64.2</v>
      </c>
      <c r="L471" s="66">
        <f>K471*VLOOKUP(I471,dagsoorttabel1,2,FALSE)</f>
        <v>64.2</v>
      </c>
      <c r="M471" s="67">
        <f>prodnorm26</f>
        <v>0</v>
      </c>
      <c r="N471" s="68">
        <f>dagwerk26</f>
        <v>0</v>
      </c>
      <c r="O471" s="64" t="s">
        <v>38</v>
      </c>
      <c r="P471" s="69">
        <f>uurtarief26</f>
        <v>0</v>
      </c>
      <c r="Q471" s="66" t="e">
        <f>IF(ISBLANK(M471),0,L471/ROUND(M471,4))</f>
        <v>#DIV/0!</v>
      </c>
      <c r="R471" s="66" t="e">
        <f>IF(ISBLANK(M471),0,Q471*ROUND(N471,2))</f>
        <v>#DIV/0!</v>
      </c>
      <c r="S471" s="69" t="e">
        <f>ROUND(P471,2)*Q471</f>
        <v>#DIV/0!</v>
      </c>
      <c r="T471" s="66" t="e">
        <f>Q471*dagenperjaar1</f>
        <v>#DIV/0!</v>
      </c>
      <c r="U471" s="70" t="e">
        <f>T471*ROUND(P471,2)</f>
        <v>#DIV/0!</v>
      </c>
    </row>
    <row r="472" spans="1:21" x14ac:dyDescent="0.2">
      <c r="A472" s="63" t="s">
        <v>774</v>
      </c>
      <c r="B472" s="64" t="s">
        <v>324</v>
      </c>
      <c r="C472" s="64" t="s">
        <v>345</v>
      </c>
      <c r="D472" s="64" t="s">
        <v>1044</v>
      </c>
      <c r="E472" s="64" t="s">
        <v>324</v>
      </c>
      <c r="F472" s="65" t="s">
        <v>1045</v>
      </c>
      <c r="G472" s="64" t="s">
        <v>365</v>
      </c>
      <c r="H472" s="64" t="s">
        <v>205</v>
      </c>
      <c r="I472" s="64" t="s">
        <v>10</v>
      </c>
      <c r="J472" s="64" t="s">
        <v>201</v>
      </c>
      <c r="K472" s="66">
        <v>5</v>
      </c>
      <c r="L472" s="66">
        <f>K472*VLOOKUP(I472,dagsoorttabel1,2,FALSE)</f>
        <v>5</v>
      </c>
      <c r="M472" s="67">
        <f>prodnorm26</f>
        <v>0</v>
      </c>
      <c r="N472" s="68">
        <f>dagwerk26</f>
        <v>0</v>
      </c>
      <c r="O472" s="64" t="s">
        <v>38</v>
      </c>
      <c r="P472" s="69">
        <f>uurtarief26</f>
        <v>0</v>
      </c>
      <c r="Q472" s="66" t="e">
        <f>IF(ISBLANK(M472),0,L472/ROUND(M472,4))</f>
        <v>#DIV/0!</v>
      </c>
      <c r="R472" s="66" t="e">
        <f>IF(ISBLANK(M472),0,Q472*ROUND(N472,2))</f>
        <v>#DIV/0!</v>
      </c>
      <c r="S472" s="69" t="e">
        <f>ROUND(P472,2)*Q472</f>
        <v>#DIV/0!</v>
      </c>
      <c r="T472" s="66" t="e">
        <f>Q472*dagenperjaar1</f>
        <v>#DIV/0!</v>
      </c>
      <c r="U472" s="70" t="e">
        <f>T472*ROUND(P472,2)</f>
        <v>#DIV/0!</v>
      </c>
    </row>
    <row r="473" spans="1:21" x14ac:dyDescent="0.2">
      <c r="A473" s="63" t="s">
        <v>774</v>
      </c>
      <c r="B473" s="64" t="s">
        <v>324</v>
      </c>
      <c r="C473" s="64" t="s">
        <v>345</v>
      </c>
      <c r="D473" s="64" t="s">
        <v>1046</v>
      </c>
      <c r="E473" s="64" t="s">
        <v>324</v>
      </c>
      <c r="F473" s="65" t="s">
        <v>1047</v>
      </c>
      <c r="G473" s="64" t="s">
        <v>365</v>
      </c>
      <c r="H473" s="64" t="s">
        <v>267</v>
      </c>
      <c r="I473" s="64" t="s">
        <v>16</v>
      </c>
      <c r="J473" s="64" t="s">
        <v>201</v>
      </c>
      <c r="K473" s="66">
        <v>23.6</v>
      </c>
      <c r="L473" s="66">
        <f>K473*VLOOKUP(I473,dagsoorttabel1,2,FALSE)</f>
        <v>4.7200000000000006</v>
      </c>
      <c r="M473" s="67">
        <f>prodnorm66</f>
        <v>0</v>
      </c>
      <c r="N473" s="68">
        <f>dagwerk66</f>
        <v>0</v>
      </c>
      <c r="O473" s="64" t="s">
        <v>38</v>
      </c>
      <c r="P473" s="69">
        <f>uurtarief66</f>
        <v>0</v>
      </c>
      <c r="Q473" s="66" t="e">
        <f>IF(ISBLANK(M473),0,L473/ROUND(M473,4))</f>
        <v>#DIV/0!</v>
      </c>
      <c r="R473" s="66" t="e">
        <f>IF(ISBLANK(M473),0,Q473*ROUND(N473,2))</f>
        <v>#DIV/0!</v>
      </c>
      <c r="S473" s="69" t="e">
        <f>ROUND(P473,2)*Q473</f>
        <v>#DIV/0!</v>
      </c>
      <c r="T473" s="66" t="e">
        <f>Q473*dagenperjaar1</f>
        <v>#DIV/0!</v>
      </c>
      <c r="U473" s="70" t="e">
        <f>T473*ROUND(P473,2)</f>
        <v>#DIV/0!</v>
      </c>
    </row>
    <row r="474" spans="1:21" x14ac:dyDescent="0.2">
      <c r="A474" s="63" t="s">
        <v>774</v>
      </c>
      <c r="B474" s="64" t="s">
        <v>324</v>
      </c>
      <c r="C474" s="64" t="s">
        <v>345</v>
      </c>
      <c r="D474" s="64" t="s">
        <v>1048</v>
      </c>
      <c r="E474" s="64" t="s">
        <v>324</v>
      </c>
      <c r="F474" s="65" t="s">
        <v>1049</v>
      </c>
      <c r="G474" s="64" t="s">
        <v>365</v>
      </c>
      <c r="H474" s="64" t="s">
        <v>255</v>
      </c>
      <c r="I474" s="64" t="s">
        <v>10</v>
      </c>
      <c r="J474" s="64" t="s">
        <v>201</v>
      </c>
      <c r="K474" s="66">
        <v>7</v>
      </c>
      <c r="L474" s="66">
        <f>K474*VLOOKUP(I474,dagsoorttabel1,2,FALSE)</f>
        <v>7</v>
      </c>
      <c r="M474" s="67">
        <f>prodnorm59</f>
        <v>0</v>
      </c>
      <c r="N474" s="68">
        <f>dagwerk59</f>
        <v>0</v>
      </c>
      <c r="O474" s="64" t="s">
        <v>38</v>
      </c>
      <c r="P474" s="69">
        <f>uurtarief59</f>
        <v>0</v>
      </c>
      <c r="Q474" s="66" t="e">
        <f>IF(ISBLANK(M474),0,L474/ROUND(M474,4))</f>
        <v>#DIV/0!</v>
      </c>
      <c r="R474" s="66" t="e">
        <f>IF(ISBLANK(M474),0,Q474*ROUND(N474,2))</f>
        <v>#DIV/0!</v>
      </c>
      <c r="S474" s="69" t="e">
        <f>ROUND(P474,2)*Q474</f>
        <v>#DIV/0!</v>
      </c>
      <c r="T474" s="66" t="e">
        <f>Q474*dagenperjaar1</f>
        <v>#DIV/0!</v>
      </c>
      <c r="U474" s="70" t="e">
        <f>T474*ROUND(P474,2)</f>
        <v>#DIV/0!</v>
      </c>
    </row>
    <row r="475" spans="1:21" x14ac:dyDescent="0.2">
      <c r="A475" s="63" t="s">
        <v>774</v>
      </c>
      <c r="B475" s="64" t="s">
        <v>324</v>
      </c>
      <c r="C475" s="64" t="s">
        <v>345</v>
      </c>
      <c r="D475" s="64" t="s">
        <v>1050</v>
      </c>
      <c r="E475" s="64" t="s">
        <v>324</v>
      </c>
      <c r="F475" s="65" t="s">
        <v>376</v>
      </c>
      <c r="G475" s="64" t="s">
        <v>365</v>
      </c>
      <c r="H475" s="64" t="s">
        <v>255</v>
      </c>
      <c r="I475" s="64" t="s">
        <v>10</v>
      </c>
      <c r="J475" s="64" t="s">
        <v>201</v>
      </c>
      <c r="K475" s="66">
        <v>3.5</v>
      </c>
      <c r="L475" s="66">
        <f>K475*VLOOKUP(I475,dagsoorttabel1,2,FALSE)</f>
        <v>3.5</v>
      </c>
      <c r="M475" s="67">
        <f>prodnorm59</f>
        <v>0</v>
      </c>
      <c r="N475" s="68">
        <f>dagwerk59</f>
        <v>0</v>
      </c>
      <c r="O475" s="64" t="s">
        <v>38</v>
      </c>
      <c r="P475" s="69">
        <f>uurtarief59</f>
        <v>0</v>
      </c>
      <c r="Q475" s="66" t="e">
        <f>IF(ISBLANK(M475),0,L475/ROUND(M475,4))</f>
        <v>#DIV/0!</v>
      </c>
      <c r="R475" s="66" t="e">
        <f>IF(ISBLANK(M475),0,Q475*ROUND(N475,2))</f>
        <v>#DIV/0!</v>
      </c>
      <c r="S475" s="69" t="e">
        <f>ROUND(P475,2)*Q475</f>
        <v>#DIV/0!</v>
      </c>
      <c r="T475" s="66" t="e">
        <f>Q475*dagenperjaar1</f>
        <v>#DIV/0!</v>
      </c>
      <c r="U475" s="70" t="e">
        <f>T475*ROUND(P475,2)</f>
        <v>#DIV/0!</v>
      </c>
    </row>
    <row r="476" spans="1:21" x14ac:dyDescent="0.2">
      <c r="A476" s="63" t="s">
        <v>774</v>
      </c>
      <c r="B476" s="64" t="s">
        <v>324</v>
      </c>
      <c r="C476" s="64" t="s">
        <v>345</v>
      </c>
      <c r="D476" s="64" t="s">
        <v>1051</v>
      </c>
      <c r="E476" s="64" t="s">
        <v>324</v>
      </c>
      <c r="F476" s="65" t="s">
        <v>1052</v>
      </c>
      <c r="G476" s="64" t="s">
        <v>365</v>
      </c>
      <c r="H476" s="64" t="s">
        <v>255</v>
      </c>
      <c r="I476" s="64" t="s">
        <v>10</v>
      </c>
      <c r="J476" s="64" t="s">
        <v>201</v>
      </c>
      <c r="K476" s="66">
        <v>8.1</v>
      </c>
      <c r="L476" s="66">
        <f>K476*VLOOKUP(I476,dagsoorttabel1,2,FALSE)</f>
        <v>8.1</v>
      </c>
      <c r="M476" s="67">
        <f>prodnorm59</f>
        <v>0</v>
      </c>
      <c r="N476" s="68">
        <f>dagwerk59</f>
        <v>0</v>
      </c>
      <c r="O476" s="64" t="s">
        <v>38</v>
      </c>
      <c r="P476" s="69">
        <f>uurtarief59</f>
        <v>0</v>
      </c>
      <c r="Q476" s="66" t="e">
        <f>IF(ISBLANK(M476),0,L476/ROUND(M476,4))</f>
        <v>#DIV/0!</v>
      </c>
      <c r="R476" s="66" t="e">
        <f>IF(ISBLANK(M476),0,Q476*ROUND(N476,2))</f>
        <v>#DIV/0!</v>
      </c>
      <c r="S476" s="69" t="e">
        <f>ROUND(P476,2)*Q476</f>
        <v>#DIV/0!</v>
      </c>
      <c r="T476" s="66" t="e">
        <f>Q476*dagenperjaar1</f>
        <v>#DIV/0!</v>
      </c>
      <c r="U476" s="70" t="e">
        <f>T476*ROUND(P476,2)</f>
        <v>#DIV/0!</v>
      </c>
    </row>
    <row r="477" spans="1:21" x14ac:dyDescent="0.2">
      <c r="A477" s="63" t="s">
        <v>774</v>
      </c>
      <c r="B477" s="64" t="s">
        <v>324</v>
      </c>
      <c r="C477" s="64" t="s">
        <v>345</v>
      </c>
      <c r="D477" s="64" t="s">
        <v>1053</v>
      </c>
      <c r="E477" s="64" t="s">
        <v>324</v>
      </c>
      <c r="F477" s="65" t="s">
        <v>373</v>
      </c>
      <c r="G477" s="64" t="s">
        <v>365</v>
      </c>
      <c r="H477" s="64" t="s">
        <v>255</v>
      </c>
      <c r="I477" s="64" t="s">
        <v>10</v>
      </c>
      <c r="J477" s="64" t="s">
        <v>201</v>
      </c>
      <c r="K477" s="66">
        <v>8.8000000000000007</v>
      </c>
      <c r="L477" s="66">
        <f>K477*VLOOKUP(I477,dagsoorttabel1,2,FALSE)</f>
        <v>8.8000000000000007</v>
      </c>
      <c r="M477" s="67">
        <f>prodnorm59</f>
        <v>0</v>
      </c>
      <c r="N477" s="68">
        <f>dagwerk59</f>
        <v>0</v>
      </c>
      <c r="O477" s="64" t="s">
        <v>38</v>
      </c>
      <c r="P477" s="69">
        <f>uurtarief59</f>
        <v>0</v>
      </c>
      <c r="Q477" s="66" t="e">
        <f>IF(ISBLANK(M477),0,L477/ROUND(M477,4))</f>
        <v>#DIV/0!</v>
      </c>
      <c r="R477" s="66" t="e">
        <f>IF(ISBLANK(M477),0,Q477*ROUND(N477,2))</f>
        <v>#DIV/0!</v>
      </c>
      <c r="S477" s="69" t="e">
        <f>ROUND(P477,2)*Q477</f>
        <v>#DIV/0!</v>
      </c>
      <c r="T477" s="66" t="e">
        <f>Q477*dagenperjaar1</f>
        <v>#DIV/0!</v>
      </c>
      <c r="U477" s="70" t="e">
        <f>T477*ROUND(P477,2)</f>
        <v>#DIV/0!</v>
      </c>
    </row>
    <row r="478" spans="1:21" x14ac:dyDescent="0.2">
      <c r="A478" s="63" t="s">
        <v>774</v>
      </c>
      <c r="B478" s="64" t="s">
        <v>324</v>
      </c>
      <c r="C478" s="64" t="s">
        <v>345</v>
      </c>
      <c r="D478" s="64" t="s">
        <v>1054</v>
      </c>
      <c r="E478" s="64" t="s">
        <v>324</v>
      </c>
      <c r="F478" s="65" t="s">
        <v>595</v>
      </c>
      <c r="G478" s="64" t="s">
        <v>365</v>
      </c>
      <c r="H478" s="64" t="s">
        <v>205</v>
      </c>
      <c r="I478" s="64" t="s">
        <v>10</v>
      </c>
      <c r="J478" s="64" t="s">
        <v>201</v>
      </c>
      <c r="K478" s="66">
        <v>21.2</v>
      </c>
      <c r="L478" s="66">
        <f>K478*VLOOKUP(I478,dagsoorttabel1,2,FALSE)</f>
        <v>21.2</v>
      </c>
      <c r="M478" s="67">
        <f>prodnorm26</f>
        <v>0</v>
      </c>
      <c r="N478" s="68">
        <f>dagwerk26</f>
        <v>0</v>
      </c>
      <c r="O478" s="64" t="s">
        <v>38</v>
      </c>
      <c r="P478" s="69">
        <f>uurtarief26</f>
        <v>0</v>
      </c>
      <c r="Q478" s="66" t="e">
        <f>IF(ISBLANK(M478),0,L478/ROUND(M478,4))</f>
        <v>#DIV/0!</v>
      </c>
      <c r="R478" s="66" t="e">
        <f>IF(ISBLANK(M478),0,Q478*ROUND(N478,2))</f>
        <v>#DIV/0!</v>
      </c>
      <c r="S478" s="69" t="e">
        <f>ROUND(P478,2)*Q478</f>
        <v>#DIV/0!</v>
      </c>
      <c r="T478" s="66" t="e">
        <f>Q478*dagenperjaar1</f>
        <v>#DIV/0!</v>
      </c>
      <c r="U478" s="70" t="e">
        <f>T478*ROUND(P478,2)</f>
        <v>#DIV/0!</v>
      </c>
    </row>
    <row r="479" spans="1:21" x14ac:dyDescent="0.2">
      <c r="A479" s="63" t="s">
        <v>774</v>
      </c>
      <c r="B479" s="64" t="s">
        <v>324</v>
      </c>
      <c r="C479" s="64" t="s">
        <v>345</v>
      </c>
      <c r="D479" s="64" t="s">
        <v>1055</v>
      </c>
      <c r="E479" s="64" t="s">
        <v>324</v>
      </c>
      <c r="F479" s="65" t="s">
        <v>655</v>
      </c>
      <c r="G479" s="64" t="s">
        <v>365</v>
      </c>
      <c r="H479" s="64" t="s">
        <v>267</v>
      </c>
      <c r="I479" s="64" t="s">
        <v>10</v>
      </c>
      <c r="J479" s="64" t="s">
        <v>201</v>
      </c>
      <c r="K479" s="66">
        <v>32.6</v>
      </c>
      <c r="L479" s="66">
        <f>K479*VLOOKUP(I479,dagsoorttabel1,2,FALSE)</f>
        <v>32.6</v>
      </c>
      <c r="M479" s="67">
        <f>prodnorm65</f>
        <v>0</v>
      </c>
      <c r="N479" s="68">
        <f>dagwerk65</f>
        <v>0</v>
      </c>
      <c r="O479" s="64" t="s">
        <v>38</v>
      </c>
      <c r="P479" s="69">
        <f>uurtarief65</f>
        <v>0</v>
      </c>
      <c r="Q479" s="66" t="e">
        <f>IF(ISBLANK(M479),0,L479/ROUND(M479,4))</f>
        <v>#DIV/0!</v>
      </c>
      <c r="R479" s="66" t="e">
        <f>IF(ISBLANK(M479),0,Q479*ROUND(N479,2))</f>
        <v>#DIV/0!</v>
      </c>
      <c r="S479" s="69" t="e">
        <f>ROUND(P479,2)*Q479</f>
        <v>#DIV/0!</v>
      </c>
      <c r="T479" s="66" t="e">
        <f>Q479*dagenperjaar1</f>
        <v>#DIV/0!</v>
      </c>
      <c r="U479" s="70" t="e">
        <f>T479*ROUND(P479,2)</f>
        <v>#DIV/0!</v>
      </c>
    </row>
    <row r="480" spans="1:21" x14ac:dyDescent="0.2">
      <c r="A480" s="63" t="s">
        <v>774</v>
      </c>
      <c r="B480" s="64" t="s">
        <v>324</v>
      </c>
      <c r="C480" s="64" t="s">
        <v>345</v>
      </c>
      <c r="D480" s="64" t="s">
        <v>1056</v>
      </c>
      <c r="E480" s="64" t="s">
        <v>324</v>
      </c>
      <c r="F480" s="65" t="s">
        <v>768</v>
      </c>
      <c r="G480" s="64" t="s">
        <v>365</v>
      </c>
      <c r="H480" s="64" t="s">
        <v>267</v>
      </c>
      <c r="I480" s="64" t="s">
        <v>10</v>
      </c>
      <c r="J480" s="64" t="s">
        <v>201</v>
      </c>
      <c r="K480" s="66">
        <v>88.2</v>
      </c>
      <c r="L480" s="66">
        <f>K480*VLOOKUP(I480,dagsoorttabel1,2,FALSE)</f>
        <v>88.2</v>
      </c>
      <c r="M480" s="67">
        <f>prodnorm65</f>
        <v>0</v>
      </c>
      <c r="N480" s="68">
        <f>dagwerk65</f>
        <v>0</v>
      </c>
      <c r="O480" s="64" t="s">
        <v>38</v>
      </c>
      <c r="P480" s="69">
        <f>uurtarief65</f>
        <v>0</v>
      </c>
      <c r="Q480" s="66" t="e">
        <f>IF(ISBLANK(M480),0,L480/ROUND(M480,4))</f>
        <v>#DIV/0!</v>
      </c>
      <c r="R480" s="66" t="e">
        <f>IF(ISBLANK(M480),0,Q480*ROUND(N480,2))</f>
        <v>#DIV/0!</v>
      </c>
      <c r="S480" s="69" t="e">
        <f>ROUND(P480,2)*Q480</f>
        <v>#DIV/0!</v>
      </c>
      <c r="T480" s="66" t="e">
        <f>Q480*dagenperjaar1</f>
        <v>#DIV/0!</v>
      </c>
      <c r="U480" s="70" t="e">
        <f>T480*ROUND(P480,2)</f>
        <v>#DIV/0!</v>
      </c>
    </row>
    <row r="481" spans="1:21" x14ac:dyDescent="0.2">
      <c r="A481" s="63" t="s">
        <v>774</v>
      </c>
      <c r="B481" s="64" t="s">
        <v>324</v>
      </c>
      <c r="C481" s="64" t="s">
        <v>345</v>
      </c>
      <c r="D481" s="64" t="s">
        <v>1057</v>
      </c>
      <c r="E481" s="64" t="s">
        <v>324</v>
      </c>
      <c r="F481" s="65" t="s">
        <v>1058</v>
      </c>
      <c r="G481" s="64" t="s">
        <v>365</v>
      </c>
      <c r="H481" s="64" t="s">
        <v>229</v>
      </c>
      <c r="I481" s="64" t="s">
        <v>10</v>
      </c>
      <c r="J481" s="64" t="s">
        <v>201</v>
      </c>
      <c r="K481" s="66">
        <v>118.6</v>
      </c>
      <c r="L481" s="66">
        <f>K481*VLOOKUP(I481,dagsoorttabel1,2,FALSE)</f>
        <v>118.6</v>
      </c>
      <c r="M481" s="67">
        <f>prodnorm43</f>
        <v>0</v>
      </c>
      <c r="N481" s="68">
        <f>dagwerk43</f>
        <v>0</v>
      </c>
      <c r="O481" s="64" t="s">
        <v>38</v>
      </c>
      <c r="P481" s="69">
        <f>uurtarief43</f>
        <v>0</v>
      </c>
      <c r="Q481" s="66" t="e">
        <f>IF(ISBLANK(M481),0,L481/ROUND(M481,4))</f>
        <v>#DIV/0!</v>
      </c>
      <c r="R481" s="66" t="e">
        <f>IF(ISBLANK(M481),0,Q481*ROUND(N481,2))</f>
        <v>#DIV/0!</v>
      </c>
      <c r="S481" s="69" t="e">
        <f>ROUND(P481,2)*Q481</f>
        <v>#DIV/0!</v>
      </c>
      <c r="T481" s="66" t="e">
        <f>Q481*dagenperjaar1</f>
        <v>#DIV/0!</v>
      </c>
      <c r="U481" s="70" t="e">
        <f>T481*ROUND(P481,2)</f>
        <v>#DIV/0!</v>
      </c>
    </row>
    <row r="482" spans="1:21" x14ac:dyDescent="0.2">
      <c r="A482" s="63" t="s">
        <v>774</v>
      </c>
      <c r="B482" s="64" t="s">
        <v>324</v>
      </c>
      <c r="C482" s="64" t="s">
        <v>345</v>
      </c>
      <c r="D482" s="64" t="s">
        <v>1059</v>
      </c>
      <c r="E482" s="64" t="s">
        <v>324</v>
      </c>
      <c r="F482" s="65" t="s">
        <v>335</v>
      </c>
      <c r="G482" s="64" t="s">
        <v>365</v>
      </c>
      <c r="H482" s="64" t="s">
        <v>267</v>
      </c>
      <c r="I482" s="64" t="s">
        <v>10</v>
      </c>
      <c r="J482" s="64" t="s">
        <v>201</v>
      </c>
      <c r="K482" s="66">
        <v>52</v>
      </c>
      <c r="L482" s="66">
        <f>K482*VLOOKUP(I482,dagsoorttabel1,2,FALSE)</f>
        <v>52</v>
      </c>
      <c r="M482" s="67">
        <f>prodnorm65</f>
        <v>0</v>
      </c>
      <c r="N482" s="68">
        <f>dagwerk65</f>
        <v>0</v>
      </c>
      <c r="O482" s="64" t="s">
        <v>38</v>
      </c>
      <c r="P482" s="69">
        <f>uurtarief65</f>
        <v>0</v>
      </c>
      <c r="Q482" s="66" t="e">
        <f>IF(ISBLANK(M482),0,L482/ROUND(M482,4))</f>
        <v>#DIV/0!</v>
      </c>
      <c r="R482" s="66" t="e">
        <f>IF(ISBLANK(M482),0,Q482*ROUND(N482,2))</f>
        <v>#DIV/0!</v>
      </c>
      <c r="S482" s="69" t="e">
        <f>ROUND(P482,2)*Q482</f>
        <v>#DIV/0!</v>
      </c>
      <c r="T482" s="66" t="e">
        <f>Q482*dagenperjaar1</f>
        <v>#DIV/0!</v>
      </c>
      <c r="U482" s="70" t="e">
        <f>T482*ROUND(P482,2)</f>
        <v>#DIV/0!</v>
      </c>
    </row>
    <row r="483" spans="1:21" x14ac:dyDescent="0.2">
      <c r="A483" s="63" t="s">
        <v>774</v>
      </c>
      <c r="B483" s="64" t="s">
        <v>324</v>
      </c>
      <c r="C483" s="64" t="s">
        <v>345</v>
      </c>
      <c r="D483" s="64" t="s">
        <v>1060</v>
      </c>
      <c r="E483" s="64" t="s">
        <v>324</v>
      </c>
      <c r="F483" s="65" t="s">
        <v>1011</v>
      </c>
      <c r="G483" s="64" t="s">
        <v>365</v>
      </c>
      <c r="H483" s="64" t="s">
        <v>267</v>
      </c>
      <c r="I483" s="64" t="s">
        <v>10</v>
      </c>
      <c r="J483" s="64" t="s">
        <v>201</v>
      </c>
      <c r="K483" s="66">
        <v>124.3</v>
      </c>
      <c r="L483" s="66">
        <f>K483*VLOOKUP(I483,dagsoorttabel1,2,FALSE)</f>
        <v>124.3</v>
      </c>
      <c r="M483" s="67">
        <f>prodnorm65</f>
        <v>0</v>
      </c>
      <c r="N483" s="68">
        <f>dagwerk65</f>
        <v>0</v>
      </c>
      <c r="O483" s="64" t="s">
        <v>38</v>
      </c>
      <c r="P483" s="69">
        <f>uurtarief65</f>
        <v>0</v>
      </c>
      <c r="Q483" s="66" t="e">
        <f>IF(ISBLANK(M483),0,L483/ROUND(M483,4))</f>
        <v>#DIV/0!</v>
      </c>
      <c r="R483" s="66" t="e">
        <f>IF(ISBLANK(M483),0,Q483*ROUND(N483,2))</f>
        <v>#DIV/0!</v>
      </c>
      <c r="S483" s="69" t="e">
        <f>ROUND(P483,2)*Q483</f>
        <v>#DIV/0!</v>
      </c>
      <c r="T483" s="66" t="e">
        <f>Q483*dagenperjaar1</f>
        <v>#DIV/0!</v>
      </c>
      <c r="U483" s="70" t="e">
        <f>T483*ROUND(P483,2)</f>
        <v>#DIV/0!</v>
      </c>
    </row>
    <row r="484" spans="1:21" x14ac:dyDescent="0.2">
      <c r="A484" s="63" t="s">
        <v>774</v>
      </c>
      <c r="B484" s="64" t="s">
        <v>324</v>
      </c>
      <c r="C484" s="64" t="s">
        <v>345</v>
      </c>
      <c r="D484" s="64" t="s">
        <v>1061</v>
      </c>
      <c r="E484" s="64" t="s">
        <v>324</v>
      </c>
      <c r="F484" s="65" t="s">
        <v>1062</v>
      </c>
      <c r="G484" s="64" t="s">
        <v>351</v>
      </c>
      <c r="H484" s="64" t="s">
        <v>207</v>
      </c>
      <c r="I484" s="64" t="s">
        <v>10</v>
      </c>
      <c r="J484" s="64" t="s">
        <v>201</v>
      </c>
      <c r="K484" s="66">
        <v>10.3</v>
      </c>
      <c r="L484" s="66">
        <f>K484*VLOOKUP(I484,dagsoorttabel1,2,FALSE)</f>
        <v>10.3</v>
      </c>
      <c r="M484" s="67">
        <f>prodnorm28</f>
        <v>0</v>
      </c>
      <c r="N484" s="68">
        <f>dagwerk28</f>
        <v>0</v>
      </c>
      <c r="O484" s="64" t="s">
        <v>38</v>
      </c>
      <c r="P484" s="69">
        <f>uurtarief28</f>
        <v>0</v>
      </c>
      <c r="Q484" s="66" t="e">
        <f>IF(ISBLANK(M484),0,L484/ROUND(M484,4))</f>
        <v>#DIV/0!</v>
      </c>
      <c r="R484" s="66" t="e">
        <f>IF(ISBLANK(M484),0,Q484*ROUND(N484,2))</f>
        <v>#DIV/0!</v>
      </c>
      <c r="S484" s="69" t="e">
        <f>ROUND(P484,2)*Q484</f>
        <v>#DIV/0!</v>
      </c>
      <c r="T484" s="66" t="e">
        <f>Q484*dagenperjaar1</f>
        <v>#DIV/0!</v>
      </c>
      <c r="U484" s="70" t="e">
        <f>T484*ROUND(P484,2)</f>
        <v>#DIV/0!</v>
      </c>
    </row>
    <row r="485" spans="1:21" x14ac:dyDescent="0.2">
      <c r="A485" s="63" t="s">
        <v>774</v>
      </c>
      <c r="B485" s="64" t="s">
        <v>324</v>
      </c>
      <c r="C485" s="64" t="s">
        <v>345</v>
      </c>
      <c r="D485" s="64" t="s">
        <v>1063</v>
      </c>
      <c r="E485" s="64" t="s">
        <v>324</v>
      </c>
      <c r="F485" s="65" t="s">
        <v>1062</v>
      </c>
      <c r="G485" s="64" t="s">
        <v>351</v>
      </c>
      <c r="H485" s="64" t="s">
        <v>207</v>
      </c>
      <c r="I485" s="64" t="s">
        <v>10</v>
      </c>
      <c r="J485" s="64" t="s">
        <v>201</v>
      </c>
      <c r="K485" s="66">
        <v>9.8000000000000007</v>
      </c>
      <c r="L485" s="66">
        <f>K485*VLOOKUP(I485,dagsoorttabel1,2,FALSE)</f>
        <v>9.8000000000000007</v>
      </c>
      <c r="M485" s="67">
        <f>prodnorm28</f>
        <v>0</v>
      </c>
      <c r="N485" s="68">
        <f>dagwerk28</f>
        <v>0</v>
      </c>
      <c r="O485" s="64" t="s">
        <v>38</v>
      </c>
      <c r="P485" s="69">
        <f>uurtarief28</f>
        <v>0</v>
      </c>
      <c r="Q485" s="66" t="e">
        <f>IF(ISBLANK(M485),0,L485/ROUND(M485,4))</f>
        <v>#DIV/0!</v>
      </c>
      <c r="R485" s="66" t="e">
        <f>IF(ISBLANK(M485),0,Q485*ROUND(N485,2))</f>
        <v>#DIV/0!</v>
      </c>
      <c r="S485" s="69" t="e">
        <f>ROUND(P485,2)*Q485</f>
        <v>#DIV/0!</v>
      </c>
      <c r="T485" s="66" t="e">
        <f>Q485*dagenperjaar1</f>
        <v>#DIV/0!</v>
      </c>
      <c r="U485" s="70" t="e">
        <f>T485*ROUND(P485,2)</f>
        <v>#DIV/0!</v>
      </c>
    </row>
    <row r="486" spans="1:21" x14ac:dyDescent="0.2">
      <c r="A486" s="63" t="s">
        <v>774</v>
      </c>
      <c r="B486" s="64" t="s">
        <v>324</v>
      </c>
      <c r="C486" s="64" t="s">
        <v>345</v>
      </c>
      <c r="D486" s="64" t="s">
        <v>1064</v>
      </c>
      <c r="E486" s="64" t="s">
        <v>324</v>
      </c>
      <c r="F486" s="65" t="s">
        <v>1062</v>
      </c>
      <c r="G486" s="64" t="s">
        <v>351</v>
      </c>
      <c r="H486" s="64" t="s">
        <v>207</v>
      </c>
      <c r="I486" s="64" t="s">
        <v>10</v>
      </c>
      <c r="J486" s="64" t="s">
        <v>201</v>
      </c>
      <c r="K486" s="66">
        <v>9.8000000000000007</v>
      </c>
      <c r="L486" s="66">
        <f>K486*VLOOKUP(I486,dagsoorttabel1,2,FALSE)</f>
        <v>9.8000000000000007</v>
      </c>
      <c r="M486" s="67">
        <f>prodnorm28</f>
        <v>0</v>
      </c>
      <c r="N486" s="68">
        <f>dagwerk28</f>
        <v>0</v>
      </c>
      <c r="O486" s="64" t="s">
        <v>38</v>
      </c>
      <c r="P486" s="69">
        <f>uurtarief28</f>
        <v>0</v>
      </c>
      <c r="Q486" s="66" t="e">
        <f>IF(ISBLANK(M486),0,L486/ROUND(M486,4))</f>
        <v>#DIV/0!</v>
      </c>
      <c r="R486" s="66" t="e">
        <f>IF(ISBLANK(M486),0,Q486*ROUND(N486,2))</f>
        <v>#DIV/0!</v>
      </c>
      <c r="S486" s="69" t="e">
        <f>ROUND(P486,2)*Q486</f>
        <v>#DIV/0!</v>
      </c>
      <c r="T486" s="66" t="e">
        <f>Q486*dagenperjaar1</f>
        <v>#DIV/0!</v>
      </c>
      <c r="U486" s="70" t="e">
        <f>T486*ROUND(P486,2)</f>
        <v>#DIV/0!</v>
      </c>
    </row>
    <row r="487" spans="1:21" x14ac:dyDescent="0.2">
      <c r="A487" s="63" t="s">
        <v>774</v>
      </c>
      <c r="B487" s="64" t="s">
        <v>324</v>
      </c>
      <c r="C487" s="64" t="s">
        <v>345</v>
      </c>
      <c r="D487" s="64" t="s">
        <v>1065</v>
      </c>
      <c r="E487" s="64" t="s">
        <v>324</v>
      </c>
      <c r="F487" s="65" t="s">
        <v>1066</v>
      </c>
      <c r="G487" s="64" t="s">
        <v>624</v>
      </c>
      <c r="H487" s="64" t="s">
        <v>200</v>
      </c>
      <c r="I487" s="64" t="s">
        <v>10</v>
      </c>
      <c r="J487" s="64" t="s">
        <v>201</v>
      </c>
      <c r="K487" s="66">
        <v>175.2</v>
      </c>
      <c r="L487" s="66">
        <f>K487*VLOOKUP(I487,dagsoorttabel1,2,FALSE)</f>
        <v>175.2</v>
      </c>
      <c r="M487" s="67">
        <f>prodnorm24</f>
        <v>0</v>
      </c>
      <c r="N487" s="68">
        <f>dagwerk24</f>
        <v>0</v>
      </c>
      <c r="O487" s="64" t="s">
        <v>38</v>
      </c>
      <c r="P487" s="69">
        <f>uurtarief24</f>
        <v>0</v>
      </c>
      <c r="Q487" s="66" t="e">
        <f>IF(ISBLANK(M487),0,L487/ROUND(M487,4))</f>
        <v>#DIV/0!</v>
      </c>
      <c r="R487" s="66" t="e">
        <f>IF(ISBLANK(M487),0,Q487*ROUND(N487,2))</f>
        <v>#DIV/0!</v>
      </c>
      <c r="S487" s="69" t="e">
        <f>ROUND(P487,2)*Q487</f>
        <v>#DIV/0!</v>
      </c>
      <c r="T487" s="66" t="e">
        <f>Q487*dagenperjaar1</f>
        <v>#DIV/0!</v>
      </c>
      <c r="U487" s="70" t="e">
        <f>T487*ROUND(P487,2)</f>
        <v>#DIV/0!</v>
      </c>
    </row>
    <row r="488" spans="1:21" x14ac:dyDescent="0.2">
      <c r="A488" s="63" t="s">
        <v>774</v>
      </c>
      <c r="B488" s="64" t="s">
        <v>324</v>
      </c>
      <c r="C488" s="64" t="s">
        <v>345</v>
      </c>
      <c r="D488" s="64" t="s">
        <v>1067</v>
      </c>
      <c r="E488" s="64" t="s">
        <v>324</v>
      </c>
      <c r="F488" s="65" t="s">
        <v>1062</v>
      </c>
      <c r="G488" s="64" t="s">
        <v>365</v>
      </c>
      <c r="H488" s="64" t="s">
        <v>205</v>
      </c>
      <c r="I488" s="64" t="s">
        <v>10</v>
      </c>
      <c r="J488" s="64" t="s">
        <v>201</v>
      </c>
      <c r="K488" s="66">
        <v>11.3</v>
      </c>
      <c r="L488" s="66">
        <f>K488*VLOOKUP(I488,dagsoorttabel1,2,FALSE)</f>
        <v>11.3</v>
      </c>
      <c r="M488" s="67">
        <f>prodnorm26</f>
        <v>0</v>
      </c>
      <c r="N488" s="68">
        <f>dagwerk26</f>
        <v>0</v>
      </c>
      <c r="O488" s="64" t="s">
        <v>38</v>
      </c>
      <c r="P488" s="69">
        <f>uurtarief26</f>
        <v>0</v>
      </c>
      <c r="Q488" s="66" t="e">
        <f>IF(ISBLANK(M488),0,L488/ROUND(M488,4))</f>
        <v>#DIV/0!</v>
      </c>
      <c r="R488" s="66" t="e">
        <f>IF(ISBLANK(M488),0,Q488*ROUND(N488,2))</f>
        <v>#DIV/0!</v>
      </c>
      <c r="S488" s="69" t="e">
        <f>ROUND(P488,2)*Q488</f>
        <v>#DIV/0!</v>
      </c>
      <c r="T488" s="66" t="e">
        <f>Q488*dagenperjaar1</f>
        <v>#DIV/0!</v>
      </c>
      <c r="U488" s="70" t="e">
        <f>T488*ROUND(P488,2)</f>
        <v>#DIV/0!</v>
      </c>
    </row>
    <row r="489" spans="1:21" x14ac:dyDescent="0.2">
      <c r="A489" s="63" t="s">
        <v>774</v>
      </c>
      <c r="B489" s="64" t="s">
        <v>324</v>
      </c>
      <c r="C489" s="64" t="s">
        <v>345</v>
      </c>
      <c r="D489" s="64" t="s">
        <v>1068</v>
      </c>
      <c r="E489" s="64" t="s">
        <v>324</v>
      </c>
      <c r="F489" s="65" t="s">
        <v>1069</v>
      </c>
      <c r="G489" s="64" t="s">
        <v>365</v>
      </c>
      <c r="H489" s="64" t="s">
        <v>229</v>
      </c>
      <c r="I489" s="64" t="s">
        <v>10</v>
      </c>
      <c r="J489" s="64" t="s">
        <v>201</v>
      </c>
      <c r="K489" s="66">
        <v>52.1</v>
      </c>
      <c r="L489" s="66">
        <f>K489*VLOOKUP(I489,dagsoorttabel1,2,FALSE)</f>
        <v>52.1</v>
      </c>
      <c r="M489" s="67">
        <f>prodnorm43</f>
        <v>0</v>
      </c>
      <c r="N489" s="68">
        <f>dagwerk43</f>
        <v>0</v>
      </c>
      <c r="O489" s="64" t="s">
        <v>38</v>
      </c>
      <c r="P489" s="69">
        <f>uurtarief43</f>
        <v>0</v>
      </c>
      <c r="Q489" s="66" t="e">
        <f>IF(ISBLANK(M489),0,L489/ROUND(M489,4))</f>
        <v>#DIV/0!</v>
      </c>
      <c r="R489" s="66" t="e">
        <f>IF(ISBLANK(M489),0,Q489*ROUND(N489,2))</f>
        <v>#DIV/0!</v>
      </c>
      <c r="S489" s="69" t="e">
        <f>ROUND(P489,2)*Q489</f>
        <v>#DIV/0!</v>
      </c>
      <c r="T489" s="66" t="e">
        <f>Q489*dagenperjaar1</f>
        <v>#DIV/0!</v>
      </c>
      <c r="U489" s="70" t="e">
        <f>T489*ROUND(P489,2)</f>
        <v>#DIV/0!</v>
      </c>
    </row>
    <row r="490" spans="1:21" x14ac:dyDescent="0.2">
      <c r="A490" s="63" t="s">
        <v>774</v>
      </c>
      <c r="B490" s="64" t="s">
        <v>324</v>
      </c>
      <c r="C490" s="64" t="s">
        <v>345</v>
      </c>
      <c r="D490" s="64" t="s">
        <v>1070</v>
      </c>
      <c r="E490" s="64" t="s">
        <v>324</v>
      </c>
      <c r="F490" s="65" t="s">
        <v>1069</v>
      </c>
      <c r="G490" s="64" t="s">
        <v>365</v>
      </c>
      <c r="H490" s="64" t="s">
        <v>229</v>
      </c>
      <c r="I490" s="64" t="s">
        <v>10</v>
      </c>
      <c r="J490" s="64" t="s">
        <v>201</v>
      </c>
      <c r="K490" s="66">
        <v>67.3</v>
      </c>
      <c r="L490" s="66">
        <f>K490*VLOOKUP(I490,dagsoorttabel1,2,FALSE)</f>
        <v>67.3</v>
      </c>
      <c r="M490" s="67">
        <f>prodnorm43</f>
        <v>0</v>
      </c>
      <c r="N490" s="68">
        <f>dagwerk43</f>
        <v>0</v>
      </c>
      <c r="O490" s="64" t="s">
        <v>38</v>
      </c>
      <c r="P490" s="69">
        <f>uurtarief43</f>
        <v>0</v>
      </c>
      <c r="Q490" s="66" t="e">
        <f>IF(ISBLANK(M490),0,L490/ROUND(M490,4))</f>
        <v>#DIV/0!</v>
      </c>
      <c r="R490" s="66" t="e">
        <f>IF(ISBLANK(M490),0,Q490*ROUND(N490,2))</f>
        <v>#DIV/0!</v>
      </c>
      <c r="S490" s="69" t="e">
        <f>ROUND(P490,2)*Q490</f>
        <v>#DIV/0!</v>
      </c>
      <c r="T490" s="66" t="e">
        <f>Q490*dagenperjaar1</f>
        <v>#DIV/0!</v>
      </c>
      <c r="U490" s="70" t="e">
        <f>T490*ROUND(P490,2)</f>
        <v>#DIV/0!</v>
      </c>
    </row>
    <row r="491" spans="1:21" x14ac:dyDescent="0.2">
      <c r="A491" s="63" t="s">
        <v>774</v>
      </c>
      <c r="B491" s="64" t="s">
        <v>324</v>
      </c>
      <c r="C491" s="64" t="s">
        <v>345</v>
      </c>
      <c r="D491" s="64" t="s">
        <v>1071</v>
      </c>
      <c r="E491" s="64" t="s">
        <v>324</v>
      </c>
      <c r="F491" s="65" t="s">
        <v>1069</v>
      </c>
      <c r="G491" s="64" t="s">
        <v>365</v>
      </c>
      <c r="H491" s="64" t="s">
        <v>229</v>
      </c>
      <c r="I491" s="64" t="s">
        <v>10</v>
      </c>
      <c r="J491" s="64" t="s">
        <v>201</v>
      </c>
      <c r="K491" s="66">
        <v>87.9</v>
      </c>
      <c r="L491" s="66">
        <f>K491*VLOOKUP(I491,dagsoorttabel1,2,FALSE)</f>
        <v>87.9</v>
      </c>
      <c r="M491" s="67">
        <f>prodnorm43</f>
        <v>0</v>
      </c>
      <c r="N491" s="68">
        <f>dagwerk43</f>
        <v>0</v>
      </c>
      <c r="O491" s="64" t="s">
        <v>38</v>
      </c>
      <c r="P491" s="69">
        <f>uurtarief43</f>
        <v>0</v>
      </c>
      <c r="Q491" s="66" t="e">
        <f>IF(ISBLANK(M491),0,L491/ROUND(M491,4))</f>
        <v>#DIV/0!</v>
      </c>
      <c r="R491" s="66" t="e">
        <f>IF(ISBLANK(M491),0,Q491*ROUND(N491,2))</f>
        <v>#DIV/0!</v>
      </c>
      <c r="S491" s="69" t="e">
        <f>ROUND(P491,2)*Q491</f>
        <v>#DIV/0!</v>
      </c>
      <c r="T491" s="66" t="e">
        <f>Q491*dagenperjaar1</f>
        <v>#DIV/0!</v>
      </c>
      <c r="U491" s="70" t="e">
        <f>T491*ROUND(P491,2)</f>
        <v>#DIV/0!</v>
      </c>
    </row>
    <row r="492" spans="1:21" x14ac:dyDescent="0.2">
      <c r="A492" s="63" t="s">
        <v>774</v>
      </c>
      <c r="B492" s="64" t="s">
        <v>324</v>
      </c>
      <c r="C492" s="64" t="s">
        <v>345</v>
      </c>
      <c r="D492" s="64" t="s">
        <v>1072</v>
      </c>
      <c r="E492" s="64" t="s">
        <v>324</v>
      </c>
      <c r="F492" s="65" t="s">
        <v>1069</v>
      </c>
      <c r="G492" s="64" t="s">
        <v>365</v>
      </c>
      <c r="H492" s="64" t="s">
        <v>229</v>
      </c>
      <c r="I492" s="64" t="s">
        <v>10</v>
      </c>
      <c r="J492" s="64" t="s">
        <v>201</v>
      </c>
      <c r="K492" s="66">
        <v>54.3</v>
      </c>
      <c r="L492" s="66">
        <f>K492*VLOOKUP(I492,dagsoorttabel1,2,FALSE)</f>
        <v>54.3</v>
      </c>
      <c r="M492" s="67">
        <f>prodnorm43</f>
        <v>0</v>
      </c>
      <c r="N492" s="68">
        <f>dagwerk43</f>
        <v>0</v>
      </c>
      <c r="O492" s="64" t="s">
        <v>38</v>
      </c>
      <c r="P492" s="69">
        <f>uurtarief43</f>
        <v>0</v>
      </c>
      <c r="Q492" s="66" t="e">
        <f>IF(ISBLANK(M492),0,L492/ROUND(M492,4))</f>
        <v>#DIV/0!</v>
      </c>
      <c r="R492" s="66" t="e">
        <f>IF(ISBLANK(M492),0,Q492*ROUND(N492,2))</f>
        <v>#DIV/0!</v>
      </c>
      <c r="S492" s="69" t="e">
        <f>ROUND(P492,2)*Q492</f>
        <v>#DIV/0!</v>
      </c>
      <c r="T492" s="66" t="e">
        <f>Q492*dagenperjaar1</f>
        <v>#DIV/0!</v>
      </c>
      <c r="U492" s="70" t="e">
        <f>T492*ROUND(P492,2)</f>
        <v>#DIV/0!</v>
      </c>
    </row>
    <row r="493" spans="1:21" x14ac:dyDescent="0.2">
      <c r="A493" s="63" t="s">
        <v>774</v>
      </c>
      <c r="B493" s="64" t="s">
        <v>324</v>
      </c>
      <c r="C493" s="64" t="s">
        <v>345</v>
      </c>
      <c r="D493" s="64" t="s">
        <v>1073</v>
      </c>
      <c r="E493" s="64" t="s">
        <v>324</v>
      </c>
      <c r="F493" s="65" t="s">
        <v>1069</v>
      </c>
      <c r="G493" s="64" t="s">
        <v>365</v>
      </c>
      <c r="H493" s="64" t="s">
        <v>229</v>
      </c>
      <c r="I493" s="64" t="s">
        <v>10</v>
      </c>
      <c r="J493" s="64" t="s">
        <v>201</v>
      </c>
      <c r="K493" s="66">
        <v>66.2</v>
      </c>
      <c r="L493" s="66">
        <f>K493*VLOOKUP(I493,dagsoorttabel1,2,FALSE)</f>
        <v>66.2</v>
      </c>
      <c r="M493" s="67">
        <f>prodnorm43</f>
        <v>0</v>
      </c>
      <c r="N493" s="68">
        <f>dagwerk43</f>
        <v>0</v>
      </c>
      <c r="O493" s="64" t="s">
        <v>38</v>
      </c>
      <c r="P493" s="69">
        <f>uurtarief43</f>
        <v>0</v>
      </c>
      <c r="Q493" s="66" t="e">
        <f>IF(ISBLANK(M493),0,L493/ROUND(M493,4))</f>
        <v>#DIV/0!</v>
      </c>
      <c r="R493" s="66" t="e">
        <f>IF(ISBLANK(M493),0,Q493*ROUND(N493,2))</f>
        <v>#DIV/0!</v>
      </c>
      <c r="S493" s="69" t="e">
        <f>ROUND(P493,2)*Q493</f>
        <v>#DIV/0!</v>
      </c>
      <c r="T493" s="66" t="e">
        <f>Q493*dagenperjaar1</f>
        <v>#DIV/0!</v>
      </c>
      <c r="U493" s="70" t="e">
        <f>T493*ROUND(P493,2)</f>
        <v>#DIV/0!</v>
      </c>
    </row>
    <row r="494" spans="1:21" x14ac:dyDescent="0.2">
      <c r="A494" s="63" t="s">
        <v>774</v>
      </c>
      <c r="B494" s="64" t="s">
        <v>324</v>
      </c>
      <c r="C494" s="64" t="s">
        <v>345</v>
      </c>
      <c r="D494" s="64" t="s">
        <v>1074</v>
      </c>
      <c r="E494" s="64" t="s">
        <v>324</v>
      </c>
      <c r="F494" s="65" t="s">
        <v>1075</v>
      </c>
      <c r="G494" s="64" t="s">
        <v>365</v>
      </c>
      <c r="H494" s="64" t="s">
        <v>267</v>
      </c>
      <c r="I494" s="64" t="s">
        <v>10</v>
      </c>
      <c r="J494" s="64" t="s">
        <v>201</v>
      </c>
      <c r="K494" s="66">
        <v>20.399999999999999</v>
      </c>
      <c r="L494" s="66">
        <f>K494*VLOOKUP(I494,dagsoorttabel1,2,FALSE)</f>
        <v>20.399999999999999</v>
      </c>
      <c r="M494" s="67">
        <f>prodnorm65</f>
        <v>0</v>
      </c>
      <c r="N494" s="68">
        <f>dagwerk65</f>
        <v>0</v>
      </c>
      <c r="O494" s="64" t="s">
        <v>38</v>
      </c>
      <c r="P494" s="69">
        <f>uurtarief65</f>
        <v>0</v>
      </c>
      <c r="Q494" s="66" t="e">
        <f>IF(ISBLANK(M494),0,L494/ROUND(M494,4))</f>
        <v>#DIV/0!</v>
      </c>
      <c r="R494" s="66" t="e">
        <f>IF(ISBLANK(M494),0,Q494*ROUND(N494,2))</f>
        <v>#DIV/0!</v>
      </c>
      <c r="S494" s="69" t="e">
        <f>ROUND(P494,2)*Q494</f>
        <v>#DIV/0!</v>
      </c>
      <c r="T494" s="66" t="e">
        <f>Q494*dagenperjaar1</f>
        <v>#DIV/0!</v>
      </c>
      <c r="U494" s="70" t="e">
        <f>T494*ROUND(P494,2)</f>
        <v>#DIV/0!</v>
      </c>
    </row>
    <row r="495" spans="1:21" x14ac:dyDescent="0.2">
      <c r="A495" s="63" t="s">
        <v>774</v>
      </c>
      <c r="B495" s="64" t="s">
        <v>324</v>
      </c>
      <c r="C495" s="64" t="s">
        <v>345</v>
      </c>
      <c r="D495" s="64" t="s">
        <v>1076</v>
      </c>
      <c r="E495" s="64" t="s">
        <v>324</v>
      </c>
      <c r="F495" s="65" t="s">
        <v>998</v>
      </c>
      <c r="G495" s="64" t="s">
        <v>365</v>
      </c>
      <c r="H495" s="64" t="s">
        <v>267</v>
      </c>
      <c r="I495" s="64" t="s">
        <v>10</v>
      </c>
      <c r="J495" s="64" t="s">
        <v>201</v>
      </c>
      <c r="K495" s="66">
        <v>19.5</v>
      </c>
      <c r="L495" s="66">
        <f>K495*VLOOKUP(I495,dagsoorttabel1,2,FALSE)</f>
        <v>19.5</v>
      </c>
      <c r="M495" s="67">
        <f>prodnorm65</f>
        <v>0</v>
      </c>
      <c r="N495" s="68">
        <f>dagwerk65</f>
        <v>0</v>
      </c>
      <c r="O495" s="64" t="s">
        <v>38</v>
      </c>
      <c r="P495" s="69">
        <f>uurtarief65</f>
        <v>0</v>
      </c>
      <c r="Q495" s="66" t="e">
        <f>IF(ISBLANK(M495),0,L495/ROUND(M495,4))</f>
        <v>#DIV/0!</v>
      </c>
      <c r="R495" s="66" t="e">
        <f>IF(ISBLANK(M495),0,Q495*ROUND(N495,2))</f>
        <v>#DIV/0!</v>
      </c>
      <c r="S495" s="69" t="e">
        <f>ROUND(P495,2)*Q495</f>
        <v>#DIV/0!</v>
      </c>
      <c r="T495" s="66" t="e">
        <f>Q495*dagenperjaar1</f>
        <v>#DIV/0!</v>
      </c>
      <c r="U495" s="70" t="e">
        <f>T495*ROUND(P495,2)</f>
        <v>#DIV/0!</v>
      </c>
    </row>
    <row r="496" spans="1:21" x14ac:dyDescent="0.2">
      <c r="A496" s="63" t="s">
        <v>774</v>
      </c>
      <c r="B496" s="64" t="s">
        <v>324</v>
      </c>
      <c r="C496" s="64" t="s">
        <v>345</v>
      </c>
      <c r="D496" s="64" t="s">
        <v>1077</v>
      </c>
      <c r="E496" s="64" t="s">
        <v>324</v>
      </c>
      <c r="F496" s="65" t="s">
        <v>1023</v>
      </c>
      <c r="G496" s="64" t="s">
        <v>365</v>
      </c>
      <c r="H496" s="64" t="s">
        <v>267</v>
      </c>
      <c r="I496" s="64" t="s">
        <v>10</v>
      </c>
      <c r="J496" s="64" t="s">
        <v>201</v>
      </c>
      <c r="K496" s="66">
        <v>10.6</v>
      </c>
      <c r="L496" s="66">
        <f>K496*VLOOKUP(I496,dagsoorttabel1,2,FALSE)</f>
        <v>10.6</v>
      </c>
      <c r="M496" s="67">
        <f>prodnorm65</f>
        <v>0</v>
      </c>
      <c r="N496" s="68">
        <f>dagwerk65</f>
        <v>0</v>
      </c>
      <c r="O496" s="64" t="s">
        <v>38</v>
      </c>
      <c r="P496" s="69">
        <f>uurtarief65</f>
        <v>0</v>
      </c>
      <c r="Q496" s="66" t="e">
        <f>IF(ISBLANK(M496),0,L496/ROUND(M496,4))</f>
        <v>#DIV/0!</v>
      </c>
      <c r="R496" s="66" t="e">
        <f>IF(ISBLANK(M496),0,Q496*ROUND(N496,2))</f>
        <v>#DIV/0!</v>
      </c>
      <c r="S496" s="69" t="e">
        <f>ROUND(P496,2)*Q496</f>
        <v>#DIV/0!</v>
      </c>
      <c r="T496" s="66" t="e">
        <f>Q496*dagenperjaar1</f>
        <v>#DIV/0!</v>
      </c>
      <c r="U496" s="70" t="e">
        <f>T496*ROUND(P496,2)</f>
        <v>#DIV/0!</v>
      </c>
    </row>
    <row r="497" spans="1:21" x14ac:dyDescent="0.2">
      <c r="A497" s="63" t="s">
        <v>774</v>
      </c>
      <c r="B497" s="64" t="s">
        <v>324</v>
      </c>
      <c r="C497" s="64" t="s">
        <v>345</v>
      </c>
      <c r="D497" s="64" t="s">
        <v>1078</v>
      </c>
      <c r="E497" s="64" t="s">
        <v>324</v>
      </c>
      <c r="F497" s="65" t="s">
        <v>996</v>
      </c>
      <c r="G497" s="64" t="s">
        <v>365</v>
      </c>
      <c r="H497" s="64" t="s">
        <v>255</v>
      </c>
      <c r="I497" s="64" t="s">
        <v>10</v>
      </c>
      <c r="J497" s="64" t="s">
        <v>201</v>
      </c>
      <c r="K497" s="66">
        <v>7.8</v>
      </c>
      <c r="L497" s="66">
        <f>K497*VLOOKUP(I497,dagsoorttabel1,2,FALSE)</f>
        <v>7.8</v>
      </c>
      <c r="M497" s="67">
        <f>prodnorm59</f>
        <v>0</v>
      </c>
      <c r="N497" s="68">
        <f>dagwerk59</f>
        <v>0</v>
      </c>
      <c r="O497" s="64" t="s">
        <v>38</v>
      </c>
      <c r="P497" s="69">
        <f>uurtarief59</f>
        <v>0</v>
      </c>
      <c r="Q497" s="66" t="e">
        <f>IF(ISBLANK(M497),0,L497/ROUND(M497,4))</f>
        <v>#DIV/0!</v>
      </c>
      <c r="R497" s="66" t="e">
        <f>IF(ISBLANK(M497),0,Q497*ROUND(N497,2))</f>
        <v>#DIV/0!</v>
      </c>
      <c r="S497" s="69" t="e">
        <f>ROUND(P497,2)*Q497</f>
        <v>#DIV/0!</v>
      </c>
      <c r="T497" s="66" t="e">
        <f>Q497*dagenperjaar1</f>
        <v>#DIV/0!</v>
      </c>
      <c r="U497" s="70" t="e">
        <f>T497*ROUND(P497,2)</f>
        <v>#DIV/0!</v>
      </c>
    </row>
    <row r="498" spans="1:21" x14ac:dyDescent="0.2">
      <c r="A498" s="63" t="s">
        <v>774</v>
      </c>
      <c r="B498" s="64" t="s">
        <v>324</v>
      </c>
      <c r="C498" s="64" t="s">
        <v>345</v>
      </c>
      <c r="D498" s="64" t="s">
        <v>1079</v>
      </c>
      <c r="E498" s="64" t="s">
        <v>324</v>
      </c>
      <c r="F498" s="65" t="s">
        <v>1009</v>
      </c>
      <c r="G498" s="64" t="s">
        <v>365</v>
      </c>
      <c r="H498" s="64" t="s">
        <v>255</v>
      </c>
      <c r="I498" s="64" t="s">
        <v>10</v>
      </c>
      <c r="J498" s="64" t="s">
        <v>201</v>
      </c>
      <c r="K498" s="66">
        <v>8.1</v>
      </c>
      <c r="L498" s="66">
        <f>K498*VLOOKUP(I498,dagsoorttabel1,2,FALSE)</f>
        <v>8.1</v>
      </c>
      <c r="M498" s="67">
        <f>prodnorm59</f>
        <v>0</v>
      </c>
      <c r="N498" s="68">
        <f>dagwerk59</f>
        <v>0</v>
      </c>
      <c r="O498" s="64" t="s">
        <v>38</v>
      </c>
      <c r="P498" s="69">
        <f>uurtarief59</f>
        <v>0</v>
      </c>
      <c r="Q498" s="66" t="e">
        <f>IF(ISBLANK(M498),0,L498/ROUND(M498,4))</f>
        <v>#DIV/0!</v>
      </c>
      <c r="R498" s="66" t="e">
        <f>IF(ISBLANK(M498),0,Q498*ROUND(N498,2))</f>
        <v>#DIV/0!</v>
      </c>
      <c r="S498" s="69" t="e">
        <f>ROUND(P498,2)*Q498</f>
        <v>#DIV/0!</v>
      </c>
      <c r="T498" s="66" t="e">
        <f>Q498*dagenperjaar1</f>
        <v>#DIV/0!</v>
      </c>
      <c r="U498" s="70" t="e">
        <f>T498*ROUND(P498,2)</f>
        <v>#DIV/0!</v>
      </c>
    </row>
    <row r="499" spans="1:21" x14ac:dyDescent="0.2">
      <c r="A499" s="63" t="s">
        <v>774</v>
      </c>
      <c r="B499" s="64" t="s">
        <v>324</v>
      </c>
      <c r="C499" s="64" t="s">
        <v>345</v>
      </c>
      <c r="D499" s="64" t="s">
        <v>1080</v>
      </c>
      <c r="E499" s="64" t="s">
        <v>324</v>
      </c>
      <c r="F499" s="65" t="s">
        <v>1025</v>
      </c>
      <c r="G499" s="64" t="s">
        <v>365</v>
      </c>
      <c r="H499" s="64" t="s">
        <v>255</v>
      </c>
      <c r="I499" s="64" t="s">
        <v>10</v>
      </c>
      <c r="J499" s="64" t="s">
        <v>201</v>
      </c>
      <c r="K499" s="66">
        <v>4.9000000000000004</v>
      </c>
      <c r="L499" s="66">
        <f>K499*VLOOKUP(I499,dagsoorttabel1,2,FALSE)</f>
        <v>4.9000000000000004</v>
      </c>
      <c r="M499" s="67">
        <f>prodnorm59</f>
        <v>0</v>
      </c>
      <c r="N499" s="68">
        <f>dagwerk59</f>
        <v>0</v>
      </c>
      <c r="O499" s="64" t="s">
        <v>38</v>
      </c>
      <c r="P499" s="69">
        <f>uurtarief59</f>
        <v>0</v>
      </c>
      <c r="Q499" s="66" t="e">
        <f>IF(ISBLANK(M499),0,L499/ROUND(M499,4))</f>
        <v>#DIV/0!</v>
      </c>
      <c r="R499" s="66" t="e">
        <f>IF(ISBLANK(M499),0,Q499*ROUND(N499,2))</f>
        <v>#DIV/0!</v>
      </c>
      <c r="S499" s="69" t="e">
        <f>ROUND(P499,2)*Q499</f>
        <v>#DIV/0!</v>
      </c>
      <c r="T499" s="66" t="e">
        <f>Q499*dagenperjaar1</f>
        <v>#DIV/0!</v>
      </c>
      <c r="U499" s="70" t="e">
        <f>T499*ROUND(P499,2)</f>
        <v>#DIV/0!</v>
      </c>
    </row>
    <row r="500" spans="1:21" x14ac:dyDescent="0.2">
      <c r="A500" s="63" t="s">
        <v>774</v>
      </c>
      <c r="B500" s="64" t="s">
        <v>324</v>
      </c>
      <c r="C500" s="64" t="s">
        <v>345</v>
      </c>
      <c r="D500" s="64" t="s">
        <v>1081</v>
      </c>
      <c r="E500" s="64" t="s">
        <v>324</v>
      </c>
      <c r="F500" s="65" t="s">
        <v>998</v>
      </c>
      <c r="G500" s="64" t="s">
        <v>365</v>
      </c>
      <c r="H500" s="64" t="s">
        <v>267</v>
      </c>
      <c r="I500" s="64" t="s">
        <v>10</v>
      </c>
      <c r="J500" s="64" t="s">
        <v>201</v>
      </c>
      <c r="K500" s="66">
        <v>19.5</v>
      </c>
      <c r="L500" s="66">
        <f>K500*VLOOKUP(I500,dagsoorttabel1,2,FALSE)</f>
        <v>19.5</v>
      </c>
      <c r="M500" s="67">
        <f>prodnorm65</f>
        <v>0</v>
      </c>
      <c r="N500" s="68">
        <f>dagwerk65</f>
        <v>0</v>
      </c>
      <c r="O500" s="64" t="s">
        <v>38</v>
      </c>
      <c r="P500" s="69">
        <f>uurtarief65</f>
        <v>0</v>
      </c>
      <c r="Q500" s="66" t="e">
        <f>IF(ISBLANK(M500),0,L500/ROUND(M500,4))</f>
        <v>#DIV/0!</v>
      </c>
      <c r="R500" s="66" t="e">
        <f>IF(ISBLANK(M500),0,Q500*ROUND(N500,2))</f>
        <v>#DIV/0!</v>
      </c>
      <c r="S500" s="69" t="e">
        <f>ROUND(P500,2)*Q500</f>
        <v>#DIV/0!</v>
      </c>
      <c r="T500" s="66" t="e">
        <f>Q500*dagenperjaar1</f>
        <v>#DIV/0!</v>
      </c>
      <c r="U500" s="70" t="e">
        <f>T500*ROUND(P500,2)</f>
        <v>#DIV/0!</v>
      </c>
    </row>
    <row r="501" spans="1:21" x14ac:dyDescent="0.2">
      <c r="A501" s="63" t="s">
        <v>774</v>
      </c>
      <c r="B501" s="64" t="s">
        <v>324</v>
      </c>
      <c r="C501" s="64" t="s">
        <v>323</v>
      </c>
      <c r="D501" s="64" t="s">
        <v>1082</v>
      </c>
      <c r="E501" s="64" t="s">
        <v>324</v>
      </c>
      <c r="F501" s="65" t="s">
        <v>1083</v>
      </c>
      <c r="G501" s="64" t="s">
        <v>365</v>
      </c>
      <c r="H501" s="64" t="s">
        <v>255</v>
      </c>
      <c r="I501" s="64" t="s">
        <v>10</v>
      </c>
      <c r="J501" s="64" t="s">
        <v>201</v>
      </c>
      <c r="K501" s="66">
        <v>16.5</v>
      </c>
      <c r="L501" s="66">
        <f>K501*VLOOKUP(I501,dagsoorttabel1,2,FALSE)</f>
        <v>16.5</v>
      </c>
      <c r="M501" s="67">
        <f>prodnorm59</f>
        <v>0</v>
      </c>
      <c r="N501" s="68">
        <f>dagwerk59</f>
        <v>0</v>
      </c>
      <c r="O501" s="64" t="s">
        <v>38</v>
      </c>
      <c r="P501" s="69">
        <f>uurtarief59</f>
        <v>0</v>
      </c>
      <c r="Q501" s="66" t="e">
        <f>IF(ISBLANK(M501),0,L501/ROUND(M501,4))</f>
        <v>#DIV/0!</v>
      </c>
      <c r="R501" s="66" t="e">
        <f>IF(ISBLANK(M501),0,Q501*ROUND(N501,2))</f>
        <v>#DIV/0!</v>
      </c>
      <c r="S501" s="69" t="e">
        <f>ROUND(P501,2)*Q501</f>
        <v>#DIV/0!</v>
      </c>
      <c r="T501" s="66" t="e">
        <f>Q501*dagenperjaar1</f>
        <v>#DIV/0!</v>
      </c>
      <c r="U501" s="70" t="e">
        <f>T501*ROUND(P501,2)</f>
        <v>#DIV/0!</v>
      </c>
    </row>
    <row r="502" spans="1:21" x14ac:dyDescent="0.2">
      <c r="A502" s="63" t="s">
        <v>774</v>
      </c>
      <c r="B502" s="64" t="s">
        <v>324</v>
      </c>
      <c r="C502" s="64" t="s">
        <v>323</v>
      </c>
      <c r="D502" s="64" t="s">
        <v>1084</v>
      </c>
      <c r="E502" s="64" t="s">
        <v>324</v>
      </c>
      <c r="F502" s="65" t="s">
        <v>1004</v>
      </c>
      <c r="G502" s="64" t="s">
        <v>365</v>
      </c>
      <c r="H502" s="64" t="s">
        <v>229</v>
      </c>
      <c r="I502" s="64" t="s">
        <v>10</v>
      </c>
      <c r="J502" s="64" t="s">
        <v>201</v>
      </c>
      <c r="K502" s="66">
        <v>55.9</v>
      </c>
      <c r="L502" s="66">
        <f>K502*VLOOKUP(I502,dagsoorttabel1,2,FALSE)</f>
        <v>55.9</v>
      </c>
      <c r="M502" s="67">
        <f>prodnorm43</f>
        <v>0</v>
      </c>
      <c r="N502" s="68">
        <f>dagwerk43</f>
        <v>0</v>
      </c>
      <c r="O502" s="64" t="s">
        <v>38</v>
      </c>
      <c r="P502" s="69">
        <f>uurtarief43</f>
        <v>0</v>
      </c>
      <c r="Q502" s="66" t="e">
        <f>IF(ISBLANK(M502),0,L502/ROUND(M502,4))</f>
        <v>#DIV/0!</v>
      </c>
      <c r="R502" s="66" t="e">
        <f>IF(ISBLANK(M502),0,Q502*ROUND(N502,2))</f>
        <v>#DIV/0!</v>
      </c>
      <c r="S502" s="69" t="e">
        <f>ROUND(P502,2)*Q502</f>
        <v>#DIV/0!</v>
      </c>
      <c r="T502" s="66" t="e">
        <f>Q502*dagenperjaar1</f>
        <v>#DIV/0!</v>
      </c>
      <c r="U502" s="70" t="e">
        <f>T502*ROUND(P502,2)</f>
        <v>#DIV/0!</v>
      </c>
    </row>
    <row r="503" spans="1:21" x14ac:dyDescent="0.2">
      <c r="A503" s="63" t="s">
        <v>774</v>
      </c>
      <c r="B503" s="64" t="s">
        <v>324</v>
      </c>
      <c r="C503" s="64" t="s">
        <v>323</v>
      </c>
      <c r="D503" s="64" t="s">
        <v>1085</v>
      </c>
      <c r="E503" s="64" t="s">
        <v>324</v>
      </c>
      <c r="F503" s="65" t="s">
        <v>1020</v>
      </c>
      <c r="G503" s="64" t="s">
        <v>365</v>
      </c>
      <c r="H503" s="64" t="s">
        <v>267</v>
      </c>
      <c r="I503" s="64" t="s">
        <v>10</v>
      </c>
      <c r="J503" s="64" t="s">
        <v>201</v>
      </c>
      <c r="K503" s="66">
        <v>32.299999999999997</v>
      </c>
      <c r="L503" s="66">
        <f>K503*VLOOKUP(I503,dagsoorttabel1,2,FALSE)</f>
        <v>32.299999999999997</v>
      </c>
      <c r="M503" s="67">
        <f>prodnorm65</f>
        <v>0</v>
      </c>
      <c r="N503" s="68">
        <f>dagwerk65</f>
        <v>0</v>
      </c>
      <c r="O503" s="64" t="s">
        <v>38</v>
      </c>
      <c r="P503" s="69">
        <f>uurtarief65</f>
        <v>0</v>
      </c>
      <c r="Q503" s="66" t="e">
        <f>IF(ISBLANK(M503),0,L503/ROUND(M503,4))</f>
        <v>#DIV/0!</v>
      </c>
      <c r="R503" s="66" t="e">
        <f>IF(ISBLANK(M503),0,Q503*ROUND(N503,2))</f>
        <v>#DIV/0!</v>
      </c>
      <c r="S503" s="69" t="e">
        <f>ROUND(P503,2)*Q503</f>
        <v>#DIV/0!</v>
      </c>
      <c r="T503" s="66" t="e">
        <f>Q503*dagenperjaar1</f>
        <v>#DIV/0!</v>
      </c>
      <c r="U503" s="70" t="e">
        <f>T503*ROUND(P503,2)</f>
        <v>#DIV/0!</v>
      </c>
    </row>
    <row r="504" spans="1:21" x14ac:dyDescent="0.2">
      <c r="A504" s="63" t="s">
        <v>774</v>
      </c>
      <c r="B504" s="64" t="s">
        <v>324</v>
      </c>
      <c r="C504" s="64" t="s">
        <v>323</v>
      </c>
      <c r="D504" s="64" t="s">
        <v>1086</v>
      </c>
      <c r="E504" s="64" t="s">
        <v>324</v>
      </c>
      <c r="F504" s="65" t="s">
        <v>1004</v>
      </c>
      <c r="G504" s="64" t="s">
        <v>365</v>
      </c>
      <c r="H504" s="64" t="s">
        <v>229</v>
      </c>
      <c r="I504" s="64" t="s">
        <v>10</v>
      </c>
      <c r="J504" s="64" t="s">
        <v>201</v>
      </c>
      <c r="K504" s="66">
        <v>72.900000000000006</v>
      </c>
      <c r="L504" s="66">
        <f>K504*VLOOKUP(I504,dagsoorttabel1,2,FALSE)</f>
        <v>72.900000000000006</v>
      </c>
      <c r="M504" s="67">
        <f>prodnorm43</f>
        <v>0</v>
      </c>
      <c r="N504" s="68">
        <f>dagwerk43</f>
        <v>0</v>
      </c>
      <c r="O504" s="64" t="s">
        <v>38</v>
      </c>
      <c r="P504" s="69">
        <f>uurtarief43</f>
        <v>0</v>
      </c>
      <c r="Q504" s="66" t="e">
        <f>IF(ISBLANK(M504),0,L504/ROUND(M504,4))</f>
        <v>#DIV/0!</v>
      </c>
      <c r="R504" s="66" t="e">
        <f>IF(ISBLANK(M504),0,Q504*ROUND(N504,2))</f>
        <v>#DIV/0!</v>
      </c>
      <c r="S504" s="69" t="e">
        <f>ROUND(P504,2)*Q504</f>
        <v>#DIV/0!</v>
      </c>
      <c r="T504" s="66" t="e">
        <f>Q504*dagenperjaar1</f>
        <v>#DIV/0!</v>
      </c>
      <c r="U504" s="70" t="e">
        <f>T504*ROUND(P504,2)</f>
        <v>#DIV/0!</v>
      </c>
    </row>
    <row r="505" spans="1:21" x14ac:dyDescent="0.2">
      <c r="A505" s="63" t="s">
        <v>774</v>
      </c>
      <c r="B505" s="64" t="s">
        <v>324</v>
      </c>
      <c r="C505" s="64" t="s">
        <v>323</v>
      </c>
      <c r="D505" s="64" t="s">
        <v>1087</v>
      </c>
      <c r="E505" s="64" t="s">
        <v>324</v>
      </c>
      <c r="F505" s="65" t="s">
        <v>1088</v>
      </c>
      <c r="G505" s="64" t="s">
        <v>365</v>
      </c>
      <c r="H505" s="64" t="s">
        <v>200</v>
      </c>
      <c r="I505" s="64" t="s">
        <v>10</v>
      </c>
      <c r="J505" s="64" t="s">
        <v>201</v>
      </c>
      <c r="K505" s="66">
        <v>12.9</v>
      </c>
      <c r="L505" s="66">
        <f>K505*VLOOKUP(I505,dagsoorttabel1,2,FALSE)</f>
        <v>12.9</v>
      </c>
      <c r="M505" s="67">
        <f>prodnorm24</f>
        <v>0</v>
      </c>
      <c r="N505" s="68">
        <f>dagwerk24</f>
        <v>0</v>
      </c>
      <c r="O505" s="64" t="s">
        <v>38</v>
      </c>
      <c r="P505" s="69">
        <f>uurtarief24</f>
        <v>0</v>
      </c>
      <c r="Q505" s="66" t="e">
        <f>IF(ISBLANK(M505),0,L505/ROUND(M505,4))</f>
        <v>#DIV/0!</v>
      </c>
      <c r="R505" s="66" t="e">
        <f>IF(ISBLANK(M505),0,Q505*ROUND(N505,2))</f>
        <v>#DIV/0!</v>
      </c>
      <c r="S505" s="69" t="e">
        <f>ROUND(P505,2)*Q505</f>
        <v>#DIV/0!</v>
      </c>
      <c r="T505" s="66" t="e">
        <f>Q505*dagenperjaar1</f>
        <v>#DIV/0!</v>
      </c>
      <c r="U505" s="70" t="e">
        <f>T505*ROUND(P505,2)</f>
        <v>#DIV/0!</v>
      </c>
    </row>
    <row r="506" spans="1:21" x14ac:dyDescent="0.2">
      <c r="A506" s="63" t="s">
        <v>774</v>
      </c>
      <c r="B506" s="64" t="s">
        <v>324</v>
      </c>
      <c r="C506" s="64" t="s">
        <v>323</v>
      </c>
      <c r="D506" s="64" t="s">
        <v>1089</v>
      </c>
      <c r="E506" s="64" t="s">
        <v>324</v>
      </c>
      <c r="F506" s="65" t="s">
        <v>1090</v>
      </c>
      <c r="G506" s="64" t="s">
        <v>365</v>
      </c>
      <c r="H506" s="64" t="s">
        <v>229</v>
      </c>
      <c r="I506" s="64" t="s">
        <v>10</v>
      </c>
      <c r="J506" s="64" t="s">
        <v>201</v>
      </c>
      <c r="K506" s="66">
        <v>97.7</v>
      </c>
      <c r="L506" s="66">
        <f>K506*VLOOKUP(I506,dagsoorttabel1,2,FALSE)</f>
        <v>97.7</v>
      </c>
      <c r="M506" s="67">
        <f>prodnorm43</f>
        <v>0</v>
      </c>
      <c r="N506" s="68">
        <f>dagwerk43</f>
        <v>0</v>
      </c>
      <c r="O506" s="64" t="s">
        <v>38</v>
      </c>
      <c r="P506" s="69">
        <f>uurtarief43</f>
        <v>0</v>
      </c>
      <c r="Q506" s="66" t="e">
        <f>IF(ISBLANK(M506),0,L506/ROUND(M506,4))</f>
        <v>#DIV/0!</v>
      </c>
      <c r="R506" s="66" t="e">
        <f>IF(ISBLANK(M506),0,Q506*ROUND(N506,2))</f>
        <v>#DIV/0!</v>
      </c>
      <c r="S506" s="69" t="e">
        <f>ROUND(P506,2)*Q506</f>
        <v>#DIV/0!</v>
      </c>
      <c r="T506" s="66" t="e">
        <f>Q506*dagenperjaar1</f>
        <v>#DIV/0!</v>
      </c>
      <c r="U506" s="70" t="e">
        <f>T506*ROUND(P506,2)</f>
        <v>#DIV/0!</v>
      </c>
    </row>
    <row r="507" spans="1:21" x14ac:dyDescent="0.2">
      <c r="A507" s="63" t="s">
        <v>774</v>
      </c>
      <c r="B507" s="64" t="s">
        <v>324</v>
      </c>
      <c r="C507" s="64" t="s">
        <v>323</v>
      </c>
      <c r="D507" s="64" t="s">
        <v>1091</v>
      </c>
      <c r="E507" s="64" t="s">
        <v>324</v>
      </c>
      <c r="F507" s="65" t="s">
        <v>1090</v>
      </c>
      <c r="G507" s="64" t="s">
        <v>365</v>
      </c>
      <c r="H507" s="64" t="s">
        <v>229</v>
      </c>
      <c r="I507" s="64" t="s">
        <v>10</v>
      </c>
      <c r="J507" s="64" t="s">
        <v>201</v>
      </c>
      <c r="K507" s="66">
        <v>48.8</v>
      </c>
      <c r="L507" s="66">
        <f>K507*VLOOKUP(I507,dagsoorttabel1,2,FALSE)</f>
        <v>48.8</v>
      </c>
      <c r="M507" s="67">
        <f>prodnorm43</f>
        <v>0</v>
      </c>
      <c r="N507" s="68">
        <f>dagwerk43</f>
        <v>0</v>
      </c>
      <c r="O507" s="64" t="s">
        <v>38</v>
      </c>
      <c r="P507" s="69">
        <f>uurtarief43</f>
        <v>0</v>
      </c>
      <c r="Q507" s="66" t="e">
        <f>IF(ISBLANK(M507),0,L507/ROUND(M507,4))</f>
        <v>#DIV/0!</v>
      </c>
      <c r="R507" s="66" t="e">
        <f>IF(ISBLANK(M507),0,Q507*ROUND(N507,2))</f>
        <v>#DIV/0!</v>
      </c>
      <c r="S507" s="69" t="e">
        <f>ROUND(P507,2)*Q507</f>
        <v>#DIV/0!</v>
      </c>
      <c r="T507" s="66" t="e">
        <f>Q507*dagenperjaar1</f>
        <v>#DIV/0!</v>
      </c>
      <c r="U507" s="70" t="e">
        <f>T507*ROUND(P507,2)</f>
        <v>#DIV/0!</v>
      </c>
    </row>
    <row r="508" spans="1:21" x14ac:dyDescent="0.2">
      <c r="A508" s="63" t="s">
        <v>774</v>
      </c>
      <c r="B508" s="64" t="s">
        <v>324</v>
      </c>
      <c r="C508" s="64" t="s">
        <v>323</v>
      </c>
      <c r="D508" s="64" t="s">
        <v>1092</v>
      </c>
      <c r="E508" s="64" t="s">
        <v>324</v>
      </c>
      <c r="F508" s="65" t="s">
        <v>1093</v>
      </c>
      <c r="G508" s="64" t="s">
        <v>365</v>
      </c>
      <c r="H508" s="64" t="s">
        <v>205</v>
      </c>
      <c r="I508" s="64" t="s">
        <v>10</v>
      </c>
      <c r="J508" s="64" t="s">
        <v>201</v>
      </c>
      <c r="K508" s="66">
        <v>26.6</v>
      </c>
      <c r="L508" s="66">
        <f>K508*VLOOKUP(I508,dagsoorttabel1,2,FALSE)</f>
        <v>26.6</v>
      </c>
      <c r="M508" s="67">
        <f>prodnorm26</f>
        <v>0</v>
      </c>
      <c r="N508" s="68">
        <f>dagwerk26</f>
        <v>0</v>
      </c>
      <c r="O508" s="64" t="s">
        <v>38</v>
      </c>
      <c r="P508" s="69">
        <f>uurtarief26</f>
        <v>0</v>
      </c>
      <c r="Q508" s="66" t="e">
        <f>IF(ISBLANK(M508),0,L508/ROUND(M508,4))</f>
        <v>#DIV/0!</v>
      </c>
      <c r="R508" s="66" t="e">
        <f>IF(ISBLANK(M508),0,Q508*ROUND(N508,2))</f>
        <v>#DIV/0!</v>
      </c>
      <c r="S508" s="69" t="e">
        <f>ROUND(P508,2)*Q508</f>
        <v>#DIV/0!</v>
      </c>
      <c r="T508" s="66" t="e">
        <f>Q508*dagenperjaar1</f>
        <v>#DIV/0!</v>
      </c>
      <c r="U508" s="70" t="e">
        <f>T508*ROUND(P508,2)</f>
        <v>#DIV/0!</v>
      </c>
    </row>
    <row r="509" spans="1:21" x14ac:dyDescent="0.2">
      <c r="A509" s="63" t="s">
        <v>774</v>
      </c>
      <c r="B509" s="64" t="s">
        <v>324</v>
      </c>
      <c r="C509" s="64" t="s">
        <v>323</v>
      </c>
      <c r="D509" s="64" t="s">
        <v>1094</v>
      </c>
      <c r="E509" s="64" t="s">
        <v>324</v>
      </c>
      <c r="F509" s="65" t="s">
        <v>1095</v>
      </c>
      <c r="G509" s="64" t="s">
        <v>365</v>
      </c>
      <c r="H509" s="64" t="s">
        <v>205</v>
      </c>
      <c r="I509" s="64" t="s">
        <v>10</v>
      </c>
      <c r="J509" s="64" t="s">
        <v>201</v>
      </c>
      <c r="K509" s="66">
        <v>25</v>
      </c>
      <c r="L509" s="66">
        <f>K509*VLOOKUP(I509,dagsoorttabel1,2,FALSE)</f>
        <v>25</v>
      </c>
      <c r="M509" s="67">
        <f>prodnorm26</f>
        <v>0</v>
      </c>
      <c r="N509" s="68">
        <f>dagwerk26</f>
        <v>0</v>
      </c>
      <c r="O509" s="64" t="s">
        <v>38</v>
      </c>
      <c r="P509" s="69">
        <f>uurtarief26</f>
        <v>0</v>
      </c>
      <c r="Q509" s="66" t="e">
        <f>IF(ISBLANK(M509),0,L509/ROUND(M509,4))</f>
        <v>#DIV/0!</v>
      </c>
      <c r="R509" s="66" t="e">
        <f>IF(ISBLANK(M509),0,Q509*ROUND(N509,2))</f>
        <v>#DIV/0!</v>
      </c>
      <c r="S509" s="69" t="e">
        <f>ROUND(P509,2)*Q509</f>
        <v>#DIV/0!</v>
      </c>
      <c r="T509" s="66" t="e">
        <f>Q509*dagenperjaar1</f>
        <v>#DIV/0!</v>
      </c>
      <c r="U509" s="70" t="e">
        <f>T509*ROUND(P509,2)</f>
        <v>#DIV/0!</v>
      </c>
    </row>
    <row r="510" spans="1:21" x14ac:dyDescent="0.2">
      <c r="A510" s="63" t="s">
        <v>774</v>
      </c>
      <c r="B510" s="64" t="s">
        <v>324</v>
      </c>
      <c r="C510" s="64" t="s">
        <v>323</v>
      </c>
      <c r="D510" s="64" t="s">
        <v>1096</v>
      </c>
      <c r="E510" s="64" t="s">
        <v>324</v>
      </c>
      <c r="F510" s="65" t="s">
        <v>1097</v>
      </c>
      <c r="G510" s="64" t="s">
        <v>365</v>
      </c>
      <c r="H510" s="64" t="s">
        <v>205</v>
      </c>
      <c r="I510" s="64" t="s">
        <v>10</v>
      </c>
      <c r="J510" s="64" t="s">
        <v>201</v>
      </c>
      <c r="K510" s="66">
        <v>27</v>
      </c>
      <c r="L510" s="66">
        <f>K510*VLOOKUP(I510,dagsoorttabel1,2,FALSE)</f>
        <v>27</v>
      </c>
      <c r="M510" s="67">
        <f>prodnorm26</f>
        <v>0</v>
      </c>
      <c r="N510" s="68">
        <f>dagwerk26</f>
        <v>0</v>
      </c>
      <c r="O510" s="64" t="s">
        <v>38</v>
      </c>
      <c r="P510" s="69">
        <f>uurtarief26</f>
        <v>0</v>
      </c>
      <c r="Q510" s="66" t="e">
        <f>IF(ISBLANK(M510),0,L510/ROUND(M510,4))</f>
        <v>#DIV/0!</v>
      </c>
      <c r="R510" s="66" t="e">
        <f>IF(ISBLANK(M510),0,Q510*ROUND(N510,2))</f>
        <v>#DIV/0!</v>
      </c>
      <c r="S510" s="69" t="e">
        <f>ROUND(P510,2)*Q510</f>
        <v>#DIV/0!</v>
      </c>
      <c r="T510" s="66" t="e">
        <f>Q510*dagenperjaar1</f>
        <v>#DIV/0!</v>
      </c>
      <c r="U510" s="70" t="e">
        <f>T510*ROUND(P510,2)</f>
        <v>#DIV/0!</v>
      </c>
    </row>
    <row r="511" spans="1:21" x14ac:dyDescent="0.2">
      <c r="A511" s="63" t="s">
        <v>774</v>
      </c>
      <c r="B511" s="64" t="s">
        <v>324</v>
      </c>
      <c r="C511" s="64" t="s">
        <v>323</v>
      </c>
      <c r="D511" s="64" t="s">
        <v>1098</v>
      </c>
      <c r="E511" s="64" t="s">
        <v>324</v>
      </c>
      <c r="F511" s="65" t="s">
        <v>1099</v>
      </c>
      <c r="G511" s="64" t="s">
        <v>365</v>
      </c>
      <c r="H511" s="64" t="s">
        <v>267</v>
      </c>
      <c r="I511" s="64" t="s">
        <v>10</v>
      </c>
      <c r="J511" s="64" t="s">
        <v>201</v>
      </c>
      <c r="K511" s="66">
        <v>65.5</v>
      </c>
      <c r="L511" s="66">
        <f>K511*VLOOKUP(I511,dagsoorttabel1,2,FALSE)</f>
        <v>65.5</v>
      </c>
      <c r="M511" s="67">
        <f>prodnorm65</f>
        <v>0</v>
      </c>
      <c r="N511" s="68">
        <f>dagwerk65</f>
        <v>0</v>
      </c>
      <c r="O511" s="64" t="s">
        <v>38</v>
      </c>
      <c r="P511" s="69">
        <f>uurtarief65</f>
        <v>0</v>
      </c>
      <c r="Q511" s="66" t="e">
        <f>IF(ISBLANK(M511),0,L511/ROUND(M511,4))</f>
        <v>#DIV/0!</v>
      </c>
      <c r="R511" s="66" t="e">
        <f>IF(ISBLANK(M511),0,Q511*ROUND(N511,2))</f>
        <v>#DIV/0!</v>
      </c>
      <c r="S511" s="69" t="e">
        <f>ROUND(P511,2)*Q511</f>
        <v>#DIV/0!</v>
      </c>
      <c r="T511" s="66" t="e">
        <f>Q511*dagenperjaar1</f>
        <v>#DIV/0!</v>
      </c>
      <c r="U511" s="70" t="e">
        <f>T511*ROUND(P511,2)</f>
        <v>#DIV/0!</v>
      </c>
    </row>
    <row r="512" spans="1:21" x14ac:dyDescent="0.2">
      <c r="A512" s="63" t="s">
        <v>774</v>
      </c>
      <c r="B512" s="64" t="s">
        <v>324</v>
      </c>
      <c r="C512" s="64" t="s">
        <v>323</v>
      </c>
      <c r="D512" s="64" t="s">
        <v>1100</v>
      </c>
      <c r="E512" s="64" t="s">
        <v>324</v>
      </c>
      <c r="F512" s="65" t="s">
        <v>1020</v>
      </c>
      <c r="G512" s="64" t="s">
        <v>365</v>
      </c>
      <c r="H512" s="64" t="s">
        <v>267</v>
      </c>
      <c r="I512" s="64" t="s">
        <v>10</v>
      </c>
      <c r="J512" s="64" t="s">
        <v>201</v>
      </c>
      <c r="K512" s="66">
        <v>48.1</v>
      </c>
      <c r="L512" s="66">
        <f>K512*VLOOKUP(I512,dagsoorttabel1,2,FALSE)</f>
        <v>48.1</v>
      </c>
      <c r="M512" s="67">
        <f>prodnorm65</f>
        <v>0</v>
      </c>
      <c r="N512" s="68">
        <f>dagwerk65</f>
        <v>0</v>
      </c>
      <c r="O512" s="64" t="s">
        <v>38</v>
      </c>
      <c r="P512" s="69">
        <f>uurtarief65</f>
        <v>0</v>
      </c>
      <c r="Q512" s="66" t="e">
        <f>IF(ISBLANK(M512),0,L512/ROUND(M512,4))</f>
        <v>#DIV/0!</v>
      </c>
      <c r="R512" s="66" t="e">
        <f>IF(ISBLANK(M512),0,Q512*ROUND(N512,2))</f>
        <v>#DIV/0!</v>
      </c>
      <c r="S512" s="69" t="e">
        <f>ROUND(P512,2)*Q512</f>
        <v>#DIV/0!</v>
      </c>
      <c r="T512" s="66" t="e">
        <f>Q512*dagenperjaar1</f>
        <v>#DIV/0!</v>
      </c>
      <c r="U512" s="70" t="e">
        <f>T512*ROUND(P512,2)</f>
        <v>#DIV/0!</v>
      </c>
    </row>
    <row r="513" spans="1:21" x14ac:dyDescent="0.2">
      <c r="A513" s="63" t="s">
        <v>774</v>
      </c>
      <c r="B513" s="64" t="s">
        <v>324</v>
      </c>
      <c r="C513" s="64" t="s">
        <v>323</v>
      </c>
      <c r="D513" s="64" t="s">
        <v>1101</v>
      </c>
      <c r="E513" s="64" t="s">
        <v>324</v>
      </c>
      <c r="F513" s="65" t="s">
        <v>1011</v>
      </c>
      <c r="G513" s="64" t="s">
        <v>365</v>
      </c>
      <c r="H513" s="64" t="s">
        <v>267</v>
      </c>
      <c r="I513" s="64" t="s">
        <v>10</v>
      </c>
      <c r="J513" s="64" t="s">
        <v>201</v>
      </c>
      <c r="K513" s="66">
        <v>116.4</v>
      </c>
      <c r="L513" s="66">
        <f>K513*VLOOKUP(I513,dagsoorttabel1,2,FALSE)</f>
        <v>116.4</v>
      </c>
      <c r="M513" s="67">
        <f>prodnorm65</f>
        <v>0</v>
      </c>
      <c r="N513" s="68">
        <f>dagwerk65</f>
        <v>0</v>
      </c>
      <c r="O513" s="64" t="s">
        <v>38</v>
      </c>
      <c r="P513" s="69">
        <f>uurtarief65</f>
        <v>0</v>
      </c>
      <c r="Q513" s="66" t="e">
        <f>IF(ISBLANK(M513),0,L513/ROUND(M513,4))</f>
        <v>#DIV/0!</v>
      </c>
      <c r="R513" s="66" t="e">
        <f>IF(ISBLANK(M513),0,Q513*ROUND(N513,2))</f>
        <v>#DIV/0!</v>
      </c>
      <c r="S513" s="69" t="e">
        <f>ROUND(P513,2)*Q513</f>
        <v>#DIV/0!</v>
      </c>
      <c r="T513" s="66" t="e">
        <f>Q513*dagenperjaar1</f>
        <v>#DIV/0!</v>
      </c>
      <c r="U513" s="70" t="e">
        <f>T513*ROUND(P513,2)</f>
        <v>#DIV/0!</v>
      </c>
    </row>
    <row r="514" spans="1:21" x14ac:dyDescent="0.2">
      <c r="A514" s="63" t="s">
        <v>774</v>
      </c>
      <c r="B514" s="64" t="s">
        <v>324</v>
      </c>
      <c r="C514" s="64" t="s">
        <v>323</v>
      </c>
      <c r="D514" s="64" t="s">
        <v>1102</v>
      </c>
      <c r="E514" s="64" t="s">
        <v>324</v>
      </c>
      <c r="F514" s="65" t="s">
        <v>1103</v>
      </c>
      <c r="G514" s="64" t="s">
        <v>365</v>
      </c>
      <c r="H514" s="64" t="s">
        <v>205</v>
      </c>
      <c r="I514" s="64" t="s">
        <v>10</v>
      </c>
      <c r="J514" s="64" t="s">
        <v>201</v>
      </c>
      <c r="K514" s="66">
        <v>59.2</v>
      </c>
      <c r="L514" s="66">
        <f>K514*VLOOKUP(I514,dagsoorttabel1,2,FALSE)</f>
        <v>59.2</v>
      </c>
      <c r="M514" s="67">
        <f>prodnorm26</f>
        <v>0</v>
      </c>
      <c r="N514" s="68">
        <f>dagwerk26</f>
        <v>0</v>
      </c>
      <c r="O514" s="64" t="s">
        <v>38</v>
      </c>
      <c r="P514" s="69">
        <f>uurtarief26</f>
        <v>0</v>
      </c>
      <c r="Q514" s="66" t="e">
        <f>IF(ISBLANK(M514),0,L514/ROUND(M514,4))</f>
        <v>#DIV/0!</v>
      </c>
      <c r="R514" s="66" t="e">
        <f>IF(ISBLANK(M514),0,Q514*ROUND(N514,2))</f>
        <v>#DIV/0!</v>
      </c>
      <c r="S514" s="69" t="e">
        <f>ROUND(P514,2)*Q514</f>
        <v>#DIV/0!</v>
      </c>
      <c r="T514" s="66" t="e">
        <f>Q514*dagenperjaar1</f>
        <v>#DIV/0!</v>
      </c>
      <c r="U514" s="70" t="e">
        <f>T514*ROUND(P514,2)</f>
        <v>#DIV/0!</v>
      </c>
    </row>
    <row r="515" spans="1:21" x14ac:dyDescent="0.2">
      <c r="A515" s="63" t="s">
        <v>774</v>
      </c>
      <c r="B515" s="64" t="s">
        <v>324</v>
      </c>
      <c r="C515" s="64" t="s">
        <v>323</v>
      </c>
      <c r="D515" s="64" t="s">
        <v>1104</v>
      </c>
      <c r="E515" s="64" t="s">
        <v>324</v>
      </c>
      <c r="F515" s="65" t="s">
        <v>1105</v>
      </c>
      <c r="G515" s="64" t="s">
        <v>365</v>
      </c>
      <c r="H515" s="64" t="s">
        <v>205</v>
      </c>
      <c r="I515" s="64" t="s">
        <v>10</v>
      </c>
      <c r="J515" s="64" t="s">
        <v>201</v>
      </c>
      <c r="K515" s="66">
        <v>30.4</v>
      </c>
      <c r="L515" s="66">
        <f>K515*VLOOKUP(I515,dagsoorttabel1,2,FALSE)</f>
        <v>30.4</v>
      </c>
      <c r="M515" s="67">
        <f>prodnorm26</f>
        <v>0</v>
      </c>
      <c r="N515" s="68">
        <f>dagwerk26</f>
        <v>0</v>
      </c>
      <c r="O515" s="64" t="s">
        <v>38</v>
      </c>
      <c r="P515" s="69">
        <f>uurtarief26</f>
        <v>0</v>
      </c>
      <c r="Q515" s="66" t="e">
        <f>IF(ISBLANK(M515),0,L515/ROUND(M515,4))</f>
        <v>#DIV/0!</v>
      </c>
      <c r="R515" s="66" t="e">
        <f>IF(ISBLANK(M515),0,Q515*ROUND(N515,2))</f>
        <v>#DIV/0!</v>
      </c>
      <c r="S515" s="69" t="e">
        <f>ROUND(P515,2)*Q515</f>
        <v>#DIV/0!</v>
      </c>
      <c r="T515" s="66" t="e">
        <f>Q515*dagenperjaar1</f>
        <v>#DIV/0!</v>
      </c>
      <c r="U515" s="70" t="e">
        <f>T515*ROUND(P515,2)</f>
        <v>#DIV/0!</v>
      </c>
    </row>
    <row r="516" spans="1:21" x14ac:dyDescent="0.2">
      <c r="A516" s="63" t="s">
        <v>774</v>
      </c>
      <c r="B516" s="64" t="s">
        <v>324</v>
      </c>
      <c r="C516" s="64" t="s">
        <v>323</v>
      </c>
      <c r="D516" s="64" t="s">
        <v>1106</v>
      </c>
      <c r="E516" s="64" t="s">
        <v>324</v>
      </c>
      <c r="F516" s="65" t="s">
        <v>1004</v>
      </c>
      <c r="G516" s="64" t="s">
        <v>365</v>
      </c>
      <c r="H516" s="64" t="s">
        <v>229</v>
      </c>
      <c r="I516" s="64" t="s">
        <v>10</v>
      </c>
      <c r="J516" s="64" t="s">
        <v>201</v>
      </c>
      <c r="K516" s="66">
        <v>59.5</v>
      </c>
      <c r="L516" s="66">
        <f>K516*VLOOKUP(I516,dagsoorttabel1,2,FALSE)</f>
        <v>59.5</v>
      </c>
      <c r="M516" s="67">
        <f>prodnorm43</f>
        <v>0</v>
      </c>
      <c r="N516" s="68">
        <f>dagwerk43</f>
        <v>0</v>
      </c>
      <c r="O516" s="64" t="s">
        <v>38</v>
      </c>
      <c r="P516" s="69">
        <f>uurtarief43</f>
        <v>0</v>
      </c>
      <c r="Q516" s="66" t="e">
        <f>IF(ISBLANK(M516),0,L516/ROUND(M516,4))</f>
        <v>#DIV/0!</v>
      </c>
      <c r="R516" s="66" t="e">
        <f>IF(ISBLANK(M516),0,Q516*ROUND(N516,2))</f>
        <v>#DIV/0!</v>
      </c>
      <c r="S516" s="69" t="e">
        <f>ROUND(P516,2)*Q516</f>
        <v>#DIV/0!</v>
      </c>
      <c r="T516" s="66" t="e">
        <f>Q516*dagenperjaar1</f>
        <v>#DIV/0!</v>
      </c>
      <c r="U516" s="70" t="e">
        <f>T516*ROUND(P516,2)</f>
        <v>#DIV/0!</v>
      </c>
    </row>
    <row r="517" spans="1:21" x14ac:dyDescent="0.2">
      <c r="A517" s="63" t="s">
        <v>774</v>
      </c>
      <c r="B517" s="64" t="s">
        <v>324</v>
      </c>
      <c r="C517" s="64" t="s">
        <v>323</v>
      </c>
      <c r="D517" s="64" t="s">
        <v>1107</v>
      </c>
      <c r="E517" s="64" t="s">
        <v>324</v>
      </c>
      <c r="F517" s="65" t="s">
        <v>1004</v>
      </c>
      <c r="G517" s="64" t="s">
        <v>365</v>
      </c>
      <c r="H517" s="64" t="s">
        <v>229</v>
      </c>
      <c r="I517" s="64" t="s">
        <v>10</v>
      </c>
      <c r="J517" s="64" t="s">
        <v>201</v>
      </c>
      <c r="K517" s="66">
        <v>51.5</v>
      </c>
      <c r="L517" s="66">
        <f>K517*VLOOKUP(I517,dagsoorttabel1,2,FALSE)</f>
        <v>51.5</v>
      </c>
      <c r="M517" s="67">
        <f>prodnorm43</f>
        <v>0</v>
      </c>
      <c r="N517" s="68">
        <f>dagwerk43</f>
        <v>0</v>
      </c>
      <c r="O517" s="64" t="s">
        <v>38</v>
      </c>
      <c r="P517" s="69">
        <f>uurtarief43</f>
        <v>0</v>
      </c>
      <c r="Q517" s="66" t="e">
        <f>IF(ISBLANK(M517),0,L517/ROUND(M517,4))</f>
        <v>#DIV/0!</v>
      </c>
      <c r="R517" s="66" t="e">
        <f>IF(ISBLANK(M517),0,Q517*ROUND(N517,2))</f>
        <v>#DIV/0!</v>
      </c>
      <c r="S517" s="69" t="e">
        <f>ROUND(P517,2)*Q517</f>
        <v>#DIV/0!</v>
      </c>
      <c r="T517" s="66" t="e">
        <f>Q517*dagenperjaar1</f>
        <v>#DIV/0!</v>
      </c>
      <c r="U517" s="70" t="e">
        <f>T517*ROUND(P517,2)</f>
        <v>#DIV/0!</v>
      </c>
    </row>
    <row r="518" spans="1:21" x14ac:dyDescent="0.2">
      <c r="A518" s="63" t="s">
        <v>774</v>
      </c>
      <c r="B518" s="64" t="s">
        <v>324</v>
      </c>
      <c r="C518" s="64" t="s">
        <v>323</v>
      </c>
      <c r="D518" s="64" t="s">
        <v>1108</v>
      </c>
      <c r="E518" s="64" t="s">
        <v>324</v>
      </c>
      <c r="F518" s="65" t="s">
        <v>1004</v>
      </c>
      <c r="G518" s="64" t="s">
        <v>365</v>
      </c>
      <c r="H518" s="64" t="s">
        <v>229</v>
      </c>
      <c r="I518" s="64" t="s">
        <v>10</v>
      </c>
      <c r="J518" s="64" t="s">
        <v>201</v>
      </c>
      <c r="K518" s="66">
        <v>64</v>
      </c>
      <c r="L518" s="66">
        <f>K518*VLOOKUP(I518,dagsoorttabel1,2,FALSE)</f>
        <v>64</v>
      </c>
      <c r="M518" s="67">
        <f>prodnorm43</f>
        <v>0</v>
      </c>
      <c r="N518" s="68">
        <f>dagwerk43</f>
        <v>0</v>
      </c>
      <c r="O518" s="64" t="s">
        <v>38</v>
      </c>
      <c r="P518" s="69">
        <f>uurtarief43</f>
        <v>0</v>
      </c>
      <c r="Q518" s="66" t="e">
        <f>IF(ISBLANK(M518),0,L518/ROUND(M518,4))</f>
        <v>#DIV/0!</v>
      </c>
      <c r="R518" s="66" t="e">
        <f>IF(ISBLANK(M518),0,Q518*ROUND(N518,2))</f>
        <v>#DIV/0!</v>
      </c>
      <c r="S518" s="69" t="e">
        <f>ROUND(P518,2)*Q518</f>
        <v>#DIV/0!</v>
      </c>
      <c r="T518" s="66" t="e">
        <f>Q518*dagenperjaar1</f>
        <v>#DIV/0!</v>
      </c>
      <c r="U518" s="70" t="e">
        <f>T518*ROUND(P518,2)</f>
        <v>#DIV/0!</v>
      </c>
    </row>
    <row r="519" spans="1:21" x14ac:dyDescent="0.2">
      <c r="A519" s="63" t="s">
        <v>774</v>
      </c>
      <c r="B519" s="64" t="s">
        <v>324</v>
      </c>
      <c r="C519" s="64" t="s">
        <v>323</v>
      </c>
      <c r="D519" s="64" t="s">
        <v>1109</v>
      </c>
      <c r="E519" s="64" t="s">
        <v>324</v>
      </c>
      <c r="F519" s="65" t="s">
        <v>1110</v>
      </c>
      <c r="G519" s="64" t="s">
        <v>365</v>
      </c>
      <c r="H519" s="64" t="s">
        <v>229</v>
      </c>
      <c r="I519" s="64" t="s">
        <v>10</v>
      </c>
      <c r="J519" s="64" t="s">
        <v>201</v>
      </c>
      <c r="K519" s="66">
        <v>58.8</v>
      </c>
      <c r="L519" s="66">
        <f>K519*VLOOKUP(I519,dagsoorttabel1,2,FALSE)</f>
        <v>58.8</v>
      </c>
      <c r="M519" s="67">
        <f>prodnorm43</f>
        <v>0</v>
      </c>
      <c r="N519" s="68">
        <f>dagwerk43</f>
        <v>0</v>
      </c>
      <c r="O519" s="64" t="s">
        <v>38</v>
      </c>
      <c r="P519" s="69">
        <f>uurtarief43</f>
        <v>0</v>
      </c>
      <c r="Q519" s="66" t="e">
        <f>IF(ISBLANK(M519),0,L519/ROUND(M519,4))</f>
        <v>#DIV/0!</v>
      </c>
      <c r="R519" s="66" t="e">
        <f>IF(ISBLANK(M519),0,Q519*ROUND(N519,2))</f>
        <v>#DIV/0!</v>
      </c>
      <c r="S519" s="69" t="e">
        <f>ROUND(P519,2)*Q519</f>
        <v>#DIV/0!</v>
      </c>
      <c r="T519" s="66" t="e">
        <f>Q519*dagenperjaar1</f>
        <v>#DIV/0!</v>
      </c>
      <c r="U519" s="70" t="e">
        <f>T519*ROUND(P519,2)</f>
        <v>#DIV/0!</v>
      </c>
    </row>
    <row r="520" spans="1:21" x14ac:dyDescent="0.2">
      <c r="A520" s="63" t="s">
        <v>774</v>
      </c>
      <c r="B520" s="64" t="s">
        <v>324</v>
      </c>
      <c r="C520" s="64" t="s">
        <v>323</v>
      </c>
      <c r="D520" s="64" t="s">
        <v>1111</v>
      </c>
      <c r="E520" s="64" t="s">
        <v>324</v>
      </c>
      <c r="F520" s="65" t="s">
        <v>1020</v>
      </c>
      <c r="G520" s="64" t="s">
        <v>365</v>
      </c>
      <c r="H520" s="64" t="s">
        <v>267</v>
      </c>
      <c r="I520" s="64" t="s">
        <v>10</v>
      </c>
      <c r="J520" s="64" t="s">
        <v>201</v>
      </c>
      <c r="K520" s="66">
        <v>32.299999999999997</v>
      </c>
      <c r="L520" s="66">
        <f>K520*VLOOKUP(I520,dagsoorttabel1,2,FALSE)</f>
        <v>32.299999999999997</v>
      </c>
      <c r="M520" s="67">
        <f>prodnorm65</f>
        <v>0</v>
      </c>
      <c r="N520" s="68">
        <f>dagwerk65</f>
        <v>0</v>
      </c>
      <c r="O520" s="64" t="s">
        <v>38</v>
      </c>
      <c r="P520" s="69">
        <f>uurtarief65</f>
        <v>0</v>
      </c>
      <c r="Q520" s="66" t="e">
        <f>IF(ISBLANK(M520),0,L520/ROUND(M520,4))</f>
        <v>#DIV/0!</v>
      </c>
      <c r="R520" s="66" t="e">
        <f>IF(ISBLANK(M520),0,Q520*ROUND(N520,2))</f>
        <v>#DIV/0!</v>
      </c>
      <c r="S520" s="69" t="e">
        <f>ROUND(P520,2)*Q520</f>
        <v>#DIV/0!</v>
      </c>
      <c r="T520" s="66" t="e">
        <f>Q520*dagenperjaar1</f>
        <v>#DIV/0!</v>
      </c>
      <c r="U520" s="70" t="e">
        <f>T520*ROUND(P520,2)</f>
        <v>#DIV/0!</v>
      </c>
    </row>
    <row r="521" spans="1:21" x14ac:dyDescent="0.2">
      <c r="A521" s="63" t="s">
        <v>774</v>
      </c>
      <c r="B521" s="64" t="s">
        <v>324</v>
      </c>
      <c r="C521" s="64" t="s">
        <v>323</v>
      </c>
      <c r="D521" s="64" t="s">
        <v>1112</v>
      </c>
      <c r="E521" s="64" t="s">
        <v>324</v>
      </c>
      <c r="F521" s="65" t="s">
        <v>1113</v>
      </c>
      <c r="G521" s="64" t="s">
        <v>365</v>
      </c>
      <c r="H521" s="64" t="s">
        <v>205</v>
      </c>
      <c r="I521" s="64" t="s">
        <v>10</v>
      </c>
      <c r="J521" s="64" t="s">
        <v>201</v>
      </c>
      <c r="K521" s="66">
        <v>15</v>
      </c>
      <c r="L521" s="66">
        <f>K521*VLOOKUP(I521,dagsoorttabel1,2,FALSE)</f>
        <v>15</v>
      </c>
      <c r="M521" s="67">
        <f>prodnorm26</f>
        <v>0</v>
      </c>
      <c r="N521" s="68">
        <f>dagwerk26</f>
        <v>0</v>
      </c>
      <c r="O521" s="64" t="s">
        <v>38</v>
      </c>
      <c r="P521" s="69">
        <f>uurtarief26</f>
        <v>0</v>
      </c>
      <c r="Q521" s="66" t="e">
        <f>IF(ISBLANK(M521),0,L521/ROUND(M521,4))</f>
        <v>#DIV/0!</v>
      </c>
      <c r="R521" s="66" t="e">
        <f>IF(ISBLANK(M521),0,Q521*ROUND(N521,2))</f>
        <v>#DIV/0!</v>
      </c>
      <c r="S521" s="69" t="e">
        <f>ROUND(P521,2)*Q521</f>
        <v>#DIV/0!</v>
      </c>
      <c r="T521" s="66" t="e">
        <f>Q521*dagenperjaar1</f>
        <v>#DIV/0!</v>
      </c>
      <c r="U521" s="70" t="e">
        <f>T521*ROUND(P521,2)</f>
        <v>#DIV/0!</v>
      </c>
    </row>
    <row r="522" spans="1:21" x14ac:dyDescent="0.2">
      <c r="A522" s="63" t="s">
        <v>774</v>
      </c>
      <c r="B522" s="64" t="s">
        <v>324</v>
      </c>
      <c r="C522" s="64" t="s">
        <v>323</v>
      </c>
      <c r="D522" s="64" t="s">
        <v>1114</v>
      </c>
      <c r="E522" s="64" t="s">
        <v>324</v>
      </c>
      <c r="F522" s="65" t="s">
        <v>1113</v>
      </c>
      <c r="G522" s="64" t="s">
        <v>351</v>
      </c>
      <c r="H522" s="64" t="s">
        <v>207</v>
      </c>
      <c r="I522" s="64" t="s">
        <v>10</v>
      </c>
      <c r="J522" s="64" t="s">
        <v>201</v>
      </c>
      <c r="K522" s="66">
        <v>10</v>
      </c>
      <c r="L522" s="66">
        <f>K522*VLOOKUP(I522,dagsoorttabel1,2,FALSE)</f>
        <v>10</v>
      </c>
      <c r="M522" s="67">
        <f>prodnorm28</f>
        <v>0</v>
      </c>
      <c r="N522" s="68">
        <f>dagwerk28</f>
        <v>0</v>
      </c>
      <c r="O522" s="64" t="s">
        <v>38</v>
      </c>
      <c r="P522" s="69">
        <f>uurtarief28</f>
        <v>0</v>
      </c>
      <c r="Q522" s="66" t="e">
        <f>IF(ISBLANK(M522),0,L522/ROUND(M522,4))</f>
        <v>#DIV/0!</v>
      </c>
      <c r="R522" s="66" t="e">
        <f>IF(ISBLANK(M522),0,Q522*ROUND(N522,2))</f>
        <v>#DIV/0!</v>
      </c>
      <c r="S522" s="69" t="e">
        <f>ROUND(P522,2)*Q522</f>
        <v>#DIV/0!</v>
      </c>
      <c r="T522" s="66" t="e">
        <f>Q522*dagenperjaar1</f>
        <v>#DIV/0!</v>
      </c>
      <c r="U522" s="70" t="e">
        <f>T522*ROUND(P522,2)</f>
        <v>#DIV/0!</v>
      </c>
    </row>
    <row r="523" spans="1:21" x14ac:dyDescent="0.2">
      <c r="A523" s="63" t="s">
        <v>774</v>
      </c>
      <c r="B523" s="64" t="s">
        <v>324</v>
      </c>
      <c r="C523" s="64" t="s">
        <v>323</v>
      </c>
      <c r="D523" s="64" t="s">
        <v>1115</v>
      </c>
      <c r="E523" s="64" t="s">
        <v>324</v>
      </c>
      <c r="F523" s="65" t="s">
        <v>1116</v>
      </c>
      <c r="G523" s="64" t="s">
        <v>365</v>
      </c>
      <c r="H523" s="64" t="s">
        <v>205</v>
      </c>
      <c r="I523" s="64" t="s">
        <v>10</v>
      </c>
      <c r="J523" s="64" t="s">
        <v>201</v>
      </c>
      <c r="K523" s="66">
        <v>25.4</v>
      </c>
      <c r="L523" s="66">
        <f>K523*VLOOKUP(I523,dagsoorttabel1,2,FALSE)</f>
        <v>25.4</v>
      </c>
      <c r="M523" s="67">
        <f>prodnorm26</f>
        <v>0</v>
      </c>
      <c r="N523" s="68">
        <f>dagwerk26</f>
        <v>0</v>
      </c>
      <c r="O523" s="64" t="s">
        <v>38</v>
      </c>
      <c r="P523" s="69">
        <f>uurtarief26</f>
        <v>0</v>
      </c>
      <c r="Q523" s="66" t="e">
        <f>IF(ISBLANK(M523),0,L523/ROUND(M523,4))</f>
        <v>#DIV/0!</v>
      </c>
      <c r="R523" s="66" t="e">
        <f>IF(ISBLANK(M523),0,Q523*ROUND(N523,2))</f>
        <v>#DIV/0!</v>
      </c>
      <c r="S523" s="69" t="e">
        <f>ROUND(P523,2)*Q523</f>
        <v>#DIV/0!</v>
      </c>
      <c r="T523" s="66" t="e">
        <f>Q523*dagenperjaar1</f>
        <v>#DIV/0!</v>
      </c>
      <c r="U523" s="70" t="e">
        <f>T523*ROUND(P523,2)</f>
        <v>#DIV/0!</v>
      </c>
    </row>
    <row r="524" spans="1:21" x14ac:dyDescent="0.2">
      <c r="A524" s="63" t="s">
        <v>774</v>
      </c>
      <c r="B524" s="64" t="s">
        <v>324</v>
      </c>
      <c r="C524" s="64" t="s">
        <v>323</v>
      </c>
      <c r="D524" s="64" t="s">
        <v>1117</v>
      </c>
      <c r="E524" s="64" t="s">
        <v>324</v>
      </c>
      <c r="F524" s="65" t="s">
        <v>1116</v>
      </c>
      <c r="G524" s="64" t="s">
        <v>351</v>
      </c>
      <c r="H524" s="64" t="s">
        <v>207</v>
      </c>
      <c r="I524" s="64" t="s">
        <v>10</v>
      </c>
      <c r="J524" s="64" t="s">
        <v>201</v>
      </c>
      <c r="K524" s="66">
        <v>15</v>
      </c>
      <c r="L524" s="66">
        <f>K524*VLOOKUP(I524,dagsoorttabel1,2,FALSE)</f>
        <v>15</v>
      </c>
      <c r="M524" s="67">
        <f>prodnorm28</f>
        <v>0</v>
      </c>
      <c r="N524" s="68">
        <f>dagwerk28</f>
        <v>0</v>
      </c>
      <c r="O524" s="64" t="s">
        <v>38</v>
      </c>
      <c r="P524" s="69">
        <f>uurtarief28</f>
        <v>0</v>
      </c>
      <c r="Q524" s="66" t="e">
        <f>IF(ISBLANK(M524),0,L524/ROUND(M524,4))</f>
        <v>#DIV/0!</v>
      </c>
      <c r="R524" s="66" t="e">
        <f>IF(ISBLANK(M524),0,Q524*ROUND(N524,2))</f>
        <v>#DIV/0!</v>
      </c>
      <c r="S524" s="69" t="e">
        <f>ROUND(P524,2)*Q524</f>
        <v>#DIV/0!</v>
      </c>
      <c r="T524" s="66" t="e">
        <f>Q524*dagenperjaar1</f>
        <v>#DIV/0!</v>
      </c>
      <c r="U524" s="70" t="e">
        <f>T524*ROUND(P524,2)</f>
        <v>#DIV/0!</v>
      </c>
    </row>
    <row r="525" spans="1:21" x14ac:dyDescent="0.2">
      <c r="A525" s="63" t="s">
        <v>774</v>
      </c>
      <c r="B525" s="64" t="s">
        <v>324</v>
      </c>
      <c r="C525" s="64" t="s">
        <v>323</v>
      </c>
      <c r="D525" s="64" t="s">
        <v>1118</v>
      </c>
      <c r="E525" s="64" t="s">
        <v>324</v>
      </c>
      <c r="F525" s="65" t="s">
        <v>1119</v>
      </c>
      <c r="G525" s="64" t="s">
        <v>365</v>
      </c>
      <c r="H525" s="64" t="s">
        <v>205</v>
      </c>
      <c r="I525" s="64" t="s">
        <v>10</v>
      </c>
      <c r="J525" s="64" t="s">
        <v>201</v>
      </c>
      <c r="K525" s="66">
        <v>15.7</v>
      </c>
      <c r="L525" s="66">
        <f>K525*VLOOKUP(I525,dagsoorttabel1,2,FALSE)</f>
        <v>15.7</v>
      </c>
      <c r="M525" s="67">
        <f>prodnorm26</f>
        <v>0</v>
      </c>
      <c r="N525" s="68">
        <f>dagwerk26</f>
        <v>0</v>
      </c>
      <c r="O525" s="64" t="s">
        <v>38</v>
      </c>
      <c r="P525" s="69">
        <f>uurtarief26</f>
        <v>0</v>
      </c>
      <c r="Q525" s="66" t="e">
        <f>IF(ISBLANK(M525),0,L525/ROUND(M525,4))</f>
        <v>#DIV/0!</v>
      </c>
      <c r="R525" s="66" t="e">
        <f>IF(ISBLANK(M525),0,Q525*ROUND(N525,2))</f>
        <v>#DIV/0!</v>
      </c>
      <c r="S525" s="69" t="e">
        <f>ROUND(P525,2)*Q525</f>
        <v>#DIV/0!</v>
      </c>
      <c r="T525" s="66" t="e">
        <f>Q525*dagenperjaar1</f>
        <v>#DIV/0!</v>
      </c>
      <c r="U525" s="70" t="e">
        <f>T525*ROUND(P525,2)</f>
        <v>#DIV/0!</v>
      </c>
    </row>
    <row r="526" spans="1:21" x14ac:dyDescent="0.2">
      <c r="A526" s="63" t="s">
        <v>774</v>
      </c>
      <c r="B526" s="64" t="s">
        <v>324</v>
      </c>
      <c r="C526" s="64" t="s">
        <v>323</v>
      </c>
      <c r="D526" s="64" t="s">
        <v>1120</v>
      </c>
      <c r="E526" s="64" t="s">
        <v>324</v>
      </c>
      <c r="F526" s="65" t="s">
        <v>1119</v>
      </c>
      <c r="G526" s="64" t="s">
        <v>351</v>
      </c>
      <c r="H526" s="64" t="s">
        <v>207</v>
      </c>
      <c r="I526" s="64" t="s">
        <v>10</v>
      </c>
      <c r="J526" s="64" t="s">
        <v>201</v>
      </c>
      <c r="K526" s="66">
        <v>10</v>
      </c>
      <c r="L526" s="66">
        <f>K526*VLOOKUP(I526,dagsoorttabel1,2,FALSE)</f>
        <v>10</v>
      </c>
      <c r="M526" s="67">
        <f>prodnorm28</f>
        <v>0</v>
      </c>
      <c r="N526" s="68">
        <f>dagwerk28</f>
        <v>0</v>
      </c>
      <c r="O526" s="64" t="s">
        <v>38</v>
      </c>
      <c r="P526" s="69">
        <f>uurtarief28</f>
        <v>0</v>
      </c>
      <c r="Q526" s="66" t="e">
        <f>IF(ISBLANK(M526),0,L526/ROUND(M526,4))</f>
        <v>#DIV/0!</v>
      </c>
      <c r="R526" s="66" t="e">
        <f>IF(ISBLANK(M526),0,Q526*ROUND(N526,2))</f>
        <v>#DIV/0!</v>
      </c>
      <c r="S526" s="69" t="e">
        <f>ROUND(P526,2)*Q526</f>
        <v>#DIV/0!</v>
      </c>
      <c r="T526" s="66" t="e">
        <f>Q526*dagenperjaar1</f>
        <v>#DIV/0!</v>
      </c>
      <c r="U526" s="70" t="e">
        <f>T526*ROUND(P526,2)</f>
        <v>#DIV/0!</v>
      </c>
    </row>
    <row r="527" spans="1:21" x14ac:dyDescent="0.2">
      <c r="A527" s="63" t="s">
        <v>774</v>
      </c>
      <c r="B527" s="64" t="s">
        <v>324</v>
      </c>
      <c r="C527" s="64" t="s">
        <v>323</v>
      </c>
      <c r="D527" s="64" t="s">
        <v>1121</v>
      </c>
      <c r="E527" s="64" t="s">
        <v>324</v>
      </c>
      <c r="F527" s="65" t="s">
        <v>1122</v>
      </c>
      <c r="G527" s="64" t="s">
        <v>365</v>
      </c>
      <c r="H527" s="64" t="s">
        <v>255</v>
      </c>
      <c r="I527" s="64" t="s">
        <v>10</v>
      </c>
      <c r="J527" s="64" t="s">
        <v>201</v>
      </c>
      <c r="K527" s="66">
        <v>2.6</v>
      </c>
      <c r="L527" s="66">
        <f>K527*VLOOKUP(I527,dagsoorttabel1,2,FALSE)</f>
        <v>2.6</v>
      </c>
      <c r="M527" s="67">
        <f>prodnorm59</f>
        <v>0</v>
      </c>
      <c r="N527" s="68">
        <f>dagwerk59</f>
        <v>0</v>
      </c>
      <c r="O527" s="64" t="s">
        <v>38</v>
      </c>
      <c r="P527" s="69">
        <f>uurtarief59</f>
        <v>0</v>
      </c>
      <c r="Q527" s="66" t="e">
        <f>IF(ISBLANK(M527),0,L527/ROUND(M527,4))</f>
        <v>#DIV/0!</v>
      </c>
      <c r="R527" s="66" t="e">
        <f>IF(ISBLANK(M527),0,Q527*ROUND(N527,2))</f>
        <v>#DIV/0!</v>
      </c>
      <c r="S527" s="69" t="e">
        <f>ROUND(P527,2)*Q527</f>
        <v>#DIV/0!</v>
      </c>
      <c r="T527" s="66" t="e">
        <f>Q527*dagenperjaar1</f>
        <v>#DIV/0!</v>
      </c>
      <c r="U527" s="70" t="e">
        <f>T527*ROUND(P527,2)</f>
        <v>#DIV/0!</v>
      </c>
    </row>
    <row r="528" spans="1:21" x14ac:dyDescent="0.2">
      <c r="A528" s="63" t="s">
        <v>774</v>
      </c>
      <c r="B528" s="64" t="s">
        <v>324</v>
      </c>
      <c r="C528" s="64" t="s">
        <v>323</v>
      </c>
      <c r="D528" s="64" t="s">
        <v>1123</v>
      </c>
      <c r="E528" s="64" t="s">
        <v>324</v>
      </c>
      <c r="F528" s="65" t="s">
        <v>1124</v>
      </c>
      <c r="G528" s="64" t="s">
        <v>365</v>
      </c>
      <c r="H528" s="64" t="s">
        <v>255</v>
      </c>
      <c r="I528" s="64" t="s">
        <v>10</v>
      </c>
      <c r="J528" s="64" t="s">
        <v>201</v>
      </c>
      <c r="K528" s="66">
        <v>2.6</v>
      </c>
      <c r="L528" s="66">
        <f>K528*VLOOKUP(I528,dagsoorttabel1,2,FALSE)</f>
        <v>2.6</v>
      </c>
      <c r="M528" s="67">
        <f>prodnorm59</f>
        <v>0</v>
      </c>
      <c r="N528" s="68">
        <f>dagwerk59</f>
        <v>0</v>
      </c>
      <c r="O528" s="64" t="s">
        <v>38</v>
      </c>
      <c r="P528" s="69">
        <f>uurtarief59</f>
        <v>0</v>
      </c>
      <c r="Q528" s="66" t="e">
        <f>IF(ISBLANK(M528),0,L528/ROUND(M528,4))</f>
        <v>#DIV/0!</v>
      </c>
      <c r="R528" s="66" t="e">
        <f>IF(ISBLANK(M528),0,Q528*ROUND(N528,2))</f>
        <v>#DIV/0!</v>
      </c>
      <c r="S528" s="69" t="e">
        <f>ROUND(P528,2)*Q528</f>
        <v>#DIV/0!</v>
      </c>
      <c r="T528" s="66" t="e">
        <f>Q528*dagenperjaar1</f>
        <v>#DIV/0!</v>
      </c>
      <c r="U528" s="70" t="e">
        <f>T528*ROUND(P528,2)</f>
        <v>#DIV/0!</v>
      </c>
    </row>
    <row r="529" spans="1:21" x14ac:dyDescent="0.2">
      <c r="A529" s="63" t="s">
        <v>774</v>
      </c>
      <c r="B529" s="64" t="s">
        <v>324</v>
      </c>
      <c r="C529" s="64" t="s">
        <v>323</v>
      </c>
      <c r="D529" s="64" t="s">
        <v>1125</v>
      </c>
      <c r="E529" s="64" t="s">
        <v>324</v>
      </c>
      <c r="F529" s="65" t="s">
        <v>1126</v>
      </c>
      <c r="G529" s="64" t="s">
        <v>365</v>
      </c>
      <c r="H529" s="64" t="s">
        <v>205</v>
      </c>
      <c r="I529" s="64" t="s">
        <v>10</v>
      </c>
      <c r="J529" s="64" t="s">
        <v>201</v>
      </c>
      <c r="K529" s="66">
        <v>30.1</v>
      </c>
      <c r="L529" s="66">
        <f>K529*VLOOKUP(I529,dagsoorttabel1,2,FALSE)</f>
        <v>30.1</v>
      </c>
      <c r="M529" s="67">
        <f>prodnorm26</f>
        <v>0</v>
      </c>
      <c r="N529" s="68">
        <f>dagwerk26</f>
        <v>0</v>
      </c>
      <c r="O529" s="64" t="s">
        <v>38</v>
      </c>
      <c r="P529" s="69">
        <f>uurtarief26</f>
        <v>0</v>
      </c>
      <c r="Q529" s="66" t="e">
        <f>IF(ISBLANK(M529),0,L529/ROUND(M529,4))</f>
        <v>#DIV/0!</v>
      </c>
      <c r="R529" s="66" t="e">
        <f>IF(ISBLANK(M529),0,Q529*ROUND(N529,2))</f>
        <v>#DIV/0!</v>
      </c>
      <c r="S529" s="69" t="e">
        <f>ROUND(P529,2)*Q529</f>
        <v>#DIV/0!</v>
      </c>
      <c r="T529" s="66" t="e">
        <f>Q529*dagenperjaar1</f>
        <v>#DIV/0!</v>
      </c>
      <c r="U529" s="70" t="e">
        <f>T529*ROUND(P529,2)</f>
        <v>#DIV/0!</v>
      </c>
    </row>
    <row r="530" spans="1:21" x14ac:dyDescent="0.2">
      <c r="A530" s="63" t="s">
        <v>774</v>
      </c>
      <c r="B530" s="64" t="s">
        <v>324</v>
      </c>
      <c r="C530" s="64" t="s">
        <v>323</v>
      </c>
      <c r="D530" s="64" t="s">
        <v>1127</v>
      </c>
      <c r="E530" s="64" t="s">
        <v>324</v>
      </c>
      <c r="F530" s="65" t="s">
        <v>1128</v>
      </c>
      <c r="G530" s="64" t="s">
        <v>365</v>
      </c>
      <c r="H530" s="64" t="s">
        <v>255</v>
      </c>
      <c r="I530" s="64" t="s">
        <v>10</v>
      </c>
      <c r="J530" s="64" t="s">
        <v>201</v>
      </c>
      <c r="K530" s="66">
        <v>25.3</v>
      </c>
      <c r="L530" s="66">
        <f>K530*VLOOKUP(I530,dagsoorttabel1,2,FALSE)</f>
        <v>25.3</v>
      </c>
      <c r="M530" s="67">
        <f>prodnorm59</f>
        <v>0</v>
      </c>
      <c r="N530" s="68">
        <f>dagwerk59</f>
        <v>0</v>
      </c>
      <c r="O530" s="64" t="s">
        <v>38</v>
      </c>
      <c r="P530" s="69">
        <f>uurtarief59</f>
        <v>0</v>
      </c>
      <c r="Q530" s="66" t="e">
        <f>IF(ISBLANK(M530),0,L530/ROUND(M530,4))</f>
        <v>#DIV/0!</v>
      </c>
      <c r="R530" s="66" t="e">
        <f>IF(ISBLANK(M530),0,Q530*ROUND(N530,2))</f>
        <v>#DIV/0!</v>
      </c>
      <c r="S530" s="69" t="e">
        <f>ROUND(P530,2)*Q530</f>
        <v>#DIV/0!</v>
      </c>
      <c r="T530" s="66" t="e">
        <f>Q530*dagenperjaar1</f>
        <v>#DIV/0!</v>
      </c>
      <c r="U530" s="70" t="e">
        <f>T530*ROUND(P530,2)</f>
        <v>#DIV/0!</v>
      </c>
    </row>
    <row r="531" spans="1:21" x14ac:dyDescent="0.2">
      <c r="A531" s="63" t="s">
        <v>774</v>
      </c>
      <c r="B531" s="64" t="s">
        <v>324</v>
      </c>
      <c r="C531" s="64" t="s">
        <v>323</v>
      </c>
      <c r="D531" s="64" t="s">
        <v>1129</v>
      </c>
      <c r="E531" s="64" t="s">
        <v>324</v>
      </c>
      <c r="F531" s="65" t="s">
        <v>1004</v>
      </c>
      <c r="G531" s="64" t="s">
        <v>365</v>
      </c>
      <c r="H531" s="64" t="s">
        <v>229</v>
      </c>
      <c r="I531" s="64" t="s">
        <v>10</v>
      </c>
      <c r="J531" s="64" t="s">
        <v>201</v>
      </c>
      <c r="K531" s="66">
        <v>59.6</v>
      </c>
      <c r="L531" s="66">
        <f>K531*VLOOKUP(I531,dagsoorttabel1,2,FALSE)</f>
        <v>59.6</v>
      </c>
      <c r="M531" s="67">
        <f>prodnorm43</f>
        <v>0</v>
      </c>
      <c r="N531" s="68">
        <f>dagwerk43</f>
        <v>0</v>
      </c>
      <c r="O531" s="64" t="s">
        <v>38</v>
      </c>
      <c r="P531" s="69">
        <f>uurtarief43</f>
        <v>0</v>
      </c>
      <c r="Q531" s="66" t="e">
        <f>IF(ISBLANK(M531),0,L531/ROUND(M531,4))</f>
        <v>#DIV/0!</v>
      </c>
      <c r="R531" s="66" t="e">
        <f>IF(ISBLANK(M531),0,Q531*ROUND(N531,2))</f>
        <v>#DIV/0!</v>
      </c>
      <c r="S531" s="69" t="e">
        <f>ROUND(P531,2)*Q531</f>
        <v>#DIV/0!</v>
      </c>
      <c r="T531" s="66" t="e">
        <f>Q531*dagenperjaar1</f>
        <v>#DIV/0!</v>
      </c>
      <c r="U531" s="70" t="e">
        <f>T531*ROUND(P531,2)</f>
        <v>#DIV/0!</v>
      </c>
    </row>
    <row r="532" spans="1:21" x14ac:dyDescent="0.2">
      <c r="A532" s="63" t="s">
        <v>774</v>
      </c>
      <c r="B532" s="64" t="s">
        <v>324</v>
      </c>
      <c r="C532" s="64" t="s">
        <v>323</v>
      </c>
      <c r="D532" s="64" t="s">
        <v>1130</v>
      </c>
      <c r="E532" s="64" t="s">
        <v>324</v>
      </c>
      <c r="F532" s="65" t="s">
        <v>1131</v>
      </c>
      <c r="G532" s="64" t="s">
        <v>365</v>
      </c>
      <c r="H532" s="64" t="s">
        <v>267</v>
      </c>
      <c r="I532" s="64" t="s">
        <v>10</v>
      </c>
      <c r="J532" s="64" t="s">
        <v>201</v>
      </c>
      <c r="K532" s="66">
        <v>81.5</v>
      </c>
      <c r="L532" s="66">
        <f>K532*VLOOKUP(I532,dagsoorttabel1,2,FALSE)</f>
        <v>81.5</v>
      </c>
      <c r="M532" s="67">
        <f>prodnorm65</f>
        <v>0</v>
      </c>
      <c r="N532" s="68">
        <f>dagwerk65</f>
        <v>0</v>
      </c>
      <c r="O532" s="64" t="s">
        <v>38</v>
      </c>
      <c r="P532" s="69">
        <f>uurtarief65</f>
        <v>0</v>
      </c>
      <c r="Q532" s="66" t="e">
        <f>IF(ISBLANK(M532),0,L532/ROUND(M532,4))</f>
        <v>#DIV/0!</v>
      </c>
      <c r="R532" s="66" t="e">
        <f>IF(ISBLANK(M532),0,Q532*ROUND(N532,2))</f>
        <v>#DIV/0!</v>
      </c>
      <c r="S532" s="69" t="e">
        <f>ROUND(P532,2)*Q532</f>
        <v>#DIV/0!</v>
      </c>
      <c r="T532" s="66" t="e">
        <f>Q532*dagenperjaar1</f>
        <v>#DIV/0!</v>
      </c>
      <c r="U532" s="70" t="e">
        <f>T532*ROUND(P532,2)</f>
        <v>#DIV/0!</v>
      </c>
    </row>
    <row r="533" spans="1:21" x14ac:dyDescent="0.2">
      <c r="A533" s="63" t="s">
        <v>774</v>
      </c>
      <c r="B533" s="64" t="s">
        <v>324</v>
      </c>
      <c r="C533" s="64" t="s">
        <v>323</v>
      </c>
      <c r="D533" s="64" t="s">
        <v>1132</v>
      </c>
      <c r="E533" s="64" t="s">
        <v>324</v>
      </c>
      <c r="F533" s="65" t="s">
        <v>1131</v>
      </c>
      <c r="G533" s="64" t="s">
        <v>365</v>
      </c>
      <c r="H533" s="64" t="s">
        <v>267</v>
      </c>
      <c r="I533" s="64" t="s">
        <v>10</v>
      </c>
      <c r="J533" s="64" t="s">
        <v>201</v>
      </c>
      <c r="K533" s="66">
        <v>81.5</v>
      </c>
      <c r="L533" s="66">
        <f>K533*VLOOKUP(I533,dagsoorttabel1,2,FALSE)</f>
        <v>81.5</v>
      </c>
      <c r="M533" s="67">
        <f>prodnorm65</f>
        <v>0</v>
      </c>
      <c r="N533" s="68">
        <f>dagwerk65</f>
        <v>0</v>
      </c>
      <c r="O533" s="64" t="s">
        <v>38</v>
      </c>
      <c r="P533" s="69">
        <f>uurtarief65</f>
        <v>0</v>
      </c>
      <c r="Q533" s="66" t="e">
        <f>IF(ISBLANK(M533),0,L533/ROUND(M533,4))</f>
        <v>#DIV/0!</v>
      </c>
      <c r="R533" s="66" t="e">
        <f>IF(ISBLANK(M533),0,Q533*ROUND(N533,2))</f>
        <v>#DIV/0!</v>
      </c>
      <c r="S533" s="69" t="e">
        <f>ROUND(P533,2)*Q533</f>
        <v>#DIV/0!</v>
      </c>
      <c r="T533" s="66" t="e">
        <f>Q533*dagenperjaar1</f>
        <v>#DIV/0!</v>
      </c>
      <c r="U533" s="70" t="e">
        <f>T533*ROUND(P533,2)</f>
        <v>#DIV/0!</v>
      </c>
    </row>
    <row r="534" spans="1:21" x14ac:dyDescent="0.2">
      <c r="A534" s="63" t="s">
        <v>774</v>
      </c>
      <c r="B534" s="64" t="s">
        <v>324</v>
      </c>
      <c r="C534" s="64" t="s">
        <v>323</v>
      </c>
      <c r="D534" s="64" t="s">
        <v>1133</v>
      </c>
      <c r="E534" s="64" t="s">
        <v>324</v>
      </c>
      <c r="F534" s="65" t="s">
        <v>1011</v>
      </c>
      <c r="G534" s="64" t="s">
        <v>365</v>
      </c>
      <c r="H534" s="64" t="s">
        <v>267</v>
      </c>
      <c r="I534" s="64" t="s">
        <v>10</v>
      </c>
      <c r="J534" s="64" t="s">
        <v>201</v>
      </c>
      <c r="K534" s="66">
        <v>130</v>
      </c>
      <c r="L534" s="66">
        <f>K534*VLOOKUP(I534,dagsoorttabel1,2,FALSE)</f>
        <v>130</v>
      </c>
      <c r="M534" s="67">
        <f>prodnorm65</f>
        <v>0</v>
      </c>
      <c r="N534" s="68">
        <f>dagwerk65</f>
        <v>0</v>
      </c>
      <c r="O534" s="64" t="s">
        <v>38</v>
      </c>
      <c r="P534" s="69">
        <f>uurtarief65</f>
        <v>0</v>
      </c>
      <c r="Q534" s="66" t="e">
        <f>IF(ISBLANK(M534),0,L534/ROUND(M534,4))</f>
        <v>#DIV/0!</v>
      </c>
      <c r="R534" s="66" t="e">
        <f>IF(ISBLANK(M534),0,Q534*ROUND(N534,2))</f>
        <v>#DIV/0!</v>
      </c>
      <c r="S534" s="69" t="e">
        <f>ROUND(P534,2)*Q534</f>
        <v>#DIV/0!</v>
      </c>
      <c r="T534" s="66" t="e">
        <f>Q534*dagenperjaar1</f>
        <v>#DIV/0!</v>
      </c>
      <c r="U534" s="70" t="e">
        <f>T534*ROUND(P534,2)</f>
        <v>#DIV/0!</v>
      </c>
    </row>
    <row r="535" spans="1:21" x14ac:dyDescent="0.2">
      <c r="A535" s="63" t="s">
        <v>774</v>
      </c>
      <c r="B535" s="64" t="s">
        <v>324</v>
      </c>
      <c r="C535" s="64" t="s">
        <v>323</v>
      </c>
      <c r="D535" s="64" t="s">
        <v>1134</v>
      </c>
      <c r="E535" s="64" t="s">
        <v>324</v>
      </c>
      <c r="F535" s="65" t="s">
        <v>1011</v>
      </c>
      <c r="G535" s="64" t="s">
        <v>365</v>
      </c>
      <c r="H535" s="64" t="s">
        <v>267</v>
      </c>
      <c r="I535" s="64" t="s">
        <v>10</v>
      </c>
      <c r="J535" s="64" t="s">
        <v>201</v>
      </c>
      <c r="K535" s="66">
        <v>130</v>
      </c>
      <c r="L535" s="66">
        <f>K535*VLOOKUP(I535,dagsoorttabel1,2,FALSE)</f>
        <v>130</v>
      </c>
      <c r="M535" s="67">
        <f>prodnorm65</f>
        <v>0</v>
      </c>
      <c r="N535" s="68">
        <f>dagwerk65</f>
        <v>0</v>
      </c>
      <c r="O535" s="64" t="s">
        <v>38</v>
      </c>
      <c r="P535" s="69">
        <f>uurtarief65</f>
        <v>0</v>
      </c>
      <c r="Q535" s="66" t="e">
        <f>IF(ISBLANK(M535),0,L535/ROUND(M535,4))</f>
        <v>#DIV/0!</v>
      </c>
      <c r="R535" s="66" t="e">
        <f>IF(ISBLANK(M535),0,Q535*ROUND(N535,2))</f>
        <v>#DIV/0!</v>
      </c>
      <c r="S535" s="69" t="e">
        <f>ROUND(P535,2)*Q535</f>
        <v>#DIV/0!</v>
      </c>
      <c r="T535" s="66" t="e">
        <f>Q535*dagenperjaar1</f>
        <v>#DIV/0!</v>
      </c>
      <c r="U535" s="70" t="e">
        <f>T535*ROUND(P535,2)</f>
        <v>#DIV/0!</v>
      </c>
    </row>
    <row r="536" spans="1:21" x14ac:dyDescent="0.2">
      <c r="A536" s="63" t="s">
        <v>774</v>
      </c>
      <c r="B536" s="64" t="s">
        <v>324</v>
      </c>
      <c r="C536" s="64" t="s">
        <v>323</v>
      </c>
      <c r="D536" s="64" t="s">
        <v>1135</v>
      </c>
      <c r="E536" s="64" t="s">
        <v>324</v>
      </c>
      <c r="F536" s="65" t="s">
        <v>1099</v>
      </c>
      <c r="G536" s="64" t="s">
        <v>365</v>
      </c>
      <c r="H536" s="64" t="s">
        <v>267</v>
      </c>
      <c r="I536" s="64" t="s">
        <v>10</v>
      </c>
      <c r="J536" s="64" t="s">
        <v>201</v>
      </c>
      <c r="K536" s="66">
        <v>69</v>
      </c>
      <c r="L536" s="66">
        <f>K536*VLOOKUP(I536,dagsoorttabel1,2,FALSE)</f>
        <v>69</v>
      </c>
      <c r="M536" s="67">
        <f>prodnorm65</f>
        <v>0</v>
      </c>
      <c r="N536" s="68">
        <f>dagwerk65</f>
        <v>0</v>
      </c>
      <c r="O536" s="64" t="s">
        <v>38</v>
      </c>
      <c r="P536" s="69">
        <f>uurtarief65</f>
        <v>0</v>
      </c>
      <c r="Q536" s="66" t="e">
        <f>IF(ISBLANK(M536),0,L536/ROUND(M536,4))</f>
        <v>#DIV/0!</v>
      </c>
      <c r="R536" s="66" t="e">
        <f>IF(ISBLANK(M536),0,Q536*ROUND(N536,2))</f>
        <v>#DIV/0!</v>
      </c>
      <c r="S536" s="69" t="e">
        <f>ROUND(P536,2)*Q536</f>
        <v>#DIV/0!</v>
      </c>
      <c r="T536" s="66" t="e">
        <f>Q536*dagenperjaar1</f>
        <v>#DIV/0!</v>
      </c>
      <c r="U536" s="70" t="e">
        <f>T536*ROUND(P536,2)</f>
        <v>#DIV/0!</v>
      </c>
    </row>
    <row r="537" spans="1:21" x14ac:dyDescent="0.2">
      <c r="A537" s="63" t="s">
        <v>774</v>
      </c>
      <c r="B537" s="64" t="s">
        <v>324</v>
      </c>
      <c r="C537" s="64" t="s">
        <v>323</v>
      </c>
      <c r="D537" s="64" t="s">
        <v>1136</v>
      </c>
      <c r="E537" s="64" t="s">
        <v>324</v>
      </c>
      <c r="F537" s="65" t="s">
        <v>1023</v>
      </c>
      <c r="G537" s="64" t="s">
        <v>365</v>
      </c>
      <c r="H537" s="64" t="s">
        <v>267</v>
      </c>
      <c r="I537" s="64" t="s">
        <v>10</v>
      </c>
      <c r="J537" s="64" t="s">
        <v>201</v>
      </c>
      <c r="K537" s="66">
        <v>7</v>
      </c>
      <c r="L537" s="66">
        <f>K537*VLOOKUP(I537,dagsoorttabel1,2,FALSE)</f>
        <v>7</v>
      </c>
      <c r="M537" s="67">
        <f>prodnorm65</f>
        <v>0</v>
      </c>
      <c r="N537" s="68">
        <f>dagwerk65</f>
        <v>0</v>
      </c>
      <c r="O537" s="64" t="s">
        <v>38</v>
      </c>
      <c r="P537" s="69">
        <f>uurtarief65</f>
        <v>0</v>
      </c>
      <c r="Q537" s="66" t="e">
        <f>IF(ISBLANK(M537),0,L537/ROUND(M537,4))</f>
        <v>#DIV/0!</v>
      </c>
      <c r="R537" s="66" t="e">
        <f>IF(ISBLANK(M537),0,Q537*ROUND(N537,2))</f>
        <v>#DIV/0!</v>
      </c>
      <c r="S537" s="69" t="e">
        <f>ROUND(P537,2)*Q537</f>
        <v>#DIV/0!</v>
      </c>
      <c r="T537" s="66" t="e">
        <f>Q537*dagenperjaar1</f>
        <v>#DIV/0!</v>
      </c>
      <c r="U537" s="70" t="e">
        <f>T537*ROUND(P537,2)</f>
        <v>#DIV/0!</v>
      </c>
    </row>
    <row r="538" spans="1:21" x14ac:dyDescent="0.2">
      <c r="A538" s="63" t="s">
        <v>774</v>
      </c>
      <c r="B538" s="64" t="s">
        <v>324</v>
      </c>
      <c r="C538" s="64" t="s">
        <v>323</v>
      </c>
      <c r="D538" s="64" t="s">
        <v>1137</v>
      </c>
      <c r="E538" s="64" t="s">
        <v>324</v>
      </c>
      <c r="F538" s="65" t="s">
        <v>1138</v>
      </c>
      <c r="G538" s="64" t="s">
        <v>365</v>
      </c>
      <c r="H538" s="64" t="s">
        <v>255</v>
      </c>
      <c r="I538" s="64" t="s">
        <v>10</v>
      </c>
      <c r="J538" s="64" t="s">
        <v>201</v>
      </c>
      <c r="K538" s="66">
        <v>3.5</v>
      </c>
      <c r="L538" s="66">
        <f>K538*VLOOKUP(I538,dagsoorttabel1,2,FALSE)</f>
        <v>3.5</v>
      </c>
      <c r="M538" s="67">
        <f>prodnorm59</f>
        <v>0</v>
      </c>
      <c r="N538" s="68">
        <f>dagwerk59</f>
        <v>0</v>
      </c>
      <c r="O538" s="64" t="s">
        <v>38</v>
      </c>
      <c r="P538" s="69">
        <f>uurtarief59</f>
        <v>0</v>
      </c>
      <c r="Q538" s="66" t="e">
        <f>IF(ISBLANK(M538),0,L538/ROUND(M538,4))</f>
        <v>#DIV/0!</v>
      </c>
      <c r="R538" s="66" t="e">
        <f>IF(ISBLANK(M538),0,Q538*ROUND(N538,2))</f>
        <v>#DIV/0!</v>
      </c>
      <c r="S538" s="69" t="e">
        <f>ROUND(P538,2)*Q538</f>
        <v>#DIV/0!</v>
      </c>
      <c r="T538" s="66" t="e">
        <f>Q538*dagenperjaar1</f>
        <v>#DIV/0!</v>
      </c>
      <c r="U538" s="70" t="e">
        <f>T538*ROUND(P538,2)</f>
        <v>#DIV/0!</v>
      </c>
    </row>
    <row r="539" spans="1:21" x14ac:dyDescent="0.2">
      <c r="A539" s="63" t="s">
        <v>774</v>
      </c>
      <c r="B539" s="64" t="s">
        <v>324</v>
      </c>
      <c r="C539" s="64" t="s">
        <v>323</v>
      </c>
      <c r="D539" s="64" t="s">
        <v>1139</v>
      </c>
      <c r="E539" s="64" t="s">
        <v>324</v>
      </c>
      <c r="F539" s="65" t="s">
        <v>1009</v>
      </c>
      <c r="G539" s="64" t="s">
        <v>365</v>
      </c>
      <c r="H539" s="64" t="s">
        <v>255</v>
      </c>
      <c r="I539" s="64" t="s">
        <v>10</v>
      </c>
      <c r="J539" s="64" t="s">
        <v>201</v>
      </c>
      <c r="K539" s="66">
        <v>8.1</v>
      </c>
      <c r="L539" s="66">
        <f>K539*VLOOKUP(I539,dagsoorttabel1,2,FALSE)</f>
        <v>8.1</v>
      </c>
      <c r="M539" s="67">
        <f>prodnorm59</f>
        <v>0</v>
      </c>
      <c r="N539" s="68">
        <f>dagwerk59</f>
        <v>0</v>
      </c>
      <c r="O539" s="64" t="s">
        <v>38</v>
      </c>
      <c r="P539" s="69">
        <f>uurtarief59</f>
        <v>0</v>
      </c>
      <c r="Q539" s="66" t="e">
        <f>IF(ISBLANK(M539),0,L539/ROUND(M539,4))</f>
        <v>#DIV/0!</v>
      </c>
      <c r="R539" s="66" t="e">
        <f>IF(ISBLANK(M539),0,Q539*ROUND(N539,2))</f>
        <v>#DIV/0!</v>
      </c>
      <c r="S539" s="69" t="e">
        <f>ROUND(P539,2)*Q539</f>
        <v>#DIV/0!</v>
      </c>
      <c r="T539" s="66" t="e">
        <f>Q539*dagenperjaar1</f>
        <v>#DIV/0!</v>
      </c>
      <c r="U539" s="70" t="e">
        <f>T539*ROUND(P539,2)</f>
        <v>#DIV/0!</v>
      </c>
    </row>
    <row r="540" spans="1:21" x14ac:dyDescent="0.2">
      <c r="A540" s="63" t="s">
        <v>774</v>
      </c>
      <c r="B540" s="64" t="s">
        <v>324</v>
      </c>
      <c r="C540" s="64" t="s">
        <v>323</v>
      </c>
      <c r="D540" s="64" t="s">
        <v>1140</v>
      </c>
      <c r="E540" s="64" t="s">
        <v>324</v>
      </c>
      <c r="F540" s="65" t="s">
        <v>996</v>
      </c>
      <c r="G540" s="64" t="s">
        <v>365</v>
      </c>
      <c r="H540" s="64" t="s">
        <v>255</v>
      </c>
      <c r="I540" s="64" t="s">
        <v>10</v>
      </c>
      <c r="J540" s="64" t="s">
        <v>201</v>
      </c>
      <c r="K540" s="66">
        <v>8.8000000000000007</v>
      </c>
      <c r="L540" s="66">
        <f>K540*VLOOKUP(I540,dagsoorttabel1,2,FALSE)</f>
        <v>8.8000000000000007</v>
      </c>
      <c r="M540" s="67">
        <f>prodnorm59</f>
        <v>0</v>
      </c>
      <c r="N540" s="68">
        <f>dagwerk59</f>
        <v>0</v>
      </c>
      <c r="O540" s="64" t="s">
        <v>38</v>
      </c>
      <c r="P540" s="69">
        <f>uurtarief59</f>
        <v>0</v>
      </c>
      <c r="Q540" s="66" t="e">
        <f>IF(ISBLANK(M540),0,L540/ROUND(M540,4))</f>
        <v>#DIV/0!</v>
      </c>
      <c r="R540" s="66" t="e">
        <f>IF(ISBLANK(M540),0,Q540*ROUND(N540,2))</f>
        <v>#DIV/0!</v>
      </c>
      <c r="S540" s="69" t="e">
        <f>ROUND(P540,2)*Q540</f>
        <v>#DIV/0!</v>
      </c>
      <c r="T540" s="66" t="e">
        <f>Q540*dagenperjaar1</f>
        <v>#DIV/0!</v>
      </c>
      <c r="U540" s="70" t="e">
        <f>T540*ROUND(P540,2)</f>
        <v>#DIV/0!</v>
      </c>
    </row>
    <row r="541" spans="1:21" x14ac:dyDescent="0.2">
      <c r="A541" s="63" t="s">
        <v>774</v>
      </c>
      <c r="B541" s="64" t="s">
        <v>324</v>
      </c>
      <c r="C541" s="64" t="s">
        <v>323</v>
      </c>
      <c r="D541" s="64" t="s">
        <v>1141</v>
      </c>
      <c r="E541" s="64" t="s">
        <v>324</v>
      </c>
      <c r="F541" s="65" t="s">
        <v>1020</v>
      </c>
      <c r="G541" s="64" t="s">
        <v>365</v>
      </c>
      <c r="H541" s="64" t="s">
        <v>267</v>
      </c>
      <c r="I541" s="64" t="s">
        <v>10</v>
      </c>
      <c r="J541" s="64" t="s">
        <v>201</v>
      </c>
      <c r="K541" s="66">
        <v>32.6</v>
      </c>
      <c r="L541" s="66">
        <f>K541*VLOOKUP(I541,dagsoorttabel1,2,FALSE)</f>
        <v>32.6</v>
      </c>
      <c r="M541" s="67">
        <f>prodnorm65</f>
        <v>0</v>
      </c>
      <c r="N541" s="68">
        <f>dagwerk65</f>
        <v>0</v>
      </c>
      <c r="O541" s="64" t="s">
        <v>38</v>
      </c>
      <c r="P541" s="69">
        <f>uurtarief65</f>
        <v>0</v>
      </c>
      <c r="Q541" s="66" t="e">
        <f>IF(ISBLANK(M541),0,L541/ROUND(M541,4))</f>
        <v>#DIV/0!</v>
      </c>
      <c r="R541" s="66" t="e">
        <f>IF(ISBLANK(M541),0,Q541*ROUND(N541,2))</f>
        <v>#DIV/0!</v>
      </c>
      <c r="S541" s="69" t="e">
        <f>ROUND(P541,2)*Q541</f>
        <v>#DIV/0!</v>
      </c>
      <c r="T541" s="66" t="e">
        <f>Q541*dagenperjaar1</f>
        <v>#DIV/0!</v>
      </c>
      <c r="U541" s="70" t="e">
        <f>T541*ROUND(P541,2)</f>
        <v>#DIV/0!</v>
      </c>
    </row>
    <row r="542" spans="1:21" x14ac:dyDescent="0.2">
      <c r="A542" s="63" t="s">
        <v>774</v>
      </c>
      <c r="B542" s="64" t="s">
        <v>324</v>
      </c>
      <c r="C542" s="64" t="s">
        <v>323</v>
      </c>
      <c r="D542" s="64" t="s">
        <v>1142</v>
      </c>
      <c r="E542" s="64" t="s">
        <v>324</v>
      </c>
      <c r="F542" s="65" t="s">
        <v>1143</v>
      </c>
      <c r="G542" s="64" t="s">
        <v>365</v>
      </c>
      <c r="H542" s="64" t="s">
        <v>239</v>
      </c>
      <c r="I542" s="64" t="s">
        <v>10</v>
      </c>
      <c r="J542" s="64" t="s">
        <v>201</v>
      </c>
      <c r="K542" s="66">
        <v>117</v>
      </c>
      <c r="L542" s="66">
        <f>K542*VLOOKUP(I542,dagsoorttabel1,2,FALSE)</f>
        <v>117</v>
      </c>
      <c r="M542" s="67">
        <f>prodnorm50</f>
        <v>0</v>
      </c>
      <c r="N542" s="68">
        <f>dagwerk50</f>
        <v>0</v>
      </c>
      <c r="O542" s="64" t="s">
        <v>38</v>
      </c>
      <c r="P542" s="69">
        <f>uurtarief50</f>
        <v>0</v>
      </c>
      <c r="Q542" s="66" t="e">
        <f>IF(ISBLANK(M542),0,L542/ROUND(M542,4))</f>
        <v>#DIV/0!</v>
      </c>
      <c r="R542" s="66" t="e">
        <f>IF(ISBLANK(M542),0,Q542*ROUND(N542,2))</f>
        <v>#DIV/0!</v>
      </c>
      <c r="S542" s="69" t="e">
        <f>ROUND(P542,2)*Q542</f>
        <v>#DIV/0!</v>
      </c>
      <c r="T542" s="66" t="e">
        <f>Q542*dagenperjaar1</f>
        <v>#DIV/0!</v>
      </c>
      <c r="U542" s="70" t="e">
        <f>T542*ROUND(P542,2)</f>
        <v>#DIV/0!</v>
      </c>
    </row>
    <row r="543" spans="1:21" x14ac:dyDescent="0.2">
      <c r="A543" s="63" t="s">
        <v>774</v>
      </c>
      <c r="B543" s="64" t="s">
        <v>324</v>
      </c>
      <c r="C543" s="64" t="s">
        <v>323</v>
      </c>
      <c r="D543" s="64" t="s">
        <v>1144</v>
      </c>
      <c r="E543" s="64" t="s">
        <v>324</v>
      </c>
      <c r="F543" s="65" t="s">
        <v>1145</v>
      </c>
      <c r="G543" s="64" t="s">
        <v>365</v>
      </c>
      <c r="H543" s="64" t="s">
        <v>229</v>
      </c>
      <c r="I543" s="64" t="s">
        <v>10</v>
      </c>
      <c r="J543" s="64" t="s">
        <v>201</v>
      </c>
      <c r="K543" s="66">
        <v>44</v>
      </c>
      <c r="L543" s="66">
        <f>K543*VLOOKUP(I543,dagsoorttabel1,2,FALSE)</f>
        <v>44</v>
      </c>
      <c r="M543" s="67">
        <f>prodnorm43</f>
        <v>0</v>
      </c>
      <c r="N543" s="68">
        <f>dagwerk43</f>
        <v>0</v>
      </c>
      <c r="O543" s="64" t="s">
        <v>38</v>
      </c>
      <c r="P543" s="69">
        <f>uurtarief43</f>
        <v>0</v>
      </c>
      <c r="Q543" s="66" t="e">
        <f>IF(ISBLANK(M543),0,L543/ROUND(M543,4))</f>
        <v>#DIV/0!</v>
      </c>
      <c r="R543" s="66" t="e">
        <f>IF(ISBLANK(M543),0,Q543*ROUND(N543,2))</f>
        <v>#DIV/0!</v>
      </c>
      <c r="S543" s="69" t="e">
        <f>ROUND(P543,2)*Q543</f>
        <v>#DIV/0!</v>
      </c>
      <c r="T543" s="66" t="e">
        <f>Q543*dagenperjaar1</f>
        <v>#DIV/0!</v>
      </c>
      <c r="U543" s="70" t="e">
        <f>T543*ROUND(P543,2)</f>
        <v>#DIV/0!</v>
      </c>
    </row>
    <row r="544" spans="1:21" x14ac:dyDescent="0.2">
      <c r="A544" s="63" t="s">
        <v>774</v>
      </c>
      <c r="B544" s="64" t="s">
        <v>324</v>
      </c>
      <c r="C544" s="64" t="s">
        <v>323</v>
      </c>
      <c r="D544" s="64" t="s">
        <v>1146</v>
      </c>
      <c r="E544" s="64" t="s">
        <v>324</v>
      </c>
      <c r="F544" s="65" t="s">
        <v>1147</v>
      </c>
      <c r="G544" s="64" t="s">
        <v>365</v>
      </c>
      <c r="H544" s="64" t="s">
        <v>205</v>
      </c>
      <c r="I544" s="64" t="s">
        <v>10</v>
      </c>
      <c r="J544" s="64" t="s">
        <v>201</v>
      </c>
      <c r="K544" s="66">
        <v>29.2</v>
      </c>
      <c r="L544" s="66">
        <f>K544*VLOOKUP(I544,dagsoorttabel1,2,FALSE)</f>
        <v>29.2</v>
      </c>
      <c r="M544" s="67">
        <f>prodnorm26</f>
        <v>0</v>
      </c>
      <c r="N544" s="68">
        <f>dagwerk26</f>
        <v>0</v>
      </c>
      <c r="O544" s="64" t="s">
        <v>38</v>
      </c>
      <c r="P544" s="69">
        <f>uurtarief26</f>
        <v>0</v>
      </c>
      <c r="Q544" s="66" t="e">
        <f>IF(ISBLANK(M544),0,L544/ROUND(M544,4))</f>
        <v>#DIV/0!</v>
      </c>
      <c r="R544" s="66" t="e">
        <f>IF(ISBLANK(M544),0,Q544*ROUND(N544,2))</f>
        <v>#DIV/0!</v>
      </c>
      <c r="S544" s="69" t="e">
        <f>ROUND(P544,2)*Q544</f>
        <v>#DIV/0!</v>
      </c>
      <c r="T544" s="66" t="e">
        <f>Q544*dagenperjaar1</f>
        <v>#DIV/0!</v>
      </c>
      <c r="U544" s="70" t="e">
        <f>T544*ROUND(P544,2)</f>
        <v>#DIV/0!</v>
      </c>
    </row>
    <row r="545" spans="1:21" x14ac:dyDescent="0.2">
      <c r="A545" s="63" t="s">
        <v>774</v>
      </c>
      <c r="B545" s="64" t="s">
        <v>324</v>
      </c>
      <c r="C545" s="64" t="s">
        <v>323</v>
      </c>
      <c r="D545" s="64" t="s">
        <v>1148</v>
      </c>
      <c r="E545" s="64" t="s">
        <v>324</v>
      </c>
      <c r="F545" s="65" t="s">
        <v>1149</v>
      </c>
      <c r="G545" s="64" t="s">
        <v>365</v>
      </c>
      <c r="H545" s="64" t="s">
        <v>205</v>
      </c>
      <c r="I545" s="64" t="s">
        <v>10</v>
      </c>
      <c r="J545" s="64" t="s">
        <v>201</v>
      </c>
      <c r="K545" s="66">
        <v>36.1</v>
      </c>
      <c r="L545" s="66">
        <f>K545*VLOOKUP(I545,dagsoorttabel1,2,FALSE)</f>
        <v>36.1</v>
      </c>
      <c r="M545" s="67">
        <f>prodnorm26</f>
        <v>0</v>
      </c>
      <c r="N545" s="68">
        <f>dagwerk26</f>
        <v>0</v>
      </c>
      <c r="O545" s="64" t="s">
        <v>38</v>
      </c>
      <c r="P545" s="69">
        <f>uurtarief26</f>
        <v>0</v>
      </c>
      <c r="Q545" s="66" t="e">
        <f>IF(ISBLANK(M545),0,L545/ROUND(M545,4))</f>
        <v>#DIV/0!</v>
      </c>
      <c r="R545" s="66" t="e">
        <f>IF(ISBLANK(M545),0,Q545*ROUND(N545,2))</f>
        <v>#DIV/0!</v>
      </c>
      <c r="S545" s="69" t="e">
        <f>ROUND(P545,2)*Q545</f>
        <v>#DIV/0!</v>
      </c>
      <c r="T545" s="66" t="e">
        <f>Q545*dagenperjaar1</f>
        <v>#DIV/0!</v>
      </c>
      <c r="U545" s="70" t="e">
        <f>T545*ROUND(P545,2)</f>
        <v>#DIV/0!</v>
      </c>
    </row>
    <row r="546" spans="1:21" x14ac:dyDescent="0.2">
      <c r="A546" s="63" t="s">
        <v>774</v>
      </c>
      <c r="B546" s="64" t="s">
        <v>324</v>
      </c>
      <c r="C546" s="64" t="s">
        <v>323</v>
      </c>
      <c r="D546" s="64" t="s">
        <v>1150</v>
      </c>
      <c r="E546" s="64" t="s">
        <v>324</v>
      </c>
      <c r="F546" s="65" t="s">
        <v>1004</v>
      </c>
      <c r="G546" s="64" t="s">
        <v>365</v>
      </c>
      <c r="H546" s="64" t="s">
        <v>229</v>
      </c>
      <c r="I546" s="64" t="s">
        <v>10</v>
      </c>
      <c r="J546" s="64" t="s">
        <v>201</v>
      </c>
      <c r="K546" s="66">
        <v>61.7</v>
      </c>
      <c r="L546" s="66">
        <f>K546*VLOOKUP(I546,dagsoorttabel1,2,FALSE)</f>
        <v>61.7</v>
      </c>
      <c r="M546" s="67">
        <f>prodnorm43</f>
        <v>0</v>
      </c>
      <c r="N546" s="68">
        <f>dagwerk43</f>
        <v>0</v>
      </c>
      <c r="O546" s="64" t="s">
        <v>38</v>
      </c>
      <c r="P546" s="69">
        <f>uurtarief43</f>
        <v>0</v>
      </c>
      <c r="Q546" s="66" t="e">
        <f>IF(ISBLANK(M546),0,L546/ROUND(M546,4))</f>
        <v>#DIV/0!</v>
      </c>
      <c r="R546" s="66" t="e">
        <f>IF(ISBLANK(M546),0,Q546*ROUND(N546,2))</f>
        <v>#DIV/0!</v>
      </c>
      <c r="S546" s="69" t="e">
        <f>ROUND(P546,2)*Q546</f>
        <v>#DIV/0!</v>
      </c>
      <c r="T546" s="66" t="e">
        <f>Q546*dagenperjaar1</f>
        <v>#DIV/0!</v>
      </c>
      <c r="U546" s="70" t="e">
        <f>T546*ROUND(P546,2)</f>
        <v>#DIV/0!</v>
      </c>
    </row>
    <row r="547" spans="1:21" x14ac:dyDescent="0.2">
      <c r="A547" s="63" t="s">
        <v>774</v>
      </c>
      <c r="B547" s="64" t="s">
        <v>324</v>
      </c>
      <c r="C547" s="64" t="s">
        <v>323</v>
      </c>
      <c r="D547" s="64" t="s">
        <v>1151</v>
      </c>
      <c r="E547" s="64" t="s">
        <v>324</v>
      </c>
      <c r="F547" s="65" t="s">
        <v>1062</v>
      </c>
      <c r="G547" s="64" t="s">
        <v>365</v>
      </c>
      <c r="H547" s="64" t="s">
        <v>205</v>
      </c>
      <c r="I547" s="64" t="s">
        <v>10</v>
      </c>
      <c r="J547" s="64" t="s">
        <v>201</v>
      </c>
      <c r="K547" s="66">
        <v>14.5</v>
      </c>
      <c r="L547" s="66">
        <f>K547*VLOOKUP(I547,dagsoorttabel1,2,FALSE)</f>
        <v>14.5</v>
      </c>
      <c r="M547" s="67">
        <f>prodnorm26</f>
        <v>0</v>
      </c>
      <c r="N547" s="68">
        <f>dagwerk26</f>
        <v>0</v>
      </c>
      <c r="O547" s="64" t="s">
        <v>38</v>
      </c>
      <c r="P547" s="69">
        <f>uurtarief26</f>
        <v>0</v>
      </c>
      <c r="Q547" s="66" t="e">
        <f>IF(ISBLANK(M547),0,L547/ROUND(M547,4))</f>
        <v>#DIV/0!</v>
      </c>
      <c r="R547" s="66" t="e">
        <f>IF(ISBLANK(M547),0,Q547*ROUND(N547,2))</f>
        <v>#DIV/0!</v>
      </c>
      <c r="S547" s="69" t="e">
        <f>ROUND(P547,2)*Q547</f>
        <v>#DIV/0!</v>
      </c>
      <c r="T547" s="66" t="e">
        <f>Q547*dagenperjaar1</f>
        <v>#DIV/0!</v>
      </c>
      <c r="U547" s="70" t="e">
        <f>T547*ROUND(P547,2)</f>
        <v>#DIV/0!</v>
      </c>
    </row>
    <row r="548" spans="1:21" x14ac:dyDescent="0.2">
      <c r="A548" s="63" t="s">
        <v>774</v>
      </c>
      <c r="B548" s="64" t="s">
        <v>324</v>
      </c>
      <c r="C548" s="64" t="s">
        <v>323</v>
      </c>
      <c r="D548" s="64" t="s">
        <v>1152</v>
      </c>
      <c r="E548" s="64" t="s">
        <v>324</v>
      </c>
      <c r="F548" s="65" t="s">
        <v>1153</v>
      </c>
      <c r="G548" s="64" t="s">
        <v>365</v>
      </c>
      <c r="H548" s="64" t="s">
        <v>205</v>
      </c>
      <c r="I548" s="64" t="s">
        <v>10</v>
      </c>
      <c r="J548" s="64" t="s">
        <v>201</v>
      </c>
      <c r="K548" s="66">
        <v>28.7</v>
      </c>
      <c r="L548" s="66">
        <f>K548*VLOOKUP(I548,dagsoorttabel1,2,FALSE)</f>
        <v>28.7</v>
      </c>
      <c r="M548" s="67">
        <f>prodnorm26</f>
        <v>0</v>
      </c>
      <c r="N548" s="68">
        <f>dagwerk26</f>
        <v>0</v>
      </c>
      <c r="O548" s="64" t="s">
        <v>38</v>
      </c>
      <c r="P548" s="69">
        <f>uurtarief26</f>
        <v>0</v>
      </c>
      <c r="Q548" s="66" t="e">
        <f>IF(ISBLANK(M548),0,L548/ROUND(M548,4))</f>
        <v>#DIV/0!</v>
      </c>
      <c r="R548" s="66" t="e">
        <f>IF(ISBLANK(M548),0,Q548*ROUND(N548,2))</f>
        <v>#DIV/0!</v>
      </c>
      <c r="S548" s="69" t="e">
        <f>ROUND(P548,2)*Q548</f>
        <v>#DIV/0!</v>
      </c>
      <c r="T548" s="66" t="e">
        <f>Q548*dagenperjaar1</f>
        <v>#DIV/0!</v>
      </c>
      <c r="U548" s="70" t="e">
        <f>T548*ROUND(P548,2)</f>
        <v>#DIV/0!</v>
      </c>
    </row>
    <row r="549" spans="1:21" x14ac:dyDescent="0.2">
      <c r="A549" s="63" t="s">
        <v>774</v>
      </c>
      <c r="B549" s="64" t="s">
        <v>324</v>
      </c>
      <c r="C549" s="64" t="s">
        <v>323</v>
      </c>
      <c r="D549" s="64" t="s">
        <v>1154</v>
      </c>
      <c r="E549" s="64" t="s">
        <v>324</v>
      </c>
      <c r="F549" s="65" t="s">
        <v>1095</v>
      </c>
      <c r="G549" s="64" t="s">
        <v>365</v>
      </c>
      <c r="H549" s="64" t="s">
        <v>205</v>
      </c>
      <c r="I549" s="64" t="s">
        <v>10</v>
      </c>
      <c r="J549" s="64" t="s">
        <v>201</v>
      </c>
      <c r="K549" s="66">
        <v>15.9</v>
      </c>
      <c r="L549" s="66">
        <f>K549*VLOOKUP(I549,dagsoorttabel1,2,FALSE)</f>
        <v>15.9</v>
      </c>
      <c r="M549" s="67">
        <f>prodnorm26</f>
        <v>0</v>
      </c>
      <c r="N549" s="68">
        <f>dagwerk26</f>
        <v>0</v>
      </c>
      <c r="O549" s="64" t="s">
        <v>38</v>
      </c>
      <c r="P549" s="69">
        <f>uurtarief26</f>
        <v>0</v>
      </c>
      <c r="Q549" s="66" t="e">
        <f>IF(ISBLANK(M549),0,L549/ROUND(M549,4))</f>
        <v>#DIV/0!</v>
      </c>
      <c r="R549" s="66" t="e">
        <f>IF(ISBLANK(M549),0,Q549*ROUND(N549,2))</f>
        <v>#DIV/0!</v>
      </c>
      <c r="S549" s="69" t="e">
        <f>ROUND(P549,2)*Q549</f>
        <v>#DIV/0!</v>
      </c>
      <c r="T549" s="66" t="e">
        <f>Q549*dagenperjaar1</f>
        <v>#DIV/0!</v>
      </c>
      <c r="U549" s="70" t="e">
        <f>T549*ROUND(P549,2)</f>
        <v>#DIV/0!</v>
      </c>
    </row>
    <row r="550" spans="1:21" x14ac:dyDescent="0.2">
      <c r="A550" s="63" t="s">
        <v>774</v>
      </c>
      <c r="B550" s="64" t="s">
        <v>324</v>
      </c>
      <c r="C550" s="64" t="s">
        <v>323</v>
      </c>
      <c r="D550" s="64" t="s">
        <v>1155</v>
      </c>
      <c r="E550" s="64" t="s">
        <v>324</v>
      </c>
      <c r="F550" s="65" t="s">
        <v>1011</v>
      </c>
      <c r="G550" s="64" t="s">
        <v>365</v>
      </c>
      <c r="H550" s="64" t="s">
        <v>267</v>
      </c>
      <c r="I550" s="64" t="s">
        <v>10</v>
      </c>
      <c r="J550" s="64" t="s">
        <v>201</v>
      </c>
      <c r="K550" s="66">
        <v>127.2</v>
      </c>
      <c r="L550" s="66">
        <f>K550*VLOOKUP(I550,dagsoorttabel1,2,FALSE)</f>
        <v>127.2</v>
      </c>
      <c r="M550" s="67">
        <f>prodnorm65</f>
        <v>0</v>
      </c>
      <c r="N550" s="68">
        <f>dagwerk65</f>
        <v>0</v>
      </c>
      <c r="O550" s="64" t="s">
        <v>38</v>
      </c>
      <c r="P550" s="69">
        <f>uurtarief65</f>
        <v>0</v>
      </c>
      <c r="Q550" s="66" t="e">
        <f>IF(ISBLANK(M550),0,L550/ROUND(M550,4))</f>
        <v>#DIV/0!</v>
      </c>
      <c r="R550" s="66" t="e">
        <f>IF(ISBLANK(M550),0,Q550*ROUND(N550,2))</f>
        <v>#DIV/0!</v>
      </c>
      <c r="S550" s="69" t="e">
        <f>ROUND(P550,2)*Q550</f>
        <v>#DIV/0!</v>
      </c>
      <c r="T550" s="66" t="e">
        <f>Q550*dagenperjaar1</f>
        <v>#DIV/0!</v>
      </c>
      <c r="U550" s="70" t="e">
        <f>T550*ROUND(P550,2)</f>
        <v>#DIV/0!</v>
      </c>
    </row>
    <row r="551" spans="1:21" x14ac:dyDescent="0.2">
      <c r="A551" s="63" t="s">
        <v>774</v>
      </c>
      <c r="B551" s="64" t="s">
        <v>324</v>
      </c>
      <c r="C551" s="64" t="s">
        <v>323</v>
      </c>
      <c r="D551" s="64" t="s">
        <v>1156</v>
      </c>
      <c r="E551" s="64" t="s">
        <v>324</v>
      </c>
      <c r="F551" s="65" t="s">
        <v>1157</v>
      </c>
      <c r="G551" s="64" t="s">
        <v>365</v>
      </c>
      <c r="H551" s="64" t="s">
        <v>229</v>
      </c>
      <c r="I551" s="64" t="s">
        <v>10</v>
      </c>
      <c r="J551" s="64" t="s">
        <v>201</v>
      </c>
      <c r="K551" s="66">
        <v>64</v>
      </c>
      <c r="L551" s="66">
        <f>K551*VLOOKUP(I551,dagsoorttabel1,2,FALSE)</f>
        <v>64</v>
      </c>
      <c r="M551" s="67">
        <f>prodnorm43</f>
        <v>0</v>
      </c>
      <c r="N551" s="68">
        <f>dagwerk43</f>
        <v>0</v>
      </c>
      <c r="O551" s="64" t="s">
        <v>38</v>
      </c>
      <c r="P551" s="69">
        <f>uurtarief43</f>
        <v>0</v>
      </c>
      <c r="Q551" s="66" t="e">
        <f>IF(ISBLANK(M551),0,L551/ROUND(M551,4))</f>
        <v>#DIV/0!</v>
      </c>
      <c r="R551" s="66" t="e">
        <f>IF(ISBLANK(M551),0,Q551*ROUND(N551,2))</f>
        <v>#DIV/0!</v>
      </c>
      <c r="S551" s="69" t="e">
        <f>ROUND(P551,2)*Q551</f>
        <v>#DIV/0!</v>
      </c>
      <c r="T551" s="66" t="e">
        <f>Q551*dagenperjaar1</f>
        <v>#DIV/0!</v>
      </c>
      <c r="U551" s="70" t="e">
        <f>T551*ROUND(P551,2)</f>
        <v>#DIV/0!</v>
      </c>
    </row>
    <row r="552" spans="1:21" x14ac:dyDescent="0.2">
      <c r="A552" s="63" t="s">
        <v>774</v>
      </c>
      <c r="B552" s="64" t="s">
        <v>324</v>
      </c>
      <c r="C552" s="64" t="s">
        <v>323</v>
      </c>
      <c r="D552" s="64" t="s">
        <v>1158</v>
      </c>
      <c r="E552" s="64" t="s">
        <v>324</v>
      </c>
      <c r="F552" s="65" t="s">
        <v>1157</v>
      </c>
      <c r="G552" s="64" t="s">
        <v>365</v>
      </c>
      <c r="H552" s="64" t="s">
        <v>229</v>
      </c>
      <c r="I552" s="64" t="s">
        <v>10</v>
      </c>
      <c r="J552" s="64" t="s">
        <v>201</v>
      </c>
      <c r="K552" s="66">
        <v>67.400000000000006</v>
      </c>
      <c r="L552" s="66">
        <f>K552*VLOOKUP(I552,dagsoorttabel1,2,FALSE)</f>
        <v>67.400000000000006</v>
      </c>
      <c r="M552" s="67">
        <f>prodnorm43</f>
        <v>0</v>
      </c>
      <c r="N552" s="68">
        <f>dagwerk43</f>
        <v>0</v>
      </c>
      <c r="O552" s="64" t="s">
        <v>38</v>
      </c>
      <c r="P552" s="69">
        <f>uurtarief43</f>
        <v>0</v>
      </c>
      <c r="Q552" s="66" t="e">
        <f>IF(ISBLANK(M552),0,L552/ROUND(M552,4))</f>
        <v>#DIV/0!</v>
      </c>
      <c r="R552" s="66" t="e">
        <f>IF(ISBLANK(M552),0,Q552*ROUND(N552,2))</f>
        <v>#DIV/0!</v>
      </c>
      <c r="S552" s="69" t="e">
        <f>ROUND(P552,2)*Q552</f>
        <v>#DIV/0!</v>
      </c>
      <c r="T552" s="66" t="e">
        <f>Q552*dagenperjaar1</f>
        <v>#DIV/0!</v>
      </c>
      <c r="U552" s="70" t="e">
        <f>T552*ROUND(P552,2)</f>
        <v>#DIV/0!</v>
      </c>
    </row>
    <row r="553" spans="1:21" x14ac:dyDescent="0.2">
      <c r="A553" s="63" t="s">
        <v>774</v>
      </c>
      <c r="B553" s="64" t="s">
        <v>324</v>
      </c>
      <c r="C553" s="64" t="s">
        <v>323</v>
      </c>
      <c r="D553" s="64" t="s">
        <v>1159</v>
      </c>
      <c r="E553" s="64" t="s">
        <v>324</v>
      </c>
      <c r="F553" s="65" t="s">
        <v>1157</v>
      </c>
      <c r="G553" s="64" t="s">
        <v>365</v>
      </c>
      <c r="H553" s="64" t="s">
        <v>229</v>
      </c>
      <c r="I553" s="64" t="s">
        <v>10</v>
      </c>
      <c r="J553" s="64" t="s">
        <v>201</v>
      </c>
      <c r="K553" s="66">
        <v>64.099999999999994</v>
      </c>
      <c r="L553" s="66">
        <f>K553*VLOOKUP(I553,dagsoorttabel1,2,FALSE)</f>
        <v>64.099999999999994</v>
      </c>
      <c r="M553" s="67">
        <f>prodnorm43</f>
        <v>0</v>
      </c>
      <c r="N553" s="68">
        <f>dagwerk43</f>
        <v>0</v>
      </c>
      <c r="O553" s="64" t="s">
        <v>38</v>
      </c>
      <c r="P553" s="69">
        <f>uurtarief43</f>
        <v>0</v>
      </c>
      <c r="Q553" s="66" t="e">
        <f>IF(ISBLANK(M553),0,L553/ROUND(M553,4))</f>
        <v>#DIV/0!</v>
      </c>
      <c r="R553" s="66" t="e">
        <f>IF(ISBLANK(M553),0,Q553*ROUND(N553,2))</f>
        <v>#DIV/0!</v>
      </c>
      <c r="S553" s="69" t="e">
        <f>ROUND(P553,2)*Q553</f>
        <v>#DIV/0!</v>
      </c>
      <c r="T553" s="66" t="e">
        <f>Q553*dagenperjaar1</f>
        <v>#DIV/0!</v>
      </c>
      <c r="U553" s="70" t="e">
        <f>T553*ROUND(P553,2)</f>
        <v>#DIV/0!</v>
      </c>
    </row>
    <row r="554" spans="1:21" x14ac:dyDescent="0.2">
      <c r="A554" s="63" t="s">
        <v>774</v>
      </c>
      <c r="B554" s="64" t="s">
        <v>324</v>
      </c>
      <c r="C554" s="64" t="s">
        <v>323</v>
      </c>
      <c r="D554" s="64" t="s">
        <v>1160</v>
      </c>
      <c r="E554" s="64" t="s">
        <v>324</v>
      </c>
      <c r="F554" s="65" t="s">
        <v>1157</v>
      </c>
      <c r="G554" s="64" t="s">
        <v>365</v>
      </c>
      <c r="H554" s="64" t="s">
        <v>229</v>
      </c>
      <c r="I554" s="64" t="s">
        <v>10</v>
      </c>
      <c r="J554" s="64" t="s">
        <v>201</v>
      </c>
      <c r="K554" s="66">
        <v>75</v>
      </c>
      <c r="L554" s="66">
        <f>K554*VLOOKUP(I554,dagsoorttabel1,2,FALSE)</f>
        <v>75</v>
      </c>
      <c r="M554" s="67">
        <f>prodnorm43</f>
        <v>0</v>
      </c>
      <c r="N554" s="68">
        <f>dagwerk43</f>
        <v>0</v>
      </c>
      <c r="O554" s="64" t="s">
        <v>38</v>
      </c>
      <c r="P554" s="69">
        <f>uurtarief43</f>
        <v>0</v>
      </c>
      <c r="Q554" s="66" t="e">
        <f>IF(ISBLANK(M554),0,L554/ROUND(M554,4))</f>
        <v>#DIV/0!</v>
      </c>
      <c r="R554" s="66" t="e">
        <f>IF(ISBLANK(M554),0,Q554*ROUND(N554,2))</f>
        <v>#DIV/0!</v>
      </c>
      <c r="S554" s="69" t="e">
        <f>ROUND(P554,2)*Q554</f>
        <v>#DIV/0!</v>
      </c>
      <c r="T554" s="66" t="e">
        <f>Q554*dagenperjaar1</f>
        <v>#DIV/0!</v>
      </c>
      <c r="U554" s="70" t="e">
        <f>T554*ROUND(P554,2)</f>
        <v>#DIV/0!</v>
      </c>
    </row>
    <row r="555" spans="1:21" x14ac:dyDescent="0.2">
      <c r="A555" s="63" t="s">
        <v>774</v>
      </c>
      <c r="B555" s="64" t="s">
        <v>324</v>
      </c>
      <c r="C555" s="64" t="s">
        <v>323</v>
      </c>
      <c r="D555" s="64" t="s">
        <v>1161</v>
      </c>
      <c r="E555" s="64" t="s">
        <v>324</v>
      </c>
      <c r="F555" s="65" t="s">
        <v>1157</v>
      </c>
      <c r="G555" s="64" t="s">
        <v>365</v>
      </c>
      <c r="H555" s="64" t="s">
        <v>229</v>
      </c>
      <c r="I555" s="64" t="s">
        <v>10</v>
      </c>
      <c r="J555" s="64" t="s">
        <v>201</v>
      </c>
      <c r="K555" s="66">
        <v>90</v>
      </c>
      <c r="L555" s="66">
        <f>K555*VLOOKUP(I555,dagsoorttabel1,2,FALSE)</f>
        <v>90</v>
      </c>
      <c r="M555" s="67">
        <f>prodnorm43</f>
        <v>0</v>
      </c>
      <c r="N555" s="68">
        <f>dagwerk43</f>
        <v>0</v>
      </c>
      <c r="O555" s="64" t="s">
        <v>38</v>
      </c>
      <c r="P555" s="69">
        <f>uurtarief43</f>
        <v>0</v>
      </c>
      <c r="Q555" s="66" t="e">
        <f>IF(ISBLANK(M555),0,L555/ROUND(M555,4))</f>
        <v>#DIV/0!</v>
      </c>
      <c r="R555" s="66" t="e">
        <f>IF(ISBLANK(M555),0,Q555*ROUND(N555,2))</f>
        <v>#DIV/0!</v>
      </c>
      <c r="S555" s="69" t="e">
        <f>ROUND(P555,2)*Q555</f>
        <v>#DIV/0!</v>
      </c>
      <c r="T555" s="66" t="e">
        <f>Q555*dagenperjaar1</f>
        <v>#DIV/0!</v>
      </c>
      <c r="U555" s="70" t="e">
        <f>T555*ROUND(P555,2)</f>
        <v>#DIV/0!</v>
      </c>
    </row>
    <row r="556" spans="1:21" x14ac:dyDescent="0.2">
      <c r="A556" s="63" t="s">
        <v>774</v>
      </c>
      <c r="B556" s="64" t="s">
        <v>324</v>
      </c>
      <c r="C556" s="64" t="s">
        <v>323</v>
      </c>
      <c r="D556" s="64" t="s">
        <v>1162</v>
      </c>
      <c r="E556" s="64" t="s">
        <v>324</v>
      </c>
      <c r="F556" s="65" t="s">
        <v>1163</v>
      </c>
      <c r="G556" s="64" t="s">
        <v>365</v>
      </c>
      <c r="H556" s="64" t="s">
        <v>205</v>
      </c>
      <c r="I556" s="64" t="s">
        <v>10</v>
      </c>
      <c r="J556" s="64" t="s">
        <v>201</v>
      </c>
      <c r="K556" s="66">
        <v>30.7</v>
      </c>
      <c r="L556" s="66">
        <f>K556*VLOOKUP(I556,dagsoorttabel1,2,FALSE)</f>
        <v>30.7</v>
      </c>
      <c r="M556" s="67">
        <f>prodnorm26</f>
        <v>0</v>
      </c>
      <c r="N556" s="68">
        <f>dagwerk26</f>
        <v>0</v>
      </c>
      <c r="O556" s="64" t="s">
        <v>38</v>
      </c>
      <c r="P556" s="69">
        <f>uurtarief26</f>
        <v>0</v>
      </c>
      <c r="Q556" s="66" t="e">
        <f>IF(ISBLANK(M556),0,L556/ROUND(M556,4))</f>
        <v>#DIV/0!</v>
      </c>
      <c r="R556" s="66" t="e">
        <f>IF(ISBLANK(M556),0,Q556*ROUND(N556,2))</f>
        <v>#DIV/0!</v>
      </c>
      <c r="S556" s="69" t="e">
        <f>ROUND(P556,2)*Q556</f>
        <v>#DIV/0!</v>
      </c>
      <c r="T556" s="66" t="e">
        <f>Q556*dagenperjaar1</f>
        <v>#DIV/0!</v>
      </c>
      <c r="U556" s="70" t="e">
        <f>T556*ROUND(P556,2)</f>
        <v>#DIV/0!</v>
      </c>
    </row>
    <row r="557" spans="1:21" x14ac:dyDescent="0.2">
      <c r="A557" s="63" t="s">
        <v>774</v>
      </c>
      <c r="B557" s="64" t="s">
        <v>324</v>
      </c>
      <c r="C557" s="64" t="s">
        <v>323</v>
      </c>
      <c r="D557" s="64" t="s">
        <v>1164</v>
      </c>
      <c r="E557" s="64" t="s">
        <v>324</v>
      </c>
      <c r="F557" s="65" t="s">
        <v>1157</v>
      </c>
      <c r="G557" s="64" t="s">
        <v>365</v>
      </c>
      <c r="H557" s="64" t="s">
        <v>229</v>
      </c>
      <c r="I557" s="64" t="s">
        <v>10</v>
      </c>
      <c r="J557" s="64" t="s">
        <v>201</v>
      </c>
      <c r="K557" s="66">
        <v>86.9</v>
      </c>
      <c r="L557" s="66">
        <f>K557*VLOOKUP(I557,dagsoorttabel1,2,FALSE)</f>
        <v>86.9</v>
      </c>
      <c r="M557" s="67">
        <f>prodnorm43</f>
        <v>0</v>
      </c>
      <c r="N557" s="68">
        <f>dagwerk43</f>
        <v>0</v>
      </c>
      <c r="O557" s="64" t="s">
        <v>38</v>
      </c>
      <c r="P557" s="69">
        <f>uurtarief43</f>
        <v>0</v>
      </c>
      <c r="Q557" s="66" t="e">
        <f>IF(ISBLANK(M557),0,L557/ROUND(M557,4))</f>
        <v>#DIV/0!</v>
      </c>
      <c r="R557" s="66" t="e">
        <f>IF(ISBLANK(M557),0,Q557*ROUND(N557,2))</f>
        <v>#DIV/0!</v>
      </c>
      <c r="S557" s="69" t="e">
        <f>ROUND(P557,2)*Q557</f>
        <v>#DIV/0!</v>
      </c>
      <c r="T557" s="66" t="e">
        <f>Q557*dagenperjaar1</f>
        <v>#DIV/0!</v>
      </c>
      <c r="U557" s="70" t="e">
        <f>T557*ROUND(P557,2)</f>
        <v>#DIV/0!</v>
      </c>
    </row>
    <row r="558" spans="1:21" x14ac:dyDescent="0.2">
      <c r="A558" s="63" t="s">
        <v>774</v>
      </c>
      <c r="B558" s="64" t="s">
        <v>324</v>
      </c>
      <c r="C558" s="64" t="s">
        <v>323</v>
      </c>
      <c r="D558" s="64" t="s">
        <v>1165</v>
      </c>
      <c r="E558" s="64" t="s">
        <v>324</v>
      </c>
      <c r="F558" s="65" t="s">
        <v>1157</v>
      </c>
      <c r="G558" s="64" t="s">
        <v>365</v>
      </c>
      <c r="H558" s="64" t="s">
        <v>229</v>
      </c>
      <c r="I558" s="64" t="s">
        <v>10</v>
      </c>
      <c r="J558" s="64" t="s">
        <v>201</v>
      </c>
      <c r="K558" s="66">
        <v>66.3</v>
      </c>
      <c r="L558" s="66">
        <f>K558*VLOOKUP(I558,dagsoorttabel1,2,FALSE)</f>
        <v>66.3</v>
      </c>
      <c r="M558" s="67">
        <f>prodnorm43</f>
        <v>0</v>
      </c>
      <c r="N558" s="68">
        <f>dagwerk43</f>
        <v>0</v>
      </c>
      <c r="O558" s="64" t="s">
        <v>38</v>
      </c>
      <c r="P558" s="69">
        <f>uurtarief43</f>
        <v>0</v>
      </c>
      <c r="Q558" s="66" t="e">
        <f>IF(ISBLANK(M558),0,L558/ROUND(M558,4))</f>
        <v>#DIV/0!</v>
      </c>
      <c r="R558" s="66" t="e">
        <f>IF(ISBLANK(M558),0,Q558*ROUND(N558,2))</f>
        <v>#DIV/0!</v>
      </c>
      <c r="S558" s="69" t="e">
        <f>ROUND(P558,2)*Q558</f>
        <v>#DIV/0!</v>
      </c>
      <c r="T558" s="66" t="e">
        <f>Q558*dagenperjaar1</f>
        <v>#DIV/0!</v>
      </c>
      <c r="U558" s="70" t="e">
        <f>T558*ROUND(P558,2)</f>
        <v>#DIV/0!</v>
      </c>
    </row>
    <row r="559" spans="1:21" x14ac:dyDescent="0.2">
      <c r="A559" s="63" t="s">
        <v>774</v>
      </c>
      <c r="B559" s="64" t="s">
        <v>324</v>
      </c>
      <c r="C559" s="64" t="s">
        <v>323</v>
      </c>
      <c r="D559" s="64" t="s">
        <v>1166</v>
      </c>
      <c r="E559" s="64" t="s">
        <v>324</v>
      </c>
      <c r="F559" s="65" t="s">
        <v>1167</v>
      </c>
      <c r="G559" s="64" t="s">
        <v>365</v>
      </c>
      <c r="H559" s="64" t="s">
        <v>229</v>
      </c>
      <c r="I559" s="64" t="s">
        <v>10</v>
      </c>
      <c r="J559" s="64" t="s">
        <v>201</v>
      </c>
      <c r="K559" s="66">
        <v>66.400000000000006</v>
      </c>
      <c r="L559" s="66">
        <f>K559*VLOOKUP(I559,dagsoorttabel1,2,FALSE)</f>
        <v>66.400000000000006</v>
      </c>
      <c r="M559" s="67">
        <f>prodnorm43</f>
        <v>0</v>
      </c>
      <c r="N559" s="68">
        <f>dagwerk43</f>
        <v>0</v>
      </c>
      <c r="O559" s="64" t="s">
        <v>38</v>
      </c>
      <c r="P559" s="69">
        <f>uurtarief43</f>
        <v>0</v>
      </c>
      <c r="Q559" s="66" t="e">
        <f>IF(ISBLANK(M559),0,L559/ROUND(M559,4))</f>
        <v>#DIV/0!</v>
      </c>
      <c r="R559" s="66" t="e">
        <f>IF(ISBLANK(M559),0,Q559*ROUND(N559,2))</f>
        <v>#DIV/0!</v>
      </c>
      <c r="S559" s="69" t="e">
        <f>ROUND(P559,2)*Q559</f>
        <v>#DIV/0!</v>
      </c>
      <c r="T559" s="66" t="e">
        <f>Q559*dagenperjaar1</f>
        <v>#DIV/0!</v>
      </c>
      <c r="U559" s="70" t="e">
        <f>T559*ROUND(P559,2)</f>
        <v>#DIV/0!</v>
      </c>
    </row>
    <row r="560" spans="1:21" x14ac:dyDescent="0.2">
      <c r="A560" s="63" t="s">
        <v>774</v>
      </c>
      <c r="B560" s="64" t="s">
        <v>324</v>
      </c>
      <c r="C560" s="64" t="s">
        <v>323</v>
      </c>
      <c r="D560" s="64" t="s">
        <v>1168</v>
      </c>
      <c r="E560" s="64" t="s">
        <v>324</v>
      </c>
      <c r="F560" s="65" t="s">
        <v>998</v>
      </c>
      <c r="G560" s="64" t="s">
        <v>365</v>
      </c>
      <c r="H560" s="64" t="s">
        <v>267</v>
      </c>
      <c r="I560" s="64" t="s">
        <v>10</v>
      </c>
      <c r="J560" s="64" t="s">
        <v>201</v>
      </c>
      <c r="K560" s="66">
        <v>32.9</v>
      </c>
      <c r="L560" s="66">
        <f>K560*VLOOKUP(I560,dagsoorttabel1,2,FALSE)</f>
        <v>32.9</v>
      </c>
      <c r="M560" s="67">
        <f>prodnorm65</f>
        <v>0</v>
      </c>
      <c r="N560" s="68">
        <f>dagwerk65</f>
        <v>0</v>
      </c>
      <c r="O560" s="64" t="s">
        <v>38</v>
      </c>
      <c r="P560" s="69">
        <f>uurtarief65</f>
        <v>0</v>
      </c>
      <c r="Q560" s="66" t="e">
        <f>IF(ISBLANK(M560),0,L560/ROUND(M560,4))</f>
        <v>#DIV/0!</v>
      </c>
      <c r="R560" s="66" t="e">
        <f>IF(ISBLANK(M560),0,Q560*ROUND(N560,2))</f>
        <v>#DIV/0!</v>
      </c>
      <c r="S560" s="69" t="e">
        <f>ROUND(P560,2)*Q560</f>
        <v>#DIV/0!</v>
      </c>
      <c r="T560" s="66" t="e">
        <f>Q560*dagenperjaar1</f>
        <v>#DIV/0!</v>
      </c>
      <c r="U560" s="70" t="e">
        <f>T560*ROUND(P560,2)</f>
        <v>#DIV/0!</v>
      </c>
    </row>
    <row r="561" spans="1:21" x14ac:dyDescent="0.2">
      <c r="A561" s="63" t="s">
        <v>774</v>
      </c>
      <c r="B561" s="64" t="s">
        <v>324</v>
      </c>
      <c r="C561" s="64" t="s">
        <v>323</v>
      </c>
      <c r="D561" s="64" t="s">
        <v>1169</v>
      </c>
      <c r="E561" s="64" t="s">
        <v>324</v>
      </c>
      <c r="F561" s="65" t="s">
        <v>996</v>
      </c>
      <c r="G561" s="64" t="s">
        <v>365</v>
      </c>
      <c r="H561" s="64" t="s">
        <v>255</v>
      </c>
      <c r="I561" s="64" t="s">
        <v>10</v>
      </c>
      <c r="J561" s="64" t="s">
        <v>201</v>
      </c>
      <c r="K561" s="66">
        <v>8.8000000000000007</v>
      </c>
      <c r="L561" s="66">
        <f>K561*VLOOKUP(I561,dagsoorttabel1,2,FALSE)</f>
        <v>8.8000000000000007</v>
      </c>
      <c r="M561" s="67">
        <f>prodnorm59</f>
        <v>0</v>
      </c>
      <c r="N561" s="68">
        <f>dagwerk59</f>
        <v>0</v>
      </c>
      <c r="O561" s="64" t="s">
        <v>38</v>
      </c>
      <c r="P561" s="69">
        <f>uurtarief59</f>
        <v>0</v>
      </c>
      <c r="Q561" s="66" t="e">
        <f>IF(ISBLANK(M561),0,L561/ROUND(M561,4))</f>
        <v>#DIV/0!</v>
      </c>
      <c r="R561" s="66" t="e">
        <f>IF(ISBLANK(M561),0,Q561*ROUND(N561,2))</f>
        <v>#DIV/0!</v>
      </c>
      <c r="S561" s="69" t="e">
        <f>ROUND(P561,2)*Q561</f>
        <v>#DIV/0!</v>
      </c>
      <c r="T561" s="66" t="e">
        <f>Q561*dagenperjaar1</f>
        <v>#DIV/0!</v>
      </c>
      <c r="U561" s="70" t="e">
        <f>T561*ROUND(P561,2)</f>
        <v>#DIV/0!</v>
      </c>
    </row>
    <row r="562" spans="1:21" x14ac:dyDescent="0.2">
      <c r="A562" s="63" t="s">
        <v>774</v>
      </c>
      <c r="B562" s="64" t="s">
        <v>324</v>
      </c>
      <c r="C562" s="64" t="s">
        <v>323</v>
      </c>
      <c r="D562" s="64" t="s">
        <v>1170</v>
      </c>
      <c r="E562" s="64" t="s">
        <v>324</v>
      </c>
      <c r="F562" s="65" t="s">
        <v>1009</v>
      </c>
      <c r="G562" s="64" t="s">
        <v>365</v>
      </c>
      <c r="H562" s="64" t="s">
        <v>255</v>
      </c>
      <c r="I562" s="64" t="s">
        <v>10</v>
      </c>
      <c r="J562" s="64" t="s">
        <v>201</v>
      </c>
      <c r="K562" s="66">
        <v>8.1</v>
      </c>
      <c r="L562" s="66">
        <f>K562*VLOOKUP(I562,dagsoorttabel1,2,FALSE)</f>
        <v>8.1</v>
      </c>
      <c r="M562" s="67">
        <f>prodnorm59</f>
        <v>0</v>
      </c>
      <c r="N562" s="68">
        <f>dagwerk59</f>
        <v>0</v>
      </c>
      <c r="O562" s="64" t="s">
        <v>38</v>
      </c>
      <c r="P562" s="69">
        <f>uurtarief59</f>
        <v>0</v>
      </c>
      <c r="Q562" s="66" t="e">
        <f>IF(ISBLANK(M562),0,L562/ROUND(M562,4))</f>
        <v>#DIV/0!</v>
      </c>
      <c r="R562" s="66" t="e">
        <f>IF(ISBLANK(M562),0,Q562*ROUND(N562,2))</f>
        <v>#DIV/0!</v>
      </c>
      <c r="S562" s="69" t="e">
        <f>ROUND(P562,2)*Q562</f>
        <v>#DIV/0!</v>
      </c>
      <c r="T562" s="66" t="e">
        <f>Q562*dagenperjaar1</f>
        <v>#DIV/0!</v>
      </c>
      <c r="U562" s="70" t="e">
        <f>T562*ROUND(P562,2)</f>
        <v>#DIV/0!</v>
      </c>
    </row>
    <row r="563" spans="1:21" x14ac:dyDescent="0.2">
      <c r="A563" s="63" t="s">
        <v>774</v>
      </c>
      <c r="B563" s="64" t="s">
        <v>324</v>
      </c>
      <c r="C563" s="64" t="s">
        <v>323</v>
      </c>
      <c r="D563" s="64" t="s">
        <v>1171</v>
      </c>
      <c r="E563" s="64" t="s">
        <v>324</v>
      </c>
      <c r="F563" s="65" t="s">
        <v>1172</v>
      </c>
      <c r="G563" s="64" t="s">
        <v>365</v>
      </c>
      <c r="H563" s="64" t="s">
        <v>255</v>
      </c>
      <c r="I563" s="64" t="s">
        <v>10</v>
      </c>
      <c r="J563" s="64" t="s">
        <v>201</v>
      </c>
      <c r="K563" s="66">
        <v>3.5</v>
      </c>
      <c r="L563" s="66">
        <f>K563*VLOOKUP(I563,dagsoorttabel1,2,FALSE)</f>
        <v>3.5</v>
      </c>
      <c r="M563" s="67">
        <f>prodnorm59</f>
        <v>0</v>
      </c>
      <c r="N563" s="68">
        <f>dagwerk59</f>
        <v>0</v>
      </c>
      <c r="O563" s="64" t="s">
        <v>38</v>
      </c>
      <c r="P563" s="69">
        <f>uurtarief59</f>
        <v>0</v>
      </c>
      <c r="Q563" s="66" t="e">
        <f>IF(ISBLANK(M563),0,L563/ROUND(M563,4))</f>
        <v>#DIV/0!</v>
      </c>
      <c r="R563" s="66" t="e">
        <f>IF(ISBLANK(M563),0,Q563*ROUND(N563,2))</f>
        <v>#DIV/0!</v>
      </c>
      <c r="S563" s="69" t="e">
        <f>ROUND(P563,2)*Q563</f>
        <v>#DIV/0!</v>
      </c>
      <c r="T563" s="66" t="e">
        <f>Q563*dagenperjaar1</f>
        <v>#DIV/0!</v>
      </c>
      <c r="U563" s="70" t="e">
        <f>T563*ROUND(P563,2)</f>
        <v>#DIV/0!</v>
      </c>
    </row>
    <row r="564" spans="1:21" x14ac:dyDescent="0.2">
      <c r="A564" s="63" t="s">
        <v>774</v>
      </c>
      <c r="B564" s="64" t="s">
        <v>324</v>
      </c>
      <c r="C564" s="64" t="s">
        <v>323</v>
      </c>
      <c r="D564" s="64" t="s">
        <v>1173</v>
      </c>
      <c r="E564" s="64" t="s">
        <v>324</v>
      </c>
      <c r="F564" s="65" t="s">
        <v>998</v>
      </c>
      <c r="G564" s="64" t="s">
        <v>365</v>
      </c>
      <c r="H564" s="64" t="s">
        <v>267</v>
      </c>
      <c r="I564" s="64" t="s">
        <v>10</v>
      </c>
      <c r="J564" s="64" t="s">
        <v>201</v>
      </c>
      <c r="K564" s="66">
        <v>32.700000000000003</v>
      </c>
      <c r="L564" s="66">
        <f>K564*VLOOKUP(I564,dagsoorttabel1,2,FALSE)</f>
        <v>32.700000000000003</v>
      </c>
      <c r="M564" s="67">
        <f>prodnorm65</f>
        <v>0</v>
      </c>
      <c r="N564" s="68">
        <f>dagwerk65</f>
        <v>0</v>
      </c>
      <c r="O564" s="64" t="s">
        <v>38</v>
      </c>
      <c r="P564" s="69">
        <f>uurtarief65</f>
        <v>0</v>
      </c>
      <c r="Q564" s="66" t="e">
        <f>IF(ISBLANK(M564),0,L564/ROUND(M564,4))</f>
        <v>#DIV/0!</v>
      </c>
      <c r="R564" s="66" t="e">
        <f>IF(ISBLANK(M564),0,Q564*ROUND(N564,2))</f>
        <v>#DIV/0!</v>
      </c>
      <c r="S564" s="69" t="e">
        <f>ROUND(P564,2)*Q564</f>
        <v>#DIV/0!</v>
      </c>
      <c r="T564" s="66" t="e">
        <f>Q564*dagenperjaar1</f>
        <v>#DIV/0!</v>
      </c>
      <c r="U564" s="70" t="e">
        <f>T564*ROUND(P564,2)</f>
        <v>#DIV/0!</v>
      </c>
    </row>
    <row r="565" spans="1:21" x14ac:dyDescent="0.2">
      <c r="A565" s="63" t="s">
        <v>774</v>
      </c>
      <c r="B565" s="64" t="s">
        <v>324</v>
      </c>
      <c r="C565" s="64" t="s">
        <v>323</v>
      </c>
      <c r="D565" s="64" t="s">
        <v>1174</v>
      </c>
      <c r="E565" s="64" t="s">
        <v>324</v>
      </c>
      <c r="F565" s="65" t="s">
        <v>1062</v>
      </c>
      <c r="G565" s="64" t="s">
        <v>365</v>
      </c>
      <c r="H565" s="64" t="s">
        <v>205</v>
      </c>
      <c r="I565" s="64" t="s">
        <v>10</v>
      </c>
      <c r="J565" s="64" t="s">
        <v>201</v>
      </c>
      <c r="K565" s="66">
        <v>12.3</v>
      </c>
      <c r="L565" s="66">
        <f>K565*VLOOKUP(I565,dagsoorttabel1,2,FALSE)</f>
        <v>12.3</v>
      </c>
      <c r="M565" s="67">
        <f>prodnorm26</f>
        <v>0</v>
      </c>
      <c r="N565" s="68">
        <f>dagwerk26</f>
        <v>0</v>
      </c>
      <c r="O565" s="64" t="s">
        <v>38</v>
      </c>
      <c r="P565" s="69">
        <f>uurtarief26</f>
        <v>0</v>
      </c>
      <c r="Q565" s="66" t="e">
        <f>IF(ISBLANK(M565),0,L565/ROUND(M565,4))</f>
        <v>#DIV/0!</v>
      </c>
      <c r="R565" s="66" t="e">
        <f>IF(ISBLANK(M565),0,Q565*ROUND(N565,2))</f>
        <v>#DIV/0!</v>
      </c>
      <c r="S565" s="69" t="e">
        <f>ROUND(P565,2)*Q565</f>
        <v>#DIV/0!</v>
      </c>
      <c r="T565" s="66" t="e">
        <f>Q565*dagenperjaar1</f>
        <v>#DIV/0!</v>
      </c>
      <c r="U565" s="70" t="e">
        <f>T565*ROUND(P565,2)</f>
        <v>#DIV/0!</v>
      </c>
    </row>
    <row r="566" spans="1:21" x14ac:dyDescent="0.2">
      <c r="A566" s="63" t="s">
        <v>774</v>
      </c>
      <c r="B566" s="64" t="s">
        <v>324</v>
      </c>
      <c r="C566" s="64" t="s">
        <v>472</v>
      </c>
      <c r="D566" s="64" t="s">
        <v>1175</v>
      </c>
      <c r="E566" s="64" t="s">
        <v>324</v>
      </c>
      <c r="F566" s="65" t="s">
        <v>1176</v>
      </c>
      <c r="G566" s="64" t="s">
        <v>365</v>
      </c>
      <c r="H566" s="64" t="s">
        <v>255</v>
      </c>
      <c r="I566" s="64" t="s">
        <v>10</v>
      </c>
      <c r="J566" s="64" t="s">
        <v>201</v>
      </c>
      <c r="K566" s="66">
        <v>16.600000000000001</v>
      </c>
      <c r="L566" s="66">
        <f>K566*VLOOKUP(I566,dagsoorttabel1,2,FALSE)</f>
        <v>16.600000000000001</v>
      </c>
      <c r="M566" s="67">
        <f>prodnorm59</f>
        <v>0</v>
      </c>
      <c r="N566" s="68">
        <f>dagwerk59</f>
        <v>0</v>
      </c>
      <c r="O566" s="64" t="s">
        <v>38</v>
      </c>
      <c r="P566" s="69">
        <f>uurtarief59</f>
        <v>0</v>
      </c>
      <c r="Q566" s="66" t="e">
        <f>IF(ISBLANK(M566),0,L566/ROUND(M566,4))</f>
        <v>#DIV/0!</v>
      </c>
      <c r="R566" s="66" t="e">
        <f>IF(ISBLANK(M566),0,Q566*ROUND(N566,2))</f>
        <v>#DIV/0!</v>
      </c>
      <c r="S566" s="69" t="e">
        <f>ROUND(P566,2)*Q566</f>
        <v>#DIV/0!</v>
      </c>
      <c r="T566" s="66" t="e">
        <f>Q566*dagenperjaar1</f>
        <v>#DIV/0!</v>
      </c>
      <c r="U566" s="70" t="e">
        <f>T566*ROUND(P566,2)</f>
        <v>#DIV/0!</v>
      </c>
    </row>
    <row r="567" spans="1:21" x14ac:dyDescent="0.2">
      <c r="A567" s="63" t="s">
        <v>774</v>
      </c>
      <c r="B567" s="64" t="s">
        <v>324</v>
      </c>
      <c r="C567" s="64" t="s">
        <v>472</v>
      </c>
      <c r="D567" s="64" t="s">
        <v>1177</v>
      </c>
      <c r="E567" s="64" t="s">
        <v>324</v>
      </c>
      <c r="F567" s="65" t="s">
        <v>1004</v>
      </c>
      <c r="G567" s="64" t="s">
        <v>365</v>
      </c>
      <c r="H567" s="64" t="s">
        <v>229</v>
      </c>
      <c r="I567" s="64" t="s">
        <v>10</v>
      </c>
      <c r="J567" s="64" t="s">
        <v>201</v>
      </c>
      <c r="K567" s="66">
        <v>55.9</v>
      </c>
      <c r="L567" s="66">
        <f>K567*VLOOKUP(I567,dagsoorttabel1,2,FALSE)</f>
        <v>55.9</v>
      </c>
      <c r="M567" s="67">
        <f>prodnorm43</f>
        <v>0</v>
      </c>
      <c r="N567" s="68">
        <f>dagwerk43</f>
        <v>0</v>
      </c>
      <c r="O567" s="64" t="s">
        <v>38</v>
      </c>
      <c r="P567" s="69">
        <f>uurtarief43</f>
        <v>0</v>
      </c>
      <c r="Q567" s="66" t="e">
        <f>IF(ISBLANK(M567),0,L567/ROUND(M567,4))</f>
        <v>#DIV/0!</v>
      </c>
      <c r="R567" s="66" t="e">
        <f>IF(ISBLANK(M567),0,Q567*ROUND(N567,2))</f>
        <v>#DIV/0!</v>
      </c>
      <c r="S567" s="69" t="e">
        <f>ROUND(P567,2)*Q567</f>
        <v>#DIV/0!</v>
      </c>
      <c r="T567" s="66" t="e">
        <f>Q567*dagenperjaar1</f>
        <v>#DIV/0!</v>
      </c>
      <c r="U567" s="70" t="e">
        <f>T567*ROUND(P567,2)</f>
        <v>#DIV/0!</v>
      </c>
    </row>
    <row r="568" spans="1:21" x14ac:dyDescent="0.2">
      <c r="A568" s="63" t="s">
        <v>774</v>
      </c>
      <c r="B568" s="64" t="s">
        <v>324</v>
      </c>
      <c r="C568" s="64" t="s">
        <v>472</v>
      </c>
      <c r="D568" s="64" t="s">
        <v>1178</v>
      </c>
      <c r="E568" s="64" t="s">
        <v>324</v>
      </c>
      <c r="F568" s="65" t="s">
        <v>1020</v>
      </c>
      <c r="G568" s="64" t="s">
        <v>365</v>
      </c>
      <c r="H568" s="64" t="s">
        <v>267</v>
      </c>
      <c r="I568" s="64" t="s">
        <v>10</v>
      </c>
      <c r="J568" s="64" t="s">
        <v>201</v>
      </c>
      <c r="K568" s="66">
        <v>32.299999999999997</v>
      </c>
      <c r="L568" s="66">
        <f>K568*VLOOKUP(I568,dagsoorttabel1,2,FALSE)</f>
        <v>32.299999999999997</v>
      </c>
      <c r="M568" s="67">
        <f>prodnorm65</f>
        <v>0</v>
      </c>
      <c r="N568" s="68">
        <f>dagwerk65</f>
        <v>0</v>
      </c>
      <c r="O568" s="64" t="s">
        <v>38</v>
      </c>
      <c r="P568" s="69">
        <f>uurtarief65</f>
        <v>0</v>
      </c>
      <c r="Q568" s="66" t="e">
        <f>IF(ISBLANK(M568),0,L568/ROUND(M568,4))</f>
        <v>#DIV/0!</v>
      </c>
      <c r="R568" s="66" t="e">
        <f>IF(ISBLANK(M568),0,Q568*ROUND(N568,2))</f>
        <v>#DIV/0!</v>
      </c>
      <c r="S568" s="69" t="e">
        <f>ROUND(P568,2)*Q568</f>
        <v>#DIV/0!</v>
      </c>
      <c r="T568" s="66" t="e">
        <f>Q568*dagenperjaar1</f>
        <v>#DIV/0!</v>
      </c>
      <c r="U568" s="70" t="e">
        <f>T568*ROUND(P568,2)</f>
        <v>#DIV/0!</v>
      </c>
    </row>
    <row r="569" spans="1:21" x14ac:dyDescent="0.2">
      <c r="A569" s="63" t="s">
        <v>774</v>
      </c>
      <c r="B569" s="64" t="s">
        <v>324</v>
      </c>
      <c r="C569" s="64" t="s">
        <v>472</v>
      </c>
      <c r="D569" s="64" t="s">
        <v>1179</v>
      </c>
      <c r="E569" s="64" t="s">
        <v>324</v>
      </c>
      <c r="F569" s="65" t="s">
        <v>1180</v>
      </c>
      <c r="G569" s="64" t="s">
        <v>365</v>
      </c>
      <c r="H569" s="64" t="s">
        <v>267</v>
      </c>
      <c r="I569" s="64" t="s">
        <v>10</v>
      </c>
      <c r="J569" s="64" t="s">
        <v>201</v>
      </c>
      <c r="K569" s="66">
        <v>52.1</v>
      </c>
      <c r="L569" s="66">
        <f>K569*VLOOKUP(I569,dagsoorttabel1,2,FALSE)</f>
        <v>52.1</v>
      </c>
      <c r="M569" s="67">
        <f>prodnorm65</f>
        <v>0</v>
      </c>
      <c r="N569" s="68">
        <f>dagwerk65</f>
        <v>0</v>
      </c>
      <c r="O569" s="64" t="s">
        <v>38</v>
      </c>
      <c r="P569" s="69">
        <f>uurtarief65</f>
        <v>0</v>
      </c>
      <c r="Q569" s="66" t="e">
        <f>IF(ISBLANK(M569),0,L569/ROUND(M569,4))</f>
        <v>#DIV/0!</v>
      </c>
      <c r="R569" s="66" t="e">
        <f>IF(ISBLANK(M569),0,Q569*ROUND(N569,2))</f>
        <v>#DIV/0!</v>
      </c>
      <c r="S569" s="69" t="e">
        <f>ROUND(P569,2)*Q569</f>
        <v>#DIV/0!</v>
      </c>
      <c r="T569" s="66" t="e">
        <f>Q569*dagenperjaar1</f>
        <v>#DIV/0!</v>
      </c>
      <c r="U569" s="70" t="e">
        <f>T569*ROUND(P569,2)</f>
        <v>#DIV/0!</v>
      </c>
    </row>
    <row r="570" spans="1:21" x14ac:dyDescent="0.2">
      <c r="A570" s="63" t="s">
        <v>774</v>
      </c>
      <c r="B570" s="64" t="s">
        <v>324</v>
      </c>
      <c r="C570" s="64" t="s">
        <v>472</v>
      </c>
      <c r="D570" s="64" t="s">
        <v>1181</v>
      </c>
      <c r="E570" s="64" t="s">
        <v>324</v>
      </c>
      <c r="F570" s="65" t="s">
        <v>1004</v>
      </c>
      <c r="G570" s="64" t="s">
        <v>365</v>
      </c>
      <c r="H570" s="64" t="s">
        <v>229</v>
      </c>
      <c r="I570" s="64" t="s">
        <v>10</v>
      </c>
      <c r="J570" s="64" t="s">
        <v>201</v>
      </c>
      <c r="K570" s="66">
        <v>68.5</v>
      </c>
      <c r="L570" s="66">
        <f>K570*VLOOKUP(I570,dagsoorttabel1,2,FALSE)</f>
        <v>68.5</v>
      </c>
      <c r="M570" s="67">
        <f>prodnorm43</f>
        <v>0</v>
      </c>
      <c r="N570" s="68">
        <f>dagwerk43</f>
        <v>0</v>
      </c>
      <c r="O570" s="64" t="s">
        <v>38</v>
      </c>
      <c r="P570" s="69">
        <f>uurtarief43</f>
        <v>0</v>
      </c>
      <c r="Q570" s="66" t="e">
        <f>IF(ISBLANK(M570),0,L570/ROUND(M570,4))</f>
        <v>#DIV/0!</v>
      </c>
      <c r="R570" s="66" t="e">
        <f>IF(ISBLANK(M570),0,Q570*ROUND(N570,2))</f>
        <v>#DIV/0!</v>
      </c>
      <c r="S570" s="69" t="e">
        <f>ROUND(P570,2)*Q570</f>
        <v>#DIV/0!</v>
      </c>
      <c r="T570" s="66" t="e">
        <f>Q570*dagenperjaar1</f>
        <v>#DIV/0!</v>
      </c>
      <c r="U570" s="70" t="e">
        <f>T570*ROUND(P570,2)</f>
        <v>#DIV/0!</v>
      </c>
    </row>
    <row r="571" spans="1:21" x14ac:dyDescent="0.2">
      <c r="A571" s="63" t="s">
        <v>774</v>
      </c>
      <c r="B571" s="64" t="s">
        <v>324</v>
      </c>
      <c r="C571" s="64" t="s">
        <v>472</v>
      </c>
      <c r="D571" s="64" t="s">
        <v>1182</v>
      </c>
      <c r="E571" s="64" t="s">
        <v>324</v>
      </c>
      <c r="F571" s="65" t="s">
        <v>1004</v>
      </c>
      <c r="G571" s="64" t="s">
        <v>365</v>
      </c>
      <c r="H571" s="64" t="s">
        <v>229</v>
      </c>
      <c r="I571" s="64" t="s">
        <v>10</v>
      </c>
      <c r="J571" s="64" t="s">
        <v>201</v>
      </c>
      <c r="K571" s="66">
        <v>57.5</v>
      </c>
      <c r="L571" s="66">
        <f>K571*VLOOKUP(I571,dagsoorttabel1,2,FALSE)</f>
        <v>57.5</v>
      </c>
      <c r="M571" s="67">
        <f>prodnorm43</f>
        <v>0</v>
      </c>
      <c r="N571" s="68">
        <f>dagwerk43</f>
        <v>0</v>
      </c>
      <c r="O571" s="64" t="s">
        <v>38</v>
      </c>
      <c r="P571" s="69">
        <f>uurtarief43</f>
        <v>0</v>
      </c>
      <c r="Q571" s="66" t="e">
        <f>IF(ISBLANK(M571),0,L571/ROUND(M571,4))</f>
        <v>#DIV/0!</v>
      </c>
      <c r="R571" s="66" t="e">
        <f>IF(ISBLANK(M571),0,Q571*ROUND(N571,2))</f>
        <v>#DIV/0!</v>
      </c>
      <c r="S571" s="69" t="e">
        <f>ROUND(P571,2)*Q571</f>
        <v>#DIV/0!</v>
      </c>
      <c r="T571" s="66" t="e">
        <f>Q571*dagenperjaar1</f>
        <v>#DIV/0!</v>
      </c>
      <c r="U571" s="70" t="e">
        <f>T571*ROUND(P571,2)</f>
        <v>#DIV/0!</v>
      </c>
    </row>
    <row r="572" spans="1:21" x14ac:dyDescent="0.2">
      <c r="A572" s="63" t="s">
        <v>774</v>
      </c>
      <c r="B572" s="64" t="s">
        <v>324</v>
      </c>
      <c r="C572" s="64" t="s">
        <v>472</v>
      </c>
      <c r="D572" s="64" t="s">
        <v>1183</v>
      </c>
      <c r="E572" s="64" t="s">
        <v>324</v>
      </c>
      <c r="F572" s="65" t="s">
        <v>1004</v>
      </c>
      <c r="G572" s="64" t="s">
        <v>365</v>
      </c>
      <c r="H572" s="64" t="s">
        <v>229</v>
      </c>
      <c r="I572" s="64" t="s">
        <v>10</v>
      </c>
      <c r="J572" s="64" t="s">
        <v>201</v>
      </c>
      <c r="K572" s="66">
        <v>53.5</v>
      </c>
      <c r="L572" s="66">
        <f>K572*VLOOKUP(I572,dagsoorttabel1,2,FALSE)</f>
        <v>53.5</v>
      </c>
      <c r="M572" s="67">
        <f>prodnorm43</f>
        <v>0</v>
      </c>
      <c r="N572" s="68">
        <f>dagwerk43</f>
        <v>0</v>
      </c>
      <c r="O572" s="64" t="s">
        <v>38</v>
      </c>
      <c r="P572" s="69">
        <f>uurtarief43</f>
        <v>0</v>
      </c>
      <c r="Q572" s="66" t="e">
        <f>IF(ISBLANK(M572),0,L572/ROUND(M572,4))</f>
        <v>#DIV/0!</v>
      </c>
      <c r="R572" s="66" t="e">
        <f>IF(ISBLANK(M572),0,Q572*ROUND(N572,2))</f>
        <v>#DIV/0!</v>
      </c>
      <c r="S572" s="69" t="e">
        <f>ROUND(P572,2)*Q572</f>
        <v>#DIV/0!</v>
      </c>
      <c r="T572" s="66" t="e">
        <f>Q572*dagenperjaar1</f>
        <v>#DIV/0!</v>
      </c>
      <c r="U572" s="70" t="e">
        <f>T572*ROUND(P572,2)</f>
        <v>#DIV/0!</v>
      </c>
    </row>
    <row r="573" spans="1:21" x14ac:dyDescent="0.2">
      <c r="A573" s="63" t="s">
        <v>774</v>
      </c>
      <c r="B573" s="64" t="s">
        <v>324</v>
      </c>
      <c r="C573" s="64" t="s">
        <v>472</v>
      </c>
      <c r="D573" s="64" t="s">
        <v>1184</v>
      </c>
      <c r="E573" s="64" t="s">
        <v>324</v>
      </c>
      <c r="F573" s="65" t="s">
        <v>1004</v>
      </c>
      <c r="G573" s="64" t="s">
        <v>365</v>
      </c>
      <c r="H573" s="64" t="s">
        <v>229</v>
      </c>
      <c r="I573" s="64" t="s">
        <v>10</v>
      </c>
      <c r="J573" s="64" t="s">
        <v>201</v>
      </c>
      <c r="K573" s="66">
        <v>60.1</v>
      </c>
      <c r="L573" s="66">
        <f>K573*VLOOKUP(I573,dagsoorttabel1,2,FALSE)</f>
        <v>60.1</v>
      </c>
      <c r="M573" s="67">
        <f>prodnorm43</f>
        <v>0</v>
      </c>
      <c r="N573" s="68">
        <f>dagwerk43</f>
        <v>0</v>
      </c>
      <c r="O573" s="64" t="s">
        <v>38</v>
      </c>
      <c r="P573" s="69">
        <f>uurtarief43</f>
        <v>0</v>
      </c>
      <c r="Q573" s="66" t="e">
        <f>IF(ISBLANK(M573),0,L573/ROUND(M573,4))</f>
        <v>#DIV/0!</v>
      </c>
      <c r="R573" s="66" t="e">
        <f>IF(ISBLANK(M573),0,Q573*ROUND(N573,2))</f>
        <v>#DIV/0!</v>
      </c>
      <c r="S573" s="69" t="e">
        <f>ROUND(P573,2)*Q573</f>
        <v>#DIV/0!</v>
      </c>
      <c r="T573" s="66" t="e">
        <f>Q573*dagenperjaar1</f>
        <v>#DIV/0!</v>
      </c>
      <c r="U573" s="70" t="e">
        <f>T573*ROUND(P573,2)</f>
        <v>#DIV/0!</v>
      </c>
    </row>
    <row r="574" spans="1:21" x14ac:dyDescent="0.2">
      <c r="A574" s="63" t="s">
        <v>774</v>
      </c>
      <c r="B574" s="64" t="s">
        <v>324</v>
      </c>
      <c r="C574" s="64" t="s">
        <v>472</v>
      </c>
      <c r="D574" s="64" t="s">
        <v>1185</v>
      </c>
      <c r="E574" s="64" t="s">
        <v>324</v>
      </c>
      <c r="F574" s="65" t="s">
        <v>1004</v>
      </c>
      <c r="G574" s="64" t="s">
        <v>365</v>
      </c>
      <c r="H574" s="64" t="s">
        <v>229</v>
      </c>
      <c r="I574" s="64" t="s">
        <v>10</v>
      </c>
      <c r="J574" s="64" t="s">
        <v>201</v>
      </c>
      <c r="K574" s="66">
        <v>72.3</v>
      </c>
      <c r="L574" s="66">
        <f>K574*VLOOKUP(I574,dagsoorttabel1,2,FALSE)</f>
        <v>72.3</v>
      </c>
      <c r="M574" s="67">
        <f>prodnorm43</f>
        <v>0</v>
      </c>
      <c r="N574" s="68">
        <f>dagwerk43</f>
        <v>0</v>
      </c>
      <c r="O574" s="64" t="s">
        <v>38</v>
      </c>
      <c r="P574" s="69">
        <f>uurtarief43</f>
        <v>0</v>
      </c>
      <c r="Q574" s="66" t="e">
        <f>IF(ISBLANK(M574),0,L574/ROUND(M574,4))</f>
        <v>#DIV/0!</v>
      </c>
      <c r="R574" s="66" t="e">
        <f>IF(ISBLANK(M574),0,Q574*ROUND(N574,2))</f>
        <v>#DIV/0!</v>
      </c>
      <c r="S574" s="69" t="e">
        <f>ROUND(P574,2)*Q574</f>
        <v>#DIV/0!</v>
      </c>
      <c r="T574" s="66" t="e">
        <f>Q574*dagenperjaar1</f>
        <v>#DIV/0!</v>
      </c>
      <c r="U574" s="70" t="e">
        <f>T574*ROUND(P574,2)</f>
        <v>#DIV/0!</v>
      </c>
    </row>
    <row r="575" spans="1:21" x14ac:dyDescent="0.2">
      <c r="A575" s="63" t="s">
        <v>774</v>
      </c>
      <c r="B575" s="64" t="s">
        <v>324</v>
      </c>
      <c r="C575" s="64" t="s">
        <v>472</v>
      </c>
      <c r="D575" s="64" t="s">
        <v>1186</v>
      </c>
      <c r="E575" s="64" t="s">
        <v>324</v>
      </c>
      <c r="F575" s="65" t="s">
        <v>1187</v>
      </c>
      <c r="G575" s="64" t="s">
        <v>365</v>
      </c>
      <c r="H575" s="64" t="s">
        <v>209</v>
      </c>
      <c r="I575" s="64" t="s">
        <v>10</v>
      </c>
      <c r="J575" s="64" t="s">
        <v>201</v>
      </c>
      <c r="K575" s="66">
        <v>67.3</v>
      </c>
      <c r="L575" s="66">
        <f>K575*VLOOKUP(I575,dagsoorttabel1,2,FALSE)</f>
        <v>67.3</v>
      </c>
      <c r="M575" s="67">
        <f>prodnorm30</f>
        <v>0</v>
      </c>
      <c r="N575" s="68">
        <f>dagwerk30</f>
        <v>0</v>
      </c>
      <c r="O575" s="64" t="s">
        <v>38</v>
      </c>
      <c r="P575" s="69">
        <f>uurtarief30</f>
        <v>0</v>
      </c>
      <c r="Q575" s="66" t="e">
        <f>IF(ISBLANK(M575),0,L575/ROUND(M575,4))</f>
        <v>#DIV/0!</v>
      </c>
      <c r="R575" s="66" t="e">
        <f>IF(ISBLANK(M575),0,Q575*ROUND(N575,2))</f>
        <v>#DIV/0!</v>
      </c>
      <c r="S575" s="69" t="e">
        <f>ROUND(P575,2)*Q575</f>
        <v>#DIV/0!</v>
      </c>
      <c r="T575" s="66" t="e">
        <f>Q575*dagenperjaar1</f>
        <v>#DIV/0!</v>
      </c>
      <c r="U575" s="70" t="e">
        <f>T575*ROUND(P575,2)</f>
        <v>#DIV/0!</v>
      </c>
    </row>
    <row r="576" spans="1:21" x14ac:dyDescent="0.2">
      <c r="A576" s="63" t="s">
        <v>774</v>
      </c>
      <c r="B576" s="64" t="s">
        <v>324</v>
      </c>
      <c r="C576" s="64" t="s">
        <v>472</v>
      </c>
      <c r="D576" s="64" t="s">
        <v>1188</v>
      </c>
      <c r="E576" s="64" t="s">
        <v>324</v>
      </c>
      <c r="F576" s="65" t="s">
        <v>1153</v>
      </c>
      <c r="G576" s="64" t="s">
        <v>365</v>
      </c>
      <c r="H576" s="64" t="s">
        <v>205</v>
      </c>
      <c r="I576" s="64" t="s">
        <v>10</v>
      </c>
      <c r="J576" s="64" t="s">
        <v>201</v>
      </c>
      <c r="K576" s="66">
        <v>34.6</v>
      </c>
      <c r="L576" s="66">
        <f>K576*VLOOKUP(I576,dagsoorttabel1,2,FALSE)</f>
        <v>34.6</v>
      </c>
      <c r="M576" s="67">
        <f>prodnorm26</f>
        <v>0</v>
      </c>
      <c r="N576" s="68">
        <f>dagwerk26</f>
        <v>0</v>
      </c>
      <c r="O576" s="64" t="s">
        <v>38</v>
      </c>
      <c r="P576" s="69">
        <f>uurtarief26</f>
        <v>0</v>
      </c>
      <c r="Q576" s="66" t="e">
        <f>IF(ISBLANK(M576),0,L576/ROUND(M576,4))</f>
        <v>#DIV/0!</v>
      </c>
      <c r="R576" s="66" t="e">
        <f>IF(ISBLANK(M576),0,Q576*ROUND(N576,2))</f>
        <v>#DIV/0!</v>
      </c>
      <c r="S576" s="69" t="e">
        <f>ROUND(P576,2)*Q576</f>
        <v>#DIV/0!</v>
      </c>
      <c r="T576" s="66" t="e">
        <f>Q576*dagenperjaar1</f>
        <v>#DIV/0!</v>
      </c>
      <c r="U576" s="70" t="e">
        <f>T576*ROUND(P576,2)</f>
        <v>#DIV/0!</v>
      </c>
    </row>
    <row r="577" spans="1:21" x14ac:dyDescent="0.2">
      <c r="A577" s="63" t="s">
        <v>774</v>
      </c>
      <c r="B577" s="64" t="s">
        <v>324</v>
      </c>
      <c r="C577" s="64" t="s">
        <v>472</v>
      </c>
      <c r="D577" s="64" t="s">
        <v>1189</v>
      </c>
      <c r="E577" s="64" t="s">
        <v>324</v>
      </c>
      <c r="F577" s="65" t="s">
        <v>1004</v>
      </c>
      <c r="G577" s="64" t="s">
        <v>365</v>
      </c>
      <c r="H577" s="64" t="s">
        <v>229</v>
      </c>
      <c r="I577" s="64" t="s">
        <v>10</v>
      </c>
      <c r="J577" s="64" t="s">
        <v>201</v>
      </c>
      <c r="K577" s="66">
        <v>57.4</v>
      </c>
      <c r="L577" s="66">
        <f>K577*VLOOKUP(I577,dagsoorttabel1,2,FALSE)</f>
        <v>57.4</v>
      </c>
      <c r="M577" s="67">
        <f>prodnorm43</f>
        <v>0</v>
      </c>
      <c r="N577" s="68">
        <f>dagwerk43</f>
        <v>0</v>
      </c>
      <c r="O577" s="64" t="s">
        <v>38</v>
      </c>
      <c r="P577" s="69">
        <f>uurtarief43</f>
        <v>0</v>
      </c>
      <c r="Q577" s="66" t="e">
        <f>IF(ISBLANK(M577),0,L577/ROUND(M577,4))</f>
        <v>#DIV/0!</v>
      </c>
      <c r="R577" s="66" t="e">
        <f>IF(ISBLANK(M577),0,Q577*ROUND(N577,2))</f>
        <v>#DIV/0!</v>
      </c>
      <c r="S577" s="69" t="e">
        <f>ROUND(P577,2)*Q577</f>
        <v>#DIV/0!</v>
      </c>
      <c r="T577" s="66" t="e">
        <f>Q577*dagenperjaar1</f>
        <v>#DIV/0!</v>
      </c>
      <c r="U577" s="70" t="e">
        <f>T577*ROUND(P577,2)</f>
        <v>#DIV/0!</v>
      </c>
    </row>
    <row r="578" spans="1:21" x14ac:dyDescent="0.2">
      <c r="A578" s="63" t="s">
        <v>774</v>
      </c>
      <c r="B578" s="64" t="s">
        <v>324</v>
      </c>
      <c r="C578" s="64" t="s">
        <v>472</v>
      </c>
      <c r="D578" s="64" t="s">
        <v>1190</v>
      </c>
      <c r="E578" s="64" t="s">
        <v>324</v>
      </c>
      <c r="F578" s="65" t="s">
        <v>1004</v>
      </c>
      <c r="G578" s="64" t="s">
        <v>365</v>
      </c>
      <c r="H578" s="64" t="s">
        <v>229</v>
      </c>
      <c r="I578" s="64" t="s">
        <v>10</v>
      </c>
      <c r="J578" s="64" t="s">
        <v>201</v>
      </c>
      <c r="K578" s="66">
        <v>52.8</v>
      </c>
      <c r="L578" s="66">
        <f>K578*VLOOKUP(I578,dagsoorttabel1,2,FALSE)</f>
        <v>52.8</v>
      </c>
      <c r="M578" s="67">
        <f>prodnorm43</f>
        <v>0</v>
      </c>
      <c r="N578" s="68">
        <f>dagwerk43</f>
        <v>0</v>
      </c>
      <c r="O578" s="64" t="s">
        <v>38</v>
      </c>
      <c r="P578" s="69">
        <f>uurtarief43</f>
        <v>0</v>
      </c>
      <c r="Q578" s="66" t="e">
        <f>IF(ISBLANK(M578),0,L578/ROUND(M578,4))</f>
        <v>#DIV/0!</v>
      </c>
      <c r="R578" s="66" t="e">
        <f>IF(ISBLANK(M578),0,Q578*ROUND(N578,2))</f>
        <v>#DIV/0!</v>
      </c>
      <c r="S578" s="69" t="e">
        <f>ROUND(P578,2)*Q578</f>
        <v>#DIV/0!</v>
      </c>
      <c r="T578" s="66" t="e">
        <f>Q578*dagenperjaar1</f>
        <v>#DIV/0!</v>
      </c>
      <c r="U578" s="70" t="e">
        <f>T578*ROUND(P578,2)</f>
        <v>#DIV/0!</v>
      </c>
    </row>
    <row r="579" spans="1:21" x14ac:dyDescent="0.2">
      <c r="A579" s="63" t="s">
        <v>774</v>
      </c>
      <c r="B579" s="64" t="s">
        <v>324</v>
      </c>
      <c r="C579" s="64" t="s">
        <v>472</v>
      </c>
      <c r="D579" s="64" t="s">
        <v>1191</v>
      </c>
      <c r="E579" s="64" t="s">
        <v>324</v>
      </c>
      <c r="F579" s="65" t="s">
        <v>1004</v>
      </c>
      <c r="G579" s="64" t="s">
        <v>365</v>
      </c>
      <c r="H579" s="64" t="s">
        <v>229</v>
      </c>
      <c r="I579" s="64" t="s">
        <v>10</v>
      </c>
      <c r="J579" s="64" t="s">
        <v>201</v>
      </c>
      <c r="K579" s="66">
        <v>51.9</v>
      </c>
      <c r="L579" s="66">
        <f>K579*VLOOKUP(I579,dagsoorttabel1,2,FALSE)</f>
        <v>51.9</v>
      </c>
      <c r="M579" s="67">
        <f>prodnorm43</f>
        <v>0</v>
      </c>
      <c r="N579" s="68">
        <f>dagwerk43</f>
        <v>0</v>
      </c>
      <c r="O579" s="64" t="s">
        <v>38</v>
      </c>
      <c r="P579" s="69">
        <f>uurtarief43</f>
        <v>0</v>
      </c>
      <c r="Q579" s="66" t="e">
        <f>IF(ISBLANK(M579),0,L579/ROUND(M579,4))</f>
        <v>#DIV/0!</v>
      </c>
      <c r="R579" s="66" t="e">
        <f>IF(ISBLANK(M579),0,Q579*ROUND(N579,2))</f>
        <v>#DIV/0!</v>
      </c>
      <c r="S579" s="69" t="e">
        <f>ROUND(P579,2)*Q579</f>
        <v>#DIV/0!</v>
      </c>
      <c r="T579" s="66" t="e">
        <f>Q579*dagenperjaar1</f>
        <v>#DIV/0!</v>
      </c>
      <c r="U579" s="70" t="e">
        <f>T579*ROUND(P579,2)</f>
        <v>#DIV/0!</v>
      </c>
    </row>
    <row r="580" spans="1:21" x14ac:dyDescent="0.2">
      <c r="A580" s="63" t="s">
        <v>774</v>
      </c>
      <c r="B580" s="64" t="s">
        <v>324</v>
      </c>
      <c r="C580" s="64" t="s">
        <v>472</v>
      </c>
      <c r="D580" s="64" t="s">
        <v>1192</v>
      </c>
      <c r="E580" s="64" t="s">
        <v>324</v>
      </c>
      <c r="F580" s="65" t="s">
        <v>1004</v>
      </c>
      <c r="G580" s="64" t="s">
        <v>365</v>
      </c>
      <c r="H580" s="64" t="s">
        <v>229</v>
      </c>
      <c r="I580" s="64" t="s">
        <v>10</v>
      </c>
      <c r="J580" s="64" t="s">
        <v>201</v>
      </c>
      <c r="K580" s="66">
        <v>56.2</v>
      </c>
      <c r="L580" s="66">
        <f>K580*VLOOKUP(I580,dagsoorttabel1,2,FALSE)</f>
        <v>56.2</v>
      </c>
      <c r="M580" s="67">
        <f>prodnorm43</f>
        <v>0</v>
      </c>
      <c r="N580" s="68">
        <f>dagwerk43</f>
        <v>0</v>
      </c>
      <c r="O580" s="64" t="s">
        <v>38</v>
      </c>
      <c r="P580" s="69">
        <f>uurtarief43</f>
        <v>0</v>
      </c>
      <c r="Q580" s="66" t="e">
        <f>IF(ISBLANK(M580),0,L580/ROUND(M580,4))</f>
        <v>#DIV/0!</v>
      </c>
      <c r="R580" s="66" t="e">
        <f>IF(ISBLANK(M580),0,Q580*ROUND(N580,2))</f>
        <v>#DIV/0!</v>
      </c>
      <c r="S580" s="69" t="e">
        <f>ROUND(P580,2)*Q580</f>
        <v>#DIV/0!</v>
      </c>
      <c r="T580" s="66" t="e">
        <f>Q580*dagenperjaar1</f>
        <v>#DIV/0!</v>
      </c>
      <c r="U580" s="70" t="e">
        <f>T580*ROUND(P580,2)</f>
        <v>#DIV/0!</v>
      </c>
    </row>
    <row r="581" spans="1:21" x14ac:dyDescent="0.2">
      <c r="A581" s="63" t="s">
        <v>774</v>
      </c>
      <c r="B581" s="64" t="s">
        <v>324</v>
      </c>
      <c r="C581" s="64" t="s">
        <v>472</v>
      </c>
      <c r="D581" s="64" t="s">
        <v>1193</v>
      </c>
      <c r="E581" s="64" t="s">
        <v>324</v>
      </c>
      <c r="F581" s="65" t="s">
        <v>1020</v>
      </c>
      <c r="G581" s="64" t="s">
        <v>365</v>
      </c>
      <c r="H581" s="64" t="s">
        <v>267</v>
      </c>
      <c r="I581" s="64" t="s">
        <v>10</v>
      </c>
      <c r="J581" s="64" t="s">
        <v>201</v>
      </c>
      <c r="K581" s="66">
        <v>32.299999999999997</v>
      </c>
      <c r="L581" s="66">
        <f>K581*VLOOKUP(I581,dagsoorttabel1,2,FALSE)</f>
        <v>32.299999999999997</v>
      </c>
      <c r="M581" s="67">
        <f>prodnorm65</f>
        <v>0</v>
      </c>
      <c r="N581" s="68">
        <f>dagwerk65</f>
        <v>0</v>
      </c>
      <c r="O581" s="64" t="s">
        <v>38</v>
      </c>
      <c r="P581" s="69">
        <f>uurtarief65</f>
        <v>0</v>
      </c>
      <c r="Q581" s="66" t="e">
        <f>IF(ISBLANK(M581),0,L581/ROUND(M581,4))</f>
        <v>#DIV/0!</v>
      </c>
      <c r="R581" s="66" t="e">
        <f>IF(ISBLANK(M581),0,Q581*ROUND(N581,2))</f>
        <v>#DIV/0!</v>
      </c>
      <c r="S581" s="69" t="e">
        <f>ROUND(P581,2)*Q581</f>
        <v>#DIV/0!</v>
      </c>
      <c r="T581" s="66" t="e">
        <f>Q581*dagenperjaar1</f>
        <v>#DIV/0!</v>
      </c>
      <c r="U581" s="70" t="e">
        <f>T581*ROUND(P581,2)</f>
        <v>#DIV/0!</v>
      </c>
    </row>
    <row r="582" spans="1:21" x14ac:dyDescent="0.2">
      <c r="A582" s="63" t="s">
        <v>774</v>
      </c>
      <c r="B582" s="64" t="s">
        <v>324</v>
      </c>
      <c r="C582" s="64" t="s">
        <v>472</v>
      </c>
      <c r="D582" s="64" t="s">
        <v>1194</v>
      </c>
      <c r="E582" s="64" t="s">
        <v>324</v>
      </c>
      <c r="F582" s="65" t="s">
        <v>1187</v>
      </c>
      <c r="G582" s="64" t="s">
        <v>365</v>
      </c>
      <c r="H582" s="64" t="s">
        <v>209</v>
      </c>
      <c r="I582" s="64" t="s">
        <v>10</v>
      </c>
      <c r="J582" s="64" t="s">
        <v>201</v>
      </c>
      <c r="K582" s="66">
        <v>62.849999999999994</v>
      </c>
      <c r="L582" s="66">
        <f>K582*VLOOKUP(I582,dagsoorttabel1,2,FALSE)</f>
        <v>62.849999999999994</v>
      </c>
      <c r="M582" s="67">
        <f>prodnorm30</f>
        <v>0</v>
      </c>
      <c r="N582" s="68">
        <f>dagwerk30</f>
        <v>0</v>
      </c>
      <c r="O582" s="64" t="s">
        <v>38</v>
      </c>
      <c r="P582" s="69">
        <f>uurtarief30</f>
        <v>0</v>
      </c>
      <c r="Q582" s="66" t="e">
        <f>IF(ISBLANK(M582),0,L582/ROUND(M582,4))</f>
        <v>#DIV/0!</v>
      </c>
      <c r="R582" s="66" t="e">
        <f>IF(ISBLANK(M582),0,Q582*ROUND(N582,2))</f>
        <v>#DIV/0!</v>
      </c>
      <c r="S582" s="69" t="e">
        <f>ROUND(P582,2)*Q582</f>
        <v>#DIV/0!</v>
      </c>
      <c r="T582" s="66" t="e">
        <f>Q582*dagenperjaar1</f>
        <v>#DIV/0!</v>
      </c>
      <c r="U582" s="70" t="e">
        <f>T582*ROUND(P582,2)</f>
        <v>#DIV/0!</v>
      </c>
    </row>
    <row r="583" spans="1:21" x14ac:dyDescent="0.2">
      <c r="A583" s="63" t="s">
        <v>774</v>
      </c>
      <c r="B583" s="64" t="s">
        <v>324</v>
      </c>
      <c r="C583" s="64" t="s">
        <v>472</v>
      </c>
      <c r="D583" s="64" t="s">
        <v>1195</v>
      </c>
      <c r="E583" s="64" t="s">
        <v>324</v>
      </c>
      <c r="F583" s="65" t="s">
        <v>1187</v>
      </c>
      <c r="G583" s="64" t="s">
        <v>365</v>
      </c>
      <c r="H583" s="64" t="s">
        <v>209</v>
      </c>
      <c r="I583" s="64" t="s">
        <v>10</v>
      </c>
      <c r="J583" s="64" t="s">
        <v>201</v>
      </c>
      <c r="K583" s="66">
        <v>58.449999999999996</v>
      </c>
      <c r="L583" s="66">
        <f>K583*VLOOKUP(I583,dagsoorttabel1,2,FALSE)</f>
        <v>58.449999999999996</v>
      </c>
      <c r="M583" s="67">
        <f>prodnorm30</f>
        <v>0</v>
      </c>
      <c r="N583" s="68">
        <f>dagwerk30</f>
        <v>0</v>
      </c>
      <c r="O583" s="64" t="s">
        <v>38</v>
      </c>
      <c r="P583" s="69">
        <f>uurtarief30</f>
        <v>0</v>
      </c>
      <c r="Q583" s="66" t="e">
        <f>IF(ISBLANK(M583),0,L583/ROUND(M583,4))</f>
        <v>#DIV/0!</v>
      </c>
      <c r="R583" s="66" t="e">
        <f>IF(ISBLANK(M583),0,Q583*ROUND(N583,2))</f>
        <v>#DIV/0!</v>
      </c>
      <c r="S583" s="69" t="e">
        <f>ROUND(P583,2)*Q583</f>
        <v>#DIV/0!</v>
      </c>
      <c r="T583" s="66" t="e">
        <f>Q583*dagenperjaar1</f>
        <v>#DIV/0!</v>
      </c>
      <c r="U583" s="70" t="e">
        <f>T583*ROUND(P583,2)</f>
        <v>#DIV/0!</v>
      </c>
    </row>
    <row r="584" spans="1:21" x14ac:dyDescent="0.2">
      <c r="A584" s="63" t="s">
        <v>774</v>
      </c>
      <c r="B584" s="64" t="s">
        <v>324</v>
      </c>
      <c r="C584" s="64" t="s">
        <v>472</v>
      </c>
      <c r="D584" s="64" t="s">
        <v>1196</v>
      </c>
      <c r="E584" s="64" t="s">
        <v>324</v>
      </c>
      <c r="F584" s="65" t="s">
        <v>1083</v>
      </c>
      <c r="G584" s="64" t="s">
        <v>365</v>
      </c>
      <c r="H584" s="64" t="s">
        <v>255</v>
      </c>
      <c r="I584" s="64" t="s">
        <v>10</v>
      </c>
      <c r="J584" s="64" t="s">
        <v>201</v>
      </c>
      <c r="K584" s="66">
        <v>25.2</v>
      </c>
      <c r="L584" s="66">
        <f>K584*VLOOKUP(I584,dagsoorttabel1,2,FALSE)</f>
        <v>25.2</v>
      </c>
      <c r="M584" s="67">
        <f>prodnorm59</f>
        <v>0</v>
      </c>
      <c r="N584" s="68">
        <f>dagwerk59</f>
        <v>0</v>
      </c>
      <c r="O584" s="64" t="s">
        <v>38</v>
      </c>
      <c r="P584" s="69">
        <f>uurtarief59</f>
        <v>0</v>
      </c>
      <c r="Q584" s="66" t="e">
        <f>IF(ISBLANK(M584),0,L584/ROUND(M584,4))</f>
        <v>#DIV/0!</v>
      </c>
      <c r="R584" s="66" t="e">
        <f>IF(ISBLANK(M584),0,Q584*ROUND(N584,2))</f>
        <v>#DIV/0!</v>
      </c>
      <c r="S584" s="69" t="e">
        <f>ROUND(P584,2)*Q584</f>
        <v>#DIV/0!</v>
      </c>
      <c r="T584" s="66" t="e">
        <f>Q584*dagenperjaar1</f>
        <v>#DIV/0!</v>
      </c>
      <c r="U584" s="70" t="e">
        <f>T584*ROUND(P584,2)</f>
        <v>#DIV/0!</v>
      </c>
    </row>
    <row r="585" spans="1:21" x14ac:dyDescent="0.2">
      <c r="A585" s="63" t="s">
        <v>774</v>
      </c>
      <c r="B585" s="64" t="s">
        <v>324</v>
      </c>
      <c r="C585" s="64" t="s">
        <v>472</v>
      </c>
      <c r="D585" s="64" t="s">
        <v>1197</v>
      </c>
      <c r="E585" s="64" t="s">
        <v>324</v>
      </c>
      <c r="F585" s="65" t="s">
        <v>1020</v>
      </c>
      <c r="G585" s="64" t="s">
        <v>365</v>
      </c>
      <c r="H585" s="64" t="s">
        <v>267</v>
      </c>
      <c r="I585" s="64" t="s">
        <v>10</v>
      </c>
      <c r="J585" s="64" t="s">
        <v>201</v>
      </c>
      <c r="K585" s="66">
        <v>48.1</v>
      </c>
      <c r="L585" s="66">
        <f>K585*VLOOKUP(I585,dagsoorttabel1,2,FALSE)</f>
        <v>48.1</v>
      </c>
      <c r="M585" s="67">
        <f>prodnorm65</f>
        <v>0</v>
      </c>
      <c r="N585" s="68">
        <f>dagwerk65</f>
        <v>0</v>
      </c>
      <c r="O585" s="64" t="s">
        <v>38</v>
      </c>
      <c r="P585" s="69">
        <f>uurtarief65</f>
        <v>0</v>
      </c>
      <c r="Q585" s="66" t="e">
        <f>IF(ISBLANK(M585),0,L585/ROUND(M585,4))</f>
        <v>#DIV/0!</v>
      </c>
      <c r="R585" s="66" t="e">
        <f>IF(ISBLANK(M585),0,Q585*ROUND(N585,2))</f>
        <v>#DIV/0!</v>
      </c>
      <c r="S585" s="69" t="e">
        <f>ROUND(P585,2)*Q585</f>
        <v>#DIV/0!</v>
      </c>
      <c r="T585" s="66" t="e">
        <f>Q585*dagenperjaar1</f>
        <v>#DIV/0!</v>
      </c>
      <c r="U585" s="70" t="e">
        <f>T585*ROUND(P585,2)</f>
        <v>#DIV/0!</v>
      </c>
    </row>
    <row r="586" spans="1:21" x14ac:dyDescent="0.2">
      <c r="A586" s="63" t="s">
        <v>774</v>
      </c>
      <c r="B586" s="64" t="s">
        <v>324</v>
      </c>
      <c r="C586" s="64" t="s">
        <v>472</v>
      </c>
      <c r="D586" s="64" t="s">
        <v>1198</v>
      </c>
      <c r="E586" s="64" t="s">
        <v>324</v>
      </c>
      <c r="F586" s="65" t="s">
        <v>1011</v>
      </c>
      <c r="G586" s="64" t="s">
        <v>365</v>
      </c>
      <c r="H586" s="64" t="s">
        <v>267</v>
      </c>
      <c r="I586" s="64" t="s">
        <v>10</v>
      </c>
      <c r="J586" s="64" t="s">
        <v>201</v>
      </c>
      <c r="K586" s="66">
        <v>107.6</v>
      </c>
      <c r="L586" s="66">
        <f>K586*VLOOKUP(I586,dagsoorttabel1,2,FALSE)</f>
        <v>107.6</v>
      </c>
      <c r="M586" s="67">
        <f>prodnorm65</f>
        <v>0</v>
      </c>
      <c r="N586" s="68">
        <f>dagwerk65</f>
        <v>0</v>
      </c>
      <c r="O586" s="64" t="s">
        <v>38</v>
      </c>
      <c r="P586" s="69">
        <f>uurtarief65</f>
        <v>0</v>
      </c>
      <c r="Q586" s="66" t="e">
        <f>IF(ISBLANK(M586),0,L586/ROUND(M586,4))</f>
        <v>#DIV/0!</v>
      </c>
      <c r="R586" s="66" t="e">
        <f>IF(ISBLANK(M586),0,Q586*ROUND(N586,2))</f>
        <v>#DIV/0!</v>
      </c>
      <c r="S586" s="69" t="e">
        <f>ROUND(P586,2)*Q586</f>
        <v>#DIV/0!</v>
      </c>
      <c r="T586" s="66" t="e">
        <f>Q586*dagenperjaar1</f>
        <v>#DIV/0!</v>
      </c>
      <c r="U586" s="70" t="e">
        <f>T586*ROUND(P586,2)</f>
        <v>#DIV/0!</v>
      </c>
    </row>
    <row r="587" spans="1:21" x14ac:dyDescent="0.2">
      <c r="A587" s="63" t="s">
        <v>774</v>
      </c>
      <c r="B587" s="64" t="s">
        <v>324</v>
      </c>
      <c r="C587" s="64" t="s">
        <v>472</v>
      </c>
      <c r="D587" s="64" t="s">
        <v>1199</v>
      </c>
      <c r="E587" s="64" t="s">
        <v>324</v>
      </c>
      <c r="F587" s="65" t="s">
        <v>1187</v>
      </c>
      <c r="G587" s="64" t="s">
        <v>365</v>
      </c>
      <c r="H587" s="64" t="s">
        <v>209</v>
      </c>
      <c r="I587" s="64" t="s">
        <v>10</v>
      </c>
      <c r="J587" s="64" t="s">
        <v>201</v>
      </c>
      <c r="K587" s="66">
        <v>77.400000000000006</v>
      </c>
      <c r="L587" s="66">
        <f>K587*VLOOKUP(I587,dagsoorttabel1,2,FALSE)</f>
        <v>77.400000000000006</v>
      </c>
      <c r="M587" s="67">
        <f>prodnorm30</f>
        <v>0</v>
      </c>
      <c r="N587" s="68">
        <f>dagwerk30</f>
        <v>0</v>
      </c>
      <c r="O587" s="64" t="s">
        <v>38</v>
      </c>
      <c r="P587" s="69">
        <f>uurtarief30</f>
        <v>0</v>
      </c>
      <c r="Q587" s="66" t="e">
        <f>IF(ISBLANK(M587),0,L587/ROUND(M587,4))</f>
        <v>#DIV/0!</v>
      </c>
      <c r="R587" s="66" t="e">
        <f>IF(ISBLANK(M587),0,Q587*ROUND(N587,2))</f>
        <v>#DIV/0!</v>
      </c>
      <c r="S587" s="69" t="e">
        <f>ROUND(P587,2)*Q587</f>
        <v>#DIV/0!</v>
      </c>
      <c r="T587" s="66" t="e">
        <f>Q587*dagenperjaar1</f>
        <v>#DIV/0!</v>
      </c>
      <c r="U587" s="70" t="e">
        <f>T587*ROUND(P587,2)</f>
        <v>#DIV/0!</v>
      </c>
    </row>
    <row r="588" spans="1:21" x14ac:dyDescent="0.2">
      <c r="A588" s="63" t="s">
        <v>774</v>
      </c>
      <c r="B588" s="64" t="s">
        <v>324</v>
      </c>
      <c r="C588" s="64" t="s">
        <v>472</v>
      </c>
      <c r="D588" s="64" t="s">
        <v>1200</v>
      </c>
      <c r="E588" s="64" t="s">
        <v>324</v>
      </c>
      <c r="F588" s="65" t="s">
        <v>1011</v>
      </c>
      <c r="G588" s="64" t="s">
        <v>365</v>
      </c>
      <c r="H588" s="64" t="s">
        <v>267</v>
      </c>
      <c r="I588" s="64" t="s">
        <v>10</v>
      </c>
      <c r="J588" s="64" t="s">
        <v>201</v>
      </c>
      <c r="K588" s="66">
        <v>101.5</v>
      </c>
      <c r="L588" s="66">
        <f>K588*VLOOKUP(I588,dagsoorttabel1,2,FALSE)</f>
        <v>101.5</v>
      </c>
      <c r="M588" s="67">
        <f>prodnorm65</f>
        <v>0</v>
      </c>
      <c r="N588" s="68">
        <f>dagwerk65</f>
        <v>0</v>
      </c>
      <c r="O588" s="64" t="s">
        <v>38</v>
      </c>
      <c r="P588" s="69">
        <f>uurtarief65</f>
        <v>0</v>
      </c>
      <c r="Q588" s="66" t="e">
        <f>IF(ISBLANK(M588),0,L588/ROUND(M588,4))</f>
        <v>#DIV/0!</v>
      </c>
      <c r="R588" s="66" t="e">
        <f>IF(ISBLANK(M588),0,Q588*ROUND(N588,2))</f>
        <v>#DIV/0!</v>
      </c>
      <c r="S588" s="69" t="e">
        <f>ROUND(P588,2)*Q588</f>
        <v>#DIV/0!</v>
      </c>
      <c r="T588" s="66" t="e">
        <f>Q588*dagenperjaar1</f>
        <v>#DIV/0!</v>
      </c>
      <c r="U588" s="70" t="e">
        <f>T588*ROUND(P588,2)</f>
        <v>#DIV/0!</v>
      </c>
    </row>
    <row r="589" spans="1:21" x14ac:dyDescent="0.2">
      <c r="A589" s="63" t="s">
        <v>774</v>
      </c>
      <c r="B589" s="64" t="s">
        <v>324</v>
      </c>
      <c r="C589" s="64" t="s">
        <v>472</v>
      </c>
      <c r="D589" s="64" t="s">
        <v>1201</v>
      </c>
      <c r="E589" s="64" t="s">
        <v>324</v>
      </c>
      <c r="F589" s="65" t="s">
        <v>1011</v>
      </c>
      <c r="G589" s="64" t="s">
        <v>365</v>
      </c>
      <c r="H589" s="64" t="s">
        <v>267</v>
      </c>
      <c r="I589" s="64" t="s">
        <v>10</v>
      </c>
      <c r="J589" s="64" t="s">
        <v>201</v>
      </c>
      <c r="K589" s="66">
        <v>101.5</v>
      </c>
      <c r="L589" s="66">
        <f>K589*VLOOKUP(I589,dagsoorttabel1,2,FALSE)</f>
        <v>101.5</v>
      </c>
      <c r="M589" s="67">
        <f>prodnorm65</f>
        <v>0</v>
      </c>
      <c r="N589" s="68">
        <f>dagwerk65</f>
        <v>0</v>
      </c>
      <c r="O589" s="64" t="s">
        <v>38</v>
      </c>
      <c r="P589" s="69">
        <f>uurtarief65</f>
        <v>0</v>
      </c>
      <c r="Q589" s="66" t="e">
        <f>IF(ISBLANK(M589),0,L589/ROUND(M589,4))</f>
        <v>#DIV/0!</v>
      </c>
      <c r="R589" s="66" t="e">
        <f>IF(ISBLANK(M589),0,Q589*ROUND(N589,2))</f>
        <v>#DIV/0!</v>
      </c>
      <c r="S589" s="69" t="e">
        <f>ROUND(P589,2)*Q589</f>
        <v>#DIV/0!</v>
      </c>
      <c r="T589" s="66" t="e">
        <f>Q589*dagenperjaar1</f>
        <v>#DIV/0!</v>
      </c>
      <c r="U589" s="70" t="e">
        <f>T589*ROUND(P589,2)</f>
        <v>#DIV/0!</v>
      </c>
    </row>
    <row r="590" spans="1:21" x14ac:dyDescent="0.2">
      <c r="A590" s="63" t="s">
        <v>774</v>
      </c>
      <c r="B590" s="64" t="s">
        <v>324</v>
      </c>
      <c r="C590" s="64" t="s">
        <v>472</v>
      </c>
      <c r="D590" s="64" t="s">
        <v>1202</v>
      </c>
      <c r="E590" s="64" t="s">
        <v>324</v>
      </c>
      <c r="F590" s="65" t="s">
        <v>1023</v>
      </c>
      <c r="G590" s="64" t="s">
        <v>365</v>
      </c>
      <c r="H590" s="64" t="s">
        <v>267</v>
      </c>
      <c r="I590" s="64" t="s">
        <v>10</v>
      </c>
      <c r="J590" s="64" t="s">
        <v>201</v>
      </c>
      <c r="K590" s="66">
        <v>7</v>
      </c>
      <c r="L590" s="66">
        <f>K590*VLOOKUP(I590,dagsoorttabel1,2,FALSE)</f>
        <v>7</v>
      </c>
      <c r="M590" s="67">
        <f>prodnorm65</f>
        <v>0</v>
      </c>
      <c r="N590" s="68">
        <f>dagwerk65</f>
        <v>0</v>
      </c>
      <c r="O590" s="64" t="s">
        <v>38</v>
      </c>
      <c r="P590" s="69">
        <f>uurtarief65</f>
        <v>0</v>
      </c>
      <c r="Q590" s="66" t="e">
        <f>IF(ISBLANK(M590),0,L590/ROUND(M590,4))</f>
        <v>#DIV/0!</v>
      </c>
      <c r="R590" s="66" t="e">
        <f>IF(ISBLANK(M590),0,Q590*ROUND(N590,2))</f>
        <v>#DIV/0!</v>
      </c>
      <c r="S590" s="69" t="e">
        <f>ROUND(P590,2)*Q590</f>
        <v>#DIV/0!</v>
      </c>
      <c r="T590" s="66" t="e">
        <f>Q590*dagenperjaar1</f>
        <v>#DIV/0!</v>
      </c>
      <c r="U590" s="70" t="e">
        <f>T590*ROUND(P590,2)</f>
        <v>#DIV/0!</v>
      </c>
    </row>
    <row r="591" spans="1:21" x14ac:dyDescent="0.2">
      <c r="A591" s="63" t="s">
        <v>774</v>
      </c>
      <c r="B591" s="64" t="s">
        <v>324</v>
      </c>
      <c r="C591" s="64" t="s">
        <v>472</v>
      </c>
      <c r="D591" s="64" t="s">
        <v>1203</v>
      </c>
      <c r="E591" s="64" t="s">
        <v>324</v>
      </c>
      <c r="F591" s="65" t="s">
        <v>1204</v>
      </c>
      <c r="G591" s="64" t="s">
        <v>365</v>
      </c>
      <c r="H591" s="64" t="s">
        <v>255</v>
      </c>
      <c r="I591" s="64" t="s">
        <v>10</v>
      </c>
      <c r="J591" s="64" t="s">
        <v>201</v>
      </c>
      <c r="K591" s="66">
        <v>3.5</v>
      </c>
      <c r="L591" s="66">
        <f>K591*VLOOKUP(I591,dagsoorttabel1,2,FALSE)</f>
        <v>3.5</v>
      </c>
      <c r="M591" s="67">
        <f>prodnorm59</f>
        <v>0</v>
      </c>
      <c r="N591" s="68">
        <f>dagwerk59</f>
        <v>0</v>
      </c>
      <c r="O591" s="64" t="s">
        <v>38</v>
      </c>
      <c r="P591" s="69">
        <f>uurtarief59</f>
        <v>0</v>
      </c>
      <c r="Q591" s="66" t="e">
        <f>IF(ISBLANK(M591),0,L591/ROUND(M591,4))</f>
        <v>#DIV/0!</v>
      </c>
      <c r="R591" s="66" t="e">
        <f>IF(ISBLANK(M591),0,Q591*ROUND(N591,2))</f>
        <v>#DIV/0!</v>
      </c>
      <c r="S591" s="69" t="e">
        <f>ROUND(P591,2)*Q591</f>
        <v>#DIV/0!</v>
      </c>
      <c r="T591" s="66" t="e">
        <f>Q591*dagenperjaar1</f>
        <v>#DIV/0!</v>
      </c>
      <c r="U591" s="70" t="e">
        <f>T591*ROUND(P591,2)</f>
        <v>#DIV/0!</v>
      </c>
    </row>
    <row r="592" spans="1:21" x14ac:dyDescent="0.2">
      <c r="A592" s="63" t="s">
        <v>774</v>
      </c>
      <c r="B592" s="64" t="s">
        <v>324</v>
      </c>
      <c r="C592" s="64" t="s">
        <v>472</v>
      </c>
      <c r="D592" s="64" t="s">
        <v>1205</v>
      </c>
      <c r="E592" s="64" t="s">
        <v>324</v>
      </c>
      <c r="F592" s="65" t="s">
        <v>1083</v>
      </c>
      <c r="G592" s="64" t="s">
        <v>365</v>
      </c>
      <c r="H592" s="64" t="s">
        <v>255</v>
      </c>
      <c r="I592" s="64" t="s">
        <v>10</v>
      </c>
      <c r="J592" s="64" t="s">
        <v>201</v>
      </c>
      <c r="K592" s="66">
        <v>8.1</v>
      </c>
      <c r="L592" s="66">
        <f>K592*VLOOKUP(I592,dagsoorttabel1,2,FALSE)</f>
        <v>8.1</v>
      </c>
      <c r="M592" s="67">
        <f>prodnorm59</f>
        <v>0</v>
      </c>
      <c r="N592" s="68">
        <f>dagwerk59</f>
        <v>0</v>
      </c>
      <c r="O592" s="64" t="s">
        <v>38</v>
      </c>
      <c r="P592" s="69">
        <f>uurtarief59</f>
        <v>0</v>
      </c>
      <c r="Q592" s="66" t="e">
        <f>IF(ISBLANK(M592),0,L592/ROUND(M592,4))</f>
        <v>#DIV/0!</v>
      </c>
      <c r="R592" s="66" t="e">
        <f>IF(ISBLANK(M592),0,Q592*ROUND(N592,2))</f>
        <v>#DIV/0!</v>
      </c>
      <c r="S592" s="69" t="e">
        <f>ROUND(P592,2)*Q592</f>
        <v>#DIV/0!</v>
      </c>
      <c r="T592" s="66" t="e">
        <f>Q592*dagenperjaar1</f>
        <v>#DIV/0!</v>
      </c>
      <c r="U592" s="70" t="e">
        <f>T592*ROUND(P592,2)</f>
        <v>#DIV/0!</v>
      </c>
    </row>
    <row r="593" spans="1:21" x14ac:dyDescent="0.2">
      <c r="A593" s="63" t="s">
        <v>774</v>
      </c>
      <c r="B593" s="64" t="s">
        <v>324</v>
      </c>
      <c r="C593" s="64" t="s">
        <v>472</v>
      </c>
      <c r="D593" s="64" t="s">
        <v>1206</v>
      </c>
      <c r="E593" s="64" t="s">
        <v>324</v>
      </c>
      <c r="F593" s="65" t="s">
        <v>1176</v>
      </c>
      <c r="G593" s="64" t="s">
        <v>365</v>
      </c>
      <c r="H593" s="64" t="s">
        <v>255</v>
      </c>
      <c r="I593" s="64" t="s">
        <v>10</v>
      </c>
      <c r="J593" s="64" t="s">
        <v>201</v>
      </c>
      <c r="K593" s="66">
        <v>8.8000000000000007</v>
      </c>
      <c r="L593" s="66">
        <f>K593*VLOOKUP(I593,dagsoorttabel1,2,FALSE)</f>
        <v>8.8000000000000007</v>
      </c>
      <c r="M593" s="67">
        <f>prodnorm59</f>
        <v>0</v>
      </c>
      <c r="N593" s="68">
        <f>dagwerk59</f>
        <v>0</v>
      </c>
      <c r="O593" s="64" t="s">
        <v>38</v>
      </c>
      <c r="P593" s="69">
        <f>uurtarief59</f>
        <v>0</v>
      </c>
      <c r="Q593" s="66" t="e">
        <f>IF(ISBLANK(M593),0,L593/ROUND(M593,4))</f>
        <v>#DIV/0!</v>
      </c>
      <c r="R593" s="66" t="e">
        <f>IF(ISBLANK(M593),0,Q593*ROUND(N593,2))</f>
        <v>#DIV/0!</v>
      </c>
      <c r="S593" s="69" t="e">
        <f>ROUND(P593,2)*Q593</f>
        <v>#DIV/0!</v>
      </c>
      <c r="T593" s="66" t="e">
        <f>Q593*dagenperjaar1</f>
        <v>#DIV/0!</v>
      </c>
      <c r="U593" s="70" t="e">
        <f>T593*ROUND(P593,2)</f>
        <v>#DIV/0!</v>
      </c>
    </row>
    <row r="594" spans="1:21" x14ac:dyDescent="0.2">
      <c r="A594" s="63" t="s">
        <v>774</v>
      </c>
      <c r="B594" s="64" t="s">
        <v>324</v>
      </c>
      <c r="C594" s="64" t="s">
        <v>472</v>
      </c>
      <c r="D594" s="64" t="s">
        <v>1207</v>
      </c>
      <c r="E594" s="64" t="s">
        <v>324</v>
      </c>
      <c r="F594" s="65" t="s">
        <v>1004</v>
      </c>
      <c r="G594" s="64" t="s">
        <v>365</v>
      </c>
      <c r="H594" s="64" t="s">
        <v>229</v>
      </c>
      <c r="I594" s="64" t="s">
        <v>10</v>
      </c>
      <c r="J594" s="64" t="s">
        <v>201</v>
      </c>
      <c r="K594" s="66">
        <v>44.9</v>
      </c>
      <c r="L594" s="66">
        <f>K594*VLOOKUP(I594,dagsoorttabel1,2,FALSE)</f>
        <v>44.9</v>
      </c>
      <c r="M594" s="67">
        <f>prodnorm43</f>
        <v>0</v>
      </c>
      <c r="N594" s="68">
        <f>dagwerk43</f>
        <v>0</v>
      </c>
      <c r="O594" s="64" t="s">
        <v>38</v>
      </c>
      <c r="P594" s="69">
        <f>uurtarief43</f>
        <v>0</v>
      </c>
      <c r="Q594" s="66" t="e">
        <f>IF(ISBLANK(M594),0,L594/ROUND(M594,4))</f>
        <v>#DIV/0!</v>
      </c>
      <c r="R594" s="66" t="e">
        <f>IF(ISBLANK(M594),0,Q594*ROUND(N594,2))</f>
        <v>#DIV/0!</v>
      </c>
      <c r="S594" s="69" t="e">
        <f>ROUND(P594,2)*Q594</f>
        <v>#DIV/0!</v>
      </c>
      <c r="T594" s="66" t="e">
        <f>Q594*dagenperjaar1</f>
        <v>#DIV/0!</v>
      </c>
      <c r="U594" s="70" t="e">
        <f>T594*ROUND(P594,2)</f>
        <v>#DIV/0!</v>
      </c>
    </row>
    <row r="595" spans="1:21" x14ac:dyDescent="0.2">
      <c r="A595" s="63" t="s">
        <v>774</v>
      </c>
      <c r="B595" s="64" t="s">
        <v>324</v>
      </c>
      <c r="C595" s="64" t="s">
        <v>472</v>
      </c>
      <c r="D595" s="64" t="s">
        <v>1208</v>
      </c>
      <c r="E595" s="64" t="s">
        <v>324</v>
      </c>
      <c r="F595" s="65" t="s">
        <v>1020</v>
      </c>
      <c r="G595" s="64" t="s">
        <v>365</v>
      </c>
      <c r="H595" s="64" t="s">
        <v>267</v>
      </c>
      <c r="I595" s="64" t="s">
        <v>10</v>
      </c>
      <c r="J595" s="64" t="s">
        <v>201</v>
      </c>
      <c r="K595" s="66">
        <v>32.6</v>
      </c>
      <c r="L595" s="66">
        <f>K595*VLOOKUP(I595,dagsoorttabel1,2,FALSE)</f>
        <v>32.6</v>
      </c>
      <c r="M595" s="67">
        <f>prodnorm65</f>
        <v>0</v>
      </c>
      <c r="N595" s="68">
        <f>dagwerk65</f>
        <v>0</v>
      </c>
      <c r="O595" s="64" t="s">
        <v>38</v>
      </c>
      <c r="P595" s="69">
        <f>uurtarief65</f>
        <v>0</v>
      </c>
      <c r="Q595" s="66" t="e">
        <f>IF(ISBLANK(M595),0,L595/ROUND(M595,4))</f>
        <v>#DIV/0!</v>
      </c>
      <c r="R595" s="66" t="e">
        <f>IF(ISBLANK(M595),0,Q595*ROUND(N595,2))</f>
        <v>#DIV/0!</v>
      </c>
      <c r="S595" s="69" t="e">
        <f>ROUND(P595,2)*Q595</f>
        <v>#DIV/0!</v>
      </c>
      <c r="T595" s="66" t="e">
        <f>Q595*dagenperjaar1</f>
        <v>#DIV/0!</v>
      </c>
      <c r="U595" s="70" t="e">
        <f>T595*ROUND(P595,2)</f>
        <v>#DIV/0!</v>
      </c>
    </row>
    <row r="596" spans="1:21" x14ac:dyDescent="0.2">
      <c r="A596" s="63" t="s">
        <v>774</v>
      </c>
      <c r="B596" s="64" t="s">
        <v>324</v>
      </c>
      <c r="C596" s="64" t="s">
        <v>472</v>
      </c>
      <c r="D596" s="64" t="s">
        <v>1209</v>
      </c>
      <c r="E596" s="64" t="s">
        <v>324</v>
      </c>
      <c r="F596" s="65" t="s">
        <v>1143</v>
      </c>
      <c r="G596" s="64" t="s">
        <v>365</v>
      </c>
      <c r="H596" s="64" t="s">
        <v>239</v>
      </c>
      <c r="I596" s="64" t="s">
        <v>10</v>
      </c>
      <c r="J596" s="64" t="s">
        <v>201</v>
      </c>
      <c r="K596" s="66">
        <v>73.2</v>
      </c>
      <c r="L596" s="66">
        <f>K596*VLOOKUP(I596,dagsoorttabel1,2,FALSE)</f>
        <v>73.2</v>
      </c>
      <c r="M596" s="67">
        <f>prodnorm50</f>
        <v>0</v>
      </c>
      <c r="N596" s="68">
        <f>dagwerk50</f>
        <v>0</v>
      </c>
      <c r="O596" s="64" t="s">
        <v>38</v>
      </c>
      <c r="P596" s="69">
        <f>uurtarief50</f>
        <v>0</v>
      </c>
      <c r="Q596" s="66" t="e">
        <f>IF(ISBLANK(M596),0,L596/ROUND(M596,4))</f>
        <v>#DIV/0!</v>
      </c>
      <c r="R596" s="66" t="e">
        <f>IF(ISBLANK(M596),0,Q596*ROUND(N596,2))</f>
        <v>#DIV/0!</v>
      </c>
      <c r="S596" s="69" t="e">
        <f>ROUND(P596,2)*Q596</f>
        <v>#DIV/0!</v>
      </c>
      <c r="T596" s="66" t="e">
        <f>Q596*dagenperjaar1</f>
        <v>#DIV/0!</v>
      </c>
      <c r="U596" s="70" t="e">
        <f>T596*ROUND(P596,2)</f>
        <v>#DIV/0!</v>
      </c>
    </row>
    <row r="597" spans="1:21" x14ac:dyDescent="0.2">
      <c r="A597" s="63" t="s">
        <v>774</v>
      </c>
      <c r="B597" s="64" t="s">
        <v>324</v>
      </c>
      <c r="C597" s="64" t="s">
        <v>472</v>
      </c>
      <c r="D597" s="64" t="s">
        <v>1210</v>
      </c>
      <c r="E597" s="64" t="s">
        <v>324</v>
      </c>
      <c r="F597" s="65" t="s">
        <v>1211</v>
      </c>
      <c r="G597" s="64" t="s">
        <v>365</v>
      </c>
      <c r="H597" s="64" t="s">
        <v>229</v>
      </c>
      <c r="I597" s="64" t="s">
        <v>10</v>
      </c>
      <c r="J597" s="64" t="s">
        <v>201</v>
      </c>
      <c r="K597" s="66">
        <v>48.9</v>
      </c>
      <c r="L597" s="66">
        <f>K597*VLOOKUP(I597,dagsoorttabel1,2,FALSE)</f>
        <v>48.9</v>
      </c>
      <c r="M597" s="67">
        <f>prodnorm43</f>
        <v>0</v>
      </c>
      <c r="N597" s="68">
        <f>dagwerk43</f>
        <v>0</v>
      </c>
      <c r="O597" s="64" t="s">
        <v>38</v>
      </c>
      <c r="P597" s="69">
        <f>uurtarief43</f>
        <v>0</v>
      </c>
      <c r="Q597" s="66" t="e">
        <f>IF(ISBLANK(M597),0,L597/ROUND(M597,4))</f>
        <v>#DIV/0!</v>
      </c>
      <c r="R597" s="66" t="e">
        <f>IF(ISBLANK(M597),0,Q597*ROUND(N597,2))</f>
        <v>#DIV/0!</v>
      </c>
      <c r="S597" s="69" t="e">
        <f>ROUND(P597,2)*Q597</f>
        <v>#DIV/0!</v>
      </c>
      <c r="T597" s="66" t="e">
        <f>Q597*dagenperjaar1</f>
        <v>#DIV/0!</v>
      </c>
      <c r="U597" s="70" t="e">
        <f>T597*ROUND(P597,2)</f>
        <v>#DIV/0!</v>
      </c>
    </row>
    <row r="598" spans="1:21" x14ac:dyDescent="0.2">
      <c r="A598" s="63" t="s">
        <v>774</v>
      </c>
      <c r="B598" s="64" t="s">
        <v>324</v>
      </c>
      <c r="C598" s="64" t="s">
        <v>472</v>
      </c>
      <c r="D598" s="64" t="s">
        <v>1212</v>
      </c>
      <c r="E598" s="64" t="s">
        <v>324</v>
      </c>
      <c r="F598" s="65" t="s">
        <v>1004</v>
      </c>
      <c r="G598" s="64" t="s">
        <v>365</v>
      </c>
      <c r="H598" s="64" t="s">
        <v>229</v>
      </c>
      <c r="I598" s="64" t="s">
        <v>10</v>
      </c>
      <c r="J598" s="64" t="s">
        <v>201</v>
      </c>
      <c r="K598" s="66">
        <v>56.3</v>
      </c>
      <c r="L598" s="66">
        <f>K598*VLOOKUP(I598,dagsoorttabel1,2,FALSE)</f>
        <v>56.3</v>
      </c>
      <c r="M598" s="67">
        <f>prodnorm43</f>
        <v>0</v>
      </c>
      <c r="N598" s="68">
        <f>dagwerk43</f>
        <v>0</v>
      </c>
      <c r="O598" s="64" t="s">
        <v>38</v>
      </c>
      <c r="P598" s="69">
        <f>uurtarief43</f>
        <v>0</v>
      </c>
      <c r="Q598" s="66" t="e">
        <f>IF(ISBLANK(M598),0,L598/ROUND(M598,4))</f>
        <v>#DIV/0!</v>
      </c>
      <c r="R598" s="66" t="e">
        <f>IF(ISBLANK(M598),0,Q598*ROUND(N598,2))</f>
        <v>#DIV/0!</v>
      </c>
      <c r="S598" s="69" t="e">
        <f>ROUND(P598,2)*Q598</f>
        <v>#DIV/0!</v>
      </c>
      <c r="T598" s="66" t="e">
        <f>Q598*dagenperjaar1</f>
        <v>#DIV/0!</v>
      </c>
      <c r="U598" s="70" t="e">
        <f>T598*ROUND(P598,2)</f>
        <v>#DIV/0!</v>
      </c>
    </row>
    <row r="599" spans="1:21" x14ac:dyDescent="0.2">
      <c r="A599" s="63" t="s">
        <v>774</v>
      </c>
      <c r="B599" s="64" t="s">
        <v>324</v>
      </c>
      <c r="C599" s="64" t="s">
        <v>472</v>
      </c>
      <c r="D599" s="64" t="s">
        <v>1213</v>
      </c>
      <c r="E599" s="64" t="s">
        <v>324</v>
      </c>
      <c r="F599" s="65" t="s">
        <v>1004</v>
      </c>
      <c r="G599" s="64" t="s">
        <v>365</v>
      </c>
      <c r="H599" s="64" t="s">
        <v>229</v>
      </c>
      <c r="I599" s="64" t="s">
        <v>10</v>
      </c>
      <c r="J599" s="64" t="s">
        <v>201</v>
      </c>
      <c r="K599" s="66">
        <v>56.4</v>
      </c>
      <c r="L599" s="66">
        <f>K599*VLOOKUP(I599,dagsoorttabel1,2,FALSE)</f>
        <v>56.4</v>
      </c>
      <c r="M599" s="67">
        <f>prodnorm43</f>
        <v>0</v>
      </c>
      <c r="N599" s="68">
        <f>dagwerk43</f>
        <v>0</v>
      </c>
      <c r="O599" s="64" t="s">
        <v>38</v>
      </c>
      <c r="P599" s="69">
        <f>uurtarief43</f>
        <v>0</v>
      </c>
      <c r="Q599" s="66" t="e">
        <f>IF(ISBLANK(M599),0,L599/ROUND(M599,4))</f>
        <v>#DIV/0!</v>
      </c>
      <c r="R599" s="66" t="e">
        <f>IF(ISBLANK(M599),0,Q599*ROUND(N599,2))</f>
        <v>#DIV/0!</v>
      </c>
      <c r="S599" s="69" t="e">
        <f>ROUND(P599,2)*Q599</f>
        <v>#DIV/0!</v>
      </c>
      <c r="T599" s="66" t="e">
        <f>Q599*dagenperjaar1</f>
        <v>#DIV/0!</v>
      </c>
      <c r="U599" s="70" t="e">
        <f>T599*ROUND(P599,2)</f>
        <v>#DIV/0!</v>
      </c>
    </row>
    <row r="600" spans="1:21" x14ac:dyDescent="0.2">
      <c r="A600" s="63" t="s">
        <v>774</v>
      </c>
      <c r="B600" s="64" t="s">
        <v>324</v>
      </c>
      <c r="C600" s="64" t="s">
        <v>472</v>
      </c>
      <c r="D600" s="64" t="s">
        <v>1214</v>
      </c>
      <c r="E600" s="64" t="s">
        <v>324</v>
      </c>
      <c r="F600" s="65" t="s">
        <v>1004</v>
      </c>
      <c r="G600" s="64" t="s">
        <v>365</v>
      </c>
      <c r="H600" s="64" t="s">
        <v>229</v>
      </c>
      <c r="I600" s="64" t="s">
        <v>10</v>
      </c>
      <c r="J600" s="64" t="s">
        <v>201</v>
      </c>
      <c r="K600" s="66">
        <v>49.7</v>
      </c>
      <c r="L600" s="66">
        <f>K600*VLOOKUP(I600,dagsoorttabel1,2,FALSE)</f>
        <v>49.7</v>
      </c>
      <c r="M600" s="67">
        <f>prodnorm43</f>
        <v>0</v>
      </c>
      <c r="N600" s="68">
        <f>dagwerk43</f>
        <v>0</v>
      </c>
      <c r="O600" s="64" t="s">
        <v>38</v>
      </c>
      <c r="P600" s="69">
        <f>uurtarief43</f>
        <v>0</v>
      </c>
      <c r="Q600" s="66" t="e">
        <f>IF(ISBLANK(M600),0,L600/ROUND(M600,4))</f>
        <v>#DIV/0!</v>
      </c>
      <c r="R600" s="66" t="e">
        <f>IF(ISBLANK(M600),0,Q600*ROUND(N600,2))</f>
        <v>#DIV/0!</v>
      </c>
      <c r="S600" s="69" t="e">
        <f>ROUND(P600,2)*Q600</f>
        <v>#DIV/0!</v>
      </c>
      <c r="T600" s="66" t="e">
        <f>Q600*dagenperjaar1</f>
        <v>#DIV/0!</v>
      </c>
      <c r="U600" s="70" t="e">
        <f>T600*ROUND(P600,2)</f>
        <v>#DIV/0!</v>
      </c>
    </row>
    <row r="601" spans="1:21" x14ac:dyDescent="0.2">
      <c r="A601" s="63" t="s">
        <v>774</v>
      </c>
      <c r="B601" s="64" t="s">
        <v>324</v>
      </c>
      <c r="C601" s="64" t="s">
        <v>472</v>
      </c>
      <c r="D601" s="64" t="s">
        <v>1215</v>
      </c>
      <c r="E601" s="64" t="s">
        <v>324</v>
      </c>
      <c r="F601" s="65" t="s">
        <v>1099</v>
      </c>
      <c r="G601" s="64" t="s">
        <v>365</v>
      </c>
      <c r="H601" s="64" t="s">
        <v>267</v>
      </c>
      <c r="I601" s="64" t="s">
        <v>10</v>
      </c>
      <c r="J601" s="64" t="s">
        <v>201</v>
      </c>
      <c r="K601" s="66">
        <v>69.3</v>
      </c>
      <c r="L601" s="66">
        <f>K601*VLOOKUP(I601,dagsoorttabel1,2,FALSE)</f>
        <v>69.3</v>
      </c>
      <c r="M601" s="67">
        <f>prodnorm65</f>
        <v>0</v>
      </c>
      <c r="N601" s="68">
        <f>dagwerk65</f>
        <v>0</v>
      </c>
      <c r="O601" s="64" t="s">
        <v>38</v>
      </c>
      <c r="P601" s="69">
        <f>uurtarief65</f>
        <v>0</v>
      </c>
      <c r="Q601" s="66" t="e">
        <f>IF(ISBLANK(M601),0,L601/ROUND(M601,4))</f>
        <v>#DIV/0!</v>
      </c>
      <c r="R601" s="66" t="e">
        <f>IF(ISBLANK(M601),0,Q601*ROUND(N601,2))</f>
        <v>#DIV/0!</v>
      </c>
      <c r="S601" s="69" t="e">
        <f>ROUND(P601,2)*Q601</f>
        <v>#DIV/0!</v>
      </c>
      <c r="T601" s="66" t="e">
        <f>Q601*dagenperjaar1</f>
        <v>#DIV/0!</v>
      </c>
      <c r="U601" s="70" t="e">
        <f>T601*ROUND(P601,2)</f>
        <v>#DIV/0!</v>
      </c>
    </row>
    <row r="602" spans="1:21" x14ac:dyDescent="0.2">
      <c r="A602" s="63" t="s">
        <v>774</v>
      </c>
      <c r="B602" s="64" t="s">
        <v>324</v>
      </c>
      <c r="C602" s="64" t="s">
        <v>472</v>
      </c>
      <c r="D602" s="64" t="s">
        <v>1216</v>
      </c>
      <c r="E602" s="64" t="s">
        <v>324</v>
      </c>
      <c r="F602" s="65" t="s">
        <v>1217</v>
      </c>
      <c r="G602" s="64" t="s">
        <v>365</v>
      </c>
      <c r="H602" s="64" t="s">
        <v>205</v>
      </c>
      <c r="I602" s="64" t="s">
        <v>10</v>
      </c>
      <c r="J602" s="64" t="s">
        <v>201</v>
      </c>
      <c r="K602" s="66">
        <v>31.4</v>
      </c>
      <c r="L602" s="66">
        <f>K602*VLOOKUP(I602,dagsoorttabel1,2,FALSE)</f>
        <v>31.4</v>
      </c>
      <c r="M602" s="67">
        <f>prodnorm26</f>
        <v>0</v>
      </c>
      <c r="N602" s="68">
        <f>dagwerk26</f>
        <v>0</v>
      </c>
      <c r="O602" s="64" t="s">
        <v>38</v>
      </c>
      <c r="P602" s="69">
        <f>uurtarief26</f>
        <v>0</v>
      </c>
      <c r="Q602" s="66" t="e">
        <f>IF(ISBLANK(M602),0,L602/ROUND(M602,4))</f>
        <v>#DIV/0!</v>
      </c>
      <c r="R602" s="66" t="e">
        <f>IF(ISBLANK(M602),0,Q602*ROUND(N602,2))</f>
        <v>#DIV/0!</v>
      </c>
      <c r="S602" s="69" t="e">
        <f>ROUND(P602,2)*Q602</f>
        <v>#DIV/0!</v>
      </c>
      <c r="T602" s="66" t="e">
        <f>Q602*dagenperjaar1</f>
        <v>#DIV/0!</v>
      </c>
      <c r="U602" s="70" t="e">
        <f>T602*ROUND(P602,2)</f>
        <v>#DIV/0!</v>
      </c>
    </row>
    <row r="603" spans="1:21" x14ac:dyDescent="0.2">
      <c r="A603" s="63" t="s">
        <v>774</v>
      </c>
      <c r="B603" s="64" t="s">
        <v>324</v>
      </c>
      <c r="C603" s="64" t="s">
        <v>472</v>
      </c>
      <c r="D603" s="64" t="s">
        <v>1218</v>
      </c>
      <c r="E603" s="64" t="s">
        <v>324</v>
      </c>
      <c r="F603" s="65" t="s">
        <v>1011</v>
      </c>
      <c r="G603" s="64" t="s">
        <v>365</v>
      </c>
      <c r="H603" s="64" t="s">
        <v>267</v>
      </c>
      <c r="I603" s="64" t="s">
        <v>10</v>
      </c>
      <c r="J603" s="64" t="s">
        <v>201</v>
      </c>
      <c r="K603" s="66">
        <v>130.19999999999999</v>
      </c>
      <c r="L603" s="66">
        <f>K603*VLOOKUP(I603,dagsoorttabel1,2,FALSE)</f>
        <v>130.19999999999999</v>
      </c>
      <c r="M603" s="67">
        <f>prodnorm65</f>
        <v>0</v>
      </c>
      <c r="N603" s="68">
        <f>dagwerk65</f>
        <v>0</v>
      </c>
      <c r="O603" s="64" t="s">
        <v>38</v>
      </c>
      <c r="P603" s="69">
        <f>uurtarief65</f>
        <v>0</v>
      </c>
      <c r="Q603" s="66" t="e">
        <f>IF(ISBLANK(M603),0,L603/ROUND(M603,4))</f>
        <v>#DIV/0!</v>
      </c>
      <c r="R603" s="66" t="e">
        <f>IF(ISBLANK(M603),0,Q603*ROUND(N603,2))</f>
        <v>#DIV/0!</v>
      </c>
      <c r="S603" s="69" t="e">
        <f>ROUND(P603,2)*Q603</f>
        <v>#DIV/0!</v>
      </c>
      <c r="T603" s="66" t="e">
        <f>Q603*dagenperjaar1</f>
        <v>#DIV/0!</v>
      </c>
      <c r="U603" s="70" t="e">
        <f>T603*ROUND(P603,2)</f>
        <v>#DIV/0!</v>
      </c>
    </row>
    <row r="604" spans="1:21" x14ac:dyDescent="0.2">
      <c r="A604" s="63" t="s">
        <v>774</v>
      </c>
      <c r="B604" s="64" t="s">
        <v>324</v>
      </c>
      <c r="C604" s="64" t="s">
        <v>472</v>
      </c>
      <c r="D604" s="64" t="s">
        <v>1219</v>
      </c>
      <c r="E604" s="64" t="s">
        <v>324</v>
      </c>
      <c r="F604" s="65" t="s">
        <v>1220</v>
      </c>
      <c r="G604" s="64" t="s">
        <v>365</v>
      </c>
      <c r="H604" s="64" t="s">
        <v>229</v>
      </c>
      <c r="I604" s="64" t="s">
        <v>10</v>
      </c>
      <c r="J604" s="64" t="s">
        <v>201</v>
      </c>
      <c r="K604" s="66">
        <v>64.5</v>
      </c>
      <c r="L604" s="66">
        <f>K604*VLOOKUP(I604,dagsoorttabel1,2,FALSE)</f>
        <v>64.5</v>
      </c>
      <c r="M604" s="67">
        <f>prodnorm43</f>
        <v>0</v>
      </c>
      <c r="N604" s="68">
        <f>dagwerk43</f>
        <v>0</v>
      </c>
      <c r="O604" s="64" t="s">
        <v>38</v>
      </c>
      <c r="P604" s="69">
        <f>uurtarief43</f>
        <v>0</v>
      </c>
      <c r="Q604" s="66" t="e">
        <f>IF(ISBLANK(M604),0,L604/ROUND(M604,4))</f>
        <v>#DIV/0!</v>
      </c>
      <c r="R604" s="66" t="e">
        <f>IF(ISBLANK(M604),0,Q604*ROUND(N604,2))</f>
        <v>#DIV/0!</v>
      </c>
      <c r="S604" s="69" t="e">
        <f>ROUND(P604,2)*Q604</f>
        <v>#DIV/0!</v>
      </c>
      <c r="T604" s="66" t="e">
        <f>Q604*dagenperjaar1</f>
        <v>#DIV/0!</v>
      </c>
      <c r="U604" s="70" t="e">
        <f>T604*ROUND(P604,2)</f>
        <v>#DIV/0!</v>
      </c>
    </row>
    <row r="605" spans="1:21" x14ac:dyDescent="0.2">
      <c r="A605" s="63" t="s">
        <v>774</v>
      </c>
      <c r="B605" s="64" t="s">
        <v>324</v>
      </c>
      <c r="C605" s="64" t="s">
        <v>472</v>
      </c>
      <c r="D605" s="64" t="s">
        <v>1221</v>
      </c>
      <c r="E605" s="64" t="s">
        <v>324</v>
      </c>
      <c r="F605" s="65" t="s">
        <v>1220</v>
      </c>
      <c r="G605" s="64" t="s">
        <v>365</v>
      </c>
      <c r="H605" s="64" t="s">
        <v>229</v>
      </c>
      <c r="I605" s="64" t="s">
        <v>10</v>
      </c>
      <c r="J605" s="64" t="s">
        <v>201</v>
      </c>
      <c r="K605" s="66">
        <v>45.2</v>
      </c>
      <c r="L605" s="66">
        <f>K605*VLOOKUP(I605,dagsoorttabel1,2,FALSE)</f>
        <v>45.2</v>
      </c>
      <c r="M605" s="67">
        <f>prodnorm43</f>
        <v>0</v>
      </c>
      <c r="N605" s="68">
        <f>dagwerk43</f>
        <v>0</v>
      </c>
      <c r="O605" s="64" t="s">
        <v>38</v>
      </c>
      <c r="P605" s="69">
        <f>uurtarief43</f>
        <v>0</v>
      </c>
      <c r="Q605" s="66" t="e">
        <f>IF(ISBLANK(M605),0,L605/ROUND(M605,4))</f>
        <v>#DIV/0!</v>
      </c>
      <c r="R605" s="66" t="e">
        <f>IF(ISBLANK(M605),0,Q605*ROUND(N605,2))</f>
        <v>#DIV/0!</v>
      </c>
      <c r="S605" s="69" t="e">
        <f>ROUND(P605,2)*Q605</f>
        <v>#DIV/0!</v>
      </c>
      <c r="T605" s="66" t="e">
        <f>Q605*dagenperjaar1</f>
        <v>#DIV/0!</v>
      </c>
      <c r="U605" s="70" t="e">
        <f>T605*ROUND(P605,2)</f>
        <v>#DIV/0!</v>
      </c>
    </row>
    <row r="606" spans="1:21" x14ac:dyDescent="0.2">
      <c r="A606" s="63" t="s">
        <v>774</v>
      </c>
      <c r="B606" s="64" t="s">
        <v>324</v>
      </c>
      <c r="C606" s="64" t="s">
        <v>472</v>
      </c>
      <c r="D606" s="64" t="s">
        <v>1222</v>
      </c>
      <c r="E606" s="64" t="s">
        <v>324</v>
      </c>
      <c r="F606" s="65" t="s">
        <v>1157</v>
      </c>
      <c r="G606" s="64" t="s">
        <v>365</v>
      </c>
      <c r="H606" s="64" t="s">
        <v>229</v>
      </c>
      <c r="I606" s="64" t="s">
        <v>10</v>
      </c>
      <c r="J606" s="64" t="s">
        <v>201</v>
      </c>
      <c r="K606" s="66">
        <v>56</v>
      </c>
      <c r="L606" s="66">
        <f>K606*VLOOKUP(I606,dagsoorttabel1,2,FALSE)</f>
        <v>56</v>
      </c>
      <c r="M606" s="67">
        <f>prodnorm43</f>
        <v>0</v>
      </c>
      <c r="N606" s="68">
        <f>dagwerk43</f>
        <v>0</v>
      </c>
      <c r="O606" s="64" t="s">
        <v>38</v>
      </c>
      <c r="P606" s="69">
        <f>uurtarief43</f>
        <v>0</v>
      </c>
      <c r="Q606" s="66" t="e">
        <f>IF(ISBLANK(M606),0,L606/ROUND(M606,4))</f>
        <v>#DIV/0!</v>
      </c>
      <c r="R606" s="66" t="e">
        <f>IF(ISBLANK(M606),0,Q606*ROUND(N606,2))</f>
        <v>#DIV/0!</v>
      </c>
      <c r="S606" s="69" t="e">
        <f>ROUND(P606,2)*Q606</f>
        <v>#DIV/0!</v>
      </c>
      <c r="T606" s="66" t="e">
        <f>Q606*dagenperjaar1</f>
        <v>#DIV/0!</v>
      </c>
      <c r="U606" s="70" t="e">
        <f>T606*ROUND(P606,2)</f>
        <v>#DIV/0!</v>
      </c>
    </row>
    <row r="607" spans="1:21" x14ac:dyDescent="0.2">
      <c r="A607" s="63" t="s">
        <v>774</v>
      </c>
      <c r="B607" s="64" t="s">
        <v>324</v>
      </c>
      <c r="C607" s="64" t="s">
        <v>472</v>
      </c>
      <c r="D607" s="64" t="s">
        <v>1223</v>
      </c>
      <c r="E607" s="64" t="s">
        <v>324</v>
      </c>
      <c r="F607" s="65" t="s">
        <v>1157</v>
      </c>
      <c r="G607" s="64" t="s">
        <v>365</v>
      </c>
      <c r="H607" s="64" t="s">
        <v>229</v>
      </c>
      <c r="I607" s="64" t="s">
        <v>10</v>
      </c>
      <c r="J607" s="64" t="s">
        <v>201</v>
      </c>
      <c r="K607" s="66">
        <v>53.6</v>
      </c>
      <c r="L607" s="66">
        <f>K607*VLOOKUP(I607,dagsoorttabel1,2,FALSE)</f>
        <v>53.6</v>
      </c>
      <c r="M607" s="67">
        <f>prodnorm43</f>
        <v>0</v>
      </c>
      <c r="N607" s="68">
        <f>dagwerk43</f>
        <v>0</v>
      </c>
      <c r="O607" s="64" t="s">
        <v>38</v>
      </c>
      <c r="P607" s="69">
        <f>uurtarief43</f>
        <v>0</v>
      </c>
      <c r="Q607" s="66" t="e">
        <f>IF(ISBLANK(M607),0,L607/ROUND(M607,4))</f>
        <v>#DIV/0!</v>
      </c>
      <c r="R607" s="66" t="e">
        <f>IF(ISBLANK(M607),0,Q607*ROUND(N607,2))</f>
        <v>#DIV/0!</v>
      </c>
      <c r="S607" s="69" t="e">
        <f>ROUND(P607,2)*Q607</f>
        <v>#DIV/0!</v>
      </c>
      <c r="T607" s="66" t="e">
        <f>Q607*dagenperjaar1</f>
        <v>#DIV/0!</v>
      </c>
      <c r="U607" s="70" t="e">
        <f>T607*ROUND(P607,2)</f>
        <v>#DIV/0!</v>
      </c>
    </row>
    <row r="608" spans="1:21" x14ac:dyDescent="0.2">
      <c r="A608" s="63" t="s">
        <v>774</v>
      </c>
      <c r="B608" s="64" t="s">
        <v>324</v>
      </c>
      <c r="C608" s="64" t="s">
        <v>472</v>
      </c>
      <c r="D608" s="64" t="s">
        <v>1224</v>
      </c>
      <c r="E608" s="64" t="s">
        <v>324</v>
      </c>
      <c r="F608" s="65" t="s">
        <v>1157</v>
      </c>
      <c r="G608" s="64" t="s">
        <v>365</v>
      </c>
      <c r="H608" s="64" t="s">
        <v>229</v>
      </c>
      <c r="I608" s="64" t="s">
        <v>10</v>
      </c>
      <c r="J608" s="64" t="s">
        <v>201</v>
      </c>
      <c r="K608" s="66">
        <v>57.9</v>
      </c>
      <c r="L608" s="66">
        <f>K608*VLOOKUP(I608,dagsoorttabel1,2,FALSE)</f>
        <v>57.9</v>
      </c>
      <c r="M608" s="67">
        <f>prodnorm43</f>
        <v>0</v>
      </c>
      <c r="N608" s="68">
        <f>dagwerk43</f>
        <v>0</v>
      </c>
      <c r="O608" s="64" t="s">
        <v>38</v>
      </c>
      <c r="P608" s="69">
        <f>uurtarief43</f>
        <v>0</v>
      </c>
      <c r="Q608" s="66" t="e">
        <f>IF(ISBLANK(M608),0,L608/ROUND(M608,4))</f>
        <v>#DIV/0!</v>
      </c>
      <c r="R608" s="66" t="e">
        <f>IF(ISBLANK(M608),0,Q608*ROUND(N608,2))</f>
        <v>#DIV/0!</v>
      </c>
      <c r="S608" s="69" t="e">
        <f>ROUND(P608,2)*Q608</f>
        <v>#DIV/0!</v>
      </c>
      <c r="T608" s="66" t="e">
        <f>Q608*dagenperjaar1</f>
        <v>#DIV/0!</v>
      </c>
      <c r="U608" s="70" t="e">
        <f>T608*ROUND(P608,2)</f>
        <v>#DIV/0!</v>
      </c>
    </row>
    <row r="609" spans="1:21" x14ac:dyDescent="0.2">
      <c r="A609" s="63" t="s">
        <v>774</v>
      </c>
      <c r="B609" s="64" t="s">
        <v>324</v>
      </c>
      <c r="C609" s="64" t="s">
        <v>472</v>
      </c>
      <c r="D609" s="64" t="s">
        <v>1225</v>
      </c>
      <c r="E609" s="64" t="s">
        <v>324</v>
      </c>
      <c r="F609" s="65" t="s">
        <v>1157</v>
      </c>
      <c r="G609" s="64" t="s">
        <v>365</v>
      </c>
      <c r="H609" s="64" t="s">
        <v>229</v>
      </c>
      <c r="I609" s="64" t="s">
        <v>10</v>
      </c>
      <c r="J609" s="64" t="s">
        <v>201</v>
      </c>
      <c r="K609" s="66">
        <v>62</v>
      </c>
      <c r="L609" s="66">
        <f>K609*VLOOKUP(I609,dagsoorttabel1,2,FALSE)</f>
        <v>62</v>
      </c>
      <c r="M609" s="67">
        <f>prodnorm43</f>
        <v>0</v>
      </c>
      <c r="N609" s="68">
        <f>dagwerk43</f>
        <v>0</v>
      </c>
      <c r="O609" s="64" t="s">
        <v>38</v>
      </c>
      <c r="P609" s="69">
        <f>uurtarief43</f>
        <v>0</v>
      </c>
      <c r="Q609" s="66" t="e">
        <f>IF(ISBLANK(M609),0,L609/ROUND(M609,4))</f>
        <v>#DIV/0!</v>
      </c>
      <c r="R609" s="66" t="e">
        <f>IF(ISBLANK(M609),0,Q609*ROUND(N609,2))</f>
        <v>#DIV/0!</v>
      </c>
      <c r="S609" s="69" t="e">
        <f>ROUND(P609,2)*Q609</f>
        <v>#DIV/0!</v>
      </c>
      <c r="T609" s="66" t="e">
        <f>Q609*dagenperjaar1</f>
        <v>#DIV/0!</v>
      </c>
      <c r="U609" s="70" t="e">
        <f>T609*ROUND(P609,2)</f>
        <v>#DIV/0!</v>
      </c>
    </row>
    <row r="610" spans="1:21" x14ac:dyDescent="0.2">
      <c r="A610" s="63" t="s">
        <v>774</v>
      </c>
      <c r="B610" s="64" t="s">
        <v>324</v>
      </c>
      <c r="C610" s="64" t="s">
        <v>472</v>
      </c>
      <c r="D610" s="64" t="s">
        <v>1226</v>
      </c>
      <c r="E610" s="64" t="s">
        <v>324</v>
      </c>
      <c r="F610" s="65" t="s">
        <v>1157</v>
      </c>
      <c r="G610" s="64" t="s">
        <v>365</v>
      </c>
      <c r="H610" s="64" t="s">
        <v>229</v>
      </c>
      <c r="I610" s="64" t="s">
        <v>10</v>
      </c>
      <c r="J610" s="64" t="s">
        <v>201</v>
      </c>
      <c r="K610" s="66">
        <v>65.3</v>
      </c>
      <c r="L610" s="66">
        <f>K610*VLOOKUP(I610,dagsoorttabel1,2,FALSE)</f>
        <v>65.3</v>
      </c>
      <c r="M610" s="67">
        <f>prodnorm43</f>
        <v>0</v>
      </c>
      <c r="N610" s="68">
        <f>dagwerk43</f>
        <v>0</v>
      </c>
      <c r="O610" s="64" t="s">
        <v>38</v>
      </c>
      <c r="P610" s="69">
        <f>uurtarief43</f>
        <v>0</v>
      </c>
      <c r="Q610" s="66" t="e">
        <f>IF(ISBLANK(M610),0,L610/ROUND(M610,4))</f>
        <v>#DIV/0!</v>
      </c>
      <c r="R610" s="66" t="e">
        <f>IF(ISBLANK(M610),0,Q610*ROUND(N610,2))</f>
        <v>#DIV/0!</v>
      </c>
      <c r="S610" s="69" t="e">
        <f>ROUND(P610,2)*Q610</f>
        <v>#DIV/0!</v>
      </c>
      <c r="T610" s="66" t="e">
        <f>Q610*dagenperjaar1</f>
        <v>#DIV/0!</v>
      </c>
      <c r="U610" s="70" t="e">
        <f>T610*ROUND(P610,2)</f>
        <v>#DIV/0!</v>
      </c>
    </row>
    <row r="611" spans="1:21" x14ac:dyDescent="0.2">
      <c r="A611" s="63" t="s">
        <v>774</v>
      </c>
      <c r="B611" s="64" t="s">
        <v>324</v>
      </c>
      <c r="C611" s="64" t="s">
        <v>472</v>
      </c>
      <c r="D611" s="64" t="s">
        <v>1227</v>
      </c>
      <c r="E611" s="64" t="s">
        <v>324</v>
      </c>
      <c r="F611" s="65" t="s">
        <v>1157</v>
      </c>
      <c r="G611" s="64" t="s">
        <v>365</v>
      </c>
      <c r="H611" s="64" t="s">
        <v>229</v>
      </c>
      <c r="I611" s="64" t="s">
        <v>10</v>
      </c>
      <c r="J611" s="64" t="s">
        <v>201</v>
      </c>
      <c r="K611" s="66">
        <v>77.8</v>
      </c>
      <c r="L611" s="66">
        <f>K611*VLOOKUP(I611,dagsoorttabel1,2,FALSE)</f>
        <v>77.8</v>
      </c>
      <c r="M611" s="67">
        <f>prodnorm43</f>
        <v>0</v>
      </c>
      <c r="N611" s="68">
        <f>dagwerk43</f>
        <v>0</v>
      </c>
      <c r="O611" s="64" t="s">
        <v>38</v>
      </c>
      <c r="P611" s="69">
        <f>uurtarief43</f>
        <v>0</v>
      </c>
      <c r="Q611" s="66" t="e">
        <f>IF(ISBLANK(M611),0,L611/ROUND(M611,4))</f>
        <v>#DIV/0!</v>
      </c>
      <c r="R611" s="66" t="e">
        <f>IF(ISBLANK(M611),0,Q611*ROUND(N611,2))</f>
        <v>#DIV/0!</v>
      </c>
      <c r="S611" s="69" t="e">
        <f>ROUND(P611,2)*Q611</f>
        <v>#DIV/0!</v>
      </c>
      <c r="T611" s="66" t="e">
        <f>Q611*dagenperjaar1</f>
        <v>#DIV/0!</v>
      </c>
      <c r="U611" s="70" t="e">
        <f>T611*ROUND(P611,2)</f>
        <v>#DIV/0!</v>
      </c>
    </row>
    <row r="612" spans="1:21" x14ac:dyDescent="0.2">
      <c r="A612" s="63" t="s">
        <v>774</v>
      </c>
      <c r="B612" s="64" t="s">
        <v>324</v>
      </c>
      <c r="C612" s="64" t="s">
        <v>472</v>
      </c>
      <c r="D612" s="64" t="s">
        <v>1228</v>
      </c>
      <c r="E612" s="64" t="s">
        <v>324</v>
      </c>
      <c r="F612" s="65" t="s">
        <v>998</v>
      </c>
      <c r="G612" s="64" t="s">
        <v>365</v>
      </c>
      <c r="H612" s="64" t="s">
        <v>267</v>
      </c>
      <c r="I612" s="64" t="s">
        <v>10</v>
      </c>
      <c r="J612" s="64" t="s">
        <v>201</v>
      </c>
      <c r="K612" s="66">
        <v>32.9</v>
      </c>
      <c r="L612" s="66">
        <f>K612*VLOOKUP(I612,dagsoorttabel1,2,FALSE)</f>
        <v>32.9</v>
      </c>
      <c r="M612" s="67">
        <f>prodnorm65</f>
        <v>0</v>
      </c>
      <c r="N612" s="68">
        <f>dagwerk65</f>
        <v>0</v>
      </c>
      <c r="O612" s="64" t="s">
        <v>38</v>
      </c>
      <c r="P612" s="69">
        <f>uurtarief65</f>
        <v>0</v>
      </c>
      <c r="Q612" s="66" t="e">
        <f>IF(ISBLANK(M612),0,L612/ROUND(M612,4))</f>
        <v>#DIV/0!</v>
      </c>
      <c r="R612" s="66" t="e">
        <f>IF(ISBLANK(M612),0,Q612*ROUND(N612,2))</f>
        <v>#DIV/0!</v>
      </c>
      <c r="S612" s="69" t="e">
        <f>ROUND(P612,2)*Q612</f>
        <v>#DIV/0!</v>
      </c>
      <c r="T612" s="66" t="e">
        <f>Q612*dagenperjaar1</f>
        <v>#DIV/0!</v>
      </c>
      <c r="U612" s="70" t="e">
        <f>T612*ROUND(P612,2)</f>
        <v>#DIV/0!</v>
      </c>
    </row>
    <row r="613" spans="1:21" x14ac:dyDescent="0.2">
      <c r="A613" s="63" t="s">
        <v>774</v>
      </c>
      <c r="B613" s="64" t="s">
        <v>324</v>
      </c>
      <c r="C613" s="64" t="s">
        <v>472</v>
      </c>
      <c r="D613" s="64" t="s">
        <v>1229</v>
      </c>
      <c r="E613" s="64" t="s">
        <v>324</v>
      </c>
      <c r="F613" s="65" t="s">
        <v>1230</v>
      </c>
      <c r="G613" s="64" t="s">
        <v>1231</v>
      </c>
      <c r="H613" s="64" t="s">
        <v>267</v>
      </c>
      <c r="I613" s="64" t="s">
        <v>16</v>
      </c>
      <c r="J613" s="64" t="s">
        <v>201</v>
      </c>
      <c r="K613" s="66">
        <v>60.3</v>
      </c>
      <c r="L613" s="66">
        <f>K613*VLOOKUP(I613,dagsoorttabel1,2,FALSE)</f>
        <v>12.06</v>
      </c>
      <c r="M613" s="67">
        <f>prodnorm66</f>
        <v>0</v>
      </c>
      <c r="N613" s="68">
        <f>dagwerk66</f>
        <v>0</v>
      </c>
      <c r="O613" s="64" t="s">
        <v>38</v>
      </c>
      <c r="P613" s="69">
        <f>uurtarief66</f>
        <v>0</v>
      </c>
      <c r="Q613" s="66" t="e">
        <f>IF(ISBLANK(M613),0,L613/ROUND(M613,4))</f>
        <v>#DIV/0!</v>
      </c>
      <c r="R613" s="66" t="e">
        <f>IF(ISBLANK(M613),0,Q613*ROUND(N613,2))</f>
        <v>#DIV/0!</v>
      </c>
      <c r="S613" s="69" t="e">
        <f>ROUND(P613,2)*Q613</f>
        <v>#DIV/0!</v>
      </c>
      <c r="T613" s="66" t="e">
        <f>Q613*dagenperjaar1</f>
        <v>#DIV/0!</v>
      </c>
      <c r="U613" s="70" t="e">
        <f>T613*ROUND(P613,2)</f>
        <v>#DIV/0!</v>
      </c>
    </row>
    <row r="614" spans="1:21" x14ac:dyDescent="0.2">
      <c r="A614" s="63" t="s">
        <v>774</v>
      </c>
      <c r="B614" s="64" t="s">
        <v>324</v>
      </c>
      <c r="C614" s="64" t="s">
        <v>472</v>
      </c>
      <c r="D614" s="64" t="s">
        <v>1232</v>
      </c>
      <c r="E614" s="64" t="s">
        <v>324</v>
      </c>
      <c r="F614" s="65" t="s">
        <v>1233</v>
      </c>
      <c r="G614" s="64" t="s">
        <v>1231</v>
      </c>
      <c r="H614" s="64" t="s">
        <v>229</v>
      </c>
      <c r="I614" s="64" t="s">
        <v>10</v>
      </c>
      <c r="J614" s="64" t="s">
        <v>201</v>
      </c>
      <c r="K614" s="66">
        <v>90.6</v>
      </c>
      <c r="L614" s="66">
        <f>K614*VLOOKUP(I614,dagsoorttabel1,2,FALSE)</f>
        <v>90.6</v>
      </c>
      <c r="M614" s="67">
        <f>prodnorm43</f>
        <v>0</v>
      </c>
      <c r="N614" s="68">
        <f>dagwerk43</f>
        <v>0</v>
      </c>
      <c r="O614" s="64" t="s">
        <v>38</v>
      </c>
      <c r="P614" s="69">
        <f>uurtarief43</f>
        <v>0</v>
      </c>
      <c r="Q614" s="66" t="e">
        <f>IF(ISBLANK(M614),0,L614/ROUND(M614,4))</f>
        <v>#DIV/0!</v>
      </c>
      <c r="R614" s="66" t="e">
        <f>IF(ISBLANK(M614),0,Q614*ROUND(N614,2))</f>
        <v>#DIV/0!</v>
      </c>
      <c r="S614" s="69" t="e">
        <f>ROUND(P614,2)*Q614</f>
        <v>#DIV/0!</v>
      </c>
      <c r="T614" s="66" t="e">
        <f>Q614*dagenperjaar1</f>
        <v>#DIV/0!</v>
      </c>
      <c r="U614" s="70" t="e">
        <f>T614*ROUND(P614,2)</f>
        <v>#DIV/0!</v>
      </c>
    </row>
    <row r="615" spans="1:21" x14ac:dyDescent="0.2">
      <c r="A615" s="63" t="s">
        <v>774</v>
      </c>
      <c r="B615" s="64" t="s">
        <v>324</v>
      </c>
      <c r="C615" s="64" t="s">
        <v>472</v>
      </c>
      <c r="D615" s="64" t="s">
        <v>1234</v>
      </c>
      <c r="E615" s="64" t="s">
        <v>324</v>
      </c>
      <c r="F615" s="65" t="s">
        <v>1028</v>
      </c>
      <c r="G615" s="64" t="s">
        <v>365</v>
      </c>
      <c r="H615" s="64" t="s">
        <v>255</v>
      </c>
      <c r="I615" s="64" t="s">
        <v>10</v>
      </c>
      <c r="J615" s="64" t="s">
        <v>201</v>
      </c>
      <c r="K615" s="66">
        <v>7.2</v>
      </c>
      <c r="L615" s="66">
        <f>K615*VLOOKUP(I615,dagsoorttabel1,2,FALSE)</f>
        <v>7.2</v>
      </c>
      <c r="M615" s="67">
        <f>prodnorm59</f>
        <v>0</v>
      </c>
      <c r="N615" s="68">
        <f>dagwerk59</f>
        <v>0</v>
      </c>
      <c r="O615" s="64" t="s">
        <v>38</v>
      </c>
      <c r="P615" s="69">
        <f>uurtarief59</f>
        <v>0</v>
      </c>
      <c r="Q615" s="66" t="e">
        <f>IF(ISBLANK(M615),0,L615/ROUND(M615,4))</f>
        <v>#DIV/0!</v>
      </c>
      <c r="R615" s="66" t="e">
        <f>IF(ISBLANK(M615),0,Q615*ROUND(N615,2))</f>
        <v>#DIV/0!</v>
      </c>
      <c r="S615" s="69" t="e">
        <f>ROUND(P615,2)*Q615</f>
        <v>#DIV/0!</v>
      </c>
      <c r="T615" s="66" t="e">
        <f>Q615*dagenperjaar1</f>
        <v>#DIV/0!</v>
      </c>
      <c r="U615" s="70" t="e">
        <f>T615*ROUND(P615,2)</f>
        <v>#DIV/0!</v>
      </c>
    </row>
    <row r="616" spans="1:21" x14ac:dyDescent="0.2">
      <c r="A616" s="63" t="s">
        <v>774</v>
      </c>
      <c r="B616" s="64" t="s">
        <v>324</v>
      </c>
      <c r="C616" s="64" t="s">
        <v>472</v>
      </c>
      <c r="D616" s="64" t="s">
        <v>1235</v>
      </c>
      <c r="E616" s="64" t="s">
        <v>324</v>
      </c>
      <c r="F616" s="65" t="s">
        <v>1023</v>
      </c>
      <c r="G616" s="64" t="s">
        <v>365</v>
      </c>
      <c r="H616" s="64" t="s">
        <v>267</v>
      </c>
      <c r="I616" s="64" t="s">
        <v>10</v>
      </c>
      <c r="J616" s="64" t="s">
        <v>201</v>
      </c>
      <c r="K616" s="66">
        <v>6.9</v>
      </c>
      <c r="L616" s="66">
        <f>K616*VLOOKUP(I616,dagsoorttabel1,2,FALSE)</f>
        <v>6.9</v>
      </c>
      <c r="M616" s="67">
        <f>prodnorm65</f>
        <v>0</v>
      </c>
      <c r="N616" s="68">
        <f>dagwerk65</f>
        <v>0</v>
      </c>
      <c r="O616" s="64" t="s">
        <v>38</v>
      </c>
      <c r="P616" s="69">
        <f>uurtarief65</f>
        <v>0</v>
      </c>
      <c r="Q616" s="66" t="e">
        <f>IF(ISBLANK(M616),0,L616/ROUND(M616,4))</f>
        <v>#DIV/0!</v>
      </c>
      <c r="R616" s="66" t="e">
        <f>IF(ISBLANK(M616),0,Q616*ROUND(N616,2))</f>
        <v>#DIV/0!</v>
      </c>
      <c r="S616" s="69" t="e">
        <f>ROUND(P616,2)*Q616</f>
        <v>#DIV/0!</v>
      </c>
      <c r="T616" s="66" t="e">
        <f>Q616*dagenperjaar1</f>
        <v>#DIV/0!</v>
      </c>
      <c r="U616" s="70" t="e">
        <f>T616*ROUND(P616,2)</f>
        <v>#DIV/0!</v>
      </c>
    </row>
    <row r="617" spans="1:21" x14ac:dyDescent="0.2">
      <c r="A617" s="63" t="s">
        <v>774</v>
      </c>
      <c r="B617" s="64" t="s">
        <v>324</v>
      </c>
      <c r="C617" s="64" t="s">
        <v>472</v>
      </c>
      <c r="D617" s="64" t="s">
        <v>1236</v>
      </c>
      <c r="E617" s="64" t="s">
        <v>324</v>
      </c>
      <c r="F617" s="65" t="s">
        <v>1237</v>
      </c>
      <c r="G617" s="64" t="s">
        <v>365</v>
      </c>
      <c r="H617" s="64" t="s">
        <v>255</v>
      </c>
      <c r="I617" s="64" t="s">
        <v>10</v>
      </c>
      <c r="J617" s="64" t="s">
        <v>201</v>
      </c>
      <c r="K617" s="66">
        <v>10</v>
      </c>
      <c r="L617" s="66">
        <f>K617*VLOOKUP(I617,dagsoorttabel1,2,FALSE)</f>
        <v>10</v>
      </c>
      <c r="M617" s="67">
        <f>prodnorm59</f>
        <v>0</v>
      </c>
      <c r="N617" s="68">
        <f>dagwerk59</f>
        <v>0</v>
      </c>
      <c r="O617" s="64" t="s">
        <v>38</v>
      </c>
      <c r="P617" s="69">
        <f>uurtarief59</f>
        <v>0</v>
      </c>
      <c r="Q617" s="66" t="e">
        <f>IF(ISBLANK(M617),0,L617/ROUND(M617,4))</f>
        <v>#DIV/0!</v>
      </c>
      <c r="R617" s="66" t="e">
        <f>IF(ISBLANK(M617),0,Q617*ROUND(N617,2))</f>
        <v>#DIV/0!</v>
      </c>
      <c r="S617" s="69" t="e">
        <f>ROUND(P617,2)*Q617</f>
        <v>#DIV/0!</v>
      </c>
      <c r="T617" s="66" t="e">
        <f>Q617*dagenperjaar1</f>
        <v>#DIV/0!</v>
      </c>
      <c r="U617" s="70" t="e">
        <f>T617*ROUND(P617,2)</f>
        <v>#DIV/0!</v>
      </c>
    </row>
    <row r="618" spans="1:21" x14ac:dyDescent="0.2">
      <c r="A618" s="63" t="s">
        <v>774</v>
      </c>
      <c r="B618" s="64" t="s">
        <v>324</v>
      </c>
      <c r="C618" s="64" t="s">
        <v>472</v>
      </c>
      <c r="D618" s="64" t="s">
        <v>1238</v>
      </c>
      <c r="E618" s="64" t="s">
        <v>324</v>
      </c>
      <c r="F618" s="65" t="s">
        <v>1009</v>
      </c>
      <c r="G618" s="64" t="s">
        <v>365</v>
      </c>
      <c r="H618" s="64" t="s">
        <v>255</v>
      </c>
      <c r="I618" s="64" t="s">
        <v>10</v>
      </c>
      <c r="J618" s="64" t="s">
        <v>201</v>
      </c>
      <c r="K618" s="66">
        <v>8.1</v>
      </c>
      <c r="L618" s="66">
        <f>K618*VLOOKUP(I618,dagsoorttabel1,2,FALSE)</f>
        <v>8.1</v>
      </c>
      <c r="M618" s="67">
        <f>prodnorm59</f>
        <v>0</v>
      </c>
      <c r="N618" s="68">
        <f>dagwerk59</f>
        <v>0</v>
      </c>
      <c r="O618" s="64" t="s">
        <v>38</v>
      </c>
      <c r="P618" s="69">
        <f>uurtarief59</f>
        <v>0</v>
      </c>
      <c r="Q618" s="66" t="e">
        <f>IF(ISBLANK(M618),0,L618/ROUND(M618,4))</f>
        <v>#DIV/0!</v>
      </c>
      <c r="R618" s="66" t="e">
        <f>IF(ISBLANK(M618),0,Q618*ROUND(N618,2))</f>
        <v>#DIV/0!</v>
      </c>
      <c r="S618" s="69" t="e">
        <f>ROUND(P618,2)*Q618</f>
        <v>#DIV/0!</v>
      </c>
      <c r="T618" s="66" t="e">
        <f>Q618*dagenperjaar1</f>
        <v>#DIV/0!</v>
      </c>
      <c r="U618" s="70" t="e">
        <f>T618*ROUND(P618,2)</f>
        <v>#DIV/0!</v>
      </c>
    </row>
    <row r="619" spans="1:21" x14ac:dyDescent="0.2">
      <c r="A619" s="63" t="s">
        <v>774</v>
      </c>
      <c r="B619" s="64" t="s">
        <v>324</v>
      </c>
      <c r="C619" s="64" t="s">
        <v>472</v>
      </c>
      <c r="D619" s="64" t="s">
        <v>1239</v>
      </c>
      <c r="E619" s="64" t="s">
        <v>324</v>
      </c>
      <c r="F619" s="65" t="s">
        <v>1172</v>
      </c>
      <c r="G619" s="64" t="s">
        <v>365</v>
      </c>
      <c r="H619" s="64" t="s">
        <v>255</v>
      </c>
      <c r="I619" s="64" t="s">
        <v>10</v>
      </c>
      <c r="J619" s="64" t="s">
        <v>201</v>
      </c>
      <c r="K619" s="66">
        <v>3.5</v>
      </c>
      <c r="L619" s="66">
        <f>K619*VLOOKUP(I619,dagsoorttabel1,2,FALSE)</f>
        <v>3.5</v>
      </c>
      <c r="M619" s="67">
        <f>prodnorm59</f>
        <v>0</v>
      </c>
      <c r="N619" s="68">
        <f>dagwerk59</f>
        <v>0</v>
      </c>
      <c r="O619" s="64" t="s">
        <v>38</v>
      </c>
      <c r="P619" s="69">
        <f>uurtarief59</f>
        <v>0</v>
      </c>
      <c r="Q619" s="66" t="e">
        <f>IF(ISBLANK(M619),0,L619/ROUND(M619,4))</f>
        <v>#DIV/0!</v>
      </c>
      <c r="R619" s="66" t="e">
        <f>IF(ISBLANK(M619),0,Q619*ROUND(N619,2))</f>
        <v>#DIV/0!</v>
      </c>
      <c r="S619" s="69" t="e">
        <f>ROUND(P619,2)*Q619</f>
        <v>#DIV/0!</v>
      </c>
      <c r="T619" s="66" t="e">
        <f>Q619*dagenperjaar1</f>
        <v>#DIV/0!</v>
      </c>
      <c r="U619" s="70" t="e">
        <f>T619*ROUND(P619,2)</f>
        <v>#DIV/0!</v>
      </c>
    </row>
    <row r="620" spans="1:21" x14ac:dyDescent="0.2">
      <c r="A620" s="63" t="s">
        <v>774</v>
      </c>
      <c r="B620" s="64" t="s">
        <v>324</v>
      </c>
      <c r="C620" s="64" t="s">
        <v>472</v>
      </c>
      <c r="D620" s="64" t="s">
        <v>1240</v>
      </c>
      <c r="E620" s="64" t="s">
        <v>324</v>
      </c>
      <c r="F620" s="65" t="s">
        <v>998</v>
      </c>
      <c r="G620" s="64" t="s">
        <v>365</v>
      </c>
      <c r="H620" s="64" t="s">
        <v>267</v>
      </c>
      <c r="I620" s="64" t="s">
        <v>10</v>
      </c>
      <c r="J620" s="64" t="s">
        <v>201</v>
      </c>
      <c r="K620" s="66">
        <v>32.700000000000003</v>
      </c>
      <c r="L620" s="66">
        <f>K620*VLOOKUP(I620,dagsoorttabel1,2,FALSE)</f>
        <v>32.700000000000003</v>
      </c>
      <c r="M620" s="67">
        <f>prodnorm65</f>
        <v>0</v>
      </c>
      <c r="N620" s="68">
        <f>dagwerk65</f>
        <v>0</v>
      </c>
      <c r="O620" s="64" t="s">
        <v>38</v>
      </c>
      <c r="P620" s="69">
        <f>uurtarief65</f>
        <v>0</v>
      </c>
      <c r="Q620" s="66" t="e">
        <f>IF(ISBLANK(M620),0,L620/ROUND(M620,4))</f>
        <v>#DIV/0!</v>
      </c>
      <c r="R620" s="66" t="e">
        <f>IF(ISBLANK(M620),0,Q620*ROUND(N620,2))</f>
        <v>#DIV/0!</v>
      </c>
      <c r="S620" s="69" t="e">
        <f>ROUND(P620,2)*Q620</f>
        <v>#DIV/0!</v>
      </c>
      <c r="T620" s="66" t="e">
        <f>Q620*dagenperjaar1</f>
        <v>#DIV/0!</v>
      </c>
      <c r="U620" s="70" t="e">
        <f>T620*ROUND(P620,2)</f>
        <v>#DIV/0!</v>
      </c>
    </row>
    <row r="621" spans="1:21" x14ac:dyDescent="0.2">
      <c r="A621" s="63" t="s">
        <v>774</v>
      </c>
      <c r="B621" s="64" t="s">
        <v>324</v>
      </c>
      <c r="C621" s="64" t="s">
        <v>472</v>
      </c>
      <c r="D621" s="64" t="s">
        <v>1241</v>
      </c>
      <c r="E621" s="64" t="s">
        <v>324</v>
      </c>
      <c r="F621" s="65" t="s">
        <v>1153</v>
      </c>
      <c r="G621" s="64" t="s">
        <v>365</v>
      </c>
      <c r="H621" s="64" t="s">
        <v>205</v>
      </c>
      <c r="I621" s="64" t="s">
        <v>10</v>
      </c>
      <c r="J621" s="64" t="s">
        <v>201</v>
      </c>
      <c r="K621" s="66">
        <v>11</v>
      </c>
      <c r="L621" s="66">
        <f>K621*VLOOKUP(I621,dagsoorttabel1,2,FALSE)</f>
        <v>11</v>
      </c>
      <c r="M621" s="67">
        <f>prodnorm26</f>
        <v>0</v>
      </c>
      <c r="N621" s="68">
        <f>dagwerk26</f>
        <v>0</v>
      </c>
      <c r="O621" s="64" t="s">
        <v>38</v>
      </c>
      <c r="P621" s="69">
        <f>uurtarief26</f>
        <v>0</v>
      </c>
      <c r="Q621" s="66" t="e">
        <f>IF(ISBLANK(M621),0,L621/ROUND(M621,4))</f>
        <v>#DIV/0!</v>
      </c>
      <c r="R621" s="66" t="e">
        <f>IF(ISBLANK(M621),0,Q621*ROUND(N621,2))</f>
        <v>#DIV/0!</v>
      </c>
      <c r="S621" s="69" t="e">
        <f>ROUND(P621,2)*Q621</f>
        <v>#DIV/0!</v>
      </c>
      <c r="T621" s="66" t="e">
        <f>Q621*dagenperjaar1</f>
        <v>#DIV/0!</v>
      </c>
      <c r="U621" s="70" t="e">
        <f>T621*ROUND(P621,2)</f>
        <v>#DIV/0!</v>
      </c>
    </row>
    <row r="622" spans="1:21" x14ac:dyDescent="0.2">
      <c r="A622" s="63" t="s">
        <v>774</v>
      </c>
      <c r="B622" s="64" t="s">
        <v>324</v>
      </c>
      <c r="C622" s="64" t="s">
        <v>530</v>
      </c>
      <c r="D622" s="64" t="s">
        <v>1242</v>
      </c>
      <c r="E622" s="64" t="s">
        <v>324</v>
      </c>
      <c r="F622" s="65" t="s">
        <v>1243</v>
      </c>
      <c r="G622" s="64" t="s">
        <v>365</v>
      </c>
      <c r="H622" s="64" t="s">
        <v>255</v>
      </c>
      <c r="I622" s="64" t="s">
        <v>10</v>
      </c>
      <c r="J622" s="64" t="s">
        <v>201</v>
      </c>
      <c r="K622" s="66">
        <v>16.5</v>
      </c>
      <c r="L622" s="66">
        <f>K622*VLOOKUP(I622,dagsoorttabel1,2,FALSE)</f>
        <v>16.5</v>
      </c>
      <c r="M622" s="67">
        <f>prodnorm59</f>
        <v>0</v>
      </c>
      <c r="N622" s="68">
        <f>dagwerk59</f>
        <v>0</v>
      </c>
      <c r="O622" s="64" t="s">
        <v>38</v>
      </c>
      <c r="P622" s="69">
        <f>uurtarief59</f>
        <v>0</v>
      </c>
      <c r="Q622" s="66" t="e">
        <f>IF(ISBLANK(M622),0,L622/ROUND(M622,4))</f>
        <v>#DIV/0!</v>
      </c>
      <c r="R622" s="66" t="e">
        <f>IF(ISBLANK(M622),0,Q622*ROUND(N622,2))</f>
        <v>#DIV/0!</v>
      </c>
      <c r="S622" s="69" t="e">
        <f>ROUND(P622,2)*Q622</f>
        <v>#DIV/0!</v>
      </c>
      <c r="T622" s="66" t="e">
        <f>Q622*dagenperjaar1</f>
        <v>#DIV/0!</v>
      </c>
      <c r="U622" s="70" t="e">
        <f>T622*ROUND(P622,2)</f>
        <v>#DIV/0!</v>
      </c>
    </row>
    <row r="623" spans="1:21" x14ac:dyDescent="0.2">
      <c r="A623" s="63" t="s">
        <v>774</v>
      </c>
      <c r="B623" s="64" t="s">
        <v>324</v>
      </c>
      <c r="C623" s="64" t="s">
        <v>530</v>
      </c>
      <c r="D623" s="64" t="s">
        <v>1244</v>
      </c>
      <c r="E623" s="64" t="s">
        <v>324</v>
      </c>
      <c r="F623" s="65" t="s">
        <v>1004</v>
      </c>
      <c r="G623" s="64" t="s">
        <v>365</v>
      </c>
      <c r="H623" s="64" t="s">
        <v>229</v>
      </c>
      <c r="I623" s="64" t="s">
        <v>10</v>
      </c>
      <c r="J623" s="64" t="s">
        <v>201</v>
      </c>
      <c r="K623" s="66">
        <v>56.5</v>
      </c>
      <c r="L623" s="66">
        <f>K623*VLOOKUP(I623,dagsoorttabel1,2,FALSE)</f>
        <v>56.5</v>
      </c>
      <c r="M623" s="67">
        <f>prodnorm43</f>
        <v>0</v>
      </c>
      <c r="N623" s="68">
        <f>dagwerk43</f>
        <v>0</v>
      </c>
      <c r="O623" s="64" t="s">
        <v>38</v>
      </c>
      <c r="P623" s="69">
        <f>uurtarief43</f>
        <v>0</v>
      </c>
      <c r="Q623" s="66" t="e">
        <f>IF(ISBLANK(M623),0,L623/ROUND(M623,4))</f>
        <v>#DIV/0!</v>
      </c>
      <c r="R623" s="66" t="e">
        <f>IF(ISBLANK(M623),0,Q623*ROUND(N623,2))</f>
        <v>#DIV/0!</v>
      </c>
      <c r="S623" s="69" t="e">
        <f>ROUND(P623,2)*Q623</f>
        <v>#DIV/0!</v>
      </c>
      <c r="T623" s="66" t="e">
        <f>Q623*dagenperjaar1</f>
        <v>#DIV/0!</v>
      </c>
      <c r="U623" s="70" t="e">
        <f>T623*ROUND(P623,2)</f>
        <v>#DIV/0!</v>
      </c>
    </row>
    <row r="624" spans="1:21" x14ac:dyDescent="0.2">
      <c r="A624" s="63" t="s">
        <v>774</v>
      </c>
      <c r="B624" s="64" t="s">
        <v>324</v>
      </c>
      <c r="C624" s="64" t="s">
        <v>530</v>
      </c>
      <c r="D624" s="64" t="s">
        <v>1245</v>
      </c>
      <c r="E624" s="64" t="s">
        <v>324</v>
      </c>
      <c r="F624" s="65" t="s">
        <v>1020</v>
      </c>
      <c r="G624" s="64" t="s">
        <v>365</v>
      </c>
      <c r="H624" s="64" t="s">
        <v>267</v>
      </c>
      <c r="I624" s="64" t="s">
        <v>10</v>
      </c>
      <c r="J624" s="64" t="s">
        <v>201</v>
      </c>
      <c r="K624" s="66">
        <v>32.299999999999997</v>
      </c>
      <c r="L624" s="66">
        <f>K624*VLOOKUP(I624,dagsoorttabel1,2,FALSE)</f>
        <v>32.299999999999997</v>
      </c>
      <c r="M624" s="67">
        <f>prodnorm65</f>
        <v>0</v>
      </c>
      <c r="N624" s="68">
        <f>dagwerk65</f>
        <v>0</v>
      </c>
      <c r="O624" s="64" t="s">
        <v>38</v>
      </c>
      <c r="P624" s="69">
        <f>uurtarief65</f>
        <v>0</v>
      </c>
      <c r="Q624" s="66" t="e">
        <f>IF(ISBLANK(M624),0,L624/ROUND(M624,4))</f>
        <v>#DIV/0!</v>
      </c>
      <c r="R624" s="66" t="e">
        <f>IF(ISBLANK(M624),0,Q624*ROUND(N624,2))</f>
        <v>#DIV/0!</v>
      </c>
      <c r="S624" s="69" t="e">
        <f>ROUND(P624,2)*Q624</f>
        <v>#DIV/0!</v>
      </c>
      <c r="T624" s="66" t="e">
        <f>Q624*dagenperjaar1</f>
        <v>#DIV/0!</v>
      </c>
      <c r="U624" s="70" t="e">
        <f>T624*ROUND(P624,2)</f>
        <v>#DIV/0!</v>
      </c>
    </row>
    <row r="625" spans="1:21" x14ac:dyDescent="0.2">
      <c r="A625" s="63" t="s">
        <v>774</v>
      </c>
      <c r="B625" s="64" t="s">
        <v>324</v>
      </c>
      <c r="C625" s="64" t="s">
        <v>530</v>
      </c>
      <c r="D625" s="64" t="s">
        <v>1246</v>
      </c>
      <c r="E625" s="64" t="s">
        <v>324</v>
      </c>
      <c r="F625" s="65" t="s">
        <v>1247</v>
      </c>
      <c r="G625" s="64" t="s">
        <v>365</v>
      </c>
      <c r="H625" s="64" t="s">
        <v>251</v>
      </c>
      <c r="I625" s="64" t="s">
        <v>10</v>
      </c>
      <c r="J625" s="64" t="s">
        <v>201</v>
      </c>
      <c r="K625" s="66">
        <v>201.8</v>
      </c>
      <c r="L625" s="66">
        <f>K625*VLOOKUP(I625,dagsoorttabel1,2,FALSE)</f>
        <v>201.8</v>
      </c>
      <c r="M625" s="67">
        <f>prodnorm57</f>
        <v>0</v>
      </c>
      <c r="N625" s="68">
        <f>dagwerk57</f>
        <v>0</v>
      </c>
      <c r="O625" s="64" t="s">
        <v>38</v>
      </c>
      <c r="P625" s="69">
        <f>uurtarief57</f>
        <v>0</v>
      </c>
      <c r="Q625" s="66" t="e">
        <f>IF(ISBLANK(M625),0,L625/ROUND(M625,4))</f>
        <v>#DIV/0!</v>
      </c>
      <c r="R625" s="66" t="e">
        <f>IF(ISBLANK(M625),0,Q625*ROUND(N625,2))</f>
        <v>#DIV/0!</v>
      </c>
      <c r="S625" s="69" t="e">
        <f>ROUND(P625,2)*Q625</f>
        <v>#DIV/0!</v>
      </c>
      <c r="T625" s="66" t="e">
        <f>Q625*dagenperjaar1</f>
        <v>#DIV/0!</v>
      </c>
      <c r="U625" s="70" t="e">
        <f>T625*ROUND(P625,2)</f>
        <v>#DIV/0!</v>
      </c>
    </row>
    <row r="626" spans="1:21" x14ac:dyDescent="0.2">
      <c r="A626" s="63" t="s">
        <v>774</v>
      </c>
      <c r="B626" s="64" t="s">
        <v>324</v>
      </c>
      <c r="C626" s="64" t="s">
        <v>530</v>
      </c>
      <c r="D626" s="64" t="s">
        <v>1248</v>
      </c>
      <c r="E626" s="64" t="s">
        <v>324</v>
      </c>
      <c r="F626" s="65" t="s">
        <v>1099</v>
      </c>
      <c r="G626" s="64" t="s">
        <v>365</v>
      </c>
      <c r="H626" s="64" t="s">
        <v>267</v>
      </c>
      <c r="I626" s="64" t="s">
        <v>10</v>
      </c>
      <c r="J626" s="64" t="s">
        <v>201</v>
      </c>
      <c r="K626" s="66">
        <v>52.3</v>
      </c>
      <c r="L626" s="66">
        <f>K626*VLOOKUP(I626,dagsoorttabel1,2,FALSE)</f>
        <v>52.3</v>
      </c>
      <c r="M626" s="67">
        <f>prodnorm65</f>
        <v>0</v>
      </c>
      <c r="N626" s="68">
        <f>dagwerk65</f>
        <v>0</v>
      </c>
      <c r="O626" s="64" t="s">
        <v>38</v>
      </c>
      <c r="P626" s="69">
        <f>uurtarief65</f>
        <v>0</v>
      </c>
      <c r="Q626" s="66" t="e">
        <f>IF(ISBLANK(M626),0,L626/ROUND(M626,4))</f>
        <v>#DIV/0!</v>
      </c>
      <c r="R626" s="66" t="e">
        <f>IF(ISBLANK(M626),0,Q626*ROUND(N626,2))</f>
        <v>#DIV/0!</v>
      </c>
      <c r="S626" s="69" t="e">
        <f>ROUND(P626,2)*Q626</f>
        <v>#DIV/0!</v>
      </c>
      <c r="T626" s="66" t="e">
        <f>Q626*dagenperjaar1</f>
        <v>#DIV/0!</v>
      </c>
      <c r="U626" s="70" t="e">
        <f>T626*ROUND(P626,2)</f>
        <v>#DIV/0!</v>
      </c>
    </row>
    <row r="627" spans="1:21" x14ac:dyDescent="0.2">
      <c r="A627" s="63" t="s">
        <v>774</v>
      </c>
      <c r="B627" s="64" t="s">
        <v>324</v>
      </c>
      <c r="C627" s="64" t="s">
        <v>530</v>
      </c>
      <c r="D627" s="64" t="s">
        <v>1249</v>
      </c>
      <c r="E627" s="64" t="s">
        <v>324</v>
      </c>
      <c r="F627" s="65" t="s">
        <v>1250</v>
      </c>
      <c r="G627" s="64" t="s">
        <v>365</v>
      </c>
      <c r="H627" s="64" t="s">
        <v>229</v>
      </c>
      <c r="I627" s="64" t="s">
        <v>10</v>
      </c>
      <c r="J627" s="64" t="s">
        <v>201</v>
      </c>
      <c r="K627" s="66">
        <v>56.4</v>
      </c>
      <c r="L627" s="66">
        <f>K627*VLOOKUP(I627,dagsoorttabel1,2,FALSE)</f>
        <v>56.4</v>
      </c>
      <c r="M627" s="67">
        <f>prodnorm43</f>
        <v>0</v>
      </c>
      <c r="N627" s="68">
        <f>dagwerk43</f>
        <v>0</v>
      </c>
      <c r="O627" s="64" t="s">
        <v>38</v>
      </c>
      <c r="P627" s="69">
        <f>uurtarief43</f>
        <v>0</v>
      </c>
      <c r="Q627" s="66" t="e">
        <f>IF(ISBLANK(M627),0,L627/ROUND(M627,4))</f>
        <v>#DIV/0!</v>
      </c>
      <c r="R627" s="66" t="e">
        <f>IF(ISBLANK(M627),0,Q627*ROUND(N627,2))</f>
        <v>#DIV/0!</v>
      </c>
      <c r="S627" s="69" t="e">
        <f>ROUND(P627,2)*Q627</f>
        <v>#DIV/0!</v>
      </c>
      <c r="T627" s="66" t="e">
        <f>Q627*dagenperjaar1</f>
        <v>#DIV/0!</v>
      </c>
      <c r="U627" s="70" t="e">
        <f>T627*ROUND(P627,2)</f>
        <v>#DIV/0!</v>
      </c>
    </row>
    <row r="628" spans="1:21" x14ac:dyDescent="0.2">
      <c r="A628" s="63" t="s">
        <v>774</v>
      </c>
      <c r="B628" s="64" t="s">
        <v>324</v>
      </c>
      <c r="C628" s="64" t="s">
        <v>530</v>
      </c>
      <c r="D628" s="64" t="s">
        <v>1251</v>
      </c>
      <c r="E628" s="64" t="s">
        <v>324</v>
      </c>
      <c r="F628" s="65" t="s">
        <v>1004</v>
      </c>
      <c r="G628" s="64" t="s">
        <v>365</v>
      </c>
      <c r="H628" s="64" t="s">
        <v>229</v>
      </c>
      <c r="I628" s="64" t="s">
        <v>10</v>
      </c>
      <c r="J628" s="64" t="s">
        <v>201</v>
      </c>
      <c r="K628" s="66">
        <v>70.3</v>
      </c>
      <c r="L628" s="66">
        <f>K628*VLOOKUP(I628,dagsoorttabel1,2,FALSE)</f>
        <v>70.3</v>
      </c>
      <c r="M628" s="67">
        <f>prodnorm43</f>
        <v>0</v>
      </c>
      <c r="N628" s="68">
        <f>dagwerk43</f>
        <v>0</v>
      </c>
      <c r="O628" s="64" t="s">
        <v>38</v>
      </c>
      <c r="P628" s="69">
        <f>uurtarief43</f>
        <v>0</v>
      </c>
      <c r="Q628" s="66" t="e">
        <f>IF(ISBLANK(M628),0,L628/ROUND(M628,4))</f>
        <v>#DIV/0!</v>
      </c>
      <c r="R628" s="66" t="e">
        <f>IF(ISBLANK(M628),0,Q628*ROUND(N628,2))</f>
        <v>#DIV/0!</v>
      </c>
      <c r="S628" s="69" t="e">
        <f>ROUND(P628,2)*Q628</f>
        <v>#DIV/0!</v>
      </c>
      <c r="T628" s="66" t="e">
        <f>Q628*dagenperjaar1</f>
        <v>#DIV/0!</v>
      </c>
      <c r="U628" s="70" t="e">
        <f>T628*ROUND(P628,2)</f>
        <v>#DIV/0!</v>
      </c>
    </row>
    <row r="629" spans="1:21" x14ac:dyDescent="0.2">
      <c r="A629" s="63" t="s">
        <v>774</v>
      </c>
      <c r="B629" s="64" t="s">
        <v>324</v>
      </c>
      <c r="C629" s="64" t="s">
        <v>530</v>
      </c>
      <c r="D629" s="64" t="s">
        <v>1252</v>
      </c>
      <c r="E629" s="64" t="s">
        <v>324</v>
      </c>
      <c r="F629" s="65" t="s">
        <v>1011</v>
      </c>
      <c r="G629" s="64" t="s">
        <v>365</v>
      </c>
      <c r="H629" s="64" t="s">
        <v>267</v>
      </c>
      <c r="I629" s="64" t="s">
        <v>10</v>
      </c>
      <c r="J629" s="64" t="s">
        <v>201</v>
      </c>
      <c r="K629" s="66">
        <v>37.5</v>
      </c>
      <c r="L629" s="66">
        <f>K629*VLOOKUP(I629,dagsoorttabel1,2,FALSE)</f>
        <v>37.5</v>
      </c>
      <c r="M629" s="67">
        <f>prodnorm65</f>
        <v>0</v>
      </c>
      <c r="N629" s="68">
        <f>dagwerk65</f>
        <v>0</v>
      </c>
      <c r="O629" s="64" t="s">
        <v>38</v>
      </c>
      <c r="P629" s="69">
        <f>uurtarief65</f>
        <v>0</v>
      </c>
      <c r="Q629" s="66" t="e">
        <f>IF(ISBLANK(M629),0,L629/ROUND(M629,4))</f>
        <v>#DIV/0!</v>
      </c>
      <c r="R629" s="66" t="e">
        <f>IF(ISBLANK(M629),0,Q629*ROUND(N629,2))</f>
        <v>#DIV/0!</v>
      </c>
      <c r="S629" s="69" t="e">
        <f>ROUND(P629,2)*Q629</f>
        <v>#DIV/0!</v>
      </c>
      <c r="T629" s="66" t="e">
        <f>Q629*dagenperjaar1</f>
        <v>#DIV/0!</v>
      </c>
      <c r="U629" s="70" t="e">
        <f>T629*ROUND(P629,2)</f>
        <v>#DIV/0!</v>
      </c>
    </row>
    <row r="630" spans="1:21" x14ac:dyDescent="0.2">
      <c r="A630" s="63" t="s">
        <v>774</v>
      </c>
      <c r="B630" s="64" t="s">
        <v>324</v>
      </c>
      <c r="C630" s="64" t="s">
        <v>530</v>
      </c>
      <c r="D630" s="64" t="s">
        <v>1253</v>
      </c>
      <c r="E630" s="64" t="s">
        <v>324</v>
      </c>
      <c r="F630" s="65" t="s">
        <v>1004</v>
      </c>
      <c r="G630" s="64" t="s">
        <v>365</v>
      </c>
      <c r="H630" s="64" t="s">
        <v>229</v>
      </c>
      <c r="I630" s="64" t="s">
        <v>10</v>
      </c>
      <c r="J630" s="64" t="s">
        <v>201</v>
      </c>
      <c r="K630" s="66">
        <v>81.099999999999994</v>
      </c>
      <c r="L630" s="66">
        <f>K630*VLOOKUP(I630,dagsoorttabel1,2,FALSE)</f>
        <v>81.099999999999994</v>
      </c>
      <c r="M630" s="67">
        <f>prodnorm43</f>
        <v>0</v>
      </c>
      <c r="N630" s="68">
        <f>dagwerk43</f>
        <v>0</v>
      </c>
      <c r="O630" s="64" t="s">
        <v>38</v>
      </c>
      <c r="P630" s="69">
        <f>uurtarief43</f>
        <v>0</v>
      </c>
      <c r="Q630" s="66" t="e">
        <f>IF(ISBLANK(M630),0,L630/ROUND(M630,4))</f>
        <v>#DIV/0!</v>
      </c>
      <c r="R630" s="66" t="e">
        <f>IF(ISBLANK(M630),0,Q630*ROUND(N630,2))</f>
        <v>#DIV/0!</v>
      </c>
      <c r="S630" s="69" t="e">
        <f>ROUND(P630,2)*Q630</f>
        <v>#DIV/0!</v>
      </c>
      <c r="T630" s="66" t="e">
        <f>Q630*dagenperjaar1</f>
        <v>#DIV/0!</v>
      </c>
      <c r="U630" s="70" t="e">
        <f>T630*ROUND(P630,2)</f>
        <v>#DIV/0!</v>
      </c>
    </row>
    <row r="631" spans="1:21" x14ac:dyDescent="0.2">
      <c r="A631" s="63" t="s">
        <v>774</v>
      </c>
      <c r="B631" s="64" t="s">
        <v>324</v>
      </c>
      <c r="C631" s="64" t="s">
        <v>530</v>
      </c>
      <c r="D631" s="64" t="s">
        <v>1254</v>
      </c>
      <c r="E631" s="64" t="s">
        <v>324</v>
      </c>
      <c r="F631" s="65" t="s">
        <v>1004</v>
      </c>
      <c r="G631" s="64" t="s">
        <v>365</v>
      </c>
      <c r="H631" s="64" t="s">
        <v>229</v>
      </c>
      <c r="I631" s="64" t="s">
        <v>10</v>
      </c>
      <c r="J631" s="64" t="s">
        <v>201</v>
      </c>
      <c r="K631" s="66">
        <v>65.8</v>
      </c>
      <c r="L631" s="66">
        <f>K631*VLOOKUP(I631,dagsoorttabel1,2,FALSE)</f>
        <v>65.8</v>
      </c>
      <c r="M631" s="67">
        <f>prodnorm43</f>
        <v>0</v>
      </c>
      <c r="N631" s="68">
        <f>dagwerk43</f>
        <v>0</v>
      </c>
      <c r="O631" s="64" t="s">
        <v>38</v>
      </c>
      <c r="P631" s="69">
        <f>uurtarief43</f>
        <v>0</v>
      </c>
      <c r="Q631" s="66" t="e">
        <f>IF(ISBLANK(M631),0,L631/ROUND(M631,4))</f>
        <v>#DIV/0!</v>
      </c>
      <c r="R631" s="66" t="e">
        <f>IF(ISBLANK(M631),0,Q631*ROUND(N631,2))</f>
        <v>#DIV/0!</v>
      </c>
      <c r="S631" s="69" t="e">
        <f>ROUND(P631,2)*Q631</f>
        <v>#DIV/0!</v>
      </c>
      <c r="T631" s="66" t="e">
        <f>Q631*dagenperjaar1</f>
        <v>#DIV/0!</v>
      </c>
      <c r="U631" s="70" t="e">
        <f>T631*ROUND(P631,2)</f>
        <v>#DIV/0!</v>
      </c>
    </row>
    <row r="632" spans="1:21" x14ac:dyDescent="0.2">
      <c r="A632" s="63" t="s">
        <v>774</v>
      </c>
      <c r="B632" s="64" t="s">
        <v>324</v>
      </c>
      <c r="C632" s="64" t="s">
        <v>530</v>
      </c>
      <c r="D632" s="64" t="s">
        <v>1255</v>
      </c>
      <c r="E632" s="64" t="s">
        <v>324</v>
      </c>
      <c r="F632" s="65" t="s">
        <v>1256</v>
      </c>
      <c r="G632" s="64" t="s">
        <v>365</v>
      </c>
      <c r="H632" s="64" t="s">
        <v>251</v>
      </c>
      <c r="I632" s="64" t="s">
        <v>10</v>
      </c>
      <c r="J632" s="64" t="s">
        <v>201</v>
      </c>
      <c r="K632" s="66">
        <v>140.5</v>
      </c>
      <c r="L632" s="66">
        <f>K632*VLOOKUP(I632,dagsoorttabel1,2,FALSE)</f>
        <v>140.5</v>
      </c>
      <c r="M632" s="67">
        <f>prodnorm57</f>
        <v>0</v>
      </c>
      <c r="N632" s="68">
        <f>dagwerk57</f>
        <v>0</v>
      </c>
      <c r="O632" s="64" t="s">
        <v>38</v>
      </c>
      <c r="P632" s="69">
        <f>uurtarief57</f>
        <v>0</v>
      </c>
      <c r="Q632" s="66" t="e">
        <f>IF(ISBLANK(M632),0,L632/ROUND(M632,4))</f>
        <v>#DIV/0!</v>
      </c>
      <c r="R632" s="66" t="e">
        <f>IF(ISBLANK(M632),0,Q632*ROUND(N632,2))</f>
        <v>#DIV/0!</v>
      </c>
      <c r="S632" s="69" t="e">
        <f>ROUND(P632,2)*Q632</f>
        <v>#DIV/0!</v>
      </c>
      <c r="T632" s="66" t="e">
        <f>Q632*dagenperjaar1</f>
        <v>#DIV/0!</v>
      </c>
      <c r="U632" s="70" t="e">
        <f>T632*ROUND(P632,2)</f>
        <v>#DIV/0!</v>
      </c>
    </row>
    <row r="633" spans="1:21" x14ac:dyDescent="0.2">
      <c r="A633" s="63" t="s">
        <v>774</v>
      </c>
      <c r="B633" s="64" t="s">
        <v>324</v>
      </c>
      <c r="C633" s="64" t="s">
        <v>530</v>
      </c>
      <c r="D633" s="64" t="s">
        <v>1257</v>
      </c>
      <c r="E633" s="64" t="s">
        <v>324</v>
      </c>
      <c r="F633" s="65" t="s">
        <v>1020</v>
      </c>
      <c r="G633" s="64" t="s">
        <v>365</v>
      </c>
      <c r="H633" s="64" t="s">
        <v>267</v>
      </c>
      <c r="I633" s="64" t="s">
        <v>10</v>
      </c>
      <c r="J633" s="64" t="s">
        <v>201</v>
      </c>
      <c r="K633" s="66">
        <v>31.3</v>
      </c>
      <c r="L633" s="66">
        <f>K633*VLOOKUP(I633,dagsoorttabel1,2,FALSE)</f>
        <v>31.3</v>
      </c>
      <c r="M633" s="67">
        <f>prodnorm65</f>
        <v>0</v>
      </c>
      <c r="N633" s="68">
        <f>dagwerk65</f>
        <v>0</v>
      </c>
      <c r="O633" s="64" t="s">
        <v>38</v>
      </c>
      <c r="P633" s="69">
        <f>uurtarief65</f>
        <v>0</v>
      </c>
      <c r="Q633" s="66" t="e">
        <f>IF(ISBLANK(M633),0,L633/ROUND(M633,4))</f>
        <v>#DIV/0!</v>
      </c>
      <c r="R633" s="66" t="e">
        <f>IF(ISBLANK(M633),0,Q633*ROUND(N633,2))</f>
        <v>#DIV/0!</v>
      </c>
      <c r="S633" s="69" t="e">
        <f>ROUND(P633,2)*Q633</f>
        <v>#DIV/0!</v>
      </c>
      <c r="T633" s="66" t="e">
        <f>Q633*dagenperjaar1</f>
        <v>#DIV/0!</v>
      </c>
      <c r="U633" s="70" t="e">
        <f>T633*ROUND(P633,2)</f>
        <v>#DIV/0!</v>
      </c>
    </row>
    <row r="634" spans="1:21" x14ac:dyDescent="0.2">
      <c r="A634" s="63" t="s">
        <v>774</v>
      </c>
      <c r="B634" s="64" t="s">
        <v>324</v>
      </c>
      <c r="C634" s="64" t="s">
        <v>530</v>
      </c>
      <c r="D634" s="64" t="s">
        <v>1258</v>
      </c>
      <c r="E634" s="64" t="s">
        <v>324</v>
      </c>
      <c r="F634" s="65" t="s">
        <v>1259</v>
      </c>
      <c r="G634" s="64" t="s">
        <v>365</v>
      </c>
      <c r="H634" s="64" t="s">
        <v>251</v>
      </c>
      <c r="I634" s="64" t="s">
        <v>10</v>
      </c>
      <c r="J634" s="64" t="s">
        <v>201</v>
      </c>
      <c r="K634" s="66">
        <v>67.2</v>
      </c>
      <c r="L634" s="66">
        <f>K634*VLOOKUP(I634,dagsoorttabel1,2,FALSE)</f>
        <v>67.2</v>
      </c>
      <c r="M634" s="67">
        <f>prodnorm57</f>
        <v>0</v>
      </c>
      <c r="N634" s="68">
        <f>dagwerk57</f>
        <v>0</v>
      </c>
      <c r="O634" s="64" t="s">
        <v>38</v>
      </c>
      <c r="P634" s="69">
        <f>uurtarief57</f>
        <v>0</v>
      </c>
      <c r="Q634" s="66" t="e">
        <f>IF(ISBLANK(M634),0,L634/ROUND(M634,4))</f>
        <v>#DIV/0!</v>
      </c>
      <c r="R634" s="66" t="e">
        <f>IF(ISBLANK(M634),0,Q634*ROUND(N634,2))</f>
        <v>#DIV/0!</v>
      </c>
      <c r="S634" s="69" t="e">
        <f>ROUND(P634,2)*Q634</f>
        <v>#DIV/0!</v>
      </c>
      <c r="T634" s="66" t="e">
        <f>Q634*dagenperjaar1</f>
        <v>#DIV/0!</v>
      </c>
      <c r="U634" s="70" t="e">
        <f>T634*ROUND(P634,2)</f>
        <v>#DIV/0!</v>
      </c>
    </row>
    <row r="635" spans="1:21" x14ac:dyDescent="0.2">
      <c r="A635" s="63" t="s">
        <v>774</v>
      </c>
      <c r="B635" s="64" t="s">
        <v>324</v>
      </c>
      <c r="C635" s="64" t="s">
        <v>530</v>
      </c>
      <c r="D635" s="64" t="s">
        <v>1260</v>
      </c>
      <c r="E635" s="64" t="s">
        <v>324</v>
      </c>
      <c r="F635" s="65" t="s">
        <v>1004</v>
      </c>
      <c r="G635" s="64" t="s">
        <v>365</v>
      </c>
      <c r="H635" s="64" t="s">
        <v>229</v>
      </c>
      <c r="I635" s="64" t="s">
        <v>10</v>
      </c>
      <c r="J635" s="64" t="s">
        <v>201</v>
      </c>
      <c r="K635" s="66">
        <v>69.7</v>
      </c>
      <c r="L635" s="66">
        <f>K635*VLOOKUP(I635,dagsoorttabel1,2,FALSE)</f>
        <v>69.7</v>
      </c>
      <c r="M635" s="67">
        <f>prodnorm43</f>
        <v>0</v>
      </c>
      <c r="N635" s="68">
        <f>dagwerk43</f>
        <v>0</v>
      </c>
      <c r="O635" s="64" t="s">
        <v>38</v>
      </c>
      <c r="P635" s="69">
        <f>uurtarief43</f>
        <v>0</v>
      </c>
      <c r="Q635" s="66" t="e">
        <f>IF(ISBLANK(M635),0,L635/ROUND(M635,4))</f>
        <v>#DIV/0!</v>
      </c>
      <c r="R635" s="66" t="e">
        <f>IF(ISBLANK(M635),0,Q635*ROUND(N635,2))</f>
        <v>#DIV/0!</v>
      </c>
      <c r="S635" s="69" t="e">
        <f>ROUND(P635,2)*Q635</f>
        <v>#DIV/0!</v>
      </c>
      <c r="T635" s="66" t="e">
        <f>Q635*dagenperjaar1</f>
        <v>#DIV/0!</v>
      </c>
      <c r="U635" s="70" t="e">
        <f>T635*ROUND(P635,2)</f>
        <v>#DIV/0!</v>
      </c>
    </row>
    <row r="636" spans="1:21" x14ac:dyDescent="0.2">
      <c r="A636" s="63" t="s">
        <v>774</v>
      </c>
      <c r="B636" s="64" t="s">
        <v>324</v>
      </c>
      <c r="C636" s="64" t="s">
        <v>530</v>
      </c>
      <c r="D636" s="64" t="s">
        <v>1261</v>
      </c>
      <c r="E636" s="64" t="s">
        <v>324</v>
      </c>
      <c r="F636" s="65" t="s">
        <v>1262</v>
      </c>
      <c r="G636" s="64" t="s">
        <v>365</v>
      </c>
      <c r="H636" s="64" t="s">
        <v>255</v>
      </c>
      <c r="I636" s="64" t="s">
        <v>10</v>
      </c>
      <c r="J636" s="64" t="s">
        <v>201</v>
      </c>
      <c r="K636" s="66">
        <v>25.3</v>
      </c>
      <c r="L636" s="66">
        <f>K636*VLOOKUP(I636,dagsoorttabel1,2,FALSE)</f>
        <v>25.3</v>
      </c>
      <c r="M636" s="67">
        <f>prodnorm59</f>
        <v>0</v>
      </c>
      <c r="N636" s="68">
        <f>dagwerk59</f>
        <v>0</v>
      </c>
      <c r="O636" s="64" t="s">
        <v>38</v>
      </c>
      <c r="P636" s="69">
        <f>uurtarief59</f>
        <v>0</v>
      </c>
      <c r="Q636" s="66" t="e">
        <f>IF(ISBLANK(M636),0,L636/ROUND(M636,4))</f>
        <v>#DIV/0!</v>
      </c>
      <c r="R636" s="66" t="e">
        <f>IF(ISBLANK(M636),0,Q636*ROUND(N636,2))</f>
        <v>#DIV/0!</v>
      </c>
      <c r="S636" s="69" t="e">
        <f>ROUND(P636,2)*Q636</f>
        <v>#DIV/0!</v>
      </c>
      <c r="T636" s="66" t="e">
        <f>Q636*dagenperjaar1</f>
        <v>#DIV/0!</v>
      </c>
      <c r="U636" s="70" t="e">
        <f>T636*ROUND(P636,2)</f>
        <v>#DIV/0!</v>
      </c>
    </row>
    <row r="637" spans="1:21" x14ac:dyDescent="0.2">
      <c r="A637" s="63" t="s">
        <v>774</v>
      </c>
      <c r="B637" s="64" t="s">
        <v>324</v>
      </c>
      <c r="C637" s="64" t="s">
        <v>530</v>
      </c>
      <c r="D637" s="64" t="s">
        <v>1263</v>
      </c>
      <c r="E637" s="64" t="s">
        <v>324</v>
      </c>
      <c r="F637" s="65" t="s">
        <v>1020</v>
      </c>
      <c r="G637" s="64" t="s">
        <v>365</v>
      </c>
      <c r="H637" s="64" t="s">
        <v>267</v>
      </c>
      <c r="I637" s="64" t="s">
        <v>10</v>
      </c>
      <c r="J637" s="64" t="s">
        <v>201</v>
      </c>
      <c r="K637" s="66">
        <v>48.1</v>
      </c>
      <c r="L637" s="66">
        <f>K637*VLOOKUP(I637,dagsoorttabel1,2,FALSE)</f>
        <v>48.1</v>
      </c>
      <c r="M637" s="67">
        <f>prodnorm65</f>
        <v>0</v>
      </c>
      <c r="N637" s="68">
        <f>dagwerk65</f>
        <v>0</v>
      </c>
      <c r="O637" s="64" t="s">
        <v>38</v>
      </c>
      <c r="P637" s="69">
        <f>uurtarief65</f>
        <v>0</v>
      </c>
      <c r="Q637" s="66" t="e">
        <f>IF(ISBLANK(M637),0,L637/ROUND(M637,4))</f>
        <v>#DIV/0!</v>
      </c>
      <c r="R637" s="66" t="e">
        <f>IF(ISBLANK(M637),0,Q637*ROUND(N637,2))</f>
        <v>#DIV/0!</v>
      </c>
      <c r="S637" s="69" t="e">
        <f>ROUND(P637,2)*Q637</f>
        <v>#DIV/0!</v>
      </c>
      <c r="T637" s="66" t="e">
        <f>Q637*dagenperjaar1</f>
        <v>#DIV/0!</v>
      </c>
      <c r="U637" s="70" t="e">
        <f>T637*ROUND(P637,2)</f>
        <v>#DIV/0!</v>
      </c>
    </row>
    <row r="638" spans="1:21" x14ac:dyDescent="0.2">
      <c r="A638" s="63" t="s">
        <v>774</v>
      </c>
      <c r="B638" s="64" t="s">
        <v>324</v>
      </c>
      <c r="C638" s="64" t="s">
        <v>530</v>
      </c>
      <c r="D638" s="64" t="s">
        <v>1264</v>
      </c>
      <c r="E638" s="64" t="s">
        <v>324</v>
      </c>
      <c r="F638" s="65" t="s">
        <v>1011</v>
      </c>
      <c r="G638" s="64" t="s">
        <v>365</v>
      </c>
      <c r="H638" s="64" t="s">
        <v>267</v>
      </c>
      <c r="I638" s="64" t="s">
        <v>10</v>
      </c>
      <c r="J638" s="64" t="s">
        <v>201</v>
      </c>
      <c r="K638" s="66">
        <v>87.6</v>
      </c>
      <c r="L638" s="66">
        <f>K638*VLOOKUP(I638,dagsoorttabel1,2,FALSE)</f>
        <v>87.6</v>
      </c>
      <c r="M638" s="67">
        <f>prodnorm65</f>
        <v>0</v>
      </c>
      <c r="N638" s="68">
        <f>dagwerk65</f>
        <v>0</v>
      </c>
      <c r="O638" s="64" t="s">
        <v>38</v>
      </c>
      <c r="P638" s="69">
        <f>uurtarief65</f>
        <v>0</v>
      </c>
      <c r="Q638" s="66" t="e">
        <f>IF(ISBLANK(M638),0,L638/ROUND(M638,4))</f>
        <v>#DIV/0!</v>
      </c>
      <c r="R638" s="66" t="e">
        <f>IF(ISBLANK(M638),0,Q638*ROUND(N638,2))</f>
        <v>#DIV/0!</v>
      </c>
      <c r="S638" s="69" t="e">
        <f>ROUND(P638,2)*Q638</f>
        <v>#DIV/0!</v>
      </c>
      <c r="T638" s="66" t="e">
        <f>Q638*dagenperjaar1</f>
        <v>#DIV/0!</v>
      </c>
      <c r="U638" s="70" t="e">
        <f>T638*ROUND(P638,2)</f>
        <v>#DIV/0!</v>
      </c>
    </row>
    <row r="639" spans="1:21" x14ac:dyDescent="0.2">
      <c r="A639" s="63" t="s">
        <v>774</v>
      </c>
      <c r="B639" s="64" t="s">
        <v>324</v>
      </c>
      <c r="C639" s="64" t="s">
        <v>530</v>
      </c>
      <c r="D639" s="64" t="s">
        <v>1265</v>
      </c>
      <c r="E639" s="64" t="s">
        <v>324</v>
      </c>
      <c r="F639" s="65" t="s">
        <v>1266</v>
      </c>
      <c r="G639" s="64" t="s">
        <v>365</v>
      </c>
      <c r="H639" s="64" t="s">
        <v>251</v>
      </c>
      <c r="I639" s="64" t="s">
        <v>10</v>
      </c>
      <c r="J639" s="64" t="s">
        <v>201</v>
      </c>
      <c r="K639" s="66">
        <v>60.2</v>
      </c>
      <c r="L639" s="66">
        <f>K639*VLOOKUP(I639,dagsoorttabel1,2,FALSE)</f>
        <v>60.2</v>
      </c>
      <c r="M639" s="67">
        <f>prodnorm57</f>
        <v>0</v>
      </c>
      <c r="N639" s="68">
        <f>dagwerk57</f>
        <v>0</v>
      </c>
      <c r="O639" s="64" t="s">
        <v>38</v>
      </c>
      <c r="P639" s="69">
        <f>uurtarief57</f>
        <v>0</v>
      </c>
      <c r="Q639" s="66" t="e">
        <f>IF(ISBLANK(M639),0,L639/ROUND(M639,4))</f>
        <v>#DIV/0!</v>
      </c>
      <c r="R639" s="66" t="e">
        <f>IF(ISBLANK(M639),0,Q639*ROUND(N639,2))</f>
        <v>#DIV/0!</v>
      </c>
      <c r="S639" s="69" t="e">
        <f>ROUND(P639,2)*Q639</f>
        <v>#DIV/0!</v>
      </c>
      <c r="T639" s="66" t="e">
        <f>Q639*dagenperjaar1</f>
        <v>#DIV/0!</v>
      </c>
      <c r="U639" s="70" t="e">
        <f>T639*ROUND(P639,2)</f>
        <v>#DIV/0!</v>
      </c>
    </row>
    <row r="640" spans="1:21" x14ac:dyDescent="0.2">
      <c r="A640" s="63" t="s">
        <v>774</v>
      </c>
      <c r="B640" s="64" t="s">
        <v>324</v>
      </c>
      <c r="C640" s="64" t="s">
        <v>530</v>
      </c>
      <c r="D640" s="64" t="s">
        <v>1267</v>
      </c>
      <c r="E640" s="64" t="s">
        <v>324</v>
      </c>
      <c r="F640" s="65" t="s">
        <v>1268</v>
      </c>
      <c r="G640" s="64" t="s">
        <v>365</v>
      </c>
      <c r="H640" s="64" t="s">
        <v>205</v>
      </c>
      <c r="I640" s="64" t="s">
        <v>10</v>
      </c>
      <c r="J640" s="64" t="s">
        <v>201</v>
      </c>
      <c r="K640" s="66">
        <v>29.5</v>
      </c>
      <c r="L640" s="66">
        <f>K640*VLOOKUP(I640,dagsoorttabel1,2,FALSE)</f>
        <v>29.5</v>
      </c>
      <c r="M640" s="67">
        <f>prodnorm26</f>
        <v>0</v>
      </c>
      <c r="N640" s="68">
        <f>dagwerk26</f>
        <v>0</v>
      </c>
      <c r="O640" s="64" t="s">
        <v>38</v>
      </c>
      <c r="P640" s="69">
        <f>uurtarief26</f>
        <v>0</v>
      </c>
      <c r="Q640" s="66" t="e">
        <f>IF(ISBLANK(M640),0,L640/ROUND(M640,4))</f>
        <v>#DIV/0!</v>
      </c>
      <c r="R640" s="66" t="e">
        <f>IF(ISBLANK(M640),0,Q640*ROUND(N640,2))</f>
        <v>#DIV/0!</v>
      </c>
      <c r="S640" s="69" t="e">
        <f>ROUND(P640,2)*Q640</f>
        <v>#DIV/0!</v>
      </c>
      <c r="T640" s="66" t="e">
        <f>Q640*dagenperjaar1</f>
        <v>#DIV/0!</v>
      </c>
      <c r="U640" s="70" t="e">
        <f>T640*ROUND(P640,2)</f>
        <v>#DIV/0!</v>
      </c>
    </row>
    <row r="641" spans="1:21" x14ac:dyDescent="0.2">
      <c r="A641" s="63" t="s">
        <v>774</v>
      </c>
      <c r="B641" s="64" t="s">
        <v>324</v>
      </c>
      <c r="C641" s="64" t="s">
        <v>530</v>
      </c>
      <c r="D641" s="64" t="s">
        <v>1269</v>
      </c>
      <c r="E641" s="64" t="s">
        <v>324</v>
      </c>
      <c r="F641" s="65" t="s">
        <v>1011</v>
      </c>
      <c r="G641" s="64" t="s">
        <v>365</v>
      </c>
      <c r="H641" s="64" t="s">
        <v>267</v>
      </c>
      <c r="I641" s="64" t="s">
        <v>10</v>
      </c>
      <c r="J641" s="64" t="s">
        <v>201</v>
      </c>
      <c r="K641" s="66">
        <v>101.5</v>
      </c>
      <c r="L641" s="66">
        <f>K641*VLOOKUP(I641,dagsoorttabel1,2,FALSE)</f>
        <v>101.5</v>
      </c>
      <c r="M641" s="67">
        <f>prodnorm65</f>
        <v>0</v>
      </c>
      <c r="N641" s="68">
        <f>dagwerk65</f>
        <v>0</v>
      </c>
      <c r="O641" s="64" t="s">
        <v>38</v>
      </c>
      <c r="P641" s="69">
        <f>uurtarief65</f>
        <v>0</v>
      </c>
      <c r="Q641" s="66" t="e">
        <f>IF(ISBLANK(M641),0,L641/ROUND(M641,4))</f>
        <v>#DIV/0!</v>
      </c>
      <c r="R641" s="66" t="e">
        <f>IF(ISBLANK(M641),0,Q641*ROUND(N641,2))</f>
        <v>#DIV/0!</v>
      </c>
      <c r="S641" s="69" t="e">
        <f>ROUND(P641,2)*Q641</f>
        <v>#DIV/0!</v>
      </c>
      <c r="T641" s="66" t="e">
        <f>Q641*dagenperjaar1</f>
        <v>#DIV/0!</v>
      </c>
      <c r="U641" s="70" t="e">
        <f>T641*ROUND(P641,2)</f>
        <v>#DIV/0!</v>
      </c>
    </row>
    <row r="642" spans="1:21" x14ac:dyDescent="0.2">
      <c r="A642" s="63" t="s">
        <v>774</v>
      </c>
      <c r="B642" s="64" t="s">
        <v>324</v>
      </c>
      <c r="C642" s="64" t="s">
        <v>530</v>
      </c>
      <c r="D642" s="64" t="s">
        <v>1270</v>
      </c>
      <c r="E642" s="64" t="s">
        <v>324</v>
      </c>
      <c r="F642" s="65" t="s">
        <v>1011</v>
      </c>
      <c r="G642" s="64" t="s">
        <v>365</v>
      </c>
      <c r="H642" s="64" t="s">
        <v>267</v>
      </c>
      <c r="I642" s="64" t="s">
        <v>10</v>
      </c>
      <c r="J642" s="64" t="s">
        <v>201</v>
      </c>
      <c r="K642" s="66">
        <v>101.5</v>
      </c>
      <c r="L642" s="66">
        <f>K642*VLOOKUP(I642,dagsoorttabel1,2,FALSE)</f>
        <v>101.5</v>
      </c>
      <c r="M642" s="67">
        <f>prodnorm65</f>
        <v>0</v>
      </c>
      <c r="N642" s="68">
        <f>dagwerk65</f>
        <v>0</v>
      </c>
      <c r="O642" s="64" t="s">
        <v>38</v>
      </c>
      <c r="P642" s="69">
        <f>uurtarief65</f>
        <v>0</v>
      </c>
      <c r="Q642" s="66" t="e">
        <f>IF(ISBLANK(M642),0,L642/ROUND(M642,4))</f>
        <v>#DIV/0!</v>
      </c>
      <c r="R642" s="66" t="e">
        <f>IF(ISBLANK(M642),0,Q642*ROUND(N642,2))</f>
        <v>#DIV/0!</v>
      </c>
      <c r="S642" s="69" t="e">
        <f>ROUND(P642,2)*Q642</f>
        <v>#DIV/0!</v>
      </c>
      <c r="T642" s="66" t="e">
        <f>Q642*dagenperjaar1</f>
        <v>#DIV/0!</v>
      </c>
      <c r="U642" s="70" t="e">
        <f>T642*ROUND(P642,2)</f>
        <v>#DIV/0!</v>
      </c>
    </row>
    <row r="643" spans="1:21" x14ac:dyDescent="0.2">
      <c r="A643" s="63" t="s">
        <v>774</v>
      </c>
      <c r="B643" s="64" t="s">
        <v>324</v>
      </c>
      <c r="C643" s="64" t="s">
        <v>530</v>
      </c>
      <c r="D643" s="64" t="s">
        <v>1271</v>
      </c>
      <c r="E643" s="64" t="s">
        <v>324</v>
      </c>
      <c r="F643" s="65" t="s">
        <v>1023</v>
      </c>
      <c r="G643" s="64" t="s">
        <v>365</v>
      </c>
      <c r="H643" s="64" t="s">
        <v>267</v>
      </c>
      <c r="I643" s="64" t="s">
        <v>10</v>
      </c>
      <c r="J643" s="64" t="s">
        <v>201</v>
      </c>
      <c r="K643" s="66">
        <v>11.5</v>
      </c>
      <c r="L643" s="66">
        <f>K643*VLOOKUP(I643,dagsoorttabel1,2,FALSE)</f>
        <v>11.5</v>
      </c>
      <c r="M643" s="67">
        <f>prodnorm65</f>
        <v>0</v>
      </c>
      <c r="N643" s="68">
        <f>dagwerk65</f>
        <v>0</v>
      </c>
      <c r="O643" s="64" t="s">
        <v>38</v>
      </c>
      <c r="P643" s="69">
        <f>uurtarief65</f>
        <v>0</v>
      </c>
      <c r="Q643" s="66" t="e">
        <f>IF(ISBLANK(M643),0,L643/ROUND(M643,4))</f>
        <v>#DIV/0!</v>
      </c>
      <c r="R643" s="66" t="e">
        <f>IF(ISBLANK(M643),0,Q643*ROUND(N643,2))</f>
        <v>#DIV/0!</v>
      </c>
      <c r="S643" s="69" t="e">
        <f>ROUND(P643,2)*Q643</f>
        <v>#DIV/0!</v>
      </c>
      <c r="T643" s="66" t="e">
        <f>Q643*dagenperjaar1</f>
        <v>#DIV/0!</v>
      </c>
      <c r="U643" s="70" t="e">
        <f>T643*ROUND(P643,2)</f>
        <v>#DIV/0!</v>
      </c>
    </row>
    <row r="644" spans="1:21" x14ac:dyDescent="0.2">
      <c r="A644" s="63" t="s">
        <v>774</v>
      </c>
      <c r="B644" s="64" t="s">
        <v>324</v>
      </c>
      <c r="C644" s="64" t="s">
        <v>530</v>
      </c>
      <c r="D644" s="64" t="s">
        <v>1272</v>
      </c>
      <c r="E644" s="64" t="s">
        <v>324</v>
      </c>
      <c r="F644" s="65" t="s">
        <v>1204</v>
      </c>
      <c r="G644" s="64" t="s">
        <v>365</v>
      </c>
      <c r="H644" s="64" t="s">
        <v>255</v>
      </c>
      <c r="I644" s="64" t="s">
        <v>10</v>
      </c>
      <c r="J644" s="64" t="s">
        <v>201</v>
      </c>
      <c r="K644" s="66">
        <v>3.5</v>
      </c>
      <c r="L644" s="66">
        <f>K644*VLOOKUP(I644,dagsoorttabel1,2,FALSE)</f>
        <v>3.5</v>
      </c>
      <c r="M644" s="67">
        <f>prodnorm59</f>
        <v>0</v>
      </c>
      <c r="N644" s="68">
        <f>dagwerk59</f>
        <v>0</v>
      </c>
      <c r="O644" s="64" t="s">
        <v>38</v>
      </c>
      <c r="P644" s="69">
        <f>uurtarief59</f>
        <v>0</v>
      </c>
      <c r="Q644" s="66" t="e">
        <f>IF(ISBLANK(M644),0,L644/ROUND(M644,4))</f>
        <v>#DIV/0!</v>
      </c>
      <c r="R644" s="66" t="e">
        <f>IF(ISBLANK(M644),0,Q644*ROUND(N644,2))</f>
        <v>#DIV/0!</v>
      </c>
      <c r="S644" s="69" t="e">
        <f>ROUND(P644,2)*Q644</f>
        <v>#DIV/0!</v>
      </c>
      <c r="T644" s="66" t="e">
        <f>Q644*dagenperjaar1</f>
        <v>#DIV/0!</v>
      </c>
      <c r="U644" s="70" t="e">
        <f>T644*ROUND(P644,2)</f>
        <v>#DIV/0!</v>
      </c>
    </row>
    <row r="645" spans="1:21" x14ac:dyDescent="0.2">
      <c r="A645" s="63" t="s">
        <v>774</v>
      </c>
      <c r="B645" s="64" t="s">
        <v>324</v>
      </c>
      <c r="C645" s="64" t="s">
        <v>530</v>
      </c>
      <c r="D645" s="64" t="s">
        <v>1273</v>
      </c>
      <c r="E645" s="64" t="s">
        <v>324</v>
      </c>
      <c r="F645" s="65" t="s">
        <v>1083</v>
      </c>
      <c r="G645" s="64" t="s">
        <v>365</v>
      </c>
      <c r="H645" s="64" t="s">
        <v>255</v>
      </c>
      <c r="I645" s="64" t="s">
        <v>10</v>
      </c>
      <c r="J645" s="64" t="s">
        <v>201</v>
      </c>
      <c r="K645" s="66">
        <v>8.1</v>
      </c>
      <c r="L645" s="66">
        <f>K645*VLOOKUP(I645,dagsoorttabel1,2,FALSE)</f>
        <v>8.1</v>
      </c>
      <c r="M645" s="67">
        <f>prodnorm59</f>
        <v>0</v>
      </c>
      <c r="N645" s="68">
        <f>dagwerk59</f>
        <v>0</v>
      </c>
      <c r="O645" s="64" t="s">
        <v>38</v>
      </c>
      <c r="P645" s="69">
        <f>uurtarief59</f>
        <v>0</v>
      </c>
      <c r="Q645" s="66" t="e">
        <f>IF(ISBLANK(M645),0,L645/ROUND(M645,4))</f>
        <v>#DIV/0!</v>
      </c>
      <c r="R645" s="66" t="e">
        <f>IF(ISBLANK(M645),0,Q645*ROUND(N645,2))</f>
        <v>#DIV/0!</v>
      </c>
      <c r="S645" s="69" t="e">
        <f>ROUND(P645,2)*Q645</f>
        <v>#DIV/0!</v>
      </c>
      <c r="T645" s="66" t="e">
        <f>Q645*dagenperjaar1</f>
        <v>#DIV/0!</v>
      </c>
      <c r="U645" s="70" t="e">
        <f>T645*ROUND(P645,2)</f>
        <v>#DIV/0!</v>
      </c>
    </row>
    <row r="646" spans="1:21" x14ac:dyDescent="0.2">
      <c r="A646" s="63" t="s">
        <v>774</v>
      </c>
      <c r="B646" s="64" t="s">
        <v>324</v>
      </c>
      <c r="C646" s="64" t="s">
        <v>530</v>
      </c>
      <c r="D646" s="64" t="s">
        <v>1274</v>
      </c>
      <c r="E646" s="64" t="s">
        <v>324</v>
      </c>
      <c r="F646" s="65" t="s">
        <v>1176</v>
      </c>
      <c r="G646" s="64" t="s">
        <v>365</v>
      </c>
      <c r="H646" s="64" t="s">
        <v>255</v>
      </c>
      <c r="I646" s="64" t="s">
        <v>10</v>
      </c>
      <c r="J646" s="64" t="s">
        <v>201</v>
      </c>
      <c r="K646" s="66">
        <v>8.8000000000000007</v>
      </c>
      <c r="L646" s="66">
        <f>K646*VLOOKUP(I646,dagsoorttabel1,2,FALSE)</f>
        <v>8.8000000000000007</v>
      </c>
      <c r="M646" s="67">
        <f>prodnorm59</f>
        <v>0</v>
      </c>
      <c r="N646" s="68">
        <f>dagwerk59</f>
        <v>0</v>
      </c>
      <c r="O646" s="64" t="s">
        <v>38</v>
      </c>
      <c r="P646" s="69">
        <f>uurtarief59</f>
        <v>0</v>
      </c>
      <c r="Q646" s="66" t="e">
        <f>IF(ISBLANK(M646),0,L646/ROUND(M646,4))</f>
        <v>#DIV/0!</v>
      </c>
      <c r="R646" s="66" t="e">
        <f>IF(ISBLANK(M646),0,Q646*ROUND(N646,2))</f>
        <v>#DIV/0!</v>
      </c>
      <c r="S646" s="69" t="e">
        <f>ROUND(P646,2)*Q646</f>
        <v>#DIV/0!</v>
      </c>
      <c r="T646" s="66" t="e">
        <f>Q646*dagenperjaar1</f>
        <v>#DIV/0!</v>
      </c>
      <c r="U646" s="70" t="e">
        <f>T646*ROUND(P646,2)</f>
        <v>#DIV/0!</v>
      </c>
    </row>
    <row r="647" spans="1:21" x14ac:dyDescent="0.2">
      <c r="A647" s="63" t="s">
        <v>774</v>
      </c>
      <c r="B647" s="64" t="s">
        <v>324</v>
      </c>
      <c r="C647" s="64" t="s">
        <v>530</v>
      </c>
      <c r="D647" s="64" t="s">
        <v>1275</v>
      </c>
      <c r="E647" s="64" t="s">
        <v>324</v>
      </c>
      <c r="F647" s="65" t="s">
        <v>1020</v>
      </c>
      <c r="G647" s="64" t="s">
        <v>365</v>
      </c>
      <c r="H647" s="64" t="s">
        <v>267</v>
      </c>
      <c r="I647" s="64" t="s">
        <v>10</v>
      </c>
      <c r="J647" s="64" t="s">
        <v>201</v>
      </c>
      <c r="K647" s="66">
        <v>18.2</v>
      </c>
      <c r="L647" s="66">
        <f>K647*VLOOKUP(I647,dagsoorttabel1,2,FALSE)</f>
        <v>18.2</v>
      </c>
      <c r="M647" s="67">
        <f>prodnorm65</f>
        <v>0</v>
      </c>
      <c r="N647" s="68">
        <f>dagwerk65</f>
        <v>0</v>
      </c>
      <c r="O647" s="64" t="s">
        <v>38</v>
      </c>
      <c r="P647" s="69">
        <f>uurtarief65</f>
        <v>0</v>
      </c>
      <c r="Q647" s="66" t="e">
        <f>IF(ISBLANK(M647),0,L647/ROUND(M647,4))</f>
        <v>#DIV/0!</v>
      </c>
      <c r="R647" s="66" t="e">
        <f>IF(ISBLANK(M647),0,Q647*ROUND(N647,2))</f>
        <v>#DIV/0!</v>
      </c>
      <c r="S647" s="69" t="e">
        <f>ROUND(P647,2)*Q647</f>
        <v>#DIV/0!</v>
      </c>
      <c r="T647" s="66" t="e">
        <f>Q647*dagenperjaar1</f>
        <v>#DIV/0!</v>
      </c>
      <c r="U647" s="70" t="e">
        <f>T647*ROUND(P647,2)</f>
        <v>#DIV/0!</v>
      </c>
    </row>
    <row r="648" spans="1:21" x14ac:dyDescent="0.2">
      <c r="A648" s="63" t="s">
        <v>774</v>
      </c>
      <c r="B648" s="64" t="s">
        <v>324</v>
      </c>
      <c r="C648" s="64" t="s">
        <v>530</v>
      </c>
      <c r="D648" s="64" t="s">
        <v>1276</v>
      </c>
      <c r="E648" s="64" t="s">
        <v>324</v>
      </c>
      <c r="F648" s="65" t="s">
        <v>1011</v>
      </c>
      <c r="G648" s="64" t="s">
        <v>365</v>
      </c>
      <c r="H648" s="64" t="s">
        <v>267</v>
      </c>
      <c r="I648" s="64" t="s">
        <v>10</v>
      </c>
      <c r="J648" s="64" t="s">
        <v>201</v>
      </c>
      <c r="K648" s="66">
        <v>37.6</v>
      </c>
      <c r="L648" s="66">
        <f>K648*VLOOKUP(I648,dagsoorttabel1,2,FALSE)</f>
        <v>37.6</v>
      </c>
      <c r="M648" s="67">
        <f>prodnorm65</f>
        <v>0</v>
      </c>
      <c r="N648" s="68">
        <f>dagwerk65</f>
        <v>0</v>
      </c>
      <c r="O648" s="64" t="s">
        <v>38</v>
      </c>
      <c r="P648" s="69">
        <f>uurtarief65</f>
        <v>0</v>
      </c>
      <c r="Q648" s="66" t="e">
        <f>IF(ISBLANK(M648),0,L648/ROUND(M648,4))</f>
        <v>#DIV/0!</v>
      </c>
      <c r="R648" s="66" t="e">
        <f>IF(ISBLANK(M648),0,Q648*ROUND(N648,2))</f>
        <v>#DIV/0!</v>
      </c>
      <c r="S648" s="69" t="e">
        <f>ROUND(P648,2)*Q648</f>
        <v>#DIV/0!</v>
      </c>
      <c r="T648" s="66" t="e">
        <f>Q648*dagenperjaar1</f>
        <v>#DIV/0!</v>
      </c>
      <c r="U648" s="70" t="e">
        <f>T648*ROUND(P648,2)</f>
        <v>#DIV/0!</v>
      </c>
    </row>
    <row r="649" spans="1:21" x14ac:dyDescent="0.2">
      <c r="A649" s="63" t="s">
        <v>774</v>
      </c>
      <c r="B649" s="64" t="s">
        <v>324</v>
      </c>
      <c r="C649" s="64" t="s">
        <v>530</v>
      </c>
      <c r="D649" s="64" t="s">
        <v>1277</v>
      </c>
      <c r="E649" s="64" t="s">
        <v>324</v>
      </c>
      <c r="F649" s="65" t="s">
        <v>1004</v>
      </c>
      <c r="G649" s="64" t="s">
        <v>365</v>
      </c>
      <c r="H649" s="64" t="s">
        <v>229</v>
      </c>
      <c r="I649" s="64" t="s">
        <v>10</v>
      </c>
      <c r="J649" s="64" t="s">
        <v>201</v>
      </c>
      <c r="K649" s="66">
        <v>50.4</v>
      </c>
      <c r="L649" s="66">
        <f>K649*VLOOKUP(I649,dagsoorttabel1,2,FALSE)</f>
        <v>50.4</v>
      </c>
      <c r="M649" s="67">
        <f>prodnorm43</f>
        <v>0</v>
      </c>
      <c r="N649" s="68">
        <f>dagwerk43</f>
        <v>0</v>
      </c>
      <c r="O649" s="64" t="s">
        <v>38</v>
      </c>
      <c r="P649" s="69">
        <f>uurtarief43</f>
        <v>0</v>
      </c>
      <c r="Q649" s="66" t="e">
        <f>IF(ISBLANK(M649),0,L649/ROUND(M649,4))</f>
        <v>#DIV/0!</v>
      </c>
      <c r="R649" s="66" t="e">
        <f>IF(ISBLANK(M649),0,Q649*ROUND(N649,2))</f>
        <v>#DIV/0!</v>
      </c>
      <c r="S649" s="69" t="e">
        <f>ROUND(P649,2)*Q649</f>
        <v>#DIV/0!</v>
      </c>
      <c r="T649" s="66" t="e">
        <f>Q649*dagenperjaar1</f>
        <v>#DIV/0!</v>
      </c>
      <c r="U649" s="70" t="e">
        <f>T649*ROUND(P649,2)</f>
        <v>#DIV/0!</v>
      </c>
    </row>
    <row r="650" spans="1:21" x14ac:dyDescent="0.2">
      <c r="A650" s="63" t="s">
        <v>774</v>
      </c>
      <c r="B650" s="64" t="s">
        <v>324</v>
      </c>
      <c r="C650" s="64" t="s">
        <v>530</v>
      </c>
      <c r="D650" s="64" t="s">
        <v>1278</v>
      </c>
      <c r="E650" s="64" t="s">
        <v>324</v>
      </c>
      <c r="F650" s="65" t="s">
        <v>1004</v>
      </c>
      <c r="G650" s="64" t="s">
        <v>365</v>
      </c>
      <c r="H650" s="64" t="s">
        <v>229</v>
      </c>
      <c r="I650" s="64" t="s">
        <v>10</v>
      </c>
      <c r="J650" s="64" t="s">
        <v>201</v>
      </c>
      <c r="K650" s="66">
        <v>75.8</v>
      </c>
      <c r="L650" s="66">
        <f>K650*VLOOKUP(I650,dagsoorttabel1,2,FALSE)</f>
        <v>75.8</v>
      </c>
      <c r="M650" s="67">
        <f>prodnorm43</f>
        <v>0</v>
      </c>
      <c r="N650" s="68">
        <f>dagwerk43</f>
        <v>0</v>
      </c>
      <c r="O650" s="64" t="s">
        <v>38</v>
      </c>
      <c r="P650" s="69">
        <f>uurtarief43</f>
        <v>0</v>
      </c>
      <c r="Q650" s="66" t="e">
        <f>IF(ISBLANK(M650),0,L650/ROUND(M650,4))</f>
        <v>#DIV/0!</v>
      </c>
      <c r="R650" s="66" t="e">
        <f>IF(ISBLANK(M650),0,Q650*ROUND(N650,2))</f>
        <v>#DIV/0!</v>
      </c>
      <c r="S650" s="69" t="e">
        <f>ROUND(P650,2)*Q650</f>
        <v>#DIV/0!</v>
      </c>
      <c r="T650" s="66" t="e">
        <f>Q650*dagenperjaar1</f>
        <v>#DIV/0!</v>
      </c>
      <c r="U650" s="70" t="e">
        <f>T650*ROUND(P650,2)</f>
        <v>#DIV/0!</v>
      </c>
    </row>
    <row r="651" spans="1:21" x14ac:dyDescent="0.2">
      <c r="A651" s="63" t="s">
        <v>774</v>
      </c>
      <c r="B651" s="64" t="s">
        <v>324</v>
      </c>
      <c r="C651" s="64" t="s">
        <v>530</v>
      </c>
      <c r="D651" s="64" t="s">
        <v>1279</v>
      </c>
      <c r="E651" s="64" t="s">
        <v>324</v>
      </c>
      <c r="F651" s="65" t="s">
        <v>1004</v>
      </c>
      <c r="G651" s="64" t="s">
        <v>365</v>
      </c>
      <c r="H651" s="64" t="s">
        <v>229</v>
      </c>
      <c r="I651" s="64" t="s">
        <v>10</v>
      </c>
      <c r="J651" s="64" t="s">
        <v>201</v>
      </c>
      <c r="K651" s="66">
        <v>89.4</v>
      </c>
      <c r="L651" s="66">
        <f>K651*VLOOKUP(I651,dagsoorttabel1,2,FALSE)</f>
        <v>89.4</v>
      </c>
      <c r="M651" s="67">
        <f>prodnorm43</f>
        <v>0</v>
      </c>
      <c r="N651" s="68">
        <f>dagwerk43</f>
        <v>0</v>
      </c>
      <c r="O651" s="64" t="s">
        <v>38</v>
      </c>
      <c r="P651" s="69">
        <f>uurtarief43</f>
        <v>0</v>
      </c>
      <c r="Q651" s="66" t="e">
        <f>IF(ISBLANK(M651),0,L651/ROUND(M651,4))</f>
        <v>#DIV/0!</v>
      </c>
      <c r="R651" s="66" t="e">
        <f>IF(ISBLANK(M651),0,Q651*ROUND(N651,2))</f>
        <v>#DIV/0!</v>
      </c>
      <c r="S651" s="69" t="e">
        <f>ROUND(P651,2)*Q651</f>
        <v>#DIV/0!</v>
      </c>
      <c r="T651" s="66" t="e">
        <f>Q651*dagenperjaar1</f>
        <v>#DIV/0!</v>
      </c>
      <c r="U651" s="70" t="e">
        <f>T651*ROUND(P651,2)</f>
        <v>#DIV/0!</v>
      </c>
    </row>
    <row r="652" spans="1:21" x14ac:dyDescent="0.2">
      <c r="A652" s="63" t="s">
        <v>774</v>
      </c>
      <c r="B652" s="64" t="s">
        <v>324</v>
      </c>
      <c r="C652" s="64" t="s">
        <v>530</v>
      </c>
      <c r="D652" s="64" t="s">
        <v>1280</v>
      </c>
      <c r="E652" s="64" t="s">
        <v>324</v>
      </c>
      <c r="F652" s="65" t="s">
        <v>1004</v>
      </c>
      <c r="G652" s="64" t="s">
        <v>365</v>
      </c>
      <c r="H652" s="64" t="s">
        <v>229</v>
      </c>
      <c r="I652" s="64" t="s">
        <v>10</v>
      </c>
      <c r="J652" s="64" t="s">
        <v>201</v>
      </c>
      <c r="K652" s="66">
        <v>88.5</v>
      </c>
      <c r="L652" s="66">
        <f>K652*VLOOKUP(I652,dagsoorttabel1,2,FALSE)</f>
        <v>88.5</v>
      </c>
      <c r="M652" s="67">
        <f>prodnorm43</f>
        <v>0</v>
      </c>
      <c r="N652" s="68">
        <f>dagwerk43</f>
        <v>0</v>
      </c>
      <c r="O652" s="64" t="s">
        <v>38</v>
      </c>
      <c r="P652" s="69">
        <f>uurtarief43</f>
        <v>0</v>
      </c>
      <c r="Q652" s="66" t="e">
        <f>IF(ISBLANK(M652),0,L652/ROUND(M652,4))</f>
        <v>#DIV/0!</v>
      </c>
      <c r="R652" s="66" t="e">
        <f>IF(ISBLANK(M652),0,Q652*ROUND(N652,2))</f>
        <v>#DIV/0!</v>
      </c>
      <c r="S652" s="69" t="e">
        <f>ROUND(P652,2)*Q652</f>
        <v>#DIV/0!</v>
      </c>
      <c r="T652" s="66" t="e">
        <f>Q652*dagenperjaar1</f>
        <v>#DIV/0!</v>
      </c>
      <c r="U652" s="70" t="e">
        <f>T652*ROUND(P652,2)</f>
        <v>#DIV/0!</v>
      </c>
    </row>
    <row r="653" spans="1:21" x14ac:dyDescent="0.2">
      <c r="A653" s="63" t="s">
        <v>774</v>
      </c>
      <c r="B653" s="64" t="s">
        <v>324</v>
      </c>
      <c r="C653" s="64" t="s">
        <v>530</v>
      </c>
      <c r="D653" s="64" t="s">
        <v>1281</v>
      </c>
      <c r="E653" s="64" t="s">
        <v>324</v>
      </c>
      <c r="F653" s="65" t="s">
        <v>1011</v>
      </c>
      <c r="G653" s="64" t="s">
        <v>365</v>
      </c>
      <c r="H653" s="64" t="s">
        <v>267</v>
      </c>
      <c r="I653" s="64" t="s">
        <v>10</v>
      </c>
      <c r="J653" s="64" t="s">
        <v>201</v>
      </c>
      <c r="K653" s="66">
        <v>117.8</v>
      </c>
      <c r="L653" s="66">
        <f>K653*VLOOKUP(I653,dagsoorttabel1,2,FALSE)</f>
        <v>117.8</v>
      </c>
      <c r="M653" s="67">
        <f>prodnorm65</f>
        <v>0</v>
      </c>
      <c r="N653" s="68">
        <f>dagwerk65</f>
        <v>0</v>
      </c>
      <c r="O653" s="64" t="s">
        <v>38</v>
      </c>
      <c r="P653" s="69">
        <f>uurtarief65</f>
        <v>0</v>
      </c>
      <c r="Q653" s="66" t="e">
        <f>IF(ISBLANK(M653),0,L653/ROUND(M653,4))</f>
        <v>#DIV/0!</v>
      </c>
      <c r="R653" s="66" t="e">
        <f>IF(ISBLANK(M653),0,Q653*ROUND(N653,2))</f>
        <v>#DIV/0!</v>
      </c>
      <c r="S653" s="69" t="e">
        <f>ROUND(P653,2)*Q653</f>
        <v>#DIV/0!</v>
      </c>
      <c r="T653" s="66" t="e">
        <f>Q653*dagenperjaar1</f>
        <v>#DIV/0!</v>
      </c>
      <c r="U653" s="70" t="e">
        <f>T653*ROUND(P653,2)</f>
        <v>#DIV/0!</v>
      </c>
    </row>
    <row r="654" spans="1:21" x14ac:dyDescent="0.2">
      <c r="A654" s="63" t="s">
        <v>774</v>
      </c>
      <c r="B654" s="64" t="s">
        <v>324</v>
      </c>
      <c r="C654" s="64" t="s">
        <v>530</v>
      </c>
      <c r="D654" s="64" t="s">
        <v>1282</v>
      </c>
      <c r="E654" s="64" t="s">
        <v>324</v>
      </c>
      <c r="F654" s="65" t="s">
        <v>1283</v>
      </c>
      <c r="G654" s="64" t="s">
        <v>365</v>
      </c>
      <c r="H654" s="64" t="s">
        <v>205</v>
      </c>
      <c r="I654" s="64" t="s">
        <v>10</v>
      </c>
      <c r="J654" s="64" t="s">
        <v>201</v>
      </c>
      <c r="K654" s="66">
        <v>98.7</v>
      </c>
      <c r="L654" s="66">
        <f>K654*VLOOKUP(I654,dagsoorttabel1,2,FALSE)</f>
        <v>98.7</v>
      </c>
      <c r="M654" s="67">
        <f>prodnorm26</f>
        <v>0</v>
      </c>
      <c r="N654" s="68">
        <f>dagwerk26</f>
        <v>0</v>
      </c>
      <c r="O654" s="64" t="s">
        <v>38</v>
      </c>
      <c r="P654" s="69">
        <f>uurtarief26</f>
        <v>0</v>
      </c>
      <c r="Q654" s="66" t="e">
        <f>IF(ISBLANK(M654),0,L654/ROUND(M654,4))</f>
        <v>#DIV/0!</v>
      </c>
      <c r="R654" s="66" t="e">
        <f>IF(ISBLANK(M654),0,Q654*ROUND(N654,2))</f>
        <v>#DIV/0!</v>
      </c>
      <c r="S654" s="69" t="e">
        <f>ROUND(P654,2)*Q654</f>
        <v>#DIV/0!</v>
      </c>
      <c r="T654" s="66" t="e">
        <f>Q654*dagenperjaar1</f>
        <v>#DIV/0!</v>
      </c>
      <c r="U654" s="70" t="e">
        <f>T654*ROUND(P654,2)</f>
        <v>#DIV/0!</v>
      </c>
    </row>
    <row r="655" spans="1:21" x14ac:dyDescent="0.2">
      <c r="A655" s="63" t="s">
        <v>774</v>
      </c>
      <c r="B655" s="64" t="s">
        <v>324</v>
      </c>
      <c r="C655" s="64" t="s">
        <v>530</v>
      </c>
      <c r="D655" s="64" t="s">
        <v>1284</v>
      </c>
      <c r="E655" s="64" t="s">
        <v>324</v>
      </c>
      <c r="F655" s="65" t="s">
        <v>1283</v>
      </c>
      <c r="G655" s="64" t="s">
        <v>365</v>
      </c>
      <c r="H655" s="64" t="s">
        <v>205</v>
      </c>
      <c r="I655" s="64" t="s">
        <v>10</v>
      </c>
      <c r="J655" s="64" t="s">
        <v>201</v>
      </c>
      <c r="K655" s="66">
        <v>78</v>
      </c>
      <c r="L655" s="66">
        <f>K655*VLOOKUP(I655,dagsoorttabel1,2,FALSE)</f>
        <v>78</v>
      </c>
      <c r="M655" s="67">
        <f>prodnorm26</f>
        <v>0</v>
      </c>
      <c r="N655" s="68">
        <f>dagwerk26</f>
        <v>0</v>
      </c>
      <c r="O655" s="64" t="s">
        <v>38</v>
      </c>
      <c r="P655" s="69">
        <f>uurtarief26</f>
        <v>0</v>
      </c>
      <c r="Q655" s="66" t="e">
        <f>IF(ISBLANK(M655),0,L655/ROUND(M655,4))</f>
        <v>#DIV/0!</v>
      </c>
      <c r="R655" s="66" t="e">
        <f>IF(ISBLANK(M655),0,Q655*ROUND(N655,2))</f>
        <v>#DIV/0!</v>
      </c>
      <c r="S655" s="69" t="e">
        <f>ROUND(P655,2)*Q655</f>
        <v>#DIV/0!</v>
      </c>
      <c r="T655" s="66" t="e">
        <f>Q655*dagenperjaar1</f>
        <v>#DIV/0!</v>
      </c>
      <c r="U655" s="70" t="e">
        <f>T655*ROUND(P655,2)</f>
        <v>#DIV/0!</v>
      </c>
    </row>
    <row r="656" spans="1:21" x14ac:dyDescent="0.2">
      <c r="A656" s="63" t="s">
        <v>774</v>
      </c>
      <c r="B656" s="64" t="s">
        <v>324</v>
      </c>
      <c r="C656" s="64" t="s">
        <v>530</v>
      </c>
      <c r="D656" s="64" t="s">
        <v>1285</v>
      </c>
      <c r="E656" s="64" t="s">
        <v>324</v>
      </c>
      <c r="F656" s="65" t="s">
        <v>1283</v>
      </c>
      <c r="G656" s="64" t="s">
        <v>365</v>
      </c>
      <c r="H656" s="64" t="s">
        <v>205</v>
      </c>
      <c r="I656" s="64" t="s">
        <v>10</v>
      </c>
      <c r="J656" s="64" t="s">
        <v>201</v>
      </c>
      <c r="K656" s="66">
        <v>74.400000000000006</v>
      </c>
      <c r="L656" s="66">
        <f>K656*VLOOKUP(I656,dagsoorttabel1,2,FALSE)</f>
        <v>74.400000000000006</v>
      </c>
      <c r="M656" s="67">
        <f>prodnorm26</f>
        <v>0</v>
      </c>
      <c r="N656" s="68">
        <f>dagwerk26</f>
        <v>0</v>
      </c>
      <c r="O656" s="64" t="s">
        <v>38</v>
      </c>
      <c r="P656" s="69">
        <f>uurtarief26</f>
        <v>0</v>
      </c>
      <c r="Q656" s="66" t="e">
        <f>IF(ISBLANK(M656),0,L656/ROUND(M656,4))</f>
        <v>#DIV/0!</v>
      </c>
      <c r="R656" s="66" t="e">
        <f>IF(ISBLANK(M656),0,Q656*ROUND(N656,2))</f>
        <v>#DIV/0!</v>
      </c>
      <c r="S656" s="69" t="e">
        <f>ROUND(P656,2)*Q656</f>
        <v>#DIV/0!</v>
      </c>
      <c r="T656" s="66" t="e">
        <f>Q656*dagenperjaar1</f>
        <v>#DIV/0!</v>
      </c>
      <c r="U656" s="70" t="e">
        <f>T656*ROUND(P656,2)</f>
        <v>#DIV/0!</v>
      </c>
    </row>
    <row r="657" spans="1:21" x14ac:dyDescent="0.2">
      <c r="A657" s="63" t="s">
        <v>774</v>
      </c>
      <c r="B657" s="64" t="s">
        <v>324</v>
      </c>
      <c r="C657" s="64" t="s">
        <v>530</v>
      </c>
      <c r="D657" s="64" t="s">
        <v>1286</v>
      </c>
      <c r="E657" s="64" t="s">
        <v>324</v>
      </c>
      <c r="F657" s="65" t="s">
        <v>1287</v>
      </c>
      <c r="G657" s="64" t="s">
        <v>365</v>
      </c>
      <c r="H657" s="64" t="s">
        <v>229</v>
      </c>
      <c r="I657" s="64" t="s">
        <v>10</v>
      </c>
      <c r="J657" s="64" t="s">
        <v>201</v>
      </c>
      <c r="K657" s="66">
        <v>53.6</v>
      </c>
      <c r="L657" s="66">
        <f>K657*VLOOKUP(I657,dagsoorttabel1,2,FALSE)</f>
        <v>53.6</v>
      </c>
      <c r="M657" s="67">
        <f>prodnorm43</f>
        <v>0</v>
      </c>
      <c r="N657" s="68">
        <f>dagwerk43</f>
        <v>0</v>
      </c>
      <c r="O657" s="64" t="s">
        <v>38</v>
      </c>
      <c r="P657" s="69">
        <f>uurtarief43</f>
        <v>0</v>
      </c>
      <c r="Q657" s="66" t="e">
        <f>IF(ISBLANK(M657),0,L657/ROUND(M657,4))</f>
        <v>#DIV/0!</v>
      </c>
      <c r="R657" s="66" t="e">
        <f>IF(ISBLANK(M657),0,Q657*ROUND(N657,2))</f>
        <v>#DIV/0!</v>
      </c>
      <c r="S657" s="69" t="e">
        <f>ROUND(P657,2)*Q657</f>
        <v>#DIV/0!</v>
      </c>
      <c r="T657" s="66" t="e">
        <f>Q657*dagenperjaar1</f>
        <v>#DIV/0!</v>
      </c>
      <c r="U657" s="70" t="e">
        <f>T657*ROUND(P657,2)</f>
        <v>#DIV/0!</v>
      </c>
    </row>
    <row r="658" spans="1:21" x14ac:dyDescent="0.2">
      <c r="A658" s="63" t="s">
        <v>774</v>
      </c>
      <c r="B658" s="64" t="s">
        <v>324</v>
      </c>
      <c r="C658" s="64" t="s">
        <v>530</v>
      </c>
      <c r="D658" s="64" t="s">
        <v>1288</v>
      </c>
      <c r="E658" s="64" t="s">
        <v>324</v>
      </c>
      <c r="F658" s="65" t="s">
        <v>1287</v>
      </c>
      <c r="G658" s="64" t="s">
        <v>365</v>
      </c>
      <c r="H658" s="64" t="s">
        <v>229</v>
      </c>
      <c r="I658" s="64" t="s">
        <v>10</v>
      </c>
      <c r="J658" s="64" t="s">
        <v>201</v>
      </c>
      <c r="K658" s="66">
        <v>110.4</v>
      </c>
      <c r="L658" s="66">
        <f>K658*VLOOKUP(I658,dagsoorttabel1,2,FALSE)</f>
        <v>110.4</v>
      </c>
      <c r="M658" s="67">
        <f>prodnorm43</f>
        <v>0</v>
      </c>
      <c r="N658" s="68">
        <f>dagwerk43</f>
        <v>0</v>
      </c>
      <c r="O658" s="64" t="s">
        <v>38</v>
      </c>
      <c r="P658" s="69">
        <f>uurtarief43</f>
        <v>0</v>
      </c>
      <c r="Q658" s="66" t="e">
        <f>IF(ISBLANK(M658),0,L658/ROUND(M658,4))</f>
        <v>#DIV/0!</v>
      </c>
      <c r="R658" s="66" t="e">
        <f>IF(ISBLANK(M658),0,Q658*ROUND(N658,2))</f>
        <v>#DIV/0!</v>
      </c>
      <c r="S658" s="69" t="e">
        <f>ROUND(P658,2)*Q658</f>
        <v>#DIV/0!</v>
      </c>
      <c r="T658" s="66" t="e">
        <f>Q658*dagenperjaar1</f>
        <v>#DIV/0!</v>
      </c>
      <c r="U658" s="70" t="e">
        <f>T658*ROUND(P658,2)</f>
        <v>#DIV/0!</v>
      </c>
    </row>
    <row r="659" spans="1:21" x14ac:dyDescent="0.2">
      <c r="A659" s="63" t="s">
        <v>774</v>
      </c>
      <c r="B659" s="64" t="s">
        <v>324</v>
      </c>
      <c r="C659" s="64" t="s">
        <v>530</v>
      </c>
      <c r="D659" s="64" t="s">
        <v>1289</v>
      </c>
      <c r="E659" s="64" t="s">
        <v>324</v>
      </c>
      <c r="F659" s="65" t="s">
        <v>998</v>
      </c>
      <c r="G659" s="64" t="s">
        <v>365</v>
      </c>
      <c r="H659" s="64" t="s">
        <v>267</v>
      </c>
      <c r="I659" s="64" t="s">
        <v>10</v>
      </c>
      <c r="J659" s="64" t="s">
        <v>201</v>
      </c>
      <c r="K659" s="66">
        <v>32.9</v>
      </c>
      <c r="L659" s="66">
        <f>K659*VLOOKUP(I659,dagsoorttabel1,2,FALSE)</f>
        <v>32.9</v>
      </c>
      <c r="M659" s="67">
        <f>prodnorm65</f>
        <v>0</v>
      </c>
      <c r="N659" s="68">
        <f>dagwerk65</f>
        <v>0</v>
      </c>
      <c r="O659" s="64" t="s">
        <v>38</v>
      </c>
      <c r="P659" s="69">
        <f>uurtarief65</f>
        <v>0</v>
      </c>
      <c r="Q659" s="66" t="e">
        <f>IF(ISBLANK(M659),0,L659/ROUND(M659,4))</f>
        <v>#DIV/0!</v>
      </c>
      <c r="R659" s="66" t="e">
        <f>IF(ISBLANK(M659),0,Q659*ROUND(N659,2))</f>
        <v>#DIV/0!</v>
      </c>
      <c r="S659" s="69" t="e">
        <f>ROUND(P659,2)*Q659</f>
        <v>#DIV/0!</v>
      </c>
      <c r="T659" s="66" t="e">
        <f>Q659*dagenperjaar1</f>
        <v>#DIV/0!</v>
      </c>
      <c r="U659" s="70" t="e">
        <f>T659*ROUND(P659,2)</f>
        <v>#DIV/0!</v>
      </c>
    </row>
    <row r="660" spans="1:21" x14ac:dyDescent="0.2">
      <c r="A660" s="63" t="s">
        <v>774</v>
      </c>
      <c r="B660" s="64" t="s">
        <v>324</v>
      </c>
      <c r="C660" s="64" t="s">
        <v>530</v>
      </c>
      <c r="D660" s="64" t="s">
        <v>1290</v>
      </c>
      <c r="E660" s="64" t="s">
        <v>324</v>
      </c>
      <c r="F660" s="65" t="s">
        <v>1287</v>
      </c>
      <c r="G660" s="64" t="s">
        <v>365</v>
      </c>
      <c r="H660" s="64" t="s">
        <v>229</v>
      </c>
      <c r="I660" s="64" t="s">
        <v>10</v>
      </c>
      <c r="J660" s="64" t="s">
        <v>201</v>
      </c>
      <c r="K660" s="66">
        <v>86.9</v>
      </c>
      <c r="L660" s="66">
        <f>K660*VLOOKUP(I660,dagsoorttabel1,2,FALSE)</f>
        <v>86.9</v>
      </c>
      <c r="M660" s="67">
        <f>prodnorm43</f>
        <v>0</v>
      </c>
      <c r="N660" s="68">
        <f>dagwerk43</f>
        <v>0</v>
      </c>
      <c r="O660" s="64" t="s">
        <v>38</v>
      </c>
      <c r="P660" s="69">
        <f>uurtarief43</f>
        <v>0</v>
      </c>
      <c r="Q660" s="66" t="e">
        <f>IF(ISBLANK(M660),0,L660/ROUND(M660,4))</f>
        <v>#DIV/0!</v>
      </c>
      <c r="R660" s="66" t="e">
        <f>IF(ISBLANK(M660),0,Q660*ROUND(N660,2))</f>
        <v>#DIV/0!</v>
      </c>
      <c r="S660" s="69" t="e">
        <f>ROUND(P660,2)*Q660</f>
        <v>#DIV/0!</v>
      </c>
      <c r="T660" s="66" t="e">
        <f>Q660*dagenperjaar1</f>
        <v>#DIV/0!</v>
      </c>
      <c r="U660" s="70" t="e">
        <f>T660*ROUND(P660,2)</f>
        <v>#DIV/0!</v>
      </c>
    </row>
    <row r="661" spans="1:21" x14ac:dyDescent="0.2">
      <c r="A661" s="63" t="s">
        <v>774</v>
      </c>
      <c r="B661" s="64" t="s">
        <v>324</v>
      </c>
      <c r="C661" s="64" t="s">
        <v>530</v>
      </c>
      <c r="D661" s="64" t="s">
        <v>1291</v>
      </c>
      <c r="E661" s="64" t="s">
        <v>324</v>
      </c>
      <c r="F661" s="65" t="s">
        <v>1287</v>
      </c>
      <c r="G661" s="64" t="s">
        <v>365</v>
      </c>
      <c r="H661" s="64" t="s">
        <v>229</v>
      </c>
      <c r="I661" s="64" t="s">
        <v>10</v>
      </c>
      <c r="J661" s="64" t="s">
        <v>201</v>
      </c>
      <c r="K661" s="66">
        <v>58.7</v>
      </c>
      <c r="L661" s="66">
        <f>K661*VLOOKUP(I661,dagsoorttabel1,2,FALSE)</f>
        <v>58.7</v>
      </c>
      <c r="M661" s="67">
        <f>prodnorm43</f>
        <v>0</v>
      </c>
      <c r="N661" s="68">
        <f>dagwerk43</f>
        <v>0</v>
      </c>
      <c r="O661" s="64" t="s">
        <v>38</v>
      </c>
      <c r="P661" s="69">
        <f>uurtarief43</f>
        <v>0</v>
      </c>
      <c r="Q661" s="66" t="e">
        <f>IF(ISBLANK(M661),0,L661/ROUND(M661,4))</f>
        <v>#DIV/0!</v>
      </c>
      <c r="R661" s="66" t="e">
        <f>IF(ISBLANK(M661),0,Q661*ROUND(N661,2))</f>
        <v>#DIV/0!</v>
      </c>
      <c r="S661" s="69" t="e">
        <f>ROUND(P661,2)*Q661</f>
        <v>#DIV/0!</v>
      </c>
      <c r="T661" s="66" t="e">
        <f>Q661*dagenperjaar1</f>
        <v>#DIV/0!</v>
      </c>
      <c r="U661" s="70" t="e">
        <f>T661*ROUND(P661,2)</f>
        <v>#DIV/0!</v>
      </c>
    </row>
    <row r="662" spans="1:21" x14ac:dyDescent="0.2">
      <c r="A662" s="63" t="s">
        <v>774</v>
      </c>
      <c r="B662" s="64" t="s">
        <v>324</v>
      </c>
      <c r="C662" s="64" t="s">
        <v>530</v>
      </c>
      <c r="D662" s="64" t="s">
        <v>1292</v>
      </c>
      <c r="E662" s="64" t="s">
        <v>324</v>
      </c>
      <c r="F662" s="65" t="s">
        <v>1049</v>
      </c>
      <c r="G662" s="64" t="s">
        <v>365</v>
      </c>
      <c r="H662" s="64" t="s">
        <v>267</v>
      </c>
      <c r="I662" s="64" t="s">
        <v>10</v>
      </c>
      <c r="J662" s="64" t="s">
        <v>201</v>
      </c>
      <c r="K662" s="66">
        <v>14.5</v>
      </c>
      <c r="L662" s="66">
        <f>K662*VLOOKUP(I662,dagsoorttabel1,2,FALSE)</f>
        <v>14.5</v>
      </c>
      <c r="M662" s="67">
        <f>prodnorm65</f>
        <v>0</v>
      </c>
      <c r="N662" s="68">
        <f>dagwerk65</f>
        <v>0</v>
      </c>
      <c r="O662" s="64" t="s">
        <v>38</v>
      </c>
      <c r="P662" s="69">
        <f>uurtarief65</f>
        <v>0</v>
      </c>
      <c r="Q662" s="66" t="e">
        <f>IF(ISBLANK(M662),0,L662/ROUND(M662,4))</f>
        <v>#DIV/0!</v>
      </c>
      <c r="R662" s="66" t="e">
        <f>IF(ISBLANK(M662),0,Q662*ROUND(N662,2))</f>
        <v>#DIV/0!</v>
      </c>
      <c r="S662" s="69" t="e">
        <f>ROUND(P662,2)*Q662</f>
        <v>#DIV/0!</v>
      </c>
      <c r="T662" s="66" t="e">
        <f>Q662*dagenperjaar1</f>
        <v>#DIV/0!</v>
      </c>
      <c r="U662" s="70" t="e">
        <f>T662*ROUND(P662,2)</f>
        <v>#DIV/0!</v>
      </c>
    </row>
    <row r="663" spans="1:21" x14ac:dyDescent="0.2">
      <c r="A663" s="63" t="s">
        <v>774</v>
      </c>
      <c r="B663" s="64" t="s">
        <v>324</v>
      </c>
      <c r="C663" s="64" t="s">
        <v>530</v>
      </c>
      <c r="D663" s="64" t="s">
        <v>1293</v>
      </c>
      <c r="E663" s="64" t="s">
        <v>324</v>
      </c>
      <c r="F663" s="65" t="s">
        <v>996</v>
      </c>
      <c r="G663" s="64" t="s">
        <v>365</v>
      </c>
      <c r="H663" s="64" t="s">
        <v>255</v>
      </c>
      <c r="I663" s="64" t="s">
        <v>10</v>
      </c>
      <c r="J663" s="64" t="s">
        <v>201</v>
      </c>
      <c r="K663" s="66">
        <v>8.8000000000000007</v>
      </c>
      <c r="L663" s="66">
        <f>K663*VLOOKUP(I663,dagsoorttabel1,2,FALSE)</f>
        <v>8.8000000000000007</v>
      </c>
      <c r="M663" s="67">
        <f>prodnorm59</f>
        <v>0</v>
      </c>
      <c r="N663" s="68">
        <f>dagwerk59</f>
        <v>0</v>
      </c>
      <c r="O663" s="64" t="s">
        <v>38</v>
      </c>
      <c r="P663" s="69">
        <f>uurtarief59</f>
        <v>0</v>
      </c>
      <c r="Q663" s="66" t="e">
        <f>IF(ISBLANK(M663),0,L663/ROUND(M663,4))</f>
        <v>#DIV/0!</v>
      </c>
      <c r="R663" s="66" t="e">
        <f>IF(ISBLANK(M663),0,Q663*ROUND(N663,2))</f>
        <v>#DIV/0!</v>
      </c>
      <c r="S663" s="69" t="e">
        <f>ROUND(P663,2)*Q663</f>
        <v>#DIV/0!</v>
      </c>
      <c r="T663" s="66" t="e">
        <f>Q663*dagenperjaar1</f>
        <v>#DIV/0!</v>
      </c>
      <c r="U663" s="70" t="e">
        <f>T663*ROUND(P663,2)</f>
        <v>#DIV/0!</v>
      </c>
    </row>
    <row r="664" spans="1:21" x14ac:dyDescent="0.2">
      <c r="A664" s="63" t="s">
        <v>774</v>
      </c>
      <c r="B664" s="64" t="s">
        <v>324</v>
      </c>
      <c r="C664" s="64" t="s">
        <v>530</v>
      </c>
      <c r="D664" s="64" t="s">
        <v>1294</v>
      </c>
      <c r="E664" s="64" t="s">
        <v>324</v>
      </c>
      <c r="F664" s="65" t="s">
        <v>1009</v>
      </c>
      <c r="G664" s="64" t="s">
        <v>365</v>
      </c>
      <c r="H664" s="64" t="s">
        <v>255</v>
      </c>
      <c r="I664" s="64" t="s">
        <v>10</v>
      </c>
      <c r="J664" s="64" t="s">
        <v>201</v>
      </c>
      <c r="K664" s="66">
        <v>8.1</v>
      </c>
      <c r="L664" s="66">
        <f>K664*VLOOKUP(I664,dagsoorttabel1,2,FALSE)</f>
        <v>8.1</v>
      </c>
      <c r="M664" s="67">
        <f>prodnorm59</f>
        <v>0</v>
      </c>
      <c r="N664" s="68">
        <f>dagwerk59</f>
        <v>0</v>
      </c>
      <c r="O664" s="64" t="s">
        <v>38</v>
      </c>
      <c r="P664" s="69">
        <f>uurtarief59</f>
        <v>0</v>
      </c>
      <c r="Q664" s="66" t="e">
        <f>IF(ISBLANK(M664),0,L664/ROUND(M664,4))</f>
        <v>#DIV/0!</v>
      </c>
      <c r="R664" s="66" t="e">
        <f>IF(ISBLANK(M664),0,Q664*ROUND(N664,2))</f>
        <v>#DIV/0!</v>
      </c>
      <c r="S664" s="69" t="e">
        <f>ROUND(P664,2)*Q664</f>
        <v>#DIV/0!</v>
      </c>
      <c r="T664" s="66" t="e">
        <f>Q664*dagenperjaar1</f>
        <v>#DIV/0!</v>
      </c>
      <c r="U664" s="70" t="e">
        <f>T664*ROUND(P664,2)</f>
        <v>#DIV/0!</v>
      </c>
    </row>
    <row r="665" spans="1:21" x14ac:dyDescent="0.2">
      <c r="A665" s="63" t="s">
        <v>774</v>
      </c>
      <c r="B665" s="64" t="s">
        <v>324</v>
      </c>
      <c r="C665" s="64" t="s">
        <v>530</v>
      </c>
      <c r="D665" s="64" t="s">
        <v>1295</v>
      </c>
      <c r="E665" s="64" t="s">
        <v>324</v>
      </c>
      <c r="F665" s="65" t="s">
        <v>1172</v>
      </c>
      <c r="G665" s="64" t="s">
        <v>365</v>
      </c>
      <c r="H665" s="64" t="s">
        <v>255</v>
      </c>
      <c r="I665" s="64" t="s">
        <v>10</v>
      </c>
      <c r="J665" s="64" t="s">
        <v>201</v>
      </c>
      <c r="K665" s="66">
        <v>3.5</v>
      </c>
      <c r="L665" s="66">
        <f>K665*VLOOKUP(I665,dagsoorttabel1,2,FALSE)</f>
        <v>3.5</v>
      </c>
      <c r="M665" s="67">
        <f>prodnorm59</f>
        <v>0</v>
      </c>
      <c r="N665" s="68">
        <f>dagwerk59</f>
        <v>0</v>
      </c>
      <c r="O665" s="64" t="s">
        <v>38</v>
      </c>
      <c r="P665" s="69">
        <f>uurtarief59</f>
        <v>0</v>
      </c>
      <c r="Q665" s="66" t="e">
        <f>IF(ISBLANK(M665),0,L665/ROUND(M665,4))</f>
        <v>#DIV/0!</v>
      </c>
      <c r="R665" s="66" t="e">
        <f>IF(ISBLANK(M665),0,Q665*ROUND(N665,2))</f>
        <v>#DIV/0!</v>
      </c>
      <c r="S665" s="69" t="e">
        <f>ROUND(P665,2)*Q665</f>
        <v>#DIV/0!</v>
      </c>
      <c r="T665" s="66" t="e">
        <f>Q665*dagenperjaar1</f>
        <v>#DIV/0!</v>
      </c>
      <c r="U665" s="70" t="e">
        <f>T665*ROUND(P665,2)</f>
        <v>#DIV/0!</v>
      </c>
    </row>
    <row r="666" spans="1:21" x14ac:dyDescent="0.2">
      <c r="A666" s="63" t="s">
        <v>774</v>
      </c>
      <c r="B666" s="64" t="s">
        <v>324</v>
      </c>
      <c r="C666" s="64" t="s">
        <v>530</v>
      </c>
      <c r="D666" s="64" t="s">
        <v>1296</v>
      </c>
      <c r="E666" s="64" t="s">
        <v>324</v>
      </c>
      <c r="F666" s="65" t="s">
        <v>998</v>
      </c>
      <c r="G666" s="64" t="s">
        <v>365</v>
      </c>
      <c r="H666" s="64" t="s">
        <v>267</v>
      </c>
      <c r="I666" s="64" t="s">
        <v>10</v>
      </c>
      <c r="J666" s="64" t="s">
        <v>201</v>
      </c>
      <c r="K666" s="66">
        <v>32.700000000000003</v>
      </c>
      <c r="L666" s="66">
        <f>K666*VLOOKUP(I666,dagsoorttabel1,2,FALSE)</f>
        <v>32.700000000000003</v>
      </c>
      <c r="M666" s="67">
        <f>prodnorm65</f>
        <v>0</v>
      </c>
      <c r="N666" s="68">
        <f>dagwerk65</f>
        <v>0</v>
      </c>
      <c r="O666" s="64" t="s">
        <v>38</v>
      </c>
      <c r="P666" s="69">
        <f>uurtarief65</f>
        <v>0</v>
      </c>
      <c r="Q666" s="66" t="e">
        <f>IF(ISBLANK(M666),0,L666/ROUND(M666,4))</f>
        <v>#DIV/0!</v>
      </c>
      <c r="R666" s="66" t="e">
        <f>IF(ISBLANK(M666),0,Q666*ROUND(N666,2))</f>
        <v>#DIV/0!</v>
      </c>
      <c r="S666" s="69" t="e">
        <f>ROUND(P666,2)*Q666</f>
        <v>#DIV/0!</v>
      </c>
      <c r="T666" s="66" t="e">
        <f>Q666*dagenperjaar1</f>
        <v>#DIV/0!</v>
      </c>
      <c r="U666" s="70" t="e">
        <f>T666*ROUND(P666,2)</f>
        <v>#DIV/0!</v>
      </c>
    </row>
    <row r="667" spans="1:21" ht="25.5" x14ac:dyDescent="0.2">
      <c r="A667" s="71" t="s">
        <v>774</v>
      </c>
      <c r="B667" s="72" t="s">
        <v>324</v>
      </c>
      <c r="C667" s="72" t="s">
        <v>600</v>
      </c>
      <c r="D667" s="72" t="s">
        <v>324</v>
      </c>
      <c r="E667" s="72" t="s">
        <v>324</v>
      </c>
      <c r="F667" s="73" t="s">
        <v>1297</v>
      </c>
      <c r="G667" s="72" t="s">
        <v>324</v>
      </c>
      <c r="H667" s="72" t="s">
        <v>294</v>
      </c>
      <c r="I667" s="72" t="s">
        <v>19</v>
      </c>
      <c r="J667" s="72" t="s">
        <v>274</v>
      </c>
      <c r="K667" s="74">
        <v>70</v>
      </c>
      <c r="L667" s="74">
        <f>K667*VLOOKUP(I667,dagsoorttabel1,2,FALSE)</f>
        <v>3.5</v>
      </c>
      <c r="M667" s="75">
        <f>prodnorm21</f>
        <v>0</v>
      </c>
      <c r="N667" s="76">
        <f>dagwerk21</f>
        <v>0</v>
      </c>
      <c r="O667" s="72" t="s">
        <v>38</v>
      </c>
      <c r="P667" s="77">
        <f>uurtarief21</f>
        <v>0</v>
      </c>
      <c r="Q667" s="74" t="e">
        <f>IF(ISBLANK(M667),0,L667/ROUND(M667,4))</f>
        <v>#DIV/0!</v>
      </c>
      <c r="R667" s="74" t="e">
        <f>IF(ISBLANK(M667),0,Q667*ROUND(N667,2))</f>
        <v>#DIV/0!</v>
      </c>
      <c r="S667" s="77" t="e">
        <f>ROUND(P667,2)*Q667</f>
        <v>#DIV/0!</v>
      </c>
      <c r="T667" s="74" t="e">
        <f>Q667*dagenperjaar1</f>
        <v>#DIV/0!</v>
      </c>
      <c r="U667" s="78" t="e">
        <f>T667*ROUND(P667,2)</f>
        <v>#DIV/0!</v>
      </c>
    </row>
    <row r="668" spans="1:21" x14ac:dyDescent="0.2">
      <c r="A668" s="79" t="s">
        <v>602</v>
      </c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6" t="e">
        <f>IF(_xlfn.SINGLE(object4_urenjaar1)&gt;0,_xlfn.SINGLE(object4_prijsjaar1)/_xlfn.SINGLE(object4_urenjaar1),0)</f>
        <v>#DIV/0!</v>
      </c>
      <c r="Q668" s="45" t="e">
        <f>SUM(Q440:Q667)</f>
        <v>#DIV/0!</v>
      </c>
      <c r="R668" s="45" t="e">
        <f>SUM(R440:R667)</f>
        <v>#DIV/0!</v>
      </c>
      <c r="S668" s="46" t="e">
        <f>SUM(S440:S667)</f>
        <v>#DIV/0!</v>
      </c>
      <c r="T668" s="45" t="e">
        <f>SUM(T440:T667)</f>
        <v>#DIV/0!</v>
      </c>
      <c r="U668" s="47" t="e">
        <f>SUM(U440:U667)</f>
        <v>#DIV/0!</v>
      </c>
    </row>
    <row r="669" spans="1:21" x14ac:dyDescent="0.2">
      <c r="A669" s="54" t="s">
        <v>1298</v>
      </c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42"/>
    </row>
    <row r="670" spans="1:21" x14ac:dyDescent="0.2">
      <c r="A670" s="55" t="s">
        <v>1299</v>
      </c>
      <c r="B670" s="56" t="s">
        <v>324</v>
      </c>
      <c r="C670" s="56" t="s">
        <v>345</v>
      </c>
      <c r="D670" s="56" t="s">
        <v>346</v>
      </c>
      <c r="E670" s="56" t="s">
        <v>324</v>
      </c>
      <c r="F670" s="57" t="s">
        <v>1300</v>
      </c>
      <c r="G670" s="56" t="s">
        <v>685</v>
      </c>
      <c r="H670" s="56" t="s">
        <v>217</v>
      </c>
      <c r="I670" s="56" t="s">
        <v>10</v>
      </c>
      <c r="J670" s="56" t="s">
        <v>201</v>
      </c>
      <c r="K670" s="58">
        <v>6.5</v>
      </c>
      <c r="L670" s="58">
        <f>K670*VLOOKUP(I670,dagsoorttabel1,2,FALSE)</f>
        <v>6.5</v>
      </c>
      <c r="M670" s="59">
        <f>prodnorm35</f>
        <v>0</v>
      </c>
      <c r="N670" s="60">
        <f>dagwerk35</f>
        <v>0</v>
      </c>
      <c r="O670" s="56" t="s">
        <v>38</v>
      </c>
      <c r="P670" s="61">
        <f>uurtarief35</f>
        <v>0</v>
      </c>
      <c r="Q670" s="58" t="e">
        <f>IF(ISBLANK(M670),0,L670/ROUND(M670,4))</f>
        <v>#DIV/0!</v>
      </c>
      <c r="R670" s="58" t="e">
        <f>IF(ISBLANK(M670),0,Q670*ROUND(N670,2))</f>
        <v>#DIV/0!</v>
      </c>
      <c r="S670" s="61" t="e">
        <f>ROUND(P670,2)*Q670</f>
        <v>#DIV/0!</v>
      </c>
      <c r="T670" s="58" t="e">
        <f>Q670*dagenperjaar1</f>
        <v>#DIV/0!</v>
      </c>
      <c r="U670" s="62" t="e">
        <f>T670*ROUND(P670,2)</f>
        <v>#DIV/0!</v>
      </c>
    </row>
    <row r="671" spans="1:21" x14ac:dyDescent="0.2">
      <c r="A671" s="63" t="s">
        <v>1299</v>
      </c>
      <c r="B671" s="64" t="s">
        <v>324</v>
      </c>
      <c r="C671" s="64" t="s">
        <v>345</v>
      </c>
      <c r="D671" s="64" t="s">
        <v>348</v>
      </c>
      <c r="E671" s="64" t="s">
        <v>324</v>
      </c>
      <c r="F671" s="65" t="s">
        <v>1301</v>
      </c>
      <c r="G671" s="64" t="s">
        <v>1302</v>
      </c>
      <c r="H671" s="64" t="s">
        <v>200</v>
      </c>
      <c r="I671" s="64" t="s">
        <v>10</v>
      </c>
      <c r="J671" s="64" t="s">
        <v>201</v>
      </c>
      <c r="K671" s="66">
        <v>341</v>
      </c>
      <c r="L671" s="66">
        <f>K671*VLOOKUP(I671,dagsoorttabel1,2,FALSE)</f>
        <v>341</v>
      </c>
      <c r="M671" s="67">
        <f>prodnorm24</f>
        <v>0</v>
      </c>
      <c r="N671" s="68">
        <f>dagwerk24</f>
        <v>0</v>
      </c>
      <c r="O671" s="64" t="s">
        <v>38</v>
      </c>
      <c r="P671" s="69">
        <f>uurtarief24</f>
        <v>0</v>
      </c>
      <c r="Q671" s="66" t="e">
        <f>IF(ISBLANK(M671),0,L671/ROUND(M671,4))</f>
        <v>#DIV/0!</v>
      </c>
      <c r="R671" s="66" t="e">
        <f>IF(ISBLANK(M671),0,Q671*ROUND(N671,2))</f>
        <v>#DIV/0!</v>
      </c>
      <c r="S671" s="69" t="e">
        <f>ROUND(P671,2)*Q671</f>
        <v>#DIV/0!</v>
      </c>
      <c r="T671" s="66" t="e">
        <f>Q671*dagenperjaar1</f>
        <v>#DIV/0!</v>
      </c>
      <c r="U671" s="70" t="e">
        <f>T671*ROUND(P671,2)</f>
        <v>#DIV/0!</v>
      </c>
    </row>
    <row r="672" spans="1:21" x14ac:dyDescent="0.2">
      <c r="A672" s="63" t="s">
        <v>1299</v>
      </c>
      <c r="B672" s="64" t="s">
        <v>324</v>
      </c>
      <c r="C672" s="64" t="s">
        <v>345</v>
      </c>
      <c r="D672" s="64" t="s">
        <v>1303</v>
      </c>
      <c r="E672" s="64" t="s">
        <v>324</v>
      </c>
      <c r="F672" s="65" t="s">
        <v>1304</v>
      </c>
      <c r="G672" s="64" t="s">
        <v>1302</v>
      </c>
      <c r="H672" s="64" t="s">
        <v>263</v>
      </c>
      <c r="I672" s="64" t="s">
        <v>10</v>
      </c>
      <c r="J672" s="64" t="s">
        <v>201</v>
      </c>
      <c r="K672" s="66">
        <v>30</v>
      </c>
      <c r="L672" s="66">
        <f>K672*VLOOKUP(I672,dagsoorttabel1,2,FALSE)</f>
        <v>30</v>
      </c>
      <c r="M672" s="67">
        <f>prodnorm63</f>
        <v>0</v>
      </c>
      <c r="N672" s="68">
        <f>dagwerk63</f>
        <v>0</v>
      </c>
      <c r="O672" s="64" t="s">
        <v>38</v>
      </c>
      <c r="P672" s="69">
        <f>uurtarief63</f>
        <v>0</v>
      </c>
      <c r="Q672" s="66" t="e">
        <f>IF(ISBLANK(M672),0,L672/ROUND(M672,4))</f>
        <v>#DIV/0!</v>
      </c>
      <c r="R672" s="66" t="e">
        <f>IF(ISBLANK(M672),0,Q672*ROUND(N672,2))</f>
        <v>#DIV/0!</v>
      </c>
      <c r="S672" s="69" t="e">
        <f>ROUND(P672,2)*Q672</f>
        <v>#DIV/0!</v>
      </c>
      <c r="T672" s="66" t="e">
        <f>Q672*dagenperjaar1</f>
        <v>#DIV/0!</v>
      </c>
      <c r="U672" s="70" t="e">
        <f>T672*ROUND(P672,2)</f>
        <v>#DIV/0!</v>
      </c>
    </row>
    <row r="673" spans="1:21" x14ac:dyDescent="0.2">
      <c r="A673" s="63" t="s">
        <v>1299</v>
      </c>
      <c r="B673" s="64" t="s">
        <v>324</v>
      </c>
      <c r="C673" s="64" t="s">
        <v>345</v>
      </c>
      <c r="D673" s="64" t="s">
        <v>352</v>
      </c>
      <c r="E673" s="64" t="s">
        <v>324</v>
      </c>
      <c r="F673" s="65" t="s">
        <v>1305</v>
      </c>
      <c r="G673" s="64" t="s">
        <v>365</v>
      </c>
      <c r="H673" s="64" t="s">
        <v>247</v>
      </c>
      <c r="I673" s="64" t="s">
        <v>10</v>
      </c>
      <c r="J673" s="64" t="s">
        <v>201</v>
      </c>
      <c r="K673" s="66">
        <v>100</v>
      </c>
      <c r="L673" s="66">
        <f>K673*VLOOKUP(I673,dagsoorttabel1,2,FALSE)</f>
        <v>100</v>
      </c>
      <c r="M673" s="67">
        <f>prodnorm55</f>
        <v>0</v>
      </c>
      <c r="N673" s="68">
        <f>dagwerk55</f>
        <v>0</v>
      </c>
      <c r="O673" s="64" t="s">
        <v>38</v>
      </c>
      <c r="P673" s="69">
        <f>uurtarief55</f>
        <v>0</v>
      </c>
      <c r="Q673" s="66" t="e">
        <f>IF(ISBLANK(M673),0,L673/ROUND(M673,4))</f>
        <v>#DIV/0!</v>
      </c>
      <c r="R673" s="66" t="e">
        <f>IF(ISBLANK(M673),0,Q673*ROUND(N673,2))</f>
        <v>#DIV/0!</v>
      </c>
      <c r="S673" s="69" t="e">
        <f>ROUND(P673,2)*Q673</f>
        <v>#DIV/0!</v>
      </c>
      <c r="T673" s="66" t="e">
        <f>Q673*dagenperjaar1</f>
        <v>#DIV/0!</v>
      </c>
      <c r="U673" s="70" t="e">
        <f>T673*ROUND(P673,2)</f>
        <v>#DIV/0!</v>
      </c>
    </row>
    <row r="674" spans="1:21" x14ac:dyDescent="0.2">
      <c r="A674" s="63" t="s">
        <v>1299</v>
      </c>
      <c r="B674" s="64" t="s">
        <v>324</v>
      </c>
      <c r="C674" s="64" t="s">
        <v>345</v>
      </c>
      <c r="D674" s="64" t="s">
        <v>355</v>
      </c>
      <c r="E674" s="64" t="s">
        <v>324</v>
      </c>
      <c r="F674" s="65" t="s">
        <v>1306</v>
      </c>
      <c r="G674" s="64" t="s">
        <v>1302</v>
      </c>
      <c r="H674" s="64" t="s">
        <v>243</v>
      </c>
      <c r="I674" s="64" t="s">
        <v>10</v>
      </c>
      <c r="J674" s="64" t="s">
        <v>201</v>
      </c>
      <c r="K674" s="66">
        <v>67</v>
      </c>
      <c r="L674" s="66">
        <f>K674*VLOOKUP(I674,dagsoorttabel1,2,FALSE)</f>
        <v>67</v>
      </c>
      <c r="M674" s="67">
        <f>prodnorm52</f>
        <v>0</v>
      </c>
      <c r="N674" s="68">
        <f>dagwerk52</f>
        <v>0</v>
      </c>
      <c r="O674" s="64" t="s">
        <v>38</v>
      </c>
      <c r="P674" s="69">
        <f>uurtarief52</f>
        <v>0</v>
      </c>
      <c r="Q674" s="66" t="e">
        <f>IF(ISBLANK(M674),0,L674/ROUND(M674,4))</f>
        <v>#DIV/0!</v>
      </c>
      <c r="R674" s="66" t="e">
        <f>IF(ISBLANK(M674),0,Q674*ROUND(N674,2))</f>
        <v>#DIV/0!</v>
      </c>
      <c r="S674" s="69" t="e">
        <f>ROUND(P674,2)*Q674</f>
        <v>#DIV/0!</v>
      </c>
      <c r="T674" s="66" t="e">
        <f>Q674*dagenperjaar1</f>
        <v>#DIV/0!</v>
      </c>
      <c r="U674" s="70" t="e">
        <f>T674*ROUND(P674,2)</f>
        <v>#DIV/0!</v>
      </c>
    </row>
    <row r="675" spans="1:21" ht="25.5" x14ac:dyDescent="0.2">
      <c r="A675" s="63" t="s">
        <v>1299</v>
      </c>
      <c r="B675" s="64" t="s">
        <v>324</v>
      </c>
      <c r="C675" s="64" t="s">
        <v>345</v>
      </c>
      <c r="D675" s="64" t="s">
        <v>357</v>
      </c>
      <c r="E675" s="64" t="s">
        <v>324</v>
      </c>
      <c r="F675" s="65" t="s">
        <v>1307</v>
      </c>
      <c r="G675" s="64" t="s">
        <v>365</v>
      </c>
      <c r="H675" s="64" t="s">
        <v>247</v>
      </c>
      <c r="I675" s="64" t="s">
        <v>10</v>
      </c>
      <c r="J675" s="64" t="s">
        <v>201</v>
      </c>
      <c r="K675" s="66">
        <v>11.1</v>
      </c>
      <c r="L675" s="66">
        <f>K675*VLOOKUP(I675,dagsoorttabel1,2,FALSE)</f>
        <v>11.1</v>
      </c>
      <c r="M675" s="67">
        <f>prodnorm55</f>
        <v>0</v>
      </c>
      <c r="N675" s="68">
        <f>dagwerk55</f>
        <v>0</v>
      </c>
      <c r="O675" s="64" t="s">
        <v>38</v>
      </c>
      <c r="P675" s="69">
        <f>uurtarief55</f>
        <v>0</v>
      </c>
      <c r="Q675" s="66" t="e">
        <f>IF(ISBLANK(M675),0,L675/ROUND(M675,4))</f>
        <v>#DIV/0!</v>
      </c>
      <c r="R675" s="66" t="e">
        <f>IF(ISBLANK(M675),0,Q675*ROUND(N675,2))</f>
        <v>#DIV/0!</v>
      </c>
      <c r="S675" s="69" t="e">
        <f>ROUND(P675,2)*Q675</f>
        <v>#DIV/0!</v>
      </c>
      <c r="T675" s="66" t="e">
        <f>Q675*dagenperjaar1</f>
        <v>#DIV/0!</v>
      </c>
      <c r="U675" s="70" t="e">
        <f>T675*ROUND(P675,2)</f>
        <v>#DIV/0!</v>
      </c>
    </row>
    <row r="676" spans="1:21" x14ac:dyDescent="0.2">
      <c r="A676" s="63" t="s">
        <v>1299</v>
      </c>
      <c r="B676" s="64" t="s">
        <v>324</v>
      </c>
      <c r="C676" s="64" t="s">
        <v>345</v>
      </c>
      <c r="D676" s="64" t="s">
        <v>1308</v>
      </c>
      <c r="E676" s="64" t="s">
        <v>324</v>
      </c>
      <c r="F676" s="65" t="s">
        <v>641</v>
      </c>
      <c r="G676" s="64" t="s">
        <v>365</v>
      </c>
      <c r="H676" s="64" t="s">
        <v>255</v>
      </c>
      <c r="I676" s="64" t="s">
        <v>10</v>
      </c>
      <c r="J676" s="64" t="s">
        <v>201</v>
      </c>
      <c r="K676" s="66">
        <v>5</v>
      </c>
      <c r="L676" s="66">
        <f>K676*VLOOKUP(I676,dagsoorttabel1,2,FALSE)</f>
        <v>5</v>
      </c>
      <c r="M676" s="67">
        <f>prodnorm59</f>
        <v>0</v>
      </c>
      <c r="N676" s="68">
        <f>dagwerk59</f>
        <v>0</v>
      </c>
      <c r="O676" s="64" t="s">
        <v>38</v>
      </c>
      <c r="P676" s="69">
        <f>uurtarief59</f>
        <v>0</v>
      </c>
      <c r="Q676" s="66" t="e">
        <f>IF(ISBLANK(M676),0,L676/ROUND(M676,4))</f>
        <v>#DIV/0!</v>
      </c>
      <c r="R676" s="66" t="e">
        <f>IF(ISBLANK(M676),0,Q676*ROUND(N676,2))</f>
        <v>#DIV/0!</v>
      </c>
      <c r="S676" s="69" t="e">
        <f>ROUND(P676,2)*Q676</f>
        <v>#DIV/0!</v>
      </c>
      <c r="T676" s="66" t="e">
        <f>Q676*dagenperjaar1</f>
        <v>#DIV/0!</v>
      </c>
      <c r="U676" s="70" t="e">
        <f>T676*ROUND(P676,2)</f>
        <v>#DIV/0!</v>
      </c>
    </row>
    <row r="677" spans="1:21" x14ac:dyDescent="0.2">
      <c r="A677" s="63" t="s">
        <v>1299</v>
      </c>
      <c r="B677" s="64" t="s">
        <v>324</v>
      </c>
      <c r="C677" s="64" t="s">
        <v>345</v>
      </c>
      <c r="D677" s="64" t="s">
        <v>1308</v>
      </c>
      <c r="E677" s="64" t="s">
        <v>324</v>
      </c>
      <c r="F677" s="65" t="s">
        <v>641</v>
      </c>
      <c r="G677" s="64" t="s">
        <v>365</v>
      </c>
      <c r="H677" s="64" t="s">
        <v>257</v>
      </c>
      <c r="I677" s="64" t="s">
        <v>10</v>
      </c>
      <c r="J677" s="64" t="s">
        <v>201</v>
      </c>
      <c r="K677" s="66">
        <v>5</v>
      </c>
      <c r="L677" s="66">
        <f>K677*VLOOKUP(I677,dagsoorttabel1,2,FALSE)</f>
        <v>5</v>
      </c>
      <c r="M677" s="67">
        <f>prodnorm60</f>
        <v>0</v>
      </c>
      <c r="N677" s="68">
        <f>dagwerk60</f>
        <v>0</v>
      </c>
      <c r="O677" s="64" t="s">
        <v>38</v>
      </c>
      <c r="P677" s="69">
        <f>uurtarief60</f>
        <v>0</v>
      </c>
      <c r="Q677" s="66" t="e">
        <f>IF(ISBLANK(M677),0,L677/ROUND(M677,4))</f>
        <v>#DIV/0!</v>
      </c>
      <c r="R677" s="66" t="e">
        <f>IF(ISBLANK(M677),0,Q677*ROUND(N677,2))</f>
        <v>#DIV/0!</v>
      </c>
      <c r="S677" s="69" t="e">
        <f>ROUND(P677,2)*Q677</f>
        <v>#DIV/0!</v>
      </c>
      <c r="T677" s="66" t="e">
        <f>Q677*dagenperjaar1</f>
        <v>#DIV/0!</v>
      </c>
      <c r="U677" s="70" t="e">
        <f>T677*ROUND(P677,2)</f>
        <v>#DIV/0!</v>
      </c>
    </row>
    <row r="678" spans="1:21" x14ac:dyDescent="0.2">
      <c r="A678" s="63" t="s">
        <v>1299</v>
      </c>
      <c r="B678" s="64" t="s">
        <v>324</v>
      </c>
      <c r="C678" s="64" t="s">
        <v>345</v>
      </c>
      <c r="D678" s="64" t="s">
        <v>359</v>
      </c>
      <c r="E678" s="64" t="s">
        <v>324</v>
      </c>
      <c r="F678" s="65" t="s">
        <v>1309</v>
      </c>
      <c r="G678" s="64" t="s">
        <v>1302</v>
      </c>
      <c r="H678" s="64" t="s">
        <v>249</v>
      </c>
      <c r="I678" s="64" t="s">
        <v>10</v>
      </c>
      <c r="J678" s="64" t="s">
        <v>201</v>
      </c>
      <c r="K678" s="66">
        <v>175</v>
      </c>
      <c r="L678" s="66">
        <f>K678*VLOOKUP(I678,dagsoorttabel1,2,FALSE)</f>
        <v>175</v>
      </c>
      <c r="M678" s="67">
        <f>prodnorm56</f>
        <v>0</v>
      </c>
      <c r="N678" s="68">
        <f>dagwerk56</f>
        <v>0</v>
      </c>
      <c r="O678" s="64" t="s">
        <v>38</v>
      </c>
      <c r="P678" s="69">
        <f>uurtarief56</f>
        <v>0</v>
      </c>
      <c r="Q678" s="66" t="e">
        <f>IF(ISBLANK(M678),0,L678/ROUND(M678,4))</f>
        <v>#DIV/0!</v>
      </c>
      <c r="R678" s="66" t="e">
        <f>IF(ISBLANK(M678),0,Q678*ROUND(N678,2))</f>
        <v>#DIV/0!</v>
      </c>
      <c r="S678" s="69" t="e">
        <f>ROUND(P678,2)*Q678</f>
        <v>#DIV/0!</v>
      </c>
      <c r="T678" s="66" t="e">
        <f>Q678*dagenperjaar1</f>
        <v>#DIV/0!</v>
      </c>
      <c r="U678" s="70" t="e">
        <f>T678*ROUND(P678,2)</f>
        <v>#DIV/0!</v>
      </c>
    </row>
    <row r="679" spans="1:21" x14ac:dyDescent="0.2">
      <c r="A679" s="63" t="s">
        <v>1299</v>
      </c>
      <c r="B679" s="64" t="s">
        <v>324</v>
      </c>
      <c r="C679" s="64" t="s">
        <v>345</v>
      </c>
      <c r="D679" s="64" t="s">
        <v>1310</v>
      </c>
      <c r="E679" s="64" t="s">
        <v>324</v>
      </c>
      <c r="F679" s="65" t="s">
        <v>1311</v>
      </c>
      <c r="G679" s="64" t="s">
        <v>538</v>
      </c>
      <c r="H679" s="64" t="s">
        <v>249</v>
      </c>
      <c r="I679" s="64" t="s">
        <v>10</v>
      </c>
      <c r="J679" s="64" t="s">
        <v>201</v>
      </c>
      <c r="K679" s="66">
        <v>25</v>
      </c>
      <c r="L679" s="66">
        <f>K679*VLOOKUP(I679,dagsoorttabel1,2,FALSE)</f>
        <v>25</v>
      </c>
      <c r="M679" s="67">
        <f>prodnorm56</f>
        <v>0</v>
      </c>
      <c r="N679" s="68">
        <f>dagwerk56</f>
        <v>0</v>
      </c>
      <c r="O679" s="64" t="s">
        <v>38</v>
      </c>
      <c r="P679" s="69">
        <f>uurtarief56</f>
        <v>0</v>
      </c>
      <c r="Q679" s="66" t="e">
        <f>IF(ISBLANK(M679),0,L679/ROUND(M679,4))</f>
        <v>#DIV/0!</v>
      </c>
      <c r="R679" s="66" t="e">
        <f>IF(ISBLANK(M679),0,Q679*ROUND(N679,2))</f>
        <v>#DIV/0!</v>
      </c>
      <c r="S679" s="69" t="e">
        <f>ROUND(P679,2)*Q679</f>
        <v>#DIV/0!</v>
      </c>
      <c r="T679" s="66" t="e">
        <f>Q679*dagenperjaar1</f>
        <v>#DIV/0!</v>
      </c>
      <c r="U679" s="70" t="e">
        <f>T679*ROUND(P679,2)</f>
        <v>#DIV/0!</v>
      </c>
    </row>
    <row r="680" spans="1:21" x14ac:dyDescent="0.2">
      <c r="A680" s="63" t="s">
        <v>1299</v>
      </c>
      <c r="B680" s="64" t="s">
        <v>324</v>
      </c>
      <c r="C680" s="64" t="s">
        <v>345</v>
      </c>
      <c r="D680" s="64" t="s">
        <v>853</v>
      </c>
      <c r="E680" s="64" t="s">
        <v>324</v>
      </c>
      <c r="F680" s="65" t="s">
        <v>1312</v>
      </c>
      <c r="G680" s="64" t="s">
        <v>1302</v>
      </c>
      <c r="H680" s="64" t="s">
        <v>249</v>
      </c>
      <c r="I680" s="64" t="s">
        <v>10</v>
      </c>
      <c r="J680" s="64" t="s">
        <v>201</v>
      </c>
      <c r="K680" s="66">
        <v>140</v>
      </c>
      <c r="L680" s="66">
        <f>K680*VLOOKUP(I680,dagsoorttabel1,2,FALSE)</f>
        <v>140</v>
      </c>
      <c r="M680" s="67">
        <f>prodnorm56</f>
        <v>0</v>
      </c>
      <c r="N680" s="68">
        <f>dagwerk56</f>
        <v>0</v>
      </c>
      <c r="O680" s="64" t="s">
        <v>38</v>
      </c>
      <c r="P680" s="69">
        <f>uurtarief56</f>
        <v>0</v>
      </c>
      <c r="Q680" s="66" t="e">
        <f>IF(ISBLANK(M680),0,L680/ROUND(M680,4))</f>
        <v>#DIV/0!</v>
      </c>
      <c r="R680" s="66" t="e">
        <f>IF(ISBLANK(M680),0,Q680*ROUND(N680,2))</f>
        <v>#DIV/0!</v>
      </c>
      <c r="S680" s="69" t="e">
        <f>ROUND(P680,2)*Q680</f>
        <v>#DIV/0!</v>
      </c>
      <c r="T680" s="66" t="e">
        <f>Q680*dagenperjaar1</f>
        <v>#DIV/0!</v>
      </c>
      <c r="U680" s="70" t="e">
        <f>T680*ROUND(P680,2)</f>
        <v>#DIV/0!</v>
      </c>
    </row>
    <row r="681" spans="1:21" x14ac:dyDescent="0.2">
      <c r="A681" s="63" t="s">
        <v>1299</v>
      </c>
      <c r="B681" s="64" t="s">
        <v>324</v>
      </c>
      <c r="C681" s="64" t="s">
        <v>345</v>
      </c>
      <c r="D681" s="64" t="s">
        <v>1313</v>
      </c>
      <c r="E681" s="64" t="s">
        <v>324</v>
      </c>
      <c r="F681" s="65" t="s">
        <v>1312</v>
      </c>
      <c r="G681" s="64" t="s">
        <v>365</v>
      </c>
      <c r="H681" s="64" t="s">
        <v>249</v>
      </c>
      <c r="I681" s="64" t="s">
        <v>10</v>
      </c>
      <c r="J681" s="64" t="s">
        <v>201</v>
      </c>
      <c r="K681" s="66">
        <v>100</v>
      </c>
      <c r="L681" s="66">
        <f>K681*VLOOKUP(I681,dagsoorttabel1,2,FALSE)</f>
        <v>100</v>
      </c>
      <c r="M681" s="67">
        <f>prodnorm56</f>
        <v>0</v>
      </c>
      <c r="N681" s="68">
        <f>dagwerk56</f>
        <v>0</v>
      </c>
      <c r="O681" s="64" t="s">
        <v>38</v>
      </c>
      <c r="P681" s="69">
        <f>uurtarief56</f>
        <v>0</v>
      </c>
      <c r="Q681" s="66" t="e">
        <f>IF(ISBLANK(M681),0,L681/ROUND(M681,4))</f>
        <v>#DIV/0!</v>
      </c>
      <c r="R681" s="66" t="e">
        <f>IF(ISBLANK(M681),0,Q681*ROUND(N681,2))</f>
        <v>#DIV/0!</v>
      </c>
      <c r="S681" s="69" t="e">
        <f>ROUND(P681,2)*Q681</f>
        <v>#DIV/0!</v>
      </c>
      <c r="T681" s="66" t="e">
        <f>Q681*dagenperjaar1</f>
        <v>#DIV/0!</v>
      </c>
      <c r="U681" s="70" t="e">
        <f>T681*ROUND(P681,2)</f>
        <v>#DIV/0!</v>
      </c>
    </row>
    <row r="682" spans="1:21" x14ac:dyDescent="0.2">
      <c r="A682" s="63" t="s">
        <v>1299</v>
      </c>
      <c r="B682" s="64" t="s">
        <v>324</v>
      </c>
      <c r="C682" s="64" t="s">
        <v>345</v>
      </c>
      <c r="D682" s="64" t="s">
        <v>366</v>
      </c>
      <c r="E682" s="64" t="s">
        <v>324</v>
      </c>
      <c r="F682" s="65" t="s">
        <v>344</v>
      </c>
      <c r="G682" s="64" t="s">
        <v>1302</v>
      </c>
      <c r="H682" s="64" t="s">
        <v>263</v>
      </c>
      <c r="I682" s="64" t="s">
        <v>10</v>
      </c>
      <c r="J682" s="64" t="s">
        <v>201</v>
      </c>
      <c r="K682" s="66">
        <v>20</v>
      </c>
      <c r="L682" s="66">
        <f>K682*VLOOKUP(I682,dagsoorttabel1,2,FALSE)</f>
        <v>20</v>
      </c>
      <c r="M682" s="67">
        <f>prodnorm63</f>
        <v>0</v>
      </c>
      <c r="N682" s="68">
        <f>dagwerk63</f>
        <v>0</v>
      </c>
      <c r="O682" s="64" t="s">
        <v>38</v>
      </c>
      <c r="P682" s="69">
        <f>uurtarief63</f>
        <v>0</v>
      </c>
      <c r="Q682" s="66" t="e">
        <f>IF(ISBLANK(M682),0,L682/ROUND(M682,4))</f>
        <v>#DIV/0!</v>
      </c>
      <c r="R682" s="66" t="e">
        <f>IF(ISBLANK(M682),0,Q682*ROUND(N682,2))</f>
        <v>#DIV/0!</v>
      </c>
      <c r="S682" s="69" t="e">
        <f>ROUND(P682,2)*Q682</f>
        <v>#DIV/0!</v>
      </c>
      <c r="T682" s="66" t="e">
        <f>Q682*dagenperjaar1</f>
        <v>#DIV/0!</v>
      </c>
      <c r="U682" s="70" t="e">
        <f>T682*ROUND(P682,2)</f>
        <v>#DIV/0!</v>
      </c>
    </row>
    <row r="683" spans="1:21" x14ac:dyDescent="0.2">
      <c r="A683" s="63" t="s">
        <v>1299</v>
      </c>
      <c r="B683" s="64" t="s">
        <v>324</v>
      </c>
      <c r="C683" s="64" t="s">
        <v>345</v>
      </c>
      <c r="D683" s="64" t="s">
        <v>368</v>
      </c>
      <c r="E683" s="64" t="s">
        <v>324</v>
      </c>
      <c r="F683" s="65" t="s">
        <v>1314</v>
      </c>
      <c r="G683" s="64" t="s">
        <v>1302</v>
      </c>
      <c r="H683" s="64" t="s">
        <v>267</v>
      </c>
      <c r="I683" s="64" t="s">
        <v>10</v>
      </c>
      <c r="J683" s="64" t="s">
        <v>201</v>
      </c>
      <c r="K683" s="66">
        <v>31.2</v>
      </c>
      <c r="L683" s="66">
        <f>K683*VLOOKUP(I683,dagsoorttabel1,2,FALSE)</f>
        <v>31.2</v>
      </c>
      <c r="M683" s="67">
        <f>prodnorm65</f>
        <v>0</v>
      </c>
      <c r="N683" s="68">
        <f>dagwerk65</f>
        <v>0</v>
      </c>
      <c r="O683" s="64" t="s">
        <v>38</v>
      </c>
      <c r="P683" s="69">
        <f>uurtarief65</f>
        <v>0</v>
      </c>
      <c r="Q683" s="66" t="e">
        <f>IF(ISBLANK(M683),0,L683/ROUND(M683,4))</f>
        <v>#DIV/0!</v>
      </c>
      <c r="R683" s="66" t="e">
        <f>IF(ISBLANK(M683),0,Q683*ROUND(N683,2))</f>
        <v>#DIV/0!</v>
      </c>
      <c r="S683" s="69" t="e">
        <f>ROUND(P683,2)*Q683</f>
        <v>#DIV/0!</v>
      </c>
      <c r="T683" s="66" t="e">
        <f>Q683*dagenperjaar1</f>
        <v>#DIV/0!</v>
      </c>
      <c r="U683" s="70" t="e">
        <f>T683*ROUND(P683,2)</f>
        <v>#DIV/0!</v>
      </c>
    </row>
    <row r="684" spans="1:21" x14ac:dyDescent="0.2">
      <c r="A684" s="63" t="s">
        <v>1299</v>
      </c>
      <c r="B684" s="64" t="s">
        <v>324</v>
      </c>
      <c r="C684" s="64" t="s">
        <v>345</v>
      </c>
      <c r="D684" s="64" t="s">
        <v>1315</v>
      </c>
      <c r="E684" s="64" t="s">
        <v>324</v>
      </c>
      <c r="F684" s="65" t="s">
        <v>327</v>
      </c>
      <c r="G684" s="64" t="s">
        <v>1302</v>
      </c>
      <c r="H684" s="64" t="s">
        <v>223</v>
      </c>
      <c r="I684" s="64" t="s">
        <v>10</v>
      </c>
      <c r="J684" s="64" t="s">
        <v>201</v>
      </c>
      <c r="K684" s="66">
        <v>4</v>
      </c>
      <c r="L684" s="66">
        <f>K684*VLOOKUP(I684,dagsoorttabel1,2,FALSE)</f>
        <v>4</v>
      </c>
      <c r="M684" s="67">
        <f>prodnorm39</f>
        <v>0</v>
      </c>
      <c r="N684" s="68">
        <f>dagwerk39</f>
        <v>0</v>
      </c>
      <c r="O684" s="64" t="s">
        <v>38</v>
      </c>
      <c r="P684" s="69">
        <f>uurtarief39</f>
        <v>0</v>
      </c>
      <c r="Q684" s="66" t="e">
        <f>IF(ISBLANK(M684),0,L684/ROUND(M684,4))</f>
        <v>#DIV/0!</v>
      </c>
      <c r="R684" s="66" t="e">
        <f>IF(ISBLANK(M684),0,Q684*ROUND(N684,2))</f>
        <v>#DIV/0!</v>
      </c>
      <c r="S684" s="69" t="e">
        <f>ROUND(P684,2)*Q684</f>
        <v>#DIV/0!</v>
      </c>
      <c r="T684" s="66" t="e">
        <f>Q684*dagenperjaar1</f>
        <v>#DIV/0!</v>
      </c>
      <c r="U684" s="70" t="e">
        <f>T684*ROUND(P684,2)</f>
        <v>#DIV/0!</v>
      </c>
    </row>
    <row r="685" spans="1:21" x14ac:dyDescent="0.2">
      <c r="A685" s="63" t="s">
        <v>1299</v>
      </c>
      <c r="B685" s="64" t="s">
        <v>324</v>
      </c>
      <c r="C685" s="64" t="s">
        <v>345</v>
      </c>
      <c r="D685" s="64" t="s">
        <v>377</v>
      </c>
      <c r="E685" s="64" t="s">
        <v>324</v>
      </c>
      <c r="F685" s="65" t="s">
        <v>1316</v>
      </c>
      <c r="G685" s="64" t="s">
        <v>1302</v>
      </c>
      <c r="H685" s="64" t="s">
        <v>200</v>
      </c>
      <c r="I685" s="64" t="s">
        <v>10</v>
      </c>
      <c r="J685" s="64" t="s">
        <v>201</v>
      </c>
      <c r="K685" s="66">
        <v>1030</v>
      </c>
      <c r="L685" s="66">
        <f>K685*VLOOKUP(I685,dagsoorttabel1,2,FALSE)</f>
        <v>1030</v>
      </c>
      <c r="M685" s="67">
        <f>prodnorm24</f>
        <v>0</v>
      </c>
      <c r="N685" s="68">
        <f>dagwerk24</f>
        <v>0</v>
      </c>
      <c r="O685" s="64" t="s">
        <v>38</v>
      </c>
      <c r="P685" s="69">
        <f>uurtarief24</f>
        <v>0</v>
      </c>
      <c r="Q685" s="66" t="e">
        <f>IF(ISBLANK(M685),0,L685/ROUND(M685,4))</f>
        <v>#DIV/0!</v>
      </c>
      <c r="R685" s="66" t="e">
        <f>IF(ISBLANK(M685),0,Q685*ROUND(N685,2))</f>
        <v>#DIV/0!</v>
      </c>
      <c r="S685" s="69" t="e">
        <f>ROUND(P685,2)*Q685</f>
        <v>#DIV/0!</v>
      </c>
      <c r="T685" s="66" t="e">
        <f>Q685*dagenperjaar1</f>
        <v>#DIV/0!</v>
      </c>
      <c r="U685" s="70" t="e">
        <f>T685*ROUND(P685,2)</f>
        <v>#DIV/0!</v>
      </c>
    </row>
    <row r="686" spans="1:21" x14ac:dyDescent="0.2">
      <c r="A686" s="63" t="s">
        <v>1299</v>
      </c>
      <c r="B686" s="64" t="s">
        <v>324</v>
      </c>
      <c r="C686" s="64" t="s">
        <v>345</v>
      </c>
      <c r="D686" s="64" t="s">
        <v>1317</v>
      </c>
      <c r="E686" s="64" t="s">
        <v>324</v>
      </c>
      <c r="F686" s="65" t="s">
        <v>1318</v>
      </c>
      <c r="G686" s="64" t="s">
        <v>1302</v>
      </c>
      <c r="H686" s="64" t="s">
        <v>241</v>
      </c>
      <c r="I686" s="64" t="s">
        <v>10</v>
      </c>
      <c r="J686" s="64" t="s">
        <v>201</v>
      </c>
      <c r="K686" s="66">
        <v>45</v>
      </c>
      <c r="L686" s="66">
        <f>K686*VLOOKUP(I686,dagsoorttabel1,2,FALSE)</f>
        <v>45</v>
      </c>
      <c r="M686" s="67">
        <f>prodnorm51</f>
        <v>0</v>
      </c>
      <c r="N686" s="68">
        <f>dagwerk51</f>
        <v>0</v>
      </c>
      <c r="O686" s="64" t="s">
        <v>38</v>
      </c>
      <c r="P686" s="69">
        <f>uurtarief51</f>
        <v>0</v>
      </c>
      <c r="Q686" s="66" t="e">
        <f>IF(ISBLANK(M686),0,L686/ROUND(M686,4))</f>
        <v>#DIV/0!</v>
      </c>
      <c r="R686" s="66" t="e">
        <f>IF(ISBLANK(M686),0,Q686*ROUND(N686,2))</f>
        <v>#DIV/0!</v>
      </c>
      <c r="S686" s="69" t="e">
        <f>ROUND(P686,2)*Q686</f>
        <v>#DIV/0!</v>
      </c>
      <c r="T686" s="66" t="e">
        <f>Q686*dagenperjaar1</f>
        <v>#DIV/0!</v>
      </c>
      <c r="U686" s="70" t="e">
        <f>T686*ROUND(P686,2)</f>
        <v>#DIV/0!</v>
      </c>
    </row>
    <row r="687" spans="1:21" x14ac:dyDescent="0.2">
      <c r="A687" s="63" t="s">
        <v>1299</v>
      </c>
      <c r="B687" s="64" t="s">
        <v>324</v>
      </c>
      <c r="C687" s="64" t="s">
        <v>345</v>
      </c>
      <c r="D687" s="64" t="s">
        <v>868</v>
      </c>
      <c r="E687" s="64" t="s">
        <v>324</v>
      </c>
      <c r="F687" s="65" t="s">
        <v>1319</v>
      </c>
      <c r="G687" s="64" t="s">
        <v>1302</v>
      </c>
      <c r="H687" s="64" t="s">
        <v>267</v>
      </c>
      <c r="I687" s="64" t="s">
        <v>10</v>
      </c>
      <c r="J687" s="64" t="s">
        <v>201</v>
      </c>
      <c r="K687" s="66">
        <v>16</v>
      </c>
      <c r="L687" s="66">
        <f>K687*VLOOKUP(I687,dagsoorttabel1,2,FALSE)</f>
        <v>16</v>
      </c>
      <c r="M687" s="67">
        <f>prodnorm65</f>
        <v>0</v>
      </c>
      <c r="N687" s="68">
        <f>dagwerk65</f>
        <v>0</v>
      </c>
      <c r="O687" s="64" t="s">
        <v>38</v>
      </c>
      <c r="P687" s="69">
        <f>uurtarief65</f>
        <v>0</v>
      </c>
      <c r="Q687" s="66" t="e">
        <f>IF(ISBLANK(M687),0,L687/ROUND(M687,4))</f>
        <v>#DIV/0!</v>
      </c>
      <c r="R687" s="66" t="e">
        <f>IF(ISBLANK(M687),0,Q687*ROUND(N687,2))</f>
        <v>#DIV/0!</v>
      </c>
      <c r="S687" s="69" t="e">
        <f>ROUND(P687,2)*Q687</f>
        <v>#DIV/0!</v>
      </c>
      <c r="T687" s="66" t="e">
        <f>Q687*dagenperjaar1</f>
        <v>#DIV/0!</v>
      </c>
      <c r="U687" s="70" t="e">
        <f>T687*ROUND(P687,2)</f>
        <v>#DIV/0!</v>
      </c>
    </row>
    <row r="688" spans="1:21" x14ac:dyDescent="0.2">
      <c r="A688" s="63" t="s">
        <v>1299</v>
      </c>
      <c r="B688" s="64" t="s">
        <v>324</v>
      </c>
      <c r="C688" s="64" t="s">
        <v>345</v>
      </c>
      <c r="D688" s="64" t="s">
        <v>869</v>
      </c>
      <c r="E688" s="64" t="s">
        <v>324</v>
      </c>
      <c r="F688" s="65" t="s">
        <v>338</v>
      </c>
      <c r="G688" s="64" t="s">
        <v>1302</v>
      </c>
      <c r="H688" s="64" t="s">
        <v>263</v>
      </c>
      <c r="I688" s="64" t="s">
        <v>10</v>
      </c>
      <c r="J688" s="64" t="s">
        <v>201</v>
      </c>
      <c r="K688" s="66">
        <v>20</v>
      </c>
      <c r="L688" s="66">
        <f>K688*VLOOKUP(I688,dagsoorttabel1,2,FALSE)</f>
        <v>20</v>
      </c>
      <c r="M688" s="67">
        <f>prodnorm63</f>
        <v>0</v>
      </c>
      <c r="N688" s="68">
        <f>dagwerk63</f>
        <v>0</v>
      </c>
      <c r="O688" s="64" t="s">
        <v>38</v>
      </c>
      <c r="P688" s="69">
        <f>uurtarief63</f>
        <v>0</v>
      </c>
      <c r="Q688" s="66" t="e">
        <f>IF(ISBLANK(M688),0,L688/ROUND(M688,4))</f>
        <v>#DIV/0!</v>
      </c>
      <c r="R688" s="66" t="e">
        <f>IF(ISBLANK(M688),0,Q688*ROUND(N688,2))</f>
        <v>#DIV/0!</v>
      </c>
      <c r="S688" s="69" t="e">
        <f>ROUND(P688,2)*Q688</f>
        <v>#DIV/0!</v>
      </c>
      <c r="T688" s="66" t="e">
        <f>Q688*dagenperjaar1</f>
        <v>#DIV/0!</v>
      </c>
      <c r="U688" s="70" t="e">
        <f>T688*ROUND(P688,2)</f>
        <v>#DIV/0!</v>
      </c>
    </row>
    <row r="689" spans="1:21" x14ac:dyDescent="0.2">
      <c r="A689" s="63" t="s">
        <v>1299</v>
      </c>
      <c r="B689" s="64" t="s">
        <v>324</v>
      </c>
      <c r="C689" s="64" t="s">
        <v>345</v>
      </c>
      <c r="D689" s="64" t="s">
        <v>400</v>
      </c>
      <c r="E689" s="64" t="s">
        <v>324</v>
      </c>
      <c r="F689" s="65" t="s">
        <v>1320</v>
      </c>
      <c r="G689" s="64" t="s">
        <v>1302</v>
      </c>
      <c r="H689" s="64" t="s">
        <v>267</v>
      </c>
      <c r="I689" s="64" t="s">
        <v>10</v>
      </c>
      <c r="J689" s="64" t="s">
        <v>201</v>
      </c>
      <c r="K689" s="66">
        <v>40</v>
      </c>
      <c r="L689" s="66">
        <f>K689*VLOOKUP(I689,dagsoorttabel1,2,FALSE)</f>
        <v>40</v>
      </c>
      <c r="M689" s="67">
        <f>prodnorm65</f>
        <v>0</v>
      </c>
      <c r="N689" s="68">
        <f>dagwerk65</f>
        <v>0</v>
      </c>
      <c r="O689" s="64" t="s">
        <v>38</v>
      </c>
      <c r="P689" s="69">
        <f>uurtarief65</f>
        <v>0</v>
      </c>
      <c r="Q689" s="66" t="e">
        <f>IF(ISBLANK(M689),0,L689/ROUND(M689,4))</f>
        <v>#DIV/0!</v>
      </c>
      <c r="R689" s="66" t="e">
        <f>IF(ISBLANK(M689),0,Q689*ROUND(N689,2))</f>
        <v>#DIV/0!</v>
      </c>
      <c r="S689" s="69" t="e">
        <f>ROUND(P689,2)*Q689</f>
        <v>#DIV/0!</v>
      </c>
      <c r="T689" s="66" t="e">
        <f>Q689*dagenperjaar1</f>
        <v>#DIV/0!</v>
      </c>
      <c r="U689" s="70" t="e">
        <f>T689*ROUND(P689,2)</f>
        <v>#DIV/0!</v>
      </c>
    </row>
    <row r="690" spans="1:21" x14ac:dyDescent="0.2">
      <c r="A690" s="63" t="s">
        <v>1299</v>
      </c>
      <c r="B690" s="64" t="s">
        <v>324</v>
      </c>
      <c r="C690" s="64" t="s">
        <v>345</v>
      </c>
      <c r="D690" s="64" t="s">
        <v>402</v>
      </c>
      <c r="E690" s="64" t="s">
        <v>324</v>
      </c>
      <c r="F690" s="65" t="s">
        <v>671</v>
      </c>
      <c r="G690" s="64" t="s">
        <v>365</v>
      </c>
      <c r="H690" s="64" t="s">
        <v>255</v>
      </c>
      <c r="I690" s="64" t="s">
        <v>10</v>
      </c>
      <c r="J690" s="64" t="s">
        <v>201</v>
      </c>
      <c r="K690" s="66">
        <v>15.2</v>
      </c>
      <c r="L690" s="66">
        <f>K690*VLOOKUP(I690,dagsoorttabel1,2,FALSE)</f>
        <v>15.2</v>
      </c>
      <c r="M690" s="67">
        <f>prodnorm59</f>
        <v>0</v>
      </c>
      <c r="N690" s="68">
        <f>dagwerk59</f>
        <v>0</v>
      </c>
      <c r="O690" s="64" t="s">
        <v>38</v>
      </c>
      <c r="P690" s="69">
        <f>uurtarief59</f>
        <v>0</v>
      </c>
      <c r="Q690" s="66" t="e">
        <f>IF(ISBLANK(M690),0,L690/ROUND(M690,4))</f>
        <v>#DIV/0!</v>
      </c>
      <c r="R690" s="66" t="e">
        <f>IF(ISBLANK(M690),0,Q690*ROUND(N690,2))</f>
        <v>#DIV/0!</v>
      </c>
      <c r="S690" s="69" t="e">
        <f>ROUND(P690,2)*Q690</f>
        <v>#DIV/0!</v>
      </c>
      <c r="T690" s="66" t="e">
        <f>Q690*dagenperjaar1</f>
        <v>#DIV/0!</v>
      </c>
      <c r="U690" s="70" t="e">
        <f>T690*ROUND(P690,2)</f>
        <v>#DIV/0!</v>
      </c>
    </row>
    <row r="691" spans="1:21" x14ac:dyDescent="0.2">
      <c r="A691" s="63" t="s">
        <v>1299</v>
      </c>
      <c r="B691" s="64" t="s">
        <v>324</v>
      </c>
      <c r="C691" s="64" t="s">
        <v>345</v>
      </c>
      <c r="D691" s="64" t="s">
        <v>402</v>
      </c>
      <c r="E691" s="64" t="s">
        <v>324</v>
      </c>
      <c r="F691" s="65" t="s">
        <v>671</v>
      </c>
      <c r="G691" s="64" t="s">
        <v>365</v>
      </c>
      <c r="H691" s="64" t="s">
        <v>257</v>
      </c>
      <c r="I691" s="64" t="s">
        <v>10</v>
      </c>
      <c r="J691" s="64" t="s">
        <v>201</v>
      </c>
      <c r="K691" s="66">
        <v>15.2</v>
      </c>
      <c r="L691" s="66">
        <f>K691*VLOOKUP(I691,dagsoorttabel1,2,FALSE)</f>
        <v>15.2</v>
      </c>
      <c r="M691" s="67">
        <f>prodnorm60</f>
        <v>0</v>
      </c>
      <c r="N691" s="68">
        <f>dagwerk60</f>
        <v>0</v>
      </c>
      <c r="O691" s="64" t="s">
        <v>38</v>
      </c>
      <c r="P691" s="69">
        <f>uurtarief60</f>
        <v>0</v>
      </c>
      <c r="Q691" s="66" t="e">
        <f>IF(ISBLANK(M691),0,L691/ROUND(M691,4))</f>
        <v>#DIV/0!</v>
      </c>
      <c r="R691" s="66" t="e">
        <f>IF(ISBLANK(M691),0,Q691*ROUND(N691,2))</f>
        <v>#DIV/0!</v>
      </c>
      <c r="S691" s="69" t="e">
        <f>ROUND(P691,2)*Q691</f>
        <v>#DIV/0!</v>
      </c>
      <c r="T691" s="66" t="e">
        <f>Q691*dagenperjaar1</f>
        <v>#DIV/0!</v>
      </c>
      <c r="U691" s="70" t="e">
        <f>T691*ROUND(P691,2)</f>
        <v>#DIV/0!</v>
      </c>
    </row>
    <row r="692" spans="1:21" x14ac:dyDescent="0.2">
      <c r="A692" s="63" t="s">
        <v>1299</v>
      </c>
      <c r="B692" s="64" t="s">
        <v>324</v>
      </c>
      <c r="C692" s="64" t="s">
        <v>345</v>
      </c>
      <c r="D692" s="64" t="s">
        <v>1321</v>
      </c>
      <c r="E692" s="64" t="s">
        <v>324</v>
      </c>
      <c r="F692" s="65" t="s">
        <v>671</v>
      </c>
      <c r="G692" s="64" t="s">
        <v>365</v>
      </c>
      <c r="H692" s="64" t="s">
        <v>255</v>
      </c>
      <c r="I692" s="64" t="s">
        <v>10</v>
      </c>
      <c r="J692" s="64" t="s">
        <v>201</v>
      </c>
      <c r="K692" s="66">
        <v>15.2</v>
      </c>
      <c r="L692" s="66">
        <f>K692*VLOOKUP(I692,dagsoorttabel1,2,FALSE)</f>
        <v>15.2</v>
      </c>
      <c r="M692" s="67">
        <f>prodnorm59</f>
        <v>0</v>
      </c>
      <c r="N692" s="68">
        <f>dagwerk59</f>
        <v>0</v>
      </c>
      <c r="O692" s="64" t="s">
        <v>38</v>
      </c>
      <c r="P692" s="69">
        <f>uurtarief59</f>
        <v>0</v>
      </c>
      <c r="Q692" s="66" t="e">
        <f>IF(ISBLANK(M692),0,L692/ROUND(M692,4))</f>
        <v>#DIV/0!</v>
      </c>
      <c r="R692" s="66" t="e">
        <f>IF(ISBLANK(M692),0,Q692*ROUND(N692,2))</f>
        <v>#DIV/0!</v>
      </c>
      <c r="S692" s="69" t="e">
        <f>ROUND(P692,2)*Q692</f>
        <v>#DIV/0!</v>
      </c>
      <c r="T692" s="66" t="e">
        <f>Q692*dagenperjaar1</f>
        <v>#DIV/0!</v>
      </c>
      <c r="U692" s="70" t="e">
        <f>T692*ROUND(P692,2)</f>
        <v>#DIV/0!</v>
      </c>
    </row>
    <row r="693" spans="1:21" x14ac:dyDescent="0.2">
      <c r="A693" s="63" t="s">
        <v>1299</v>
      </c>
      <c r="B693" s="64" t="s">
        <v>324</v>
      </c>
      <c r="C693" s="64" t="s">
        <v>345</v>
      </c>
      <c r="D693" s="64" t="s">
        <v>1321</v>
      </c>
      <c r="E693" s="64" t="s">
        <v>324</v>
      </c>
      <c r="F693" s="65" t="s">
        <v>671</v>
      </c>
      <c r="G693" s="64" t="s">
        <v>365</v>
      </c>
      <c r="H693" s="64" t="s">
        <v>257</v>
      </c>
      <c r="I693" s="64" t="s">
        <v>10</v>
      </c>
      <c r="J693" s="64" t="s">
        <v>201</v>
      </c>
      <c r="K693" s="66">
        <v>15.2</v>
      </c>
      <c r="L693" s="66">
        <f>K693*VLOOKUP(I693,dagsoorttabel1,2,FALSE)</f>
        <v>15.2</v>
      </c>
      <c r="M693" s="67">
        <f>prodnorm60</f>
        <v>0</v>
      </c>
      <c r="N693" s="68">
        <f>dagwerk60</f>
        <v>0</v>
      </c>
      <c r="O693" s="64" t="s">
        <v>38</v>
      </c>
      <c r="P693" s="69">
        <f>uurtarief60</f>
        <v>0</v>
      </c>
      <c r="Q693" s="66" t="e">
        <f>IF(ISBLANK(M693),0,L693/ROUND(M693,4))</f>
        <v>#DIV/0!</v>
      </c>
      <c r="R693" s="66" t="e">
        <f>IF(ISBLANK(M693),0,Q693*ROUND(N693,2))</f>
        <v>#DIV/0!</v>
      </c>
      <c r="S693" s="69" t="e">
        <f>ROUND(P693,2)*Q693</f>
        <v>#DIV/0!</v>
      </c>
      <c r="T693" s="66" t="e">
        <f>Q693*dagenperjaar1</f>
        <v>#DIV/0!</v>
      </c>
      <c r="U693" s="70" t="e">
        <f>T693*ROUND(P693,2)</f>
        <v>#DIV/0!</v>
      </c>
    </row>
    <row r="694" spans="1:21" x14ac:dyDescent="0.2">
      <c r="A694" s="63" t="s">
        <v>1299</v>
      </c>
      <c r="B694" s="64" t="s">
        <v>324</v>
      </c>
      <c r="C694" s="64" t="s">
        <v>345</v>
      </c>
      <c r="D694" s="64" t="s">
        <v>874</v>
      </c>
      <c r="E694" s="64" t="s">
        <v>324</v>
      </c>
      <c r="F694" s="65" t="s">
        <v>1322</v>
      </c>
      <c r="G694" s="64" t="s">
        <v>365</v>
      </c>
      <c r="H694" s="64" t="s">
        <v>227</v>
      </c>
      <c r="I694" s="64" t="s">
        <v>10</v>
      </c>
      <c r="J694" s="64" t="s">
        <v>201</v>
      </c>
      <c r="K694" s="66">
        <v>23</v>
      </c>
      <c r="L694" s="66">
        <f>K694*VLOOKUP(I694,dagsoorttabel1,2,FALSE)</f>
        <v>23</v>
      </c>
      <c r="M694" s="67">
        <f>prodnorm42</f>
        <v>0</v>
      </c>
      <c r="N694" s="68">
        <f>dagwerk42</f>
        <v>0</v>
      </c>
      <c r="O694" s="64" t="s">
        <v>38</v>
      </c>
      <c r="P694" s="69">
        <f>uurtarief42</f>
        <v>0</v>
      </c>
      <c r="Q694" s="66" t="e">
        <f>IF(ISBLANK(M694),0,L694/ROUND(M694,4))</f>
        <v>#DIV/0!</v>
      </c>
      <c r="R694" s="66" t="e">
        <f>IF(ISBLANK(M694),0,Q694*ROUND(N694,2))</f>
        <v>#DIV/0!</v>
      </c>
      <c r="S694" s="69" t="e">
        <f>ROUND(P694,2)*Q694</f>
        <v>#DIV/0!</v>
      </c>
      <c r="T694" s="66" t="e">
        <f>Q694*dagenperjaar1</f>
        <v>#DIV/0!</v>
      </c>
      <c r="U694" s="70" t="e">
        <f>T694*ROUND(P694,2)</f>
        <v>#DIV/0!</v>
      </c>
    </row>
    <row r="695" spans="1:21" x14ac:dyDescent="0.2">
      <c r="A695" s="63" t="s">
        <v>1299</v>
      </c>
      <c r="B695" s="64" t="s">
        <v>324</v>
      </c>
      <c r="C695" s="64" t="s">
        <v>345</v>
      </c>
      <c r="D695" s="64" t="s">
        <v>875</v>
      </c>
      <c r="E695" s="64" t="s">
        <v>324</v>
      </c>
      <c r="F695" s="65" t="s">
        <v>1323</v>
      </c>
      <c r="G695" s="64" t="s">
        <v>365</v>
      </c>
      <c r="H695" s="64" t="s">
        <v>213</v>
      </c>
      <c r="I695" s="64" t="s">
        <v>10</v>
      </c>
      <c r="J695" s="64" t="s">
        <v>201</v>
      </c>
      <c r="K695" s="66">
        <v>10</v>
      </c>
      <c r="L695" s="66">
        <f>K695*VLOOKUP(I695,dagsoorttabel1,2,FALSE)</f>
        <v>10</v>
      </c>
      <c r="M695" s="67">
        <f>prodnorm33</f>
        <v>0</v>
      </c>
      <c r="N695" s="68">
        <f>dagwerk33</f>
        <v>0</v>
      </c>
      <c r="O695" s="64" t="s">
        <v>38</v>
      </c>
      <c r="P695" s="69">
        <f>uurtarief33</f>
        <v>0</v>
      </c>
      <c r="Q695" s="66" t="e">
        <f>IF(ISBLANK(M695),0,L695/ROUND(M695,4))</f>
        <v>#DIV/0!</v>
      </c>
      <c r="R695" s="66" t="e">
        <f>IF(ISBLANK(M695),0,Q695*ROUND(N695,2))</f>
        <v>#DIV/0!</v>
      </c>
      <c r="S695" s="69" t="e">
        <f>ROUND(P695,2)*Q695</f>
        <v>#DIV/0!</v>
      </c>
      <c r="T695" s="66" t="e">
        <f>Q695*dagenperjaar1</f>
        <v>#DIV/0!</v>
      </c>
      <c r="U695" s="70" t="e">
        <f>T695*ROUND(P695,2)</f>
        <v>#DIV/0!</v>
      </c>
    </row>
    <row r="696" spans="1:21" x14ac:dyDescent="0.2">
      <c r="A696" s="63" t="s">
        <v>1299</v>
      </c>
      <c r="B696" s="64" t="s">
        <v>324</v>
      </c>
      <c r="C696" s="64" t="s">
        <v>345</v>
      </c>
      <c r="D696" s="64" t="s">
        <v>1324</v>
      </c>
      <c r="E696" s="64" t="s">
        <v>324</v>
      </c>
      <c r="F696" s="65" t="s">
        <v>1325</v>
      </c>
      <c r="G696" s="64" t="s">
        <v>1302</v>
      </c>
      <c r="H696" s="64" t="s">
        <v>205</v>
      </c>
      <c r="I696" s="64" t="s">
        <v>10</v>
      </c>
      <c r="J696" s="64" t="s">
        <v>201</v>
      </c>
      <c r="K696" s="66">
        <v>8</v>
      </c>
      <c r="L696" s="66">
        <f>K696*VLOOKUP(I696,dagsoorttabel1,2,FALSE)</f>
        <v>8</v>
      </c>
      <c r="M696" s="67">
        <f>prodnorm26</f>
        <v>0</v>
      </c>
      <c r="N696" s="68">
        <f>dagwerk26</f>
        <v>0</v>
      </c>
      <c r="O696" s="64" t="s">
        <v>38</v>
      </c>
      <c r="P696" s="69">
        <f>uurtarief26</f>
        <v>0</v>
      </c>
      <c r="Q696" s="66" t="e">
        <f>IF(ISBLANK(M696),0,L696/ROUND(M696,4))</f>
        <v>#DIV/0!</v>
      </c>
      <c r="R696" s="66" t="e">
        <f>IF(ISBLANK(M696),0,Q696*ROUND(N696,2))</f>
        <v>#DIV/0!</v>
      </c>
      <c r="S696" s="69" t="e">
        <f>ROUND(P696,2)*Q696</f>
        <v>#DIV/0!</v>
      </c>
      <c r="T696" s="66" t="e">
        <f>Q696*dagenperjaar1</f>
        <v>#DIV/0!</v>
      </c>
      <c r="U696" s="70" t="e">
        <f>T696*ROUND(P696,2)</f>
        <v>#DIV/0!</v>
      </c>
    </row>
    <row r="697" spans="1:21" x14ac:dyDescent="0.2">
      <c r="A697" s="63" t="s">
        <v>1299</v>
      </c>
      <c r="B697" s="64" t="s">
        <v>324</v>
      </c>
      <c r="C697" s="64" t="s">
        <v>345</v>
      </c>
      <c r="D697" s="64" t="s">
        <v>876</v>
      </c>
      <c r="E697" s="64" t="s">
        <v>324</v>
      </c>
      <c r="F697" s="65" t="s">
        <v>1326</v>
      </c>
      <c r="G697" s="64" t="s">
        <v>365</v>
      </c>
      <c r="H697" s="64" t="s">
        <v>227</v>
      </c>
      <c r="I697" s="64" t="s">
        <v>10</v>
      </c>
      <c r="J697" s="64" t="s">
        <v>201</v>
      </c>
      <c r="K697" s="66">
        <v>25</v>
      </c>
      <c r="L697" s="66">
        <f>K697*VLOOKUP(I697,dagsoorttabel1,2,FALSE)</f>
        <v>25</v>
      </c>
      <c r="M697" s="67">
        <f>prodnorm42</f>
        <v>0</v>
      </c>
      <c r="N697" s="68">
        <f>dagwerk42</f>
        <v>0</v>
      </c>
      <c r="O697" s="64" t="s">
        <v>38</v>
      </c>
      <c r="P697" s="69">
        <f>uurtarief42</f>
        <v>0</v>
      </c>
      <c r="Q697" s="66" t="e">
        <f>IF(ISBLANK(M697),0,L697/ROUND(M697,4))</f>
        <v>#DIV/0!</v>
      </c>
      <c r="R697" s="66" t="e">
        <f>IF(ISBLANK(M697),0,Q697*ROUND(N697,2))</f>
        <v>#DIV/0!</v>
      </c>
      <c r="S697" s="69" t="e">
        <f>ROUND(P697,2)*Q697</f>
        <v>#DIV/0!</v>
      </c>
      <c r="T697" s="66" t="e">
        <f>Q697*dagenperjaar1</f>
        <v>#DIV/0!</v>
      </c>
      <c r="U697" s="70" t="e">
        <f>T697*ROUND(P697,2)</f>
        <v>#DIV/0!</v>
      </c>
    </row>
    <row r="698" spans="1:21" x14ac:dyDescent="0.2">
      <c r="A698" s="63" t="s">
        <v>1299</v>
      </c>
      <c r="B698" s="64" t="s">
        <v>324</v>
      </c>
      <c r="C698" s="64" t="s">
        <v>345</v>
      </c>
      <c r="D698" s="64" t="s">
        <v>877</v>
      </c>
      <c r="E698" s="64" t="s">
        <v>324</v>
      </c>
      <c r="F698" s="65" t="s">
        <v>1327</v>
      </c>
      <c r="G698" s="64" t="s">
        <v>365</v>
      </c>
      <c r="H698" s="64" t="s">
        <v>213</v>
      </c>
      <c r="I698" s="64" t="s">
        <v>10</v>
      </c>
      <c r="J698" s="64" t="s">
        <v>201</v>
      </c>
      <c r="K698" s="66">
        <v>9</v>
      </c>
      <c r="L698" s="66">
        <f>K698*VLOOKUP(I698,dagsoorttabel1,2,FALSE)</f>
        <v>9</v>
      </c>
      <c r="M698" s="67">
        <f>prodnorm33</f>
        <v>0</v>
      </c>
      <c r="N698" s="68">
        <f>dagwerk33</f>
        <v>0</v>
      </c>
      <c r="O698" s="64" t="s">
        <v>38</v>
      </c>
      <c r="P698" s="69">
        <f>uurtarief33</f>
        <v>0</v>
      </c>
      <c r="Q698" s="66" t="e">
        <f>IF(ISBLANK(M698),0,L698/ROUND(M698,4))</f>
        <v>#DIV/0!</v>
      </c>
      <c r="R698" s="66" t="e">
        <f>IF(ISBLANK(M698),0,Q698*ROUND(N698,2))</f>
        <v>#DIV/0!</v>
      </c>
      <c r="S698" s="69" t="e">
        <f>ROUND(P698,2)*Q698</f>
        <v>#DIV/0!</v>
      </c>
      <c r="T698" s="66" t="e">
        <f>Q698*dagenperjaar1</f>
        <v>#DIV/0!</v>
      </c>
      <c r="U698" s="70" t="e">
        <f>T698*ROUND(P698,2)</f>
        <v>#DIV/0!</v>
      </c>
    </row>
    <row r="699" spans="1:21" x14ac:dyDescent="0.2">
      <c r="A699" s="63" t="s">
        <v>1299</v>
      </c>
      <c r="B699" s="64" t="s">
        <v>324</v>
      </c>
      <c r="C699" s="64" t="s">
        <v>345</v>
      </c>
      <c r="D699" s="64" t="s">
        <v>1328</v>
      </c>
      <c r="E699" s="64" t="s">
        <v>324</v>
      </c>
      <c r="F699" s="65" t="s">
        <v>1323</v>
      </c>
      <c r="G699" s="64" t="s">
        <v>365</v>
      </c>
      <c r="H699" s="64" t="s">
        <v>213</v>
      </c>
      <c r="I699" s="64" t="s">
        <v>10</v>
      </c>
      <c r="J699" s="64" t="s">
        <v>201</v>
      </c>
      <c r="K699" s="66">
        <v>9</v>
      </c>
      <c r="L699" s="66">
        <f>K699*VLOOKUP(I699,dagsoorttabel1,2,FALSE)</f>
        <v>9</v>
      </c>
      <c r="M699" s="67">
        <f>prodnorm33</f>
        <v>0</v>
      </c>
      <c r="N699" s="68">
        <f>dagwerk33</f>
        <v>0</v>
      </c>
      <c r="O699" s="64" t="s">
        <v>38</v>
      </c>
      <c r="P699" s="69">
        <f>uurtarief33</f>
        <v>0</v>
      </c>
      <c r="Q699" s="66" t="e">
        <f>IF(ISBLANK(M699),0,L699/ROUND(M699,4))</f>
        <v>#DIV/0!</v>
      </c>
      <c r="R699" s="66" t="e">
        <f>IF(ISBLANK(M699),0,Q699*ROUND(N699,2))</f>
        <v>#DIV/0!</v>
      </c>
      <c r="S699" s="69" t="e">
        <f>ROUND(P699,2)*Q699</f>
        <v>#DIV/0!</v>
      </c>
      <c r="T699" s="66" t="e">
        <f>Q699*dagenperjaar1</f>
        <v>#DIV/0!</v>
      </c>
      <c r="U699" s="70" t="e">
        <f>T699*ROUND(P699,2)</f>
        <v>#DIV/0!</v>
      </c>
    </row>
    <row r="700" spans="1:21" x14ac:dyDescent="0.2">
      <c r="A700" s="63" t="s">
        <v>1299</v>
      </c>
      <c r="B700" s="64" t="s">
        <v>324</v>
      </c>
      <c r="C700" s="64" t="s">
        <v>345</v>
      </c>
      <c r="D700" s="64" t="s">
        <v>879</v>
      </c>
      <c r="E700" s="64" t="s">
        <v>324</v>
      </c>
      <c r="F700" s="65" t="s">
        <v>1322</v>
      </c>
      <c r="G700" s="64" t="s">
        <v>365</v>
      </c>
      <c r="H700" s="64" t="s">
        <v>227</v>
      </c>
      <c r="I700" s="64" t="s">
        <v>10</v>
      </c>
      <c r="J700" s="64" t="s">
        <v>201</v>
      </c>
      <c r="K700" s="66">
        <v>25</v>
      </c>
      <c r="L700" s="66">
        <f>K700*VLOOKUP(I700,dagsoorttabel1,2,FALSE)</f>
        <v>25</v>
      </c>
      <c r="M700" s="67">
        <f>prodnorm42</f>
        <v>0</v>
      </c>
      <c r="N700" s="68">
        <f>dagwerk42</f>
        <v>0</v>
      </c>
      <c r="O700" s="64" t="s">
        <v>38</v>
      </c>
      <c r="P700" s="69">
        <f>uurtarief42</f>
        <v>0</v>
      </c>
      <c r="Q700" s="66" t="e">
        <f>IF(ISBLANK(M700),0,L700/ROUND(M700,4))</f>
        <v>#DIV/0!</v>
      </c>
      <c r="R700" s="66" t="e">
        <f>IF(ISBLANK(M700),0,Q700*ROUND(N700,2))</f>
        <v>#DIV/0!</v>
      </c>
      <c r="S700" s="69" t="e">
        <f>ROUND(P700,2)*Q700</f>
        <v>#DIV/0!</v>
      </c>
      <c r="T700" s="66" t="e">
        <f>Q700*dagenperjaar1</f>
        <v>#DIV/0!</v>
      </c>
      <c r="U700" s="70" t="e">
        <f>T700*ROUND(P700,2)</f>
        <v>#DIV/0!</v>
      </c>
    </row>
    <row r="701" spans="1:21" x14ac:dyDescent="0.2">
      <c r="A701" s="63" t="s">
        <v>1299</v>
      </c>
      <c r="B701" s="64" t="s">
        <v>324</v>
      </c>
      <c r="C701" s="64" t="s">
        <v>345</v>
      </c>
      <c r="D701" s="64" t="s">
        <v>880</v>
      </c>
      <c r="E701" s="64" t="s">
        <v>324</v>
      </c>
      <c r="F701" s="65" t="s">
        <v>1329</v>
      </c>
      <c r="G701" s="64" t="s">
        <v>365</v>
      </c>
      <c r="H701" s="64" t="s">
        <v>255</v>
      </c>
      <c r="I701" s="64" t="s">
        <v>10</v>
      </c>
      <c r="J701" s="64" t="s">
        <v>201</v>
      </c>
      <c r="K701" s="66">
        <v>5</v>
      </c>
      <c r="L701" s="66">
        <f>K701*VLOOKUP(I701,dagsoorttabel1,2,FALSE)</f>
        <v>5</v>
      </c>
      <c r="M701" s="67">
        <f>prodnorm59</f>
        <v>0</v>
      </c>
      <c r="N701" s="68">
        <f>dagwerk59</f>
        <v>0</v>
      </c>
      <c r="O701" s="64" t="s">
        <v>38</v>
      </c>
      <c r="P701" s="69">
        <f>uurtarief59</f>
        <v>0</v>
      </c>
      <c r="Q701" s="66" t="e">
        <f>IF(ISBLANK(M701),0,L701/ROUND(M701,4))</f>
        <v>#DIV/0!</v>
      </c>
      <c r="R701" s="66" t="e">
        <f>IF(ISBLANK(M701),0,Q701*ROUND(N701,2))</f>
        <v>#DIV/0!</v>
      </c>
      <c r="S701" s="69" t="e">
        <f>ROUND(P701,2)*Q701</f>
        <v>#DIV/0!</v>
      </c>
      <c r="T701" s="66" t="e">
        <f>Q701*dagenperjaar1</f>
        <v>#DIV/0!</v>
      </c>
      <c r="U701" s="70" t="e">
        <f>T701*ROUND(P701,2)</f>
        <v>#DIV/0!</v>
      </c>
    </row>
    <row r="702" spans="1:21" x14ac:dyDescent="0.2">
      <c r="A702" s="63" t="s">
        <v>1299</v>
      </c>
      <c r="B702" s="64" t="s">
        <v>324</v>
      </c>
      <c r="C702" s="64" t="s">
        <v>345</v>
      </c>
      <c r="D702" s="64" t="s">
        <v>880</v>
      </c>
      <c r="E702" s="64" t="s">
        <v>324</v>
      </c>
      <c r="F702" s="65" t="s">
        <v>1329</v>
      </c>
      <c r="G702" s="64" t="s">
        <v>365</v>
      </c>
      <c r="H702" s="64" t="s">
        <v>257</v>
      </c>
      <c r="I702" s="64" t="s">
        <v>10</v>
      </c>
      <c r="J702" s="64" t="s">
        <v>201</v>
      </c>
      <c r="K702" s="66">
        <v>5</v>
      </c>
      <c r="L702" s="66">
        <f>K702*VLOOKUP(I702,dagsoorttabel1,2,FALSE)</f>
        <v>5</v>
      </c>
      <c r="M702" s="67">
        <f>prodnorm60</f>
        <v>0</v>
      </c>
      <c r="N702" s="68">
        <f>dagwerk60</f>
        <v>0</v>
      </c>
      <c r="O702" s="64" t="s">
        <v>38</v>
      </c>
      <c r="P702" s="69">
        <f>uurtarief60</f>
        <v>0</v>
      </c>
      <c r="Q702" s="66" t="e">
        <f>IF(ISBLANK(M702),0,L702/ROUND(M702,4))</f>
        <v>#DIV/0!</v>
      </c>
      <c r="R702" s="66" t="e">
        <f>IF(ISBLANK(M702),0,Q702*ROUND(N702,2))</f>
        <v>#DIV/0!</v>
      </c>
      <c r="S702" s="69" t="e">
        <f>ROUND(P702,2)*Q702</f>
        <v>#DIV/0!</v>
      </c>
      <c r="T702" s="66" t="e">
        <f>Q702*dagenperjaar1</f>
        <v>#DIV/0!</v>
      </c>
      <c r="U702" s="70" t="e">
        <f>T702*ROUND(P702,2)</f>
        <v>#DIV/0!</v>
      </c>
    </row>
    <row r="703" spans="1:21" x14ac:dyDescent="0.2">
      <c r="A703" s="63" t="s">
        <v>1299</v>
      </c>
      <c r="B703" s="64" t="s">
        <v>324</v>
      </c>
      <c r="C703" s="64" t="s">
        <v>345</v>
      </c>
      <c r="D703" s="64" t="s">
        <v>1330</v>
      </c>
      <c r="E703" s="64" t="s">
        <v>324</v>
      </c>
      <c r="F703" s="65" t="s">
        <v>1329</v>
      </c>
      <c r="G703" s="64" t="s">
        <v>365</v>
      </c>
      <c r="H703" s="64" t="s">
        <v>255</v>
      </c>
      <c r="I703" s="64" t="s">
        <v>10</v>
      </c>
      <c r="J703" s="64" t="s">
        <v>201</v>
      </c>
      <c r="K703" s="66">
        <v>5</v>
      </c>
      <c r="L703" s="66">
        <f>K703*VLOOKUP(I703,dagsoorttabel1,2,FALSE)</f>
        <v>5</v>
      </c>
      <c r="M703" s="67">
        <f>prodnorm59</f>
        <v>0</v>
      </c>
      <c r="N703" s="68">
        <f>dagwerk59</f>
        <v>0</v>
      </c>
      <c r="O703" s="64" t="s">
        <v>38</v>
      </c>
      <c r="P703" s="69">
        <f>uurtarief59</f>
        <v>0</v>
      </c>
      <c r="Q703" s="66" t="e">
        <f>IF(ISBLANK(M703),0,L703/ROUND(M703,4))</f>
        <v>#DIV/0!</v>
      </c>
      <c r="R703" s="66" t="e">
        <f>IF(ISBLANK(M703),0,Q703*ROUND(N703,2))</f>
        <v>#DIV/0!</v>
      </c>
      <c r="S703" s="69" t="e">
        <f>ROUND(P703,2)*Q703</f>
        <v>#DIV/0!</v>
      </c>
      <c r="T703" s="66" t="e">
        <f>Q703*dagenperjaar1</f>
        <v>#DIV/0!</v>
      </c>
      <c r="U703" s="70" t="e">
        <f>T703*ROUND(P703,2)</f>
        <v>#DIV/0!</v>
      </c>
    </row>
    <row r="704" spans="1:21" x14ac:dyDescent="0.2">
      <c r="A704" s="63" t="s">
        <v>1299</v>
      </c>
      <c r="B704" s="64" t="s">
        <v>324</v>
      </c>
      <c r="C704" s="64" t="s">
        <v>345</v>
      </c>
      <c r="D704" s="64" t="s">
        <v>1330</v>
      </c>
      <c r="E704" s="64" t="s">
        <v>324</v>
      </c>
      <c r="F704" s="65" t="s">
        <v>1329</v>
      </c>
      <c r="G704" s="64" t="s">
        <v>365</v>
      </c>
      <c r="H704" s="64" t="s">
        <v>257</v>
      </c>
      <c r="I704" s="64" t="s">
        <v>10</v>
      </c>
      <c r="J704" s="64" t="s">
        <v>201</v>
      </c>
      <c r="K704" s="66">
        <v>5</v>
      </c>
      <c r="L704" s="66">
        <f>K704*VLOOKUP(I704,dagsoorttabel1,2,FALSE)</f>
        <v>5</v>
      </c>
      <c r="M704" s="67">
        <f>prodnorm60</f>
        <v>0</v>
      </c>
      <c r="N704" s="68">
        <f>dagwerk60</f>
        <v>0</v>
      </c>
      <c r="O704" s="64" t="s">
        <v>38</v>
      </c>
      <c r="P704" s="69">
        <f>uurtarief60</f>
        <v>0</v>
      </c>
      <c r="Q704" s="66" t="e">
        <f>IF(ISBLANK(M704),0,L704/ROUND(M704,4))</f>
        <v>#DIV/0!</v>
      </c>
      <c r="R704" s="66" t="e">
        <f>IF(ISBLANK(M704),0,Q704*ROUND(N704,2))</f>
        <v>#DIV/0!</v>
      </c>
      <c r="S704" s="69" t="e">
        <f>ROUND(P704,2)*Q704</f>
        <v>#DIV/0!</v>
      </c>
      <c r="T704" s="66" t="e">
        <f>Q704*dagenperjaar1</f>
        <v>#DIV/0!</v>
      </c>
      <c r="U704" s="70" t="e">
        <f>T704*ROUND(P704,2)</f>
        <v>#DIV/0!</v>
      </c>
    </row>
    <row r="705" spans="1:21" x14ac:dyDescent="0.2">
      <c r="A705" s="63" t="s">
        <v>1299</v>
      </c>
      <c r="B705" s="64" t="s">
        <v>324</v>
      </c>
      <c r="C705" s="64" t="s">
        <v>345</v>
      </c>
      <c r="D705" s="64" t="s">
        <v>881</v>
      </c>
      <c r="E705" s="64" t="s">
        <v>324</v>
      </c>
      <c r="F705" s="65" t="s">
        <v>1331</v>
      </c>
      <c r="G705" s="64" t="s">
        <v>1302</v>
      </c>
      <c r="H705" s="64" t="s">
        <v>267</v>
      </c>
      <c r="I705" s="64" t="s">
        <v>10</v>
      </c>
      <c r="J705" s="64" t="s">
        <v>201</v>
      </c>
      <c r="K705" s="66">
        <v>26</v>
      </c>
      <c r="L705" s="66">
        <f>K705*VLOOKUP(I705,dagsoorttabel1,2,FALSE)</f>
        <v>26</v>
      </c>
      <c r="M705" s="67">
        <f>prodnorm65</f>
        <v>0</v>
      </c>
      <c r="N705" s="68">
        <f>dagwerk65</f>
        <v>0</v>
      </c>
      <c r="O705" s="64" t="s">
        <v>38</v>
      </c>
      <c r="P705" s="69">
        <f>uurtarief65</f>
        <v>0</v>
      </c>
      <c r="Q705" s="66" t="e">
        <f>IF(ISBLANK(M705),0,L705/ROUND(M705,4))</f>
        <v>#DIV/0!</v>
      </c>
      <c r="R705" s="66" t="e">
        <f>IF(ISBLANK(M705),0,Q705*ROUND(N705,2))</f>
        <v>#DIV/0!</v>
      </c>
      <c r="S705" s="69" t="e">
        <f>ROUND(P705,2)*Q705</f>
        <v>#DIV/0!</v>
      </c>
      <c r="T705" s="66" t="e">
        <f>Q705*dagenperjaar1</f>
        <v>#DIV/0!</v>
      </c>
      <c r="U705" s="70" t="e">
        <f>T705*ROUND(P705,2)</f>
        <v>#DIV/0!</v>
      </c>
    </row>
    <row r="706" spans="1:21" x14ac:dyDescent="0.2">
      <c r="A706" s="63" t="s">
        <v>1299</v>
      </c>
      <c r="B706" s="64" t="s">
        <v>324</v>
      </c>
      <c r="C706" s="64" t="s">
        <v>345</v>
      </c>
      <c r="D706" s="64" t="s">
        <v>882</v>
      </c>
      <c r="E706" s="64" t="s">
        <v>324</v>
      </c>
      <c r="F706" s="65" t="s">
        <v>1325</v>
      </c>
      <c r="G706" s="64" t="s">
        <v>1302</v>
      </c>
      <c r="H706" s="64" t="s">
        <v>205</v>
      </c>
      <c r="I706" s="64" t="s">
        <v>10</v>
      </c>
      <c r="J706" s="64" t="s">
        <v>201</v>
      </c>
      <c r="K706" s="66">
        <v>8</v>
      </c>
      <c r="L706" s="66">
        <f>K706*VLOOKUP(I706,dagsoorttabel1,2,FALSE)</f>
        <v>8</v>
      </c>
      <c r="M706" s="67">
        <f>prodnorm26</f>
        <v>0</v>
      </c>
      <c r="N706" s="68">
        <f>dagwerk26</f>
        <v>0</v>
      </c>
      <c r="O706" s="64" t="s">
        <v>38</v>
      </c>
      <c r="P706" s="69">
        <f>uurtarief26</f>
        <v>0</v>
      </c>
      <c r="Q706" s="66" t="e">
        <f>IF(ISBLANK(M706),0,L706/ROUND(M706,4))</f>
        <v>#DIV/0!</v>
      </c>
      <c r="R706" s="66" t="e">
        <f>IF(ISBLANK(M706),0,Q706*ROUND(N706,2))</f>
        <v>#DIV/0!</v>
      </c>
      <c r="S706" s="69" t="e">
        <f>ROUND(P706,2)*Q706</f>
        <v>#DIV/0!</v>
      </c>
      <c r="T706" s="66" t="e">
        <f>Q706*dagenperjaar1</f>
        <v>#DIV/0!</v>
      </c>
      <c r="U706" s="70" t="e">
        <f>T706*ROUND(P706,2)</f>
        <v>#DIV/0!</v>
      </c>
    </row>
    <row r="707" spans="1:21" x14ac:dyDescent="0.2">
      <c r="A707" s="63" t="s">
        <v>1299</v>
      </c>
      <c r="B707" s="64" t="s">
        <v>324</v>
      </c>
      <c r="C707" s="64" t="s">
        <v>345</v>
      </c>
      <c r="D707" s="64" t="s">
        <v>883</v>
      </c>
      <c r="E707" s="64" t="s">
        <v>324</v>
      </c>
      <c r="F707" s="65" t="s">
        <v>1326</v>
      </c>
      <c r="G707" s="64" t="s">
        <v>365</v>
      </c>
      <c r="H707" s="64" t="s">
        <v>227</v>
      </c>
      <c r="I707" s="64" t="s">
        <v>10</v>
      </c>
      <c r="J707" s="64" t="s">
        <v>201</v>
      </c>
      <c r="K707" s="66">
        <v>22</v>
      </c>
      <c r="L707" s="66">
        <f>K707*VLOOKUP(I707,dagsoorttabel1,2,FALSE)</f>
        <v>22</v>
      </c>
      <c r="M707" s="67">
        <f>prodnorm42</f>
        <v>0</v>
      </c>
      <c r="N707" s="68">
        <f>dagwerk42</f>
        <v>0</v>
      </c>
      <c r="O707" s="64" t="s">
        <v>38</v>
      </c>
      <c r="P707" s="69">
        <f>uurtarief42</f>
        <v>0</v>
      </c>
      <c r="Q707" s="66" t="e">
        <f>IF(ISBLANK(M707),0,L707/ROUND(M707,4))</f>
        <v>#DIV/0!</v>
      </c>
      <c r="R707" s="66" t="e">
        <f>IF(ISBLANK(M707),0,Q707*ROUND(N707,2))</f>
        <v>#DIV/0!</v>
      </c>
      <c r="S707" s="69" t="e">
        <f>ROUND(P707,2)*Q707</f>
        <v>#DIV/0!</v>
      </c>
      <c r="T707" s="66" t="e">
        <f>Q707*dagenperjaar1</f>
        <v>#DIV/0!</v>
      </c>
      <c r="U707" s="70" t="e">
        <f>T707*ROUND(P707,2)</f>
        <v>#DIV/0!</v>
      </c>
    </row>
    <row r="708" spans="1:21" x14ac:dyDescent="0.2">
      <c r="A708" s="63" t="s">
        <v>1299</v>
      </c>
      <c r="B708" s="64" t="s">
        <v>324</v>
      </c>
      <c r="C708" s="64" t="s">
        <v>345</v>
      </c>
      <c r="D708" s="64" t="s">
        <v>1332</v>
      </c>
      <c r="E708" s="64" t="s">
        <v>324</v>
      </c>
      <c r="F708" s="65" t="s">
        <v>1327</v>
      </c>
      <c r="G708" s="64" t="s">
        <v>365</v>
      </c>
      <c r="H708" s="64" t="s">
        <v>213</v>
      </c>
      <c r="I708" s="64" t="s">
        <v>10</v>
      </c>
      <c r="J708" s="64" t="s">
        <v>201</v>
      </c>
      <c r="K708" s="66">
        <v>9</v>
      </c>
      <c r="L708" s="66">
        <f>K708*VLOOKUP(I708,dagsoorttabel1,2,FALSE)</f>
        <v>9</v>
      </c>
      <c r="M708" s="67">
        <f>prodnorm33</f>
        <v>0</v>
      </c>
      <c r="N708" s="68">
        <f>dagwerk33</f>
        <v>0</v>
      </c>
      <c r="O708" s="64" t="s">
        <v>38</v>
      </c>
      <c r="P708" s="69">
        <f>uurtarief33</f>
        <v>0</v>
      </c>
      <c r="Q708" s="66" t="e">
        <f>IF(ISBLANK(M708),0,L708/ROUND(M708,4))</f>
        <v>#DIV/0!</v>
      </c>
      <c r="R708" s="66" t="e">
        <f>IF(ISBLANK(M708),0,Q708*ROUND(N708,2))</f>
        <v>#DIV/0!</v>
      </c>
      <c r="S708" s="69" t="e">
        <f>ROUND(P708,2)*Q708</f>
        <v>#DIV/0!</v>
      </c>
      <c r="T708" s="66" t="e">
        <f>Q708*dagenperjaar1</f>
        <v>#DIV/0!</v>
      </c>
      <c r="U708" s="70" t="e">
        <f>T708*ROUND(P708,2)</f>
        <v>#DIV/0!</v>
      </c>
    </row>
    <row r="709" spans="1:21" x14ac:dyDescent="0.2">
      <c r="A709" s="63" t="s">
        <v>1299</v>
      </c>
      <c r="B709" s="64" t="s">
        <v>324</v>
      </c>
      <c r="C709" s="64" t="s">
        <v>345</v>
      </c>
      <c r="D709" s="64" t="s">
        <v>1333</v>
      </c>
      <c r="E709" s="64" t="s">
        <v>324</v>
      </c>
      <c r="F709" s="65" t="s">
        <v>1334</v>
      </c>
      <c r="G709" s="64" t="s">
        <v>1302</v>
      </c>
      <c r="H709" s="64" t="s">
        <v>205</v>
      </c>
      <c r="I709" s="64" t="s">
        <v>10</v>
      </c>
      <c r="J709" s="64" t="s">
        <v>201</v>
      </c>
      <c r="K709" s="66">
        <v>30</v>
      </c>
      <c r="L709" s="66">
        <f>K709*VLOOKUP(I709,dagsoorttabel1,2,FALSE)</f>
        <v>30</v>
      </c>
      <c r="M709" s="67">
        <f>prodnorm26</f>
        <v>0</v>
      </c>
      <c r="N709" s="68">
        <f>dagwerk26</f>
        <v>0</v>
      </c>
      <c r="O709" s="64" t="s">
        <v>38</v>
      </c>
      <c r="P709" s="69">
        <f>uurtarief26</f>
        <v>0</v>
      </c>
      <c r="Q709" s="66" t="e">
        <f>IF(ISBLANK(M709),0,L709/ROUND(M709,4))</f>
        <v>#DIV/0!</v>
      </c>
      <c r="R709" s="66" t="e">
        <f>IF(ISBLANK(M709),0,Q709*ROUND(N709,2))</f>
        <v>#DIV/0!</v>
      </c>
      <c r="S709" s="69" t="e">
        <f>ROUND(P709,2)*Q709</f>
        <v>#DIV/0!</v>
      </c>
      <c r="T709" s="66" t="e">
        <f>Q709*dagenperjaar1</f>
        <v>#DIV/0!</v>
      </c>
      <c r="U709" s="70" t="e">
        <f>T709*ROUND(P709,2)</f>
        <v>#DIV/0!</v>
      </c>
    </row>
    <row r="710" spans="1:21" x14ac:dyDescent="0.2">
      <c r="A710" s="63" t="s">
        <v>1299</v>
      </c>
      <c r="B710" s="64" t="s">
        <v>324</v>
      </c>
      <c r="C710" s="64" t="s">
        <v>345</v>
      </c>
      <c r="D710" s="64" t="s">
        <v>885</v>
      </c>
      <c r="E710" s="64" t="s">
        <v>324</v>
      </c>
      <c r="F710" s="65" t="s">
        <v>1335</v>
      </c>
      <c r="G710" s="64" t="s">
        <v>1302</v>
      </c>
      <c r="H710" s="64" t="s">
        <v>205</v>
      </c>
      <c r="I710" s="64" t="s">
        <v>10</v>
      </c>
      <c r="J710" s="64" t="s">
        <v>201</v>
      </c>
      <c r="K710" s="66">
        <v>26</v>
      </c>
      <c r="L710" s="66">
        <f>K710*VLOOKUP(I710,dagsoorttabel1,2,FALSE)</f>
        <v>26</v>
      </c>
      <c r="M710" s="67">
        <f>prodnorm26</f>
        <v>0</v>
      </c>
      <c r="N710" s="68">
        <f>dagwerk26</f>
        <v>0</v>
      </c>
      <c r="O710" s="64" t="s">
        <v>38</v>
      </c>
      <c r="P710" s="69">
        <f>uurtarief26</f>
        <v>0</v>
      </c>
      <c r="Q710" s="66" t="e">
        <f>IF(ISBLANK(M710),0,L710/ROUND(M710,4))</f>
        <v>#DIV/0!</v>
      </c>
      <c r="R710" s="66" t="e">
        <f>IF(ISBLANK(M710),0,Q710*ROUND(N710,2))</f>
        <v>#DIV/0!</v>
      </c>
      <c r="S710" s="69" t="e">
        <f>ROUND(P710,2)*Q710</f>
        <v>#DIV/0!</v>
      </c>
      <c r="T710" s="66" t="e">
        <f>Q710*dagenperjaar1</f>
        <v>#DIV/0!</v>
      </c>
      <c r="U710" s="70" t="e">
        <f>T710*ROUND(P710,2)</f>
        <v>#DIV/0!</v>
      </c>
    </row>
    <row r="711" spans="1:21" x14ac:dyDescent="0.2">
      <c r="A711" s="63" t="s">
        <v>1299</v>
      </c>
      <c r="B711" s="64" t="s">
        <v>324</v>
      </c>
      <c r="C711" s="64" t="s">
        <v>345</v>
      </c>
      <c r="D711" s="64" t="s">
        <v>886</v>
      </c>
      <c r="E711" s="64" t="s">
        <v>324</v>
      </c>
      <c r="F711" s="65" t="s">
        <v>1336</v>
      </c>
      <c r="G711" s="64" t="s">
        <v>778</v>
      </c>
      <c r="H711" s="64" t="s">
        <v>219</v>
      </c>
      <c r="I711" s="64" t="s">
        <v>10</v>
      </c>
      <c r="J711" s="64" t="s">
        <v>201</v>
      </c>
      <c r="K711" s="66">
        <v>252</v>
      </c>
      <c r="L711" s="66">
        <f>K711*VLOOKUP(I711,dagsoorttabel1,2,FALSE)</f>
        <v>252</v>
      </c>
      <c r="M711" s="67">
        <f>prodnorm36</f>
        <v>0</v>
      </c>
      <c r="N711" s="68">
        <f>dagwerk36</f>
        <v>0</v>
      </c>
      <c r="O711" s="64" t="s">
        <v>38</v>
      </c>
      <c r="P711" s="69">
        <f>uurtarief36</f>
        <v>0</v>
      </c>
      <c r="Q711" s="66" t="e">
        <f>IF(ISBLANK(M711),0,L711/ROUND(M711,4))</f>
        <v>#DIV/0!</v>
      </c>
      <c r="R711" s="66" t="e">
        <f>IF(ISBLANK(M711),0,Q711*ROUND(N711,2))</f>
        <v>#DIV/0!</v>
      </c>
      <c r="S711" s="69" t="e">
        <f>ROUND(P711,2)*Q711</f>
        <v>#DIV/0!</v>
      </c>
      <c r="T711" s="66" t="e">
        <f>Q711*dagenperjaar1</f>
        <v>#DIV/0!</v>
      </c>
      <c r="U711" s="70" t="e">
        <f>T711*ROUND(P711,2)</f>
        <v>#DIV/0!</v>
      </c>
    </row>
    <row r="712" spans="1:21" x14ac:dyDescent="0.2">
      <c r="A712" s="63" t="s">
        <v>1299</v>
      </c>
      <c r="B712" s="64" t="s">
        <v>324</v>
      </c>
      <c r="C712" s="64" t="s">
        <v>345</v>
      </c>
      <c r="D712" s="64" t="s">
        <v>1337</v>
      </c>
      <c r="E712" s="64" t="s">
        <v>324</v>
      </c>
      <c r="F712" s="65" t="s">
        <v>1338</v>
      </c>
      <c r="G712" s="64" t="s">
        <v>778</v>
      </c>
      <c r="H712" s="64" t="s">
        <v>219</v>
      </c>
      <c r="I712" s="64" t="s">
        <v>10</v>
      </c>
      <c r="J712" s="64" t="s">
        <v>201</v>
      </c>
      <c r="K712" s="66">
        <v>252</v>
      </c>
      <c r="L712" s="66">
        <f>K712*VLOOKUP(I712,dagsoorttabel1,2,FALSE)</f>
        <v>252</v>
      </c>
      <c r="M712" s="67">
        <f>prodnorm36</f>
        <v>0</v>
      </c>
      <c r="N712" s="68">
        <f>dagwerk36</f>
        <v>0</v>
      </c>
      <c r="O712" s="64" t="s">
        <v>38</v>
      </c>
      <c r="P712" s="69">
        <f>uurtarief36</f>
        <v>0</v>
      </c>
      <c r="Q712" s="66" t="e">
        <f>IF(ISBLANK(M712),0,L712/ROUND(M712,4))</f>
        <v>#DIV/0!</v>
      </c>
      <c r="R712" s="66" t="e">
        <f>IF(ISBLANK(M712),0,Q712*ROUND(N712,2))</f>
        <v>#DIV/0!</v>
      </c>
      <c r="S712" s="69" t="e">
        <f>ROUND(P712,2)*Q712</f>
        <v>#DIV/0!</v>
      </c>
      <c r="T712" s="66" t="e">
        <f>Q712*dagenperjaar1</f>
        <v>#DIV/0!</v>
      </c>
      <c r="U712" s="70" t="e">
        <f>T712*ROUND(P712,2)</f>
        <v>#DIV/0!</v>
      </c>
    </row>
    <row r="713" spans="1:21" x14ac:dyDescent="0.2">
      <c r="A713" s="63" t="s">
        <v>1299</v>
      </c>
      <c r="B713" s="64" t="s">
        <v>324</v>
      </c>
      <c r="C713" s="64" t="s">
        <v>345</v>
      </c>
      <c r="D713" s="64" t="s">
        <v>1339</v>
      </c>
      <c r="E713" s="64" t="s">
        <v>324</v>
      </c>
      <c r="F713" s="65" t="s">
        <v>780</v>
      </c>
      <c r="G713" s="64" t="s">
        <v>778</v>
      </c>
      <c r="H713" s="64" t="s">
        <v>219</v>
      </c>
      <c r="I713" s="64" t="s">
        <v>16</v>
      </c>
      <c r="J713" s="64" t="s">
        <v>201</v>
      </c>
      <c r="K713" s="66">
        <v>44</v>
      </c>
      <c r="L713" s="66">
        <f>K713*VLOOKUP(I713,dagsoorttabel1,2,FALSE)</f>
        <v>8.8000000000000007</v>
      </c>
      <c r="M713" s="67">
        <f>prodnorm37</f>
        <v>0</v>
      </c>
      <c r="N713" s="68">
        <f>dagwerk37</f>
        <v>0</v>
      </c>
      <c r="O713" s="64" t="s">
        <v>38</v>
      </c>
      <c r="P713" s="69">
        <f>uurtarief37</f>
        <v>0</v>
      </c>
      <c r="Q713" s="66" t="e">
        <f>IF(ISBLANK(M713),0,L713/ROUND(M713,4))</f>
        <v>#DIV/0!</v>
      </c>
      <c r="R713" s="66" t="e">
        <f>IF(ISBLANK(M713),0,Q713*ROUND(N713,2))</f>
        <v>#DIV/0!</v>
      </c>
      <c r="S713" s="69" t="e">
        <f>ROUND(P713,2)*Q713</f>
        <v>#DIV/0!</v>
      </c>
      <c r="T713" s="66" t="e">
        <f>Q713*dagenperjaar1</f>
        <v>#DIV/0!</v>
      </c>
      <c r="U713" s="70" t="e">
        <f>T713*ROUND(P713,2)</f>
        <v>#DIV/0!</v>
      </c>
    </row>
    <row r="714" spans="1:21" x14ac:dyDescent="0.2">
      <c r="A714" s="63" t="s">
        <v>1299</v>
      </c>
      <c r="B714" s="64" t="s">
        <v>324</v>
      </c>
      <c r="C714" s="64" t="s">
        <v>345</v>
      </c>
      <c r="D714" s="64" t="s">
        <v>1340</v>
      </c>
      <c r="E714" s="64" t="s">
        <v>324</v>
      </c>
      <c r="F714" s="65" t="s">
        <v>780</v>
      </c>
      <c r="G714" s="64" t="s">
        <v>778</v>
      </c>
      <c r="H714" s="64" t="s">
        <v>219</v>
      </c>
      <c r="I714" s="64" t="s">
        <v>16</v>
      </c>
      <c r="J714" s="64" t="s">
        <v>201</v>
      </c>
      <c r="K714" s="66">
        <v>44</v>
      </c>
      <c r="L714" s="66">
        <f>K714*VLOOKUP(I714,dagsoorttabel1,2,FALSE)</f>
        <v>8.8000000000000007</v>
      </c>
      <c r="M714" s="67">
        <f>prodnorm37</f>
        <v>0</v>
      </c>
      <c r="N714" s="68">
        <f>dagwerk37</f>
        <v>0</v>
      </c>
      <c r="O714" s="64" t="s">
        <v>38</v>
      </c>
      <c r="P714" s="69">
        <f>uurtarief37</f>
        <v>0</v>
      </c>
      <c r="Q714" s="66" t="e">
        <f>IF(ISBLANK(M714),0,L714/ROUND(M714,4))</f>
        <v>#DIV/0!</v>
      </c>
      <c r="R714" s="66" t="e">
        <f>IF(ISBLANK(M714),0,Q714*ROUND(N714,2))</f>
        <v>#DIV/0!</v>
      </c>
      <c r="S714" s="69" t="e">
        <f>ROUND(P714,2)*Q714</f>
        <v>#DIV/0!</v>
      </c>
      <c r="T714" s="66" t="e">
        <f>Q714*dagenperjaar1</f>
        <v>#DIV/0!</v>
      </c>
      <c r="U714" s="70" t="e">
        <f>T714*ROUND(P714,2)</f>
        <v>#DIV/0!</v>
      </c>
    </row>
    <row r="715" spans="1:21" x14ac:dyDescent="0.2">
      <c r="A715" s="63" t="s">
        <v>1299</v>
      </c>
      <c r="B715" s="64" t="s">
        <v>324</v>
      </c>
      <c r="C715" s="64" t="s">
        <v>323</v>
      </c>
      <c r="D715" s="64" t="s">
        <v>426</v>
      </c>
      <c r="E715" s="64" t="s">
        <v>324</v>
      </c>
      <c r="F715" s="65" t="s">
        <v>1341</v>
      </c>
      <c r="G715" s="64" t="s">
        <v>1302</v>
      </c>
      <c r="H715" s="64" t="s">
        <v>251</v>
      </c>
      <c r="I715" s="64" t="s">
        <v>10</v>
      </c>
      <c r="J715" s="64" t="s">
        <v>201</v>
      </c>
      <c r="K715" s="66">
        <v>70</v>
      </c>
      <c r="L715" s="66">
        <f>K715*VLOOKUP(I715,dagsoorttabel1,2,FALSE)</f>
        <v>70</v>
      </c>
      <c r="M715" s="67">
        <f>prodnorm57</f>
        <v>0</v>
      </c>
      <c r="N715" s="68">
        <f>dagwerk57</f>
        <v>0</v>
      </c>
      <c r="O715" s="64" t="s">
        <v>38</v>
      </c>
      <c r="P715" s="69">
        <f>uurtarief57</f>
        <v>0</v>
      </c>
      <c r="Q715" s="66" t="e">
        <f>IF(ISBLANK(M715),0,L715/ROUND(M715,4))</f>
        <v>#DIV/0!</v>
      </c>
      <c r="R715" s="66" t="e">
        <f>IF(ISBLANK(M715),0,Q715*ROUND(N715,2))</f>
        <v>#DIV/0!</v>
      </c>
      <c r="S715" s="69" t="e">
        <f>ROUND(P715,2)*Q715</f>
        <v>#DIV/0!</v>
      </c>
      <c r="T715" s="66" t="e">
        <f>Q715*dagenperjaar1</f>
        <v>#DIV/0!</v>
      </c>
      <c r="U715" s="70" t="e">
        <f>T715*ROUND(P715,2)</f>
        <v>#DIV/0!</v>
      </c>
    </row>
    <row r="716" spans="1:21" x14ac:dyDescent="0.2">
      <c r="A716" s="63" t="s">
        <v>1299</v>
      </c>
      <c r="B716" s="64" t="s">
        <v>324</v>
      </c>
      <c r="C716" s="64" t="s">
        <v>323</v>
      </c>
      <c r="D716" s="64" t="s">
        <v>438</v>
      </c>
      <c r="E716" s="64" t="s">
        <v>324</v>
      </c>
      <c r="F716" s="65" t="s">
        <v>1342</v>
      </c>
      <c r="G716" s="64" t="s">
        <v>1302</v>
      </c>
      <c r="H716" s="64" t="s">
        <v>251</v>
      </c>
      <c r="I716" s="64" t="s">
        <v>10</v>
      </c>
      <c r="J716" s="64" t="s">
        <v>201</v>
      </c>
      <c r="K716" s="66">
        <v>100</v>
      </c>
      <c r="L716" s="66">
        <f>K716*VLOOKUP(I716,dagsoorttabel1,2,FALSE)</f>
        <v>100</v>
      </c>
      <c r="M716" s="67">
        <f>prodnorm57</f>
        <v>0</v>
      </c>
      <c r="N716" s="68">
        <f>dagwerk57</f>
        <v>0</v>
      </c>
      <c r="O716" s="64" t="s">
        <v>38</v>
      </c>
      <c r="P716" s="69">
        <f>uurtarief57</f>
        <v>0</v>
      </c>
      <c r="Q716" s="66" t="e">
        <f>IF(ISBLANK(M716),0,L716/ROUND(M716,4))</f>
        <v>#DIV/0!</v>
      </c>
      <c r="R716" s="66" t="e">
        <f>IF(ISBLANK(M716),0,Q716*ROUND(N716,2))</f>
        <v>#DIV/0!</v>
      </c>
      <c r="S716" s="69" t="e">
        <f>ROUND(P716,2)*Q716</f>
        <v>#DIV/0!</v>
      </c>
      <c r="T716" s="66" t="e">
        <f>Q716*dagenperjaar1</f>
        <v>#DIV/0!</v>
      </c>
      <c r="U716" s="70" t="e">
        <f>T716*ROUND(P716,2)</f>
        <v>#DIV/0!</v>
      </c>
    </row>
    <row r="717" spans="1:21" x14ac:dyDescent="0.2">
      <c r="A717" s="63" t="s">
        <v>1299</v>
      </c>
      <c r="B717" s="64" t="s">
        <v>324</v>
      </c>
      <c r="C717" s="64" t="s">
        <v>323</v>
      </c>
      <c r="D717" s="64" t="s">
        <v>441</v>
      </c>
      <c r="E717" s="64" t="s">
        <v>324</v>
      </c>
      <c r="F717" s="65" t="s">
        <v>425</v>
      </c>
      <c r="G717" s="64" t="s">
        <v>1302</v>
      </c>
      <c r="H717" s="64" t="s">
        <v>251</v>
      </c>
      <c r="I717" s="64" t="s">
        <v>10</v>
      </c>
      <c r="J717" s="64" t="s">
        <v>201</v>
      </c>
      <c r="K717" s="66">
        <v>41</v>
      </c>
      <c r="L717" s="66">
        <f>K717*VLOOKUP(I717,dagsoorttabel1,2,FALSE)</f>
        <v>41</v>
      </c>
      <c r="M717" s="67">
        <f>prodnorm57</f>
        <v>0</v>
      </c>
      <c r="N717" s="68">
        <f>dagwerk57</f>
        <v>0</v>
      </c>
      <c r="O717" s="64" t="s">
        <v>38</v>
      </c>
      <c r="P717" s="69">
        <f>uurtarief57</f>
        <v>0</v>
      </c>
      <c r="Q717" s="66" t="e">
        <f>IF(ISBLANK(M717),0,L717/ROUND(M717,4))</f>
        <v>#DIV/0!</v>
      </c>
      <c r="R717" s="66" t="e">
        <f>IF(ISBLANK(M717),0,Q717*ROUND(N717,2))</f>
        <v>#DIV/0!</v>
      </c>
      <c r="S717" s="69" t="e">
        <f>ROUND(P717,2)*Q717</f>
        <v>#DIV/0!</v>
      </c>
      <c r="T717" s="66" t="e">
        <f>Q717*dagenperjaar1</f>
        <v>#DIV/0!</v>
      </c>
      <c r="U717" s="70" t="e">
        <f>T717*ROUND(P717,2)</f>
        <v>#DIV/0!</v>
      </c>
    </row>
    <row r="718" spans="1:21" ht="25.5" x14ac:dyDescent="0.2">
      <c r="A718" s="63" t="s">
        <v>1299</v>
      </c>
      <c r="B718" s="64" t="s">
        <v>324</v>
      </c>
      <c r="C718" s="64" t="s">
        <v>323</v>
      </c>
      <c r="D718" s="64" t="s">
        <v>1343</v>
      </c>
      <c r="E718" s="64" t="s">
        <v>324</v>
      </c>
      <c r="F718" s="65" t="s">
        <v>1344</v>
      </c>
      <c r="G718" s="64" t="s">
        <v>1302</v>
      </c>
      <c r="H718" s="64" t="s">
        <v>251</v>
      </c>
      <c r="I718" s="64" t="s">
        <v>10</v>
      </c>
      <c r="J718" s="64" t="s">
        <v>201</v>
      </c>
      <c r="K718" s="66">
        <v>79</v>
      </c>
      <c r="L718" s="66">
        <f>K718*VLOOKUP(I718,dagsoorttabel1,2,FALSE)</f>
        <v>79</v>
      </c>
      <c r="M718" s="67">
        <f>prodnorm57</f>
        <v>0</v>
      </c>
      <c r="N718" s="68">
        <f>dagwerk57</f>
        <v>0</v>
      </c>
      <c r="O718" s="64" t="s">
        <v>38</v>
      </c>
      <c r="P718" s="69">
        <f>uurtarief57</f>
        <v>0</v>
      </c>
      <c r="Q718" s="66" t="e">
        <f>IF(ISBLANK(M718),0,L718/ROUND(M718,4))</f>
        <v>#DIV/0!</v>
      </c>
      <c r="R718" s="66" t="e">
        <f>IF(ISBLANK(M718),0,Q718*ROUND(N718,2))</f>
        <v>#DIV/0!</v>
      </c>
      <c r="S718" s="69" t="e">
        <f>ROUND(P718,2)*Q718</f>
        <v>#DIV/0!</v>
      </c>
      <c r="T718" s="66" t="e">
        <f>Q718*dagenperjaar1</f>
        <v>#DIV/0!</v>
      </c>
      <c r="U718" s="70" t="e">
        <f>T718*ROUND(P718,2)</f>
        <v>#DIV/0!</v>
      </c>
    </row>
    <row r="719" spans="1:21" x14ac:dyDescent="0.2">
      <c r="A719" s="63" t="s">
        <v>1299</v>
      </c>
      <c r="B719" s="64" t="s">
        <v>324</v>
      </c>
      <c r="C719" s="64" t="s">
        <v>323</v>
      </c>
      <c r="D719" s="64" t="s">
        <v>1345</v>
      </c>
      <c r="E719" s="64" t="s">
        <v>324</v>
      </c>
      <c r="F719" s="65" t="s">
        <v>1346</v>
      </c>
      <c r="G719" s="64" t="s">
        <v>1302</v>
      </c>
      <c r="H719" s="64" t="s">
        <v>247</v>
      </c>
      <c r="I719" s="64" t="s">
        <v>10</v>
      </c>
      <c r="J719" s="64" t="s">
        <v>201</v>
      </c>
      <c r="K719" s="66">
        <v>156</v>
      </c>
      <c r="L719" s="66">
        <f>K719*VLOOKUP(I719,dagsoorttabel1,2,FALSE)</f>
        <v>156</v>
      </c>
      <c r="M719" s="67">
        <f>prodnorm55</f>
        <v>0</v>
      </c>
      <c r="N719" s="68">
        <f>dagwerk55</f>
        <v>0</v>
      </c>
      <c r="O719" s="64" t="s">
        <v>38</v>
      </c>
      <c r="P719" s="69">
        <f>uurtarief55</f>
        <v>0</v>
      </c>
      <c r="Q719" s="66" t="e">
        <f>IF(ISBLANK(M719),0,L719/ROUND(M719,4))</f>
        <v>#DIV/0!</v>
      </c>
      <c r="R719" s="66" t="e">
        <f>IF(ISBLANK(M719),0,Q719*ROUND(N719,2))</f>
        <v>#DIV/0!</v>
      </c>
      <c r="S719" s="69" t="e">
        <f>ROUND(P719,2)*Q719</f>
        <v>#DIV/0!</v>
      </c>
      <c r="T719" s="66" t="e">
        <f>Q719*dagenperjaar1</f>
        <v>#DIV/0!</v>
      </c>
      <c r="U719" s="70" t="e">
        <f>T719*ROUND(P719,2)</f>
        <v>#DIV/0!</v>
      </c>
    </row>
    <row r="720" spans="1:21" x14ac:dyDescent="0.2">
      <c r="A720" s="63" t="s">
        <v>1299</v>
      </c>
      <c r="B720" s="64" t="s">
        <v>324</v>
      </c>
      <c r="C720" s="64" t="s">
        <v>323</v>
      </c>
      <c r="D720" s="64" t="s">
        <v>1347</v>
      </c>
      <c r="E720" s="64" t="s">
        <v>324</v>
      </c>
      <c r="F720" s="65" t="s">
        <v>1348</v>
      </c>
      <c r="G720" s="64" t="s">
        <v>1302</v>
      </c>
      <c r="H720" s="64" t="s">
        <v>247</v>
      </c>
      <c r="I720" s="64" t="s">
        <v>10</v>
      </c>
      <c r="J720" s="64" t="s">
        <v>201</v>
      </c>
      <c r="K720" s="66">
        <v>20</v>
      </c>
      <c r="L720" s="66">
        <f>K720*VLOOKUP(I720,dagsoorttabel1,2,FALSE)</f>
        <v>20</v>
      </c>
      <c r="M720" s="67">
        <f>prodnorm55</f>
        <v>0</v>
      </c>
      <c r="N720" s="68">
        <f>dagwerk55</f>
        <v>0</v>
      </c>
      <c r="O720" s="64" t="s">
        <v>38</v>
      </c>
      <c r="P720" s="69">
        <f>uurtarief55</f>
        <v>0</v>
      </c>
      <c r="Q720" s="66" t="e">
        <f>IF(ISBLANK(M720),0,L720/ROUND(M720,4))</f>
        <v>#DIV/0!</v>
      </c>
      <c r="R720" s="66" t="e">
        <f>IF(ISBLANK(M720),0,Q720*ROUND(N720,2))</f>
        <v>#DIV/0!</v>
      </c>
      <c r="S720" s="69" t="e">
        <f>ROUND(P720,2)*Q720</f>
        <v>#DIV/0!</v>
      </c>
      <c r="T720" s="66" t="e">
        <f>Q720*dagenperjaar1</f>
        <v>#DIV/0!</v>
      </c>
      <c r="U720" s="70" t="e">
        <f>T720*ROUND(P720,2)</f>
        <v>#DIV/0!</v>
      </c>
    </row>
    <row r="721" spans="1:21" x14ac:dyDescent="0.2">
      <c r="A721" s="63" t="s">
        <v>1299</v>
      </c>
      <c r="B721" s="64" t="s">
        <v>324</v>
      </c>
      <c r="C721" s="64" t="s">
        <v>323</v>
      </c>
      <c r="D721" s="64" t="s">
        <v>1349</v>
      </c>
      <c r="E721" s="64" t="s">
        <v>324</v>
      </c>
      <c r="F721" s="65" t="s">
        <v>1350</v>
      </c>
      <c r="G721" s="64" t="s">
        <v>1302</v>
      </c>
      <c r="H721" s="64" t="s">
        <v>247</v>
      </c>
      <c r="I721" s="64" t="s">
        <v>10</v>
      </c>
      <c r="J721" s="64" t="s">
        <v>201</v>
      </c>
      <c r="K721" s="66">
        <v>20</v>
      </c>
      <c r="L721" s="66">
        <f>K721*VLOOKUP(I721,dagsoorttabel1,2,FALSE)</f>
        <v>20</v>
      </c>
      <c r="M721" s="67">
        <f>prodnorm55</f>
        <v>0</v>
      </c>
      <c r="N721" s="68">
        <f>dagwerk55</f>
        <v>0</v>
      </c>
      <c r="O721" s="64" t="s">
        <v>38</v>
      </c>
      <c r="P721" s="69">
        <f>uurtarief55</f>
        <v>0</v>
      </c>
      <c r="Q721" s="66" t="e">
        <f>IF(ISBLANK(M721),0,L721/ROUND(M721,4))</f>
        <v>#DIV/0!</v>
      </c>
      <c r="R721" s="66" t="e">
        <f>IF(ISBLANK(M721),0,Q721*ROUND(N721,2))</f>
        <v>#DIV/0!</v>
      </c>
      <c r="S721" s="69" t="e">
        <f>ROUND(P721,2)*Q721</f>
        <v>#DIV/0!</v>
      </c>
      <c r="T721" s="66" t="e">
        <f>Q721*dagenperjaar1</f>
        <v>#DIV/0!</v>
      </c>
      <c r="U721" s="70" t="e">
        <f>T721*ROUND(P721,2)</f>
        <v>#DIV/0!</v>
      </c>
    </row>
    <row r="722" spans="1:21" x14ac:dyDescent="0.2">
      <c r="A722" s="63" t="s">
        <v>1299</v>
      </c>
      <c r="B722" s="64" t="s">
        <v>324</v>
      </c>
      <c r="C722" s="64" t="s">
        <v>323</v>
      </c>
      <c r="D722" s="64" t="s">
        <v>1351</v>
      </c>
      <c r="E722" s="64" t="s">
        <v>324</v>
      </c>
      <c r="F722" s="65" t="s">
        <v>1352</v>
      </c>
      <c r="G722" s="64" t="s">
        <v>1302</v>
      </c>
      <c r="H722" s="64" t="s">
        <v>247</v>
      </c>
      <c r="I722" s="64" t="s">
        <v>10</v>
      </c>
      <c r="J722" s="64" t="s">
        <v>201</v>
      </c>
      <c r="K722" s="66">
        <v>20</v>
      </c>
      <c r="L722" s="66">
        <f>K722*VLOOKUP(I722,dagsoorttabel1,2,FALSE)</f>
        <v>20</v>
      </c>
      <c r="M722" s="67">
        <f>prodnorm55</f>
        <v>0</v>
      </c>
      <c r="N722" s="68">
        <f>dagwerk55</f>
        <v>0</v>
      </c>
      <c r="O722" s="64" t="s">
        <v>38</v>
      </c>
      <c r="P722" s="69">
        <f>uurtarief55</f>
        <v>0</v>
      </c>
      <c r="Q722" s="66" t="e">
        <f>IF(ISBLANK(M722),0,L722/ROUND(M722,4))</f>
        <v>#DIV/0!</v>
      </c>
      <c r="R722" s="66" t="e">
        <f>IF(ISBLANK(M722),0,Q722*ROUND(N722,2))</f>
        <v>#DIV/0!</v>
      </c>
      <c r="S722" s="69" t="e">
        <f>ROUND(P722,2)*Q722</f>
        <v>#DIV/0!</v>
      </c>
      <c r="T722" s="66" t="e">
        <f>Q722*dagenperjaar1</f>
        <v>#DIV/0!</v>
      </c>
      <c r="U722" s="70" t="e">
        <f>T722*ROUND(P722,2)</f>
        <v>#DIV/0!</v>
      </c>
    </row>
    <row r="723" spans="1:21" ht="25.5" x14ac:dyDescent="0.2">
      <c r="A723" s="63" t="s">
        <v>1299</v>
      </c>
      <c r="B723" s="64" t="s">
        <v>324</v>
      </c>
      <c r="C723" s="64" t="s">
        <v>323</v>
      </c>
      <c r="D723" s="64" t="s">
        <v>1353</v>
      </c>
      <c r="E723" s="64" t="s">
        <v>324</v>
      </c>
      <c r="F723" s="65" t="s">
        <v>1354</v>
      </c>
      <c r="G723" s="64" t="s">
        <v>1302</v>
      </c>
      <c r="H723" s="64" t="s">
        <v>247</v>
      </c>
      <c r="I723" s="64" t="s">
        <v>10</v>
      </c>
      <c r="J723" s="64" t="s">
        <v>201</v>
      </c>
      <c r="K723" s="66">
        <v>20</v>
      </c>
      <c r="L723" s="66">
        <f>K723*VLOOKUP(I723,dagsoorttabel1,2,FALSE)</f>
        <v>20</v>
      </c>
      <c r="M723" s="67">
        <f>prodnorm55</f>
        <v>0</v>
      </c>
      <c r="N723" s="68">
        <f>dagwerk55</f>
        <v>0</v>
      </c>
      <c r="O723" s="64" t="s">
        <v>38</v>
      </c>
      <c r="P723" s="69">
        <f>uurtarief55</f>
        <v>0</v>
      </c>
      <c r="Q723" s="66" t="e">
        <f>IF(ISBLANK(M723),0,L723/ROUND(M723,4))</f>
        <v>#DIV/0!</v>
      </c>
      <c r="R723" s="66" t="e">
        <f>IF(ISBLANK(M723),0,Q723*ROUND(N723,2))</f>
        <v>#DIV/0!</v>
      </c>
      <c r="S723" s="69" t="e">
        <f>ROUND(P723,2)*Q723</f>
        <v>#DIV/0!</v>
      </c>
      <c r="T723" s="66" t="e">
        <f>Q723*dagenperjaar1</f>
        <v>#DIV/0!</v>
      </c>
      <c r="U723" s="70" t="e">
        <f>T723*ROUND(P723,2)</f>
        <v>#DIV/0!</v>
      </c>
    </row>
    <row r="724" spans="1:21" x14ac:dyDescent="0.2">
      <c r="A724" s="63" t="s">
        <v>1299</v>
      </c>
      <c r="B724" s="64" t="s">
        <v>324</v>
      </c>
      <c r="C724" s="64" t="s">
        <v>323</v>
      </c>
      <c r="D724" s="64" t="s">
        <v>1355</v>
      </c>
      <c r="E724" s="64" t="s">
        <v>324</v>
      </c>
      <c r="F724" s="65" t="s">
        <v>641</v>
      </c>
      <c r="G724" s="64" t="s">
        <v>365</v>
      </c>
      <c r="H724" s="64" t="s">
        <v>255</v>
      </c>
      <c r="I724" s="64" t="s">
        <v>10</v>
      </c>
      <c r="J724" s="64" t="s">
        <v>201</v>
      </c>
      <c r="K724" s="66">
        <v>3.5</v>
      </c>
      <c r="L724" s="66">
        <f>K724*VLOOKUP(I724,dagsoorttabel1,2,FALSE)</f>
        <v>3.5</v>
      </c>
      <c r="M724" s="67">
        <f>prodnorm59</f>
        <v>0</v>
      </c>
      <c r="N724" s="68">
        <f>dagwerk59</f>
        <v>0</v>
      </c>
      <c r="O724" s="64" t="s">
        <v>38</v>
      </c>
      <c r="P724" s="69">
        <f>uurtarief59</f>
        <v>0</v>
      </c>
      <c r="Q724" s="66" t="e">
        <f>IF(ISBLANK(M724),0,L724/ROUND(M724,4))</f>
        <v>#DIV/0!</v>
      </c>
      <c r="R724" s="66" t="e">
        <f>IF(ISBLANK(M724),0,Q724*ROUND(N724,2))</f>
        <v>#DIV/0!</v>
      </c>
      <c r="S724" s="69" t="e">
        <f>ROUND(P724,2)*Q724</f>
        <v>#DIV/0!</v>
      </c>
      <c r="T724" s="66" t="e">
        <f>Q724*dagenperjaar1</f>
        <v>#DIV/0!</v>
      </c>
      <c r="U724" s="70" t="e">
        <f>T724*ROUND(P724,2)</f>
        <v>#DIV/0!</v>
      </c>
    </row>
    <row r="725" spans="1:21" x14ac:dyDescent="0.2">
      <c r="A725" s="63" t="s">
        <v>1299</v>
      </c>
      <c r="B725" s="64" t="s">
        <v>324</v>
      </c>
      <c r="C725" s="64" t="s">
        <v>323</v>
      </c>
      <c r="D725" s="64" t="s">
        <v>1355</v>
      </c>
      <c r="E725" s="64" t="s">
        <v>324</v>
      </c>
      <c r="F725" s="65" t="s">
        <v>641</v>
      </c>
      <c r="G725" s="64" t="s">
        <v>365</v>
      </c>
      <c r="H725" s="64" t="s">
        <v>257</v>
      </c>
      <c r="I725" s="64" t="s">
        <v>10</v>
      </c>
      <c r="J725" s="64" t="s">
        <v>201</v>
      </c>
      <c r="K725" s="66">
        <v>3.5</v>
      </c>
      <c r="L725" s="66">
        <f>K725*VLOOKUP(I725,dagsoorttabel1,2,FALSE)</f>
        <v>3.5</v>
      </c>
      <c r="M725" s="67">
        <f>prodnorm60</f>
        <v>0</v>
      </c>
      <c r="N725" s="68">
        <f>dagwerk60</f>
        <v>0</v>
      </c>
      <c r="O725" s="64" t="s">
        <v>38</v>
      </c>
      <c r="P725" s="69">
        <f>uurtarief60</f>
        <v>0</v>
      </c>
      <c r="Q725" s="66" t="e">
        <f>IF(ISBLANK(M725),0,L725/ROUND(M725,4))</f>
        <v>#DIV/0!</v>
      </c>
      <c r="R725" s="66" t="e">
        <f>IF(ISBLANK(M725),0,Q725*ROUND(N725,2))</f>
        <v>#DIV/0!</v>
      </c>
      <c r="S725" s="69" t="e">
        <f>ROUND(P725,2)*Q725</f>
        <v>#DIV/0!</v>
      </c>
      <c r="T725" s="66" t="e">
        <f>Q725*dagenperjaar1</f>
        <v>#DIV/0!</v>
      </c>
      <c r="U725" s="70" t="e">
        <f>T725*ROUND(P725,2)</f>
        <v>#DIV/0!</v>
      </c>
    </row>
    <row r="726" spans="1:21" x14ac:dyDescent="0.2">
      <c r="A726" s="63" t="s">
        <v>1299</v>
      </c>
      <c r="B726" s="64" t="s">
        <v>324</v>
      </c>
      <c r="C726" s="64" t="s">
        <v>323</v>
      </c>
      <c r="D726" s="64" t="s">
        <v>918</v>
      </c>
      <c r="E726" s="64" t="s">
        <v>324</v>
      </c>
      <c r="F726" s="65" t="s">
        <v>1356</v>
      </c>
      <c r="G726" s="64" t="s">
        <v>365</v>
      </c>
      <c r="H726" s="64" t="s">
        <v>251</v>
      </c>
      <c r="I726" s="64" t="s">
        <v>10</v>
      </c>
      <c r="J726" s="64" t="s">
        <v>201</v>
      </c>
      <c r="K726" s="66">
        <v>60</v>
      </c>
      <c r="L726" s="66">
        <f>K726*VLOOKUP(I726,dagsoorttabel1,2,FALSE)</f>
        <v>60</v>
      </c>
      <c r="M726" s="67">
        <f>prodnorm57</f>
        <v>0</v>
      </c>
      <c r="N726" s="68">
        <f>dagwerk57</f>
        <v>0</v>
      </c>
      <c r="O726" s="64" t="s">
        <v>38</v>
      </c>
      <c r="P726" s="69">
        <f>uurtarief57</f>
        <v>0</v>
      </c>
      <c r="Q726" s="66" t="e">
        <f>IF(ISBLANK(M726),0,L726/ROUND(M726,4))</f>
        <v>#DIV/0!</v>
      </c>
      <c r="R726" s="66" t="e">
        <f>IF(ISBLANK(M726),0,Q726*ROUND(N726,2))</f>
        <v>#DIV/0!</v>
      </c>
      <c r="S726" s="69" t="e">
        <f>ROUND(P726,2)*Q726</f>
        <v>#DIV/0!</v>
      </c>
      <c r="T726" s="66" t="e">
        <f>Q726*dagenperjaar1</f>
        <v>#DIV/0!</v>
      </c>
      <c r="U726" s="70" t="e">
        <f>T726*ROUND(P726,2)</f>
        <v>#DIV/0!</v>
      </c>
    </row>
    <row r="727" spans="1:21" ht="25.5" x14ac:dyDescent="0.2">
      <c r="A727" s="63" t="s">
        <v>1299</v>
      </c>
      <c r="B727" s="64" t="s">
        <v>324</v>
      </c>
      <c r="C727" s="64" t="s">
        <v>323</v>
      </c>
      <c r="D727" s="64" t="s">
        <v>1357</v>
      </c>
      <c r="E727" s="64" t="s">
        <v>324</v>
      </c>
      <c r="F727" s="65" t="s">
        <v>1358</v>
      </c>
      <c r="G727" s="64" t="s">
        <v>1302</v>
      </c>
      <c r="H727" s="64" t="s">
        <v>247</v>
      </c>
      <c r="I727" s="64" t="s">
        <v>10</v>
      </c>
      <c r="J727" s="64" t="s">
        <v>201</v>
      </c>
      <c r="K727" s="66">
        <v>20</v>
      </c>
      <c r="L727" s="66">
        <f>K727*VLOOKUP(I727,dagsoorttabel1,2,FALSE)</f>
        <v>20</v>
      </c>
      <c r="M727" s="67">
        <f>prodnorm55</f>
        <v>0</v>
      </c>
      <c r="N727" s="68">
        <f>dagwerk55</f>
        <v>0</v>
      </c>
      <c r="O727" s="64" t="s">
        <v>38</v>
      </c>
      <c r="P727" s="69">
        <f>uurtarief55</f>
        <v>0</v>
      </c>
      <c r="Q727" s="66" t="e">
        <f>IF(ISBLANK(M727),0,L727/ROUND(M727,4))</f>
        <v>#DIV/0!</v>
      </c>
      <c r="R727" s="66" t="e">
        <f>IF(ISBLANK(M727),0,Q727*ROUND(N727,2))</f>
        <v>#DIV/0!</v>
      </c>
      <c r="S727" s="69" t="e">
        <f>ROUND(P727,2)*Q727</f>
        <v>#DIV/0!</v>
      </c>
      <c r="T727" s="66" t="e">
        <f>Q727*dagenperjaar1</f>
        <v>#DIV/0!</v>
      </c>
      <c r="U727" s="70" t="e">
        <f>T727*ROUND(P727,2)</f>
        <v>#DIV/0!</v>
      </c>
    </row>
    <row r="728" spans="1:21" x14ac:dyDescent="0.2">
      <c r="A728" s="63" t="s">
        <v>1299</v>
      </c>
      <c r="B728" s="64" t="s">
        <v>324</v>
      </c>
      <c r="C728" s="64" t="s">
        <v>323</v>
      </c>
      <c r="D728" s="64" t="s">
        <v>1359</v>
      </c>
      <c r="E728" s="64" t="s">
        <v>324</v>
      </c>
      <c r="F728" s="65" t="s">
        <v>1360</v>
      </c>
      <c r="G728" s="64" t="s">
        <v>1302</v>
      </c>
      <c r="H728" s="64" t="s">
        <v>229</v>
      </c>
      <c r="I728" s="64" t="s">
        <v>10</v>
      </c>
      <c r="J728" s="64" t="s">
        <v>201</v>
      </c>
      <c r="K728" s="66">
        <v>55</v>
      </c>
      <c r="L728" s="66">
        <f>K728*VLOOKUP(I728,dagsoorttabel1,2,FALSE)</f>
        <v>55</v>
      </c>
      <c r="M728" s="67">
        <f>prodnorm43</f>
        <v>0</v>
      </c>
      <c r="N728" s="68">
        <f>dagwerk43</f>
        <v>0</v>
      </c>
      <c r="O728" s="64" t="s">
        <v>38</v>
      </c>
      <c r="P728" s="69">
        <f>uurtarief43</f>
        <v>0</v>
      </c>
      <c r="Q728" s="66" t="e">
        <f>IF(ISBLANK(M728),0,L728/ROUND(M728,4))</f>
        <v>#DIV/0!</v>
      </c>
      <c r="R728" s="66" t="e">
        <f>IF(ISBLANK(M728),0,Q728*ROUND(N728,2))</f>
        <v>#DIV/0!</v>
      </c>
      <c r="S728" s="69" t="e">
        <f>ROUND(P728,2)*Q728</f>
        <v>#DIV/0!</v>
      </c>
      <c r="T728" s="66" t="e">
        <f>Q728*dagenperjaar1</f>
        <v>#DIV/0!</v>
      </c>
      <c r="U728" s="70" t="e">
        <f>T728*ROUND(P728,2)</f>
        <v>#DIV/0!</v>
      </c>
    </row>
    <row r="729" spans="1:21" x14ac:dyDescent="0.2">
      <c r="A729" s="63" t="s">
        <v>1299</v>
      </c>
      <c r="B729" s="64" t="s">
        <v>324</v>
      </c>
      <c r="C729" s="64" t="s">
        <v>323</v>
      </c>
      <c r="D729" s="64" t="s">
        <v>1361</v>
      </c>
      <c r="E729" s="64" t="s">
        <v>324</v>
      </c>
      <c r="F729" s="65" t="s">
        <v>1362</v>
      </c>
      <c r="G729" s="64" t="s">
        <v>1302</v>
      </c>
      <c r="H729" s="64" t="s">
        <v>247</v>
      </c>
      <c r="I729" s="64" t="s">
        <v>10</v>
      </c>
      <c r="J729" s="64" t="s">
        <v>201</v>
      </c>
      <c r="K729" s="66">
        <v>19</v>
      </c>
      <c r="L729" s="66">
        <f>K729*VLOOKUP(I729,dagsoorttabel1,2,FALSE)</f>
        <v>19</v>
      </c>
      <c r="M729" s="67">
        <f>prodnorm55</f>
        <v>0</v>
      </c>
      <c r="N729" s="68">
        <f>dagwerk55</f>
        <v>0</v>
      </c>
      <c r="O729" s="64" t="s">
        <v>38</v>
      </c>
      <c r="P729" s="69">
        <f>uurtarief55</f>
        <v>0</v>
      </c>
      <c r="Q729" s="66" t="e">
        <f>IF(ISBLANK(M729),0,L729/ROUND(M729,4))</f>
        <v>#DIV/0!</v>
      </c>
      <c r="R729" s="66" t="e">
        <f>IF(ISBLANK(M729),0,Q729*ROUND(N729,2))</f>
        <v>#DIV/0!</v>
      </c>
      <c r="S729" s="69" t="e">
        <f>ROUND(P729,2)*Q729</f>
        <v>#DIV/0!</v>
      </c>
      <c r="T729" s="66" t="e">
        <f>Q729*dagenperjaar1</f>
        <v>#DIV/0!</v>
      </c>
      <c r="U729" s="70" t="e">
        <f>T729*ROUND(P729,2)</f>
        <v>#DIV/0!</v>
      </c>
    </row>
    <row r="730" spans="1:21" x14ac:dyDescent="0.2">
      <c r="A730" s="63" t="s">
        <v>1299</v>
      </c>
      <c r="B730" s="64" t="s">
        <v>324</v>
      </c>
      <c r="C730" s="64" t="s">
        <v>323</v>
      </c>
      <c r="D730" s="64" t="s">
        <v>444</v>
      </c>
      <c r="E730" s="64" t="s">
        <v>324</v>
      </c>
      <c r="F730" s="65" t="s">
        <v>344</v>
      </c>
      <c r="G730" s="64" t="s">
        <v>1302</v>
      </c>
      <c r="H730" s="64" t="s">
        <v>263</v>
      </c>
      <c r="I730" s="64" t="s">
        <v>10</v>
      </c>
      <c r="J730" s="64" t="s">
        <v>201</v>
      </c>
      <c r="K730" s="66">
        <v>20</v>
      </c>
      <c r="L730" s="66">
        <f>K730*VLOOKUP(I730,dagsoorttabel1,2,FALSE)</f>
        <v>20</v>
      </c>
      <c r="M730" s="67">
        <f>prodnorm63</f>
        <v>0</v>
      </c>
      <c r="N730" s="68">
        <f>dagwerk63</f>
        <v>0</v>
      </c>
      <c r="O730" s="64" t="s">
        <v>38</v>
      </c>
      <c r="P730" s="69">
        <f>uurtarief63</f>
        <v>0</v>
      </c>
      <c r="Q730" s="66" t="e">
        <f>IF(ISBLANK(M730),0,L730/ROUND(M730,4))</f>
        <v>#DIV/0!</v>
      </c>
      <c r="R730" s="66" t="e">
        <f>IF(ISBLANK(M730),0,Q730*ROUND(N730,2))</f>
        <v>#DIV/0!</v>
      </c>
      <c r="S730" s="69" t="e">
        <f>ROUND(P730,2)*Q730</f>
        <v>#DIV/0!</v>
      </c>
      <c r="T730" s="66" t="e">
        <f>Q730*dagenperjaar1</f>
        <v>#DIV/0!</v>
      </c>
      <c r="U730" s="70" t="e">
        <f>T730*ROUND(P730,2)</f>
        <v>#DIV/0!</v>
      </c>
    </row>
    <row r="731" spans="1:21" x14ac:dyDescent="0.2">
      <c r="A731" s="63" t="s">
        <v>1299</v>
      </c>
      <c r="B731" s="64" t="s">
        <v>324</v>
      </c>
      <c r="C731" s="64" t="s">
        <v>323</v>
      </c>
      <c r="D731" s="64" t="s">
        <v>446</v>
      </c>
      <c r="E731" s="64" t="s">
        <v>324</v>
      </c>
      <c r="F731" s="65" t="s">
        <v>623</v>
      </c>
      <c r="G731" s="64" t="s">
        <v>1302</v>
      </c>
      <c r="H731" s="64" t="s">
        <v>205</v>
      </c>
      <c r="I731" s="64" t="s">
        <v>10</v>
      </c>
      <c r="J731" s="64" t="s">
        <v>201</v>
      </c>
      <c r="K731" s="66">
        <v>190</v>
      </c>
      <c r="L731" s="66">
        <f>K731*VLOOKUP(I731,dagsoorttabel1,2,FALSE)</f>
        <v>190</v>
      </c>
      <c r="M731" s="67">
        <f>prodnorm26</f>
        <v>0</v>
      </c>
      <c r="N731" s="68">
        <f>dagwerk26</f>
        <v>0</v>
      </c>
      <c r="O731" s="64" t="s">
        <v>38</v>
      </c>
      <c r="P731" s="69">
        <f>uurtarief26</f>
        <v>0</v>
      </c>
      <c r="Q731" s="66" t="e">
        <f>IF(ISBLANK(M731),0,L731/ROUND(M731,4))</f>
        <v>#DIV/0!</v>
      </c>
      <c r="R731" s="66" t="e">
        <f>IF(ISBLANK(M731),0,Q731*ROUND(N731,2))</f>
        <v>#DIV/0!</v>
      </c>
      <c r="S731" s="69" t="e">
        <f>ROUND(P731,2)*Q731</f>
        <v>#DIV/0!</v>
      </c>
      <c r="T731" s="66" t="e">
        <f>Q731*dagenperjaar1</f>
        <v>#DIV/0!</v>
      </c>
      <c r="U731" s="70" t="e">
        <f>T731*ROUND(P731,2)</f>
        <v>#DIV/0!</v>
      </c>
    </row>
    <row r="732" spans="1:21" x14ac:dyDescent="0.2">
      <c r="A732" s="63" t="s">
        <v>1299</v>
      </c>
      <c r="B732" s="64" t="s">
        <v>324</v>
      </c>
      <c r="C732" s="64" t="s">
        <v>323</v>
      </c>
      <c r="D732" s="64" t="s">
        <v>448</v>
      </c>
      <c r="E732" s="64" t="s">
        <v>324</v>
      </c>
      <c r="F732" s="65" t="s">
        <v>1363</v>
      </c>
      <c r="G732" s="64" t="s">
        <v>1302</v>
      </c>
      <c r="H732" s="64" t="s">
        <v>205</v>
      </c>
      <c r="I732" s="64" t="s">
        <v>10</v>
      </c>
      <c r="J732" s="64" t="s">
        <v>201</v>
      </c>
      <c r="K732" s="66">
        <v>6</v>
      </c>
      <c r="L732" s="66">
        <f>K732*VLOOKUP(I732,dagsoorttabel1,2,FALSE)</f>
        <v>6</v>
      </c>
      <c r="M732" s="67">
        <f>prodnorm26</f>
        <v>0</v>
      </c>
      <c r="N732" s="68">
        <f>dagwerk26</f>
        <v>0</v>
      </c>
      <c r="O732" s="64" t="s">
        <v>38</v>
      </c>
      <c r="P732" s="69">
        <f>uurtarief26</f>
        <v>0</v>
      </c>
      <c r="Q732" s="66" t="e">
        <f>IF(ISBLANK(M732),0,L732/ROUND(M732,4))</f>
        <v>#DIV/0!</v>
      </c>
      <c r="R732" s="66" t="e">
        <f>IF(ISBLANK(M732),0,Q732*ROUND(N732,2))</f>
        <v>#DIV/0!</v>
      </c>
      <c r="S732" s="69" t="e">
        <f>ROUND(P732,2)*Q732</f>
        <v>#DIV/0!</v>
      </c>
      <c r="T732" s="66" t="e">
        <f>Q732*dagenperjaar1</f>
        <v>#DIV/0!</v>
      </c>
      <c r="U732" s="70" t="e">
        <f>T732*ROUND(P732,2)</f>
        <v>#DIV/0!</v>
      </c>
    </row>
    <row r="733" spans="1:21" x14ac:dyDescent="0.2">
      <c r="A733" s="63" t="s">
        <v>1299</v>
      </c>
      <c r="B733" s="64" t="s">
        <v>324</v>
      </c>
      <c r="C733" s="64" t="s">
        <v>323</v>
      </c>
      <c r="D733" s="64" t="s">
        <v>451</v>
      </c>
      <c r="E733" s="64" t="s">
        <v>324</v>
      </c>
      <c r="F733" s="65" t="s">
        <v>1363</v>
      </c>
      <c r="G733" s="64" t="s">
        <v>1302</v>
      </c>
      <c r="H733" s="64" t="s">
        <v>205</v>
      </c>
      <c r="I733" s="64" t="s">
        <v>10</v>
      </c>
      <c r="J733" s="64" t="s">
        <v>201</v>
      </c>
      <c r="K733" s="66">
        <v>6</v>
      </c>
      <c r="L733" s="66">
        <f>K733*VLOOKUP(I733,dagsoorttabel1,2,FALSE)</f>
        <v>6</v>
      </c>
      <c r="M733" s="67">
        <f>prodnorm26</f>
        <v>0</v>
      </c>
      <c r="N733" s="68">
        <f>dagwerk26</f>
        <v>0</v>
      </c>
      <c r="O733" s="64" t="s">
        <v>38</v>
      </c>
      <c r="P733" s="69">
        <f>uurtarief26</f>
        <v>0</v>
      </c>
      <c r="Q733" s="66" t="e">
        <f>IF(ISBLANK(M733),0,L733/ROUND(M733,4))</f>
        <v>#DIV/0!</v>
      </c>
      <c r="R733" s="66" t="e">
        <f>IF(ISBLANK(M733),0,Q733*ROUND(N733,2))</f>
        <v>#DIV/0!</v>
      </c>
      <c r="S733" s="69" t="e">
        <f>ROUND(P733,2)*Q733</f>
        <v>#DIV/0!</v>
      </c>
      <c r="T733" s="66" t="e">
        <f>Q733*dagenperjaar1</f>
        <v>#DIV/0!</v>
      </c>
      <c r="U733" s="70" t="e">
        <f>T733*ROUND(P733,2)</f>
        <v>#DIV/0!</v>
      </c>
    </row>
    <row r="734" spans="1:21" x14ac:dyDescent="0.2">
      <c r="A734" s="63" t="s">
        <v>1299</v>
      </c>
      <c r="B734" s="64" t="s">
        <v>324</v>
      </c>
      <c r="C734" s="64" t="s">
        <v>323</v>
      </c>
      <c r="D734" s="64" t="s">
        <v>453</v>
      </c>
      <c r="E734" s="64" t="s">
        <v>324</v>
      </c>
      <c r="F734" s="65" t="s">
        <v>1363</v>
      </c>
      <c r="G734" s="64" t="s">
        <v>1302</v>
      </c>
      <c r="H734" s="64" t="s">
        <v>205</v>
      </c>
      <c r="I734" s="64" t="s">
        <v>10</v>
      </c>
      <c r="J734" s="64" t="s">
        <v>201</v>
      </c>
      <c r="K734" s="66">
        <v>6</v>
      </c>
      <c r="L734" s="66">
        <f>K734*VLOOKUP(I734,dagsoorttabel1,2,FALSE)</f>
        <v>6</v>
      </c>
      <c r="M734" s="67">
        <f>prodnorm26</f>
        <v>0</v>
      </c>
      <c r="N734" s="68">
        <f>dagwerk26</f>
        <v>0</v>
      </c>
      <c r="O734" s="64" t="s">
        <v>38</v>
      </c>
      <c r="P734" s="69">
        <f>uurtarief26</f>
        <v>0</v>
      </c>
      <c r="Q734" s="66" t="e">
        <f>IF(ISBLANK(M734),0,L734/ROUND(M734,4))</f>
        <v>#DIV/0!</v>
      </c>
      <c r="R734" s="66" t="e">
        <f>IF(ISBLANK(M734),0,Q734*ROUND(N734,2))</f>
        <v>#DIV/0!</v>
      </c>
      <c r="S734" s="69" t="e">
        <f>ROUND(P734,2)*Q734</f>
        <v>#DIV/0!</v>
      </c>
      <c r="T734" s="66" t="e">
        <f>Q734*dagenperjaar1</f>
        <v>#DIV/0!</v>
      </c>
      <c r="U734" s="70" t="e">
        <f>T734*ROUND(P734,2)</f>
        <v>#DIV/0!</v>
      </c>
    </row>
    <row r="735" spans="1:21" x14ac:dyDescent="0.2">
      <c r="A735" s="63" t="s">
        <v>1299</v>
      </c>
      <c r="B735" s="64" t="s">
        <v>324</v>
      </c>
      <c r="C735" s="64" t="s">
        <v>323</v>
      </c>
      <c r="D735" s="64" t="s">
        <v>455</v>
      </c>
      <c r="E735" s="64" t="s">
        <v>324</v>
      </c>
      <c r="F735" s="65" t="s">
        <v>1363</v>
      </c>
      <c r="G735" s="64" t="s">
        <v>1302</v>
      </c>
      <c r="H735" s="64" t="s">
        <v>205</v>
      </c>
      <c r="I735" s="64" t="s">
        <v>10</v>
      </c>
      <c r="J735" s="64" t="s">
        <v>201</v>
      </c>
      <c r="K735" s="66">
        <v>6</v>
      </c>
      <c r="L735" s="66">
        <f>K735*VLOOKUP(I735,dagsoorttabel1,2,FALSE)</f>
        <v>6</v>
      </c>
      <c r="M735" s="67">
        <f>prodnorm26</f>
        <v>0</v>
      </c>
      <c r="N735" s="68">
        <f>dagwerk26</f>
        <v>0</v>
      </c>
      <c r="O735" s="64" t="s">
        <v>38</v>
      </c>
      <c r="P735" s="69">
        <f>uurtarief26</f>
        <v>0</v>
      </c>
      <c r="Q735" s="66" t="e">
        <f>IF(ISBLANK(M735),0,L735/ROUND(M735,4))</f>
        <v>#DIV/0!</v>
      </c>
      <c r="R735" s="66" t="e">
        <f>IF(ISBLANK(M735),0,Q735*ROUND(N735,2))</f>
        <v>#DIV/0!</v>
      </c>
      <c r="S735" s="69" t="e">
        <f>ROUND(P735,2)*Q735</f>
        <v>#DIV/0!</v>
      </c>
      <c r="T735" s="66" t="e">
        <f>Q735*dagenperjaar1</f>
        <v>#DIV/0!</v>
      </c>
      <c r="U735" s="70" t="e">
        <f>T735*ROUND(P735,2)</f>
        <v>#DIV/0!</v>
      </c>
    </row>
    <row r="736" spans="1:21" x14ac:dyDescent="0.2">
      <c r="A736" s="63" t="s">
        <v>1299</v>
      </c>
      <c r="B736" s="64" t="s">
        <v>324</v>
      </c>
      <c r="C736" s="64" t="s">
        <v>323</v>
      </c>
      <c r="D736" s="64" t="s">
        <v>459</v>
      </c>
      <c r="E736" s="64" t="s">
        <v>324</v>
      </c>
      <c r="F736" s="65" t="s">
        <v>1363</v>
      </c>
      <c r="G736" s="64" t="s">
        <v>1302</v>
      </c>
      <c r="H736" s="64" t="s">
        <v>205</v>
      </c>
      <c r="I736" s="64" t="s">
        <v>10</v>
      </c>
      <c r="J736" s="64" t="s">
        <v>201</v>
      </c>
      <c r="K736" s="66">
        <v>6</v>
      </c>
      <c r="L736" s="66">
        <f>K736*VLOOKUP(I736,dagsoorttabel1,2,FALSE)</f>
        <v>6</v>
      </c>
      <c r="M736" s="67">
        <f>prodnorm26</f>
        <v>0</v>
      </c>
      <c r="N736" s="68">
        <f>dagwerk26</f>
        <v>0</v>
      </c>
      <c r="O736" s="64" t="s">
        <v>38</v>
      </c>
      <c r="P736" s="69">
        <f>uurtarief26</f>
        <v>0</v>
      </c>
      <c r="Q736" s="66" t="e">
        <f>IF(ISBLANK(M736),0,L736/ROUND(M736,4))</f>
        <v>#DIV/0!</v>
      </c>
      <c r="R736" s="66" t="e">
        <f>IF(ISBLANK(M736),0,Q736*ROUND(N736,2))</f>
        <v>#DIV/0!</v>
      </c>
      <c r="S736" s="69" t="e">
        <f>ROUND(P736,2)*Q736</f>
        <v>#DIV/0!</v>
      </c>
      <c r="T736" s="66" t="e">
        <f>Q736*dagenperjaar1</f>
        <v>#DIV/0!</v>
      </c>
      <c r="U736" s="70" t="e">
        <f>T736*ROUND(P736,2)</f>
        <v>#DIV/0!</v>
      </c>
    </row>
    <row r="737" spans="1:21" x14ac:dyDescent="0.2">
      <c r="A737" s="63" t="s">
        <v>1299</v>
      </c>
      <c r="B737" s="64" t="s">
        <v>324</v>
      </c>
      <c r="C737" s="64" t="s">
        <v>323</v>
      </c>
      <c r="D737" s="64" t="s">
        <v>461</v>
      </c>
      <c r="E737" s="64" t="s">
        <v>324</v>
      </c>
      <c r="F737" s="65" t="s">
        <v>1363</v>
      </c>
      <c r="G737" s="64" t="s">
        <v>1302</v>
      </c>
      <c r="H737" s="64" t="s">
        <v>205</v>
      </c>
      <c r="I737" s="64" t="s">
        <v>10</v>
      </c>
      <c r="J737" s="64" t="s">
        <v>201</v>
      </c>
      <c r="K737" s="66">
        <v>6</v>
      </c>
      <c r="L737" s="66">
        <f>K737*VLOOKUP(I737,dagsoorttabel1,2,FALSE)</f>
        <v>6</v>
      </c>
      <c r="M737" s="67">
        <f>prodnorm26</f>
        <v>0</v>
      </c>
      <c r="N737" s="68">
        <f>dagwerk26</f>
        <v>0</v>
      </c>
      <c r="O737" s="64" t="s">
        <v>38</v>
      </c>
      <c r="P737" s="69">
        <f>uurtarief26</f>
        <v>0</v>
      </c>
      <c r="Q737" s="66" t="e">
        <f>IF(ISBLANK(M737),0,L737/ROUND(M737,4))</f>
        <v>#DIV/0!</v>
      </c>
      <c r="R737" s="66" t="e">
        <f>IF(ISBLANK(M737),0,Q737*ROUND(N737,2))</f>
        <v>#DIV/0!</v>
      </c>
      <c r="S737" s="69" t="e">
        <f>ROUND(P737,2)*Q737</f>
        <v>#DIV/0!</v>
      </c>
      <c r="T737" s="66" t="e">
        <f>Q737*dagenperjaar1</f>
        <v>#DIV/0!</v>
      </c>
      <c r="U737" s="70" t="e">
        <f>T737*ROUND(P737,2)</f>
        <v>#DIV/0!</v>
      </c>
    </row>
    <row r="738" spans="1:21" x14ac:dyDescent="0.2">
      <c r="A738" s="63" t="s">
        <v>1299</v>
      </c>
      <c r="B738" s="64" t="s">
        <v>324</v>
      </c>
      <c r="C738" s="64" t="s">
        <v>323</v>
      </c>
      <c r="D738" s="64" t="s">
        <v>463</v>
      </c>
      <c r="E738" s="64" t="s">
        <v>324</v>
      </c>
      <c r="F738" s="65" t="s">
        <v>1364</v>
      </c>
      <c r="G738" s="64" t="s">
        <v>1302</v>
      </c>
      <c r="H738" s="64" t="s">
        <v>205</v>
      </c>
      <c r="I738" s="64" t="s">
        <v>10</v>
      </c>
      <c r="J738" s="64" t="s">
        <v>201</v>
      </c>
      <c r="K738" s="66">
        <v>21</v>
      </c>
      <c r="L738" s="66">
        <f>K738*VLOOKUP(I738,dagsoorttabel1,2,FALSE)</f>
        <v>21</v>
      </c>
      <c r="M738" s="67">
        <f>prodnorm26</f>
        <v>0</v>
      </c>
      <c r="N738" s="68">
        <f>dagwerk26</f>
        <v>0</v>
      </c>
      <c r="O738" s="64" t="s">
        <v>38</v>
      </c>
      <c r="P738" s="69">
        <f>uurtarief26</f>
        <v>0</v>
      </c>
      <c r="Q738" s="66" t="e">
        <f>IF(ISBLANK(M738),0,L738/ROUND(M738,4))</f>
        <v>#DIV/0!</v>
      </c>
      <c r="R738" s="66" t="e">
        <f>IF(ISBLANK(M738),0,Q738*ROUND(N738,2))</f>
        <v>#DIV/0!</v>
      </c>
      <c r="S738" s="69" t="e">
        <f>ROUND(P738,2)*Q738</f>
        <v>#DIV/0!</v>
      </c>
      <c r="T738" s="66" t="e">
        <f>Q738*dagenperjaar1</f>
        <v>#DIV/0!</v>
      </c>
      <c r="U738" s="70" t="e">
        <f>T738*ROUND(P738,2)</f>
        <v>#DIV/0!</v>
      </c>
    </row>
    <row r="739" spans="1:21" x14ac:dyDescent="0.2">
      <c r="A739" s="63" t="s">
        <v>1299</v>
      </c>
      <c r="B739" s="64" t="s">
        <v>324</v>
      </c>
      <c r="C739" s="64" t="s">
        <v>323</v>
      </c>
      <c r="D739" s="64" t="s">
        <v>926</v>
      </c>
      <c r="E739" s="64" t="s">
        <v>324</v>
      </c>
      <c r="F739" s="65" t="s">
        <v>623</v>
      </c>
      <c r="G739" s="64" t="s">
        <v>1302</v>
      </c>
      <c r="H739" s="64" t="s">
        <v>205</v>
      </c>
      <c r="I739" s="64" t="s">
        <v>10</v>
      </c>
      <c r="J739" s="64" t="s">
        <v>201</v>
      </c>
      <c r="K739" s="66">
        <v>21</v>
      </c>
      <c r="L739" s="66">
        <f>K739*VLOOKUP(I739,dagsoorttabel1,2,FALSE)</f>
        <v>21</v>
      </c>
      <c r="M739" s="67">
        <f>prodnorm26</f>
        <v>0</v>
      </c>
      <c r="N739" s="68">
        <f>dagwerk26</f>
        <v>0</v>
      </c>
      <c r="O739" s="64" t="s">
        <v>38</v>
      </c>
      <c r="P739" s="69">
        <f>uurtarief26</f>
        <v>0</v>
      </c>
      <c r="Q739" s="66" t="e">
        <f>IF(ISBLANK(M739),0,L739/ROUND(M739,4))</f>
        <v>#DIV/0!</v>
      </c>
      <c r="R739" s="66" t="e">
        <f>IF(ISBLANK(M739),0,Q739*ROUND(N739,2))</f>
        <v>#DIV/0!</v>
      </c>
      <c r="S739" s="69" t="e">
        <f>ROUND(P739,2)*Q739</f>
        <v>#DIV/0!</v>
      </c>
      <c r="T739" s="66" t="e">
        <f>Q739*dagenperjaar1</f>
        <v>#DIV/0!</v>
      </c>
      <c r="U739" s="70" t="e">
        <f>T739*ROUND(P739,2)</f>
        <v>#DIV/0!</v>
      </c>
    </row>
    <row r="740" spans="1:21" x14ac:dyDescent="0.2">
      <c r="A740" s="63" t="s">
        <v>1299</v>
      </c>
      <c r="B740" s="64" t="s">
        <v>324</v>
      </c>
      <c r="C740" s="64" t="s">
        <v>323</v>
      </c>
      <c r="D740" s="64" t="s">
        <v>927</v>
      </c>
      <c r="E740" s="64" t="s">
        <v>324</v>
      </c>
      <c r="F740" s="65" t="s">
        <v>595</v>
      </c>
      <c r="G740" s="64" t="s">
        <v>1302</v>
      </c>
      <c r="H740" s="64" t="s">
        <v>205</v>
      </c>
      <c r="I740" s="64" t="s">
        <v>10</v>
      </c>
      <c r="J740" s="64" t="s">
        <v>201</v>
      </c>
      <c r="K740" s="66">
        <v>18</v>
      </c>
      <c r="L740" s="66">
        <f>K740*VLOOKUP(I740,dagsoorttabel1,2,FALSE)</f>
        <v>18</v>
      </c>
      <c r="M740" s="67">
        <f>prodnorm26</f>
        <v>0</v>
      </c>
      <c r="N740" s="68">
        <f>dagwerk26</f>
        <v>0</v>
      </c>
      <c r="O740" s="64" t="s">
        <v>38</v>
      </c>
      <c r="P740" s="69">
        <f>uurtarief26</f>
        <v>0</v>
      </c>
      <c r="Q740" s="66" t="e">
        <f>IF(ISBLANK(M740),0,L740/ROUND(M740,4))</f>
        <v>#DIV/0!</v>
      </c>
      <c r="R740" s="66" t="e">
        <f>IF(ISBLANK(M740),0,Q740*ROUND(N740,2))</f>
        <v>#DIV/0!</v>
      </c>
      <c r="S740" s="69" t="e">
        <f>ROUND(P740,2)*Q740</f>
        <v>#DIV/0!</v>
      </c>
      <c r="T740" s="66" t="e">
        <f>Q740*dagenperjaar1</f>
        <v>#DIV/0!</v>
      </c>
      <c r="U740" s="70" t="e">
        <f>T740*ROUND(P740,2)</f>
        <v>#DIV/0!</v>
      </c>
    </row>
    <row r="741" spans="1:21" x14ac:dyDescent="0.2">
      <c r="A741" s="63" t="s">
        <v>1299</v>
      </c>
      <c r="B741" s="64" t="s">
        <v>324</v>
      </c>
      <c r="C741" s="64" t="s">
        <v>323</v>
      </c>
      <c r="D741" s="64" t="s">
        <v>928</v>
      </c>
      <c r="E741" s="64" t="s">
        <v>324</v>
      </c>
      <c r="F741" s="65" t="s">
        <v>578</v>
      </c>
      <c r="G741" s="64" t="s">
        <v>1302</v>
      </c>
      <c r="H741" s="64" t="s">
        <v>267</v>
      </c>
      <c r="I741" s="64" t="s">
        <v>10</v>
      </c>
      <c r="J741" s="64" t="s">
        <v>201</v>
      </c>
      <c r="K741" s="66">
        <v>50</v>
      </c>
      <c r="L741" s="66">
        <f>K741*VLOOKUP(I741,dagsoorttabel1,2,FALSE)</f>
        <v>50</v>
      </c>
      <c r="M741" s="67">
        <f>prodnorm65</f>
        <v>0</v>
      </c>
      <c r="N741" s="68">
        <f>dagwerk65</f>
        <v>0</v>
      </c>
      <c r="O741" s="64" t="s">
        <v>38</v>
      </c>
      <c r="P741" s="69">
        <f>uurtarief65</f>
        <v>0</v>
      </c>
      <c r="Q741" s="66" t="e">
        <f>IF(ISBLANK(M741),0,L741/ROUND(M741,4))</f>
        <v>#DIV/0!</v>
      </c>
      <c r="R741" s="66" t="e">
        <f>IF(ISBLANK(M741),0,Q741*ROUND(N741,2))</f>
        <v>#DIV/0!</v>
      </c>
      <c r="S741" s="69" t="e">
        <f>ROUND(P741,2)*Q741</f>
        <v>#DIV/0!</v>
      </c>
      <c r="T741" s="66" t="e">
        <f>Q741*dagenperjaar1</f>
        <v>#DIV/0!</v>
      </c>
      <c r="U741" s="70" t="e">
        <f>T741*ROUND(P741,2)</f>
        <v>#DIV/0!</v>
      </c>
    </row>
    <row r="742" spans="1:21" x14ac:dyDescent="0.2">
      <c r="A742" s="63" t="s">
        <v>1299</v>
      </c>
      <c r="B742" s="64" t="s">
        <v>324</v>
      </c>
      <c r="C742" s="64" t="s">
        <v>323</v>
      </c>
      <c r="D742" s="64" t="s">
        <v>929</v>
      </c>
      <c r="E742" s="64" t="s">
        <v>324</v>
      </c>
      <c r="F742" s="65" t="s">
        <v>1365</v>
      </c>
      <c r="G742" s="64" t="s">
        <v>1302</v>
      </c>
      <c r="H742" s="64" t="s">
        <v>205</v>
      </c>
      <c r="I742" s="64" t="s">
        <v>10</v>
      </c>
      <c r="J742" s="64" t="s">
        <v>201</v>
      </c>
      <c r="K742" s="66">
        <v>18</v>
      </c>
      <c r="L742" s="66">
        <f>K742*VLOOKUP(I742,dagsoorttabel1,2,FALSE)</f>
        <v>18</v>
      </c>
      <c r="M742" s="67">
        <f>prodnorm26</f>
        <v>0</v>
      </c>
      <c r="N742" s="68">
        <f>dagwerk26</f>
        <v>0</v>
      </c>
      <c r="O742" s="64" t="s">
        <v>38</v>
      </c>
      <c r="P742" s="69">
        <f>uurtarief26</f>
        <v>0</v>
      </c>
      <c r="Q742" s="66" t="e">
        <f>IF(ISBLANK(M742),0,L742/ROUND(M742,4))</f>
        <v>#DIV/0!</v>
      </c>
      <c r="R742" s="66" t="e">
        <f>IF(ISBLANK(M742),0,Q742*ROUND(N742,2))</f>
        <v>#DIV/0!</v>
      </c>
      <c r="S742" s="69" t="e">
        <f>ROUND(P742,2)*Q742</f>
        <v>#DIV/0!</v>
      </c>
      <c r="T742" s="66" t="e">
        <f>Q742*dagenperjaar1</f>
        <v>#DIV/0!</v>
      </c>
      <c r="U742" s="70" t="e">
        <f>T742*ROUND(P742,2)</f>
        <v>#DIV/0!</v>
      </c>
    </row>
    <row r="743" spans="1:21" x14ac:dyDescent="0.2">
      <c r="A743" s="63" t="s">
        <v>1299</v>
      </c>
      <c r="B743" s="64" t="s">
        <v>324</v>
      </c>
      <c r="C743" s="64" t="s">
        <v>323</v>
      </c>
      <c r="D743" s="64" t="s">
        <v>932</v>
      </c>
      <c r="E743" s="64" t="s">
        <v>324</v>
      </c>
      <c r="F743" s="65" t="s">
        <v>1366</v>
      </c>
      <c r="G743" s="64" t="s">
        <v>1302</v>
      </c>
      <c r="H743" s="64" t="s">
        <v>205</v>
      </c>
      <c r="I743" s="64" t="s">
        <v>10</v>
      </c>
      <c r="J743" s="64" t="s">
        <v>201</v>
      </c>
      <c r="K743" s="66">
        <v>21</v>
      </c>
      <c r="L743" s="66">
        <f>K743*VLOOKUP(I743,dagsoorttabel1,2,FALSE)</f>
        <v>21</v>
      </c>
      <c r="M743" s="67">
        <f>prodnorm26</f>
        <v>0</v>
      </c>
      <c r="N743" s="68">
        <f>dagwerk26</f>
        <v>0</v>
      </c>
      <c r="O743" s="64" t="s">
        <v>38</v>
      </c>
      <c r="P743" s="69">
        <f>uurtarief26</f>
        <v>0</v>
      </c>
      <c r="Q743" s="66" t="e">
        <f>IF(ISBLANK(M743),0,L743/ROUND(M743,4))</f>
        <v>#DIV/0!</v>
      </c>
      <c r="R743" s="66" t="e">
        <f>IF(ISBLANK(M743),0,Q743*ROUND(N743,2))</f>
        <v>#DIV/0!</v>
      </c>
      <c r="S743" s="69" t="e">
        <f>ROUND(P743,2)*Q743</f>
        <v>#DIV/0!</v>
      </c>
      <c r="T743" s="66" t="e">
        <f>Q743*dagenperjaar1</f>
        <v>#DIV/0!</v>
      </c>
      <c r="U743" s="70" t="e">
        <f>T743*ROUND(P743,2)</f>
        <v>#DIV/0!</v>
      </c>
    </row>
    <row r="744" spans="1:21" x14ac:dyDescent="0.2">
      <c r="A744" s="63" t="s">
        <v>1299</v>
      </c>
      <c r="B744" s="64" t="s">
        <v>324</v>
      </c>
      <c r="C744" s="64" t="s">
        <v>323</v>
      </c>
      <c r="D744" s="64" t="s">
        <v>935</v>
      </c>
      <c r="E744" s="64" t="s">
        <v>324</v>
      </c>
      <c r="F744" s="65" t="s">
        <v>1367</v>
      </c>
      <c r="G744" s="64" t="s">
        <v>1302</v>
      </c>
      <c r="H744" s="64" t="s">
        <v>205</v>
      </c>
      <c r="I744" s="64" t="s">
        <v>10</v>
      </c>
      <c r="J744" s="64" t="s">
        <v>201</v>
      </c>
      <c r="K744" s="66">
        <v>21</v>
      </c>
      <c r="L744" s="66">
        <f>K744*VLOOKUP(I744,dagsoorttabel1,2,FALSE)</f>
        <v>21</v>
      </c>
      <c r="M744" s="67">
        <f>prodnorm26</f>
        <v>0</v>
      </c>
      <c r="N744" s="68">
        <f>dagwerk26</f>
        <v>0</v>
      </c>
      <c r="O744" s="64" t="s">
        <v>38</v>
      </c>
      <c r="P744" s="69">
        <f>uurtarief26</f>
        <v>0</v>
      </c>
      <c r="Q744" s="66" t="e">
        <f>IF(ISBLANK(M744),0,L744/ROUND(M744,4))</f>
        <v>#DIV/0!</v>
      </c>
      <c r="R744" s="66" t="e">
        <f>IF(ISBLANK(M744),0,Q744*ROUND(N744,2))</f>
        <v>#DIV/0!</v>
      </c>
      <c r="S744" s="69" t="e">
        <f>ROUND(P744,2)*Q744</f>
        <v>#DIV/0!</v>
      </c>
      <c r="T744" s="66" t="e">
        <f>Q744*dagenperjaar1</f>
        <v>#DIV/0!</v>
      </c>
      <c r="U744" s="70" t="e">
        <f>T744*ROUND(P744,2)</f>
        <v>#DIV/0!</v>
      </c>
    </row>
    <row r="745" spans="1:21" x14ac:dyDescent="0.2">
      <c r="A745" s="63" t="s">
        <v>1299</v>
      </c>
      <c r="B745" s="64" t="s">
        <v>324</v>
      </c>
      <c r="C745" s="64" t="s">
        <v>323</v>
      </c>
      <c r="D745" s="64" t="s">
        <v>465</v>
      </c>
      <c r="E745" s="64" t="s">
        <v>324</v>
      </c>
      <c r="F745" s="65" t="s">
        <v>627</v>
      </c>
      <c r="G745" s="64" t="s">
        <v>1302</v>
      </c>
      <c r="H745" s="64" t="s">
        <v>205</v>
      </c>
      <c r="I745" s="64" t="s">
        <v>10</v>
      </c>
      <c r="J745" s="64" t="s">
        <v>201</v>
      </c>
      <c r="K745" s="66">
        <v>18</v>
      </c>
      <c r="L745" s="66">
        <f>K745*VLOOKUP(I745,dagsoorttabel1,2,FALSE)</f>
        <v>18</v>
      </c>
      <c r="M745" s="67">
        <f>prodnorm26</f>
        <v>0</v>
      </c>
      <c r="N745" s="68">
        <f>dagwerk26</f>
        <v>0</v>
      </c>
      <c r="O745" s="64" t="s">
        <v>38</v>
      </c>
      <c r="P745" s="69">
        <f>uurtarief26</f>
        <v>0</v>
      </c>
      <c r="Q745" s="66" t="e">
        <f>IF(ISBLANK(M745),0,L745/ROUND(M745,4))</f>
        <v>#DIV/0!</v>
      </c>
      <c r="R745" s="66" t="e">
        <f>IF(ISBLANK(M745),0,Q745*ROUND(N745,2))</f>
        <v>#DIV/0!</v>
      </c>
      <c r="S745" s="69" t="e">
        <f>ROUND(P745,2)*Q745</f>
        <v>#DIV/0!</v>
      </c>
      <c r="T745" s="66" t="e">
        <f>Q745*dagenperjaar1</f>
        <v>#DIV/0!</v>
      </c>
      <c r="U745" s="70" t="e">
        <f>T745*ROUND(P745,2)</f>
        <v>#DIV/0!</v>
      </c>
    </row>
    <row r="746" spans="1:21" x14ac:dyDescent="0.2">
      <c r="A746" s="63" t="s">
        <v>1299</v>
      </c>
      <c r="B746" s="64" t="s">
        <v>324</v>
      </c>
      <c r="C746" s="64" t="s">
        <v>323</v>
      </c>
      <c r="D746" s="64" t="s">
        <v>467</v>
      </c>
      <c r="E746" s="64" t="s">
        <v>324</v>
      </c>
      <c r="F746" s="65" t="s">
        <v>595</v>
      </c>
      <c r="G746" s="64" t="s">
        <v>1302</v>
      </c>
      <c r="H746" s="64" t="s">
        <v>205</v>
      </c>
      <c r="I746" s="64" t="s">
        <v>10</v>
      </c>
      <c r="J746" s="64" t="s">
        <v>201</v>
      </c>
      <c r="K746" s="66">
        <v>6</v>
      </c>
      <c r="L746" s="66">
        <f>K746*VLOOKUP(I746,dagsoorttabel1,2,FALSE)</f>
        <v>6</v>
      </c>
      <c r="M746" s="67">
        <f>prodnorm26</f>
        <v>0</v>
      </c>
      <c r="N746" s="68">
        <f>dagwerk26</f>
        <v>0</v>
      </c>
      <c r="O746" s="64" t="s">
        <v>38</v>
      </c>
      <c r="P746" s="69">
        <f>uurtarief26</f>
        <v>0</v>
      </c>
      <c r="Q746" s="66" t="e">
        <f>IF(ISBLANK(M746),0,L746/ROUND(M746,4))</f>
        <v>#DIV/0!</v>
      </c>
      <c r="R746" s="66" t="e">
        <f>IF(ISBLANK(M746),0,Q746*ROUND(N746,2))</f>
        <v>#DIV/0!</v>
      </c>
      <c r="S746" s="69" t="e">
        <f>ROUND(P746,2)*Q746</f>
        <v>#DIV/0!</v>
      </c>
      <c r="T746" s="66" t="e">
        <f>Q746*dagenperjaar1</f>
        <v>#DIV/0!</v>
      </c>
      <c r="U746" s="70" t="e">
        <f>T746*ROUND(P746,2)</f>
        <v>#DIV/0!</v>
      </c>
    </row>
    <row r="747" spans="1:21" x14ac:dyDescent="0.2">
      <c r="A747" s="63" t="s">
        <v>1299</v>
      </c>
      <c r="B747" s="64" t="s">
        <v>324</v>
      </c>
      <c r="C747" s="64" t="s">
        <v>323</v>
      </c>
      <c r="D747" s="64" t="s">
        <v>470</v>
      </c>
      <c r="E747" s="64" t="s">
        <v>324</v>
      </c>
      <c r="F747" s="65" t="s">
        <v>595</v>
      </c>
      <c r="G747" s="64" t="s">
        <v>1302</v>
      </c>
      <c r="H747" s="64" t="s">
        <v>205</v>
      </c>
      <c r="I747" s="64" t="s">
        <v>10</v>
      </c>
      <c r="J747" s="64" t="s">
        <v>201</v>
      </c>
      <c r="K747" s="66">
        <v>6</v>
      </c>
      <c r="L747" s="66">
        <f>K747*VLOOKUP(I747,dagsoorttabel1,2,FALSE)</f>
        <v>6</v>
      </c>
      <c r="M747" s="67">
        <f>prodnorm26</f>
        <v>0</v>
      </c>
      <c r="N747" s="68">
        <f>dagwerk26</f>
        <v>0</v>
      </c>
      <c r="O747" s="64" t="s">
        <v>38</v>
      </c>
      <c r="P747" s="69">
        <f>uurtarief26</f>
        <v>0</v>
      </c>
      <c r="Q747" s="66" t="e">
        <f>IF(ISBLANK(M747),0,L747/ROUND(M747,4))</f>
        <v>#DIV/0!</v>
      </c>
      <c r="R747" s="66" t="e">
        <f>IF(ISBLANK(M747),0,Q747*ROUND(N747,2))</f>
        <v>#DIV/0!</v>
      </c>
      <c r="S747" s="69" t="e">
        <f>ROUND(P747,2)*Q747</f>
        <v>#DIV/0!</v>
      </c>
      <c r="T747" s="66" t="e">
        <f>Q747*dagenperjaar1</f>
        <v>#DIV/0!</v>
      </c>
      <c r="U747" s="70" t="e">
        <f>T747*ROUND(P747,2)</f>
        <v>#DIV/0!</v>
      </c>
    </row>
    <row r="748" spans="1:21" x14ac:dyDescent="0.2">
      <c r="A748" s="63" t="s">
        <v>1299</v>
      </c>
      <c r="B748" s="64" t="s">
        <v>324</v>
      </c>
      <c r="C748" s="64" t="s">
        <v>323</v>
      </c>
      <c r="D748" s="64" t="s">
        <v>939</v>
      </c>
      <c r="E748" s="64" t="s">
        <v>324</v>
      </c>
      <c r="F748" s="65" t="s">
        <v>595</v>
      </c>
      <c r="G748" s="64" t="s">
        <v>1302</v>
      </c>
      <c r="H748" s="64" t="s">
        <v>205</v>
      </c>
      <c r="I748" s="64" t="s">
        <v>10</v>
      </c>
      <c r="J748" s="64" t="s">
        <v>201</v>
      </c>
      <c r="K748" s="66">
        <v>6</v>
      </c>
      <c r="L748" s="66">
        <f>K748*VLOOKUP(I748,dagsoorttabel1,2,FALSE)</f>
        <v>6</v>
      </c>
      <c r="M748" s="67">
        <f>prodnorm26</f>
        <v>0</v>
      </c>
      <c r="N748" s="68">
        <f>dagwerk26</f>
        <v>0</v>
      </c>
      <c r="O748" s="64" t="s">
        <v>38</v>
      </c>
      <c r="P748" s="69">
        <f>uurtarief26</f>
        <v>0</v>
      </c>
      <c r="Q748" s="66" t="e">
        <f>IF(ISBLANK(M748),0,L748/ROUND(M748,4))</f>
        <v>#DIV/0!</v>
      </c>
      <c r="R748" s="66" t="e">
        <f>IF(ISBLANK(M748),0,Q748*ROUND(N748,2))</f>
        <v>#DIV/0!</v>
      </c>
      <c r="S748" s="69" t="e">
        <f>ROUND(P748,2)*Q748</f>
        <v>#DIV/0!</v>
      </c>
      <c r="T748" s="66" t="e">
        <f>Q748*dagenperjaar1</f>
        <v>#DIV/0!</v>
      </c>
      <c r="U748" s="70" t="e">
        <f>T748*ROUND(P748,2)</f>
        <v>#DIV/0!</v>
      </c>
    </row>
    <row r="749" spans="1:21" x14ac:dyDescent="0.2">
      <c r="A749" s="63" t="s">
        <v>1299</v>
      </c>
      <c r="B749" s="64" t="s">
        <v>324</v>
      </c>
      <c r="C749" s="64" t="s">
        <v>323</v>
      </c>
      <c r="D749" s="64" t="s">
        <v>940</v>
      </c>
      <c r="E749" s="64" t="s">
        <v>324</v>
      </c>
      <c r="F749" s="65" t="s">
        <v>595</v>
      </c>
      <c r="G749" s="64" t="s">
        <v>1302</v>
      </c>
      <c r="H749" s="64" t="s">
        <v>205</v>
      </c>
      <c r="I749" s="64" t="s">
        <v>10</v>
      </c>
      <c r="J749" s="64" t="s">
        <v>201</v>
      </c>
      <c r="K749" s="66">
        <v>6</v>
      </c>
      <c r="L749" s="66">
        <f>K749*VLOOKUP(I749,dagsoorttabel1,2,FALSE)</f>
        <v>6</v>
      </c>
      <c r="M749" s="67">
        <f>prodnorm26</f>
        <v>0</v>
      </c>
      <c r="N749" s="68">
        <f>dagwerk26</f>
        <v>0</v>
      </c>
      <c r="O749" s="64" t="s">
        <v>38</v>
      </c>
      <c r="P749" s="69">
        <f>uurtarief26</f>
        <v>0</v>
      </c>
      <c r="Q749" s="66" t="e">
        <f>IF(ISBLANK(M749),0,L749/ROUND(M749,4))</f>
        <v>#DIV/0!</v>
      </c>
      <c r="R749" s="66" t="e">
        <f>IF(ISBLANK(M749),0,Q749*ROUND(N749,2))</f>
        <v>#DIV/0!</v>
      </c>
      <c r="S749" s="69" t="e">
        <f>ROUND(P749,2)*Q749</f>
        <v>#DIV/0!</v>
      </c>
      <c r="T749" s="66" t="e">
        <f>Q749*dagenperjaar1</f>
        <v>#DIV/0!</v>
      </c>
      <c r="U749" s="70" t="e">
        <f>T749*ROUND(P749,2)</f>
        <v>#DIV/0!</v>
      </c>
    </row>
    <row r="750" spans="1:21" x14ac:dyDescent="0.2">
      <c r="A750" s="63" t="s">
        <v>1299</v>
      </c>
      <c r="B750" s="64" t="s">
        <v>324</v>
      </c>
      <c r="C750" s="64" t="s">
        <v>323</v>
      </c>
      <c r="D750" s="64" t="s">
        <v>942</v>
      </c>
      <c r="E750" s="64" t="s">
        <v>324</v>
      </c>
      <c r="F750" s="65" t="s">
        <v>595</v>
      </c>
      <c r="G750" s="64" t="s">
        <v>1302</v>
      </c>
      <c r="H750" s="64" t="s">
        <v>205</v>
      </c>
      <c r="I750" s="64" t="s">
        <v>10</v>
      </c>
      <c r="J750" s="64" t="s">
        <v>201</v>
      </c>
      <c r="K750" s="66">
        <v>6</v>
      </c>
      <c r="L750" s="66">
        <f>K750*VLOOKUP(I750,dagsoorttabel1,2,FALSE)</f>
        <v>6</v>
      </c>
      <c r="M750" s="67">
        <f>prodnorm26</f>
        <v>0</v>
      </c>
      <c r="N750" s="68">
        <f>dagwerk26</f>
        <v>0</v>
      </c>
      <c r="O750" s="64" t="s">
        <v>38</v>
      </c>
      <c r="P750" s="69">
        <f>uurtarief26</f>
        <v>0</v>
      </c>
      <c r="Q750" s="66" t="e">
        <f>IF(ISBLANK(M750),0,L750/ROUND(M750,4))</f>
        <v>#DIV/0!</v>
      </c>
      <c r="R750" s="66" t="e">
        <f>IF(ISBLANK(M750),0,Q750*ROUND(N750,2))</f>
        <v>#DIV/0!</v>
      </c>
      <c r="S750" s="69" t="e">
        <f>ROUND(P750,2)*Q750</f>
        <v>#DIV/0!</v>
      </c>
      <c r="T750" s="66" t="e">
        <f>Q750*dagenperjaar1</f>
        <v>#DIV/0!</v>
      </c>
      <c r="U750" s="70" t="e">
        <f>T750*ROUND(P750,2)</f>
        <v>#DIV/0!</v>
      </c>
    </row>
    <row r="751" spans="1:21" x14ac:dyDescent="0.2">
      <c r="A751" s="63" t="s">
        <v>1299</v>
      </c>
      <c r="B751" s="64" t="s">
        <v>324</v>
      </c>
      <c r="C751" s="64" t="s">
        <v>323</v>
      </c>
      <c r="D751" s="64" t="s">
        <v>944</v>
      </c>
      <c r="E751" s="64" t="s">
        <v>324</v>
      </c>
      <c r="F751" s="65" t="s">
        <v>595</v>
      </c>
      <c r="G751" s="64" t="s">
        <v>1302</v>
      </c>
      <c r="H751" s="64" t="s">
        <v>205</v>
      </c>
      <c r="I751" s="64" t="s">
        <v>10</v>
      </c>
      <c r="J751" s="64" t="s">
        <v>201</v>
      </c>
      <c r="K751" s="66">
        <v>6</v>
      </c>
      <c r="L751" s="66">
        <f>K751*VLOOKUP(I751,dagsoorttabel1,2,FALSE)</f>
        <v>6</v>
      </c>
      <c r="M751" s="67">
        <f>prodnorm26</f>
        <v>0</v>
      </c>
      <c r="N751" s="68">
        <f>dagwerk26</f>
        <v>0</v>
      </c>
      <c r="O751" s="64" t="s">
        <v>38</v>
      </c>
      <c r="P751" s="69">
        <f>uurtarief26</f>
        <v>0</v>
      </c>
      <c r="Q751" s="66" t="e">
        <f>IF(ISBLANK(M751),0,L751/ROUND(M751,4))</f>
        <v>#DIV/0!</v>
      </c>
      <c r="R751" s="66" t="e">
        <f>IF(ISBLANK(M751),0,Q751*ROUND(N751,2))</f>
        <v>#DIV/0!</v>
      </c>
      <c r="S751" s="69" t="e">
        <f>ROUND(P751,2)*Q751</f>
        <v>#DIV/0!</v>
      </c>
      <c r="T751" s="66" t="e">
        <f>Q751*dagenperjaar1</f>
        <v>#DIV/0!</v>
      </c>
      <c r="U751" s="70" t="e">
        <f>T751*ROUND(P751,2)</f>
        <v>#DIV/0!</v>
      </c>
    </row>
    <row r="752" spans="1:21" x14ac:dyDescent="0.2">
      <c r="A752" s="63" t="s">
        <v>1299</v>
      </c>
      <c r="B752" s="64" t="s">
        <v>324</v>
      </c>
      <c r="C752" s="64" t="s">
        <v>323</v>
      </c>
      <c r="D752" s="64" t="s">
        <v>945</v>
      </c>
      <c r="E752" s="64" t="s">
        <v>324</v>
      </c>
      <c r="F752" s="65" t="s">
        <v>1368</v>
      </c>
      <c r="G752" s="64" t="s">
        <v>1302</v>
      </c>
      <c r="H752" s="64" t="s">
        <v>255</v>
      </c>
      <c r="I752" s="64" t="s">
        <v>10</v>
      </c>
      <c r="J752" s="64" t="s">
        <v>201</v>
      </c>
      <c r="K752" s="66">
        <v>8</v>
      </c>
      <c r="L752" s="66">
        <f>K752*VLOOKUP(I752,dagsoorttabel1,2,FALSE)</f>
        <v>8</v>
      </c>
      <c r="M752" s="67">
        <f>prodnorm59</f>
        <v>0</v>
      </c>
      <c r="N752" s="68">
        <f>dagwerk59</f>
        <v>0</v>
      </c>
      <c r="O752" s="64" t="s">
        <v>38</v>
      </c>
      <c r="P752" s="69">
        <f>uurtarief59</f>
        <v>0</v>
      </c>
      <c r="Q752" s="66" t="e">
        <f>IF(ISBLANK(M752),0,L752/ROUND(M752,4))</f>
        <v>#DIV/0!</v>
      </c>
      <c r="R752" s="66" t="e">
        <f>IF(ISBLANK(M752),0,Q752*ROUND(N752,2))</f>
        <v>#DIV/0!</v>
      </c>
      <c r="S752" s="69" t="e">
        <f>ROUND(P752,2)*Q752</f>
        <v>#DIV/0!</v>
      </c>
      <c r="T752" s="66" t="e">
        <f>Q752*dagenperjaar1</f>
        <v>#DIV/0!</v>
      </c>
      <c r="U752" s="70" t="e">
        <f>T752*ROUND(P752,2)</f>
        <v>#DIV/0!</v>
      </c>
    </row>
    <row r="753" spans="1:21" x14ac:dyDescent="0.2">
      <c r="A753" s="63" t="s">
        <v>1299</v>
      </c>
      <c r="B753" s="64" t="s">
        <v>324</v>
      </c>
      <c r="C753" s="64" t="s">
        <v>323</v>
      </c>
      <c r="D753" s="64" t="s">
        <v>1369</v>
      </c>
      <c r="E753" s="64" t="s">
        <v>324</v>
      </c>
      <c r="F753" s="65" t="s">
        <v>1370</v>
      </c>
      <c r="G753" s="64" t="s">
        <v>1302</v>
      </c>
      <c r="H753" s="64" t="s">
        <v>267</v>
      </c>
      <c r="I753" s="64" t="s">
        <v>10</v>
      </c>
      <c r="J753" s="64" t="s">
        <v>201</v>
      </c>
      <c r="K753" s="66">
        <v>36</v>
      </c>
      <c r="L753" s="66">
        <f>K753*VLOOKUP(I753,dagsoorttabel1,2,FALSE)</f>
        <v>36</v>
      </c>
      <c r="M753" s="67">
        <f>prodnorm65</f>
        <v>0</v>
      </c>
      <c r="N753" s="68">
        <f>dagwerk65</f>
        <v>0</v>
      </c>
      <c r="O753" s="64" t="s">
        <v>38</v>
      </c>
      <c r="P753" s="69">
        <f>uurtarief65</f>
        <v>0</v>
      </c>
      <c r="Q753" s="66" t="e">
        <f>IF(ISBLANK(M753),0,L753/ROUND(M753,4))</f>
        <v>#DIV/0!</v>
      </c>
      <c r="R753" s="66" t="e">
        <f>IF(ISBLANK(M753),0,Q753*ROUND(N753,2))</f>
        <v>#DIV/0!</v>
      </c>
      <c r="S753" s="69" t="e">
        <f>ROUND(P753,2)*Q753</f>
        <v>#DIV/0!</v>
      </c>
      <c r="T753" s="66" t="e">
        <f>Q753*dagenperjaar1</f>
        <v>#DIV/0!</v>
      </c>
      <c r="U753" s="70" t="e">
        <f>T753*ROUND(P753,2)</f>
        <v>#DIV/0!</v>
      </c>
    </row>
    <row r="754" spans="1:21" x14ac:dyDescent="0.2">
      <c r="A754" s="63" t="s">
        <v>1299</v>
      </c>
      <c r="B754" s="64" t="s">
        <v>324</v>
      </c>
      <c r="C754" s="64" t="s">
        <v>323</v>
      </c>
      <c r="D754" s="64" t="s">
        <v>946</v>
      </c>
      <c r="E754" s="64" t="s">
        <v>324</v>
      </c>
      <c r="F754" s="65" t="s">
        <v>671</v>
      </c>
      <c r="G754" s="64" t="s">
        <v>365</v>
      </c>
      <c r="H754" s="64" t="s">
        <v>255</v>
      </c>
      <c r="I754" s="64" t="s">
        <v>10</v>
      </c>
      <c r="J754" s="64" t="s">
        <v>201</v>
      </c>
      <c r="K754" s="66">
        <v>16</v>
      </c>
      <c r="L754" s="66">
        <f>K754*VLOOKUP(I754,dagsoorttabel1,2,FALSE)</f>
        <v>16</v>
      </c>
      <c r="M754" s="67">
        <f>prodnorm59</f>
        <v>0</v>
      </c>
      <c r="N754" s="68">
        <f>dagwerk59</f>
        <v>0</v>
      </c>
      <c r="O754" s="64" t="s">
        <v>38</v>
      </c>
      <c r="P754" s="69">
        <f>uurtarief59</f>
        <v>0</v>
      </c>
      <c r="Q754" s="66" t="e">
        <f>IF(ISBLANK(M754),0,L754/ROUND(M754,4))</f>
        <v>#DIV/0!</v>
      </c>
      <c r="R754" s="66" t="e">
        <f>IF(ISBLANK(M754),0,Q754*ROUND(N754,2))</f>
        <v>#DIV/0!</v>
      </c>
      <c r="S754" s="69" t="e">
        <f>ROUND(P754,2)*Q754</f>
        <v>#DIV/0!</v>
      </c>
      <c r="T754" s="66" t="e">
        <f>Q754*dagenperjaar1</f>
        <v>#DIV/0!</v>
      </c>
      <c r="U754" s="70" t="e">
        <f>T754*ROUND(P754,2)</f>
        <v>#DIV/0!</v>
      </c>
    </row>
    <row r="755" spans="1:21" x14ac:dyDescent="0.2">
      <c r="A755" s="63" t="s">
        <v>1299</v>
      </c>
      <c r="B755" s="64" t="s">
        <v>324</v>
      </c>
      <c r="C755" s="64" t="s">
        <v>323</v>
      </c>
      <c r="D755" s="64" t="s">
        <v>946</v>
      </c>
      <c r="E755" s="64" t="s">
        <v>324</v>
      </c>
      <c r="F755" s="65" t="s">
        <v>671</v>
      </c>
      <c r="G755" s="64" t="s">
        <v>365</v>
      </c>
      <c r="H755" s="64" t="s">
        <v>257</v>
      </c>
      <c r="I755" s="64" t="s">
        <v>10</v>
      </c>
      <c r="J755" s="64" t="s">
        <v>201</v>
      </c>
      <c r="K755" s="66">
        <v>16</v>
      </c>
      <c r="L755" s="66">
        <f>K755*VLOOKUP(I755,dagsoorttabel1,2,FALSE)</f>
        <v>16</v>
      </c>
      <c r="M755" s="67">
        <f>prodnorm60</f>
        <v>0</v>
      </c>
      <c r="N755" s="68">
        <f>dagwerk60</f>
        <v>0</v>
      </c>
      <c r="O755" s="64" t="s">
        <v>38</v>
      </c>
      <c r="P755" s="69">
        <f>uurtarief60</f>
        <v>0</v>
      </c>
      <c r="Q755" s="66" t="e">
        <f>IF(ISBLANK(M755),0,L755/ROUND(M755,4))</f>
        <v>#DIV/0!</v>
      </c>
      <c r="R755" s="66" t="e">
        <f>IF(ISBLANK(M755),0,Q755*ROUND(N755,2))</f>
        <v>#DIV/0!</v>
      </c>
      <c r="S755" s="69" t="e">
        <f>ROUND(P755,2)*Q755</f>
        <v>#DIV/0!</v>
      </c>
      <c r="T755" s="66" t="e">
        <f>Q755*dagenperjaar1</f>
        <v>#DIV/0!</v>
      </c>
      <c r="U755" s="70" t="e">
        <f>T755*ROUND(P755,2)</f>
        <v>#DIV/0!</v>
      </c>
    </row>
    <row r="756" spans="1:21" x14ac:dyDescent="0.2">
      <c r="A756" s="63" t="s">
        <v>1299</v>
      </c>
      <c r="B756" s="64" t="s">
        <v>324</v>
      </c>
      <c r="C756" s="64" t="s">
        <v>323</v>
      </c>
      <c r="D756" s="64" t="s">
        <v>1371</v>
      </c>
      <c r="E756" s="64" t="s">
        <v>324</v>
      </c>
      <c r="F756" s="65" t="s">
        <v>671</v>
      </c>
      <c r="G756" s="64" t="s">
        <v>365</v>
      </c>
      <c r="H756" s="64" t="s">
        <v>255</v>
      </c>
      <c r="I756" s="64" t="s">
        <v>10</v>
      </c>
      <c r="J756" s="64" t="s">
        <v>201</v>
      </c>
      <c r="K756" s="66">
        <v>16</v>
      </c>
      <c r="L756" s="66">
        <f>K756*VLOOKUP(I756,dagsoorttabel1,2,FALSE)</f>
        <v>16</v>
      </c>
      <c r="M756" s="67">
        <f>prodnorm59</f>
        <v>0</v>
      </c>
      <c r="N756" s="68">
        <f>dagwerk59</f>
        <v>0</v>
      </c>
      <c r="O756" s="64" t="s">
        <v>38</v>
      </c>
      <c r="P756" s="69">
        <f>uurtarief59</f>
        <v>0</v>
      </c>
      <c r="Q756" s="66" t="e">
        <f>IF(ISBLANK(M756),0,L756/ROUND(M756,4))</f>
        <v>#DIV/0!</v>
      </c>
      <c r="R756" s="66" t="e">
        <f>IF(ISBLANK(M756),0,Q756*ROUND(N756,2))</f>
        <v>#DIV/0!</v>
      </c>
      <c r="S756" s="69" t="e">
        <f>ROUND(P756,2)*Q756</f>
        <v>#DIV/0!</v>
      </c>
      <c r="T756" s="66" t="e">
        <f>Q756*dagenperjaar1</f>
        <v>#DIV/0!</v>
      </c>
      <c r="U756" s="70" t="e">
        <f>T756*ROUND(P756,2)</f>
        <v>#DIV/0!</v>
      </c>
    </row>
    <row r="757" spans="1:21" x14ac:dyDescent="0.2">
      <c r="A757" s="63" t="s">
        <v>1299</v>
      </c>
      <c r="B757" s="64" t="s">
        <v>324</v>
      </c>
      <c r="C757" s="64" t="s">
        <v>323</v>
      </c>
      <c r="D757" s="64" t="s">
        <v>1371</v>
      </c>
      <c r="E757" s="64" t="s">
        <v>324</v>
      </c>
      <c r="F757" s="65" t="s">
        <v>671</v>
      </c>
      <c r="G757" s="64" t="s">
        <v>365</v>
      </c>
      <c r="H757" s="64" t="s">
        <v>257</v>
      </c>
      <c r="I757" s="64" t="s">
        <v>10</v>
      </c>
      <c r="J757" s="64" t="s">
        <v>201</v>
      </c>
      <c r="K757" s="66">
        <v>16</v>
      </c>
      <c r="L757" s="66">
        <f>K757*VLOOKUP(I757,dagsoorttabel1,2,FALSE)</f>
        <v>16</v>
      </c>
      <c r="M757" s="67">
        <f>prodnorm60</f>
        <v>0</v>
      </c>
      <c r="N757" s="68">
        <f>dagwerk60</f>
        <v>0</v>
      </c>
      <c r="O757" s="64" t="s">
        <v>38</v>
      </c>
      <c r="P757" s="69">
        <f>uurtarief60</f>
        <v>0</v>
      </c>
      <c r="Q757" s="66" t="e">
        <f>IF(ISBLANK(M757),0,L757/ROUND(M757,4))</f>
        <v>#DIV/0!</v>
      </c>
      <c r="R757" s="66" t="e">
        <f>IF(ISBLANK(M757),0,Q757*ROUND(N757,2))</f>
        <v>#DIV/0!</v>
      </c>
      <c r="S757" s="69" t="e">
        <f>ROUND(P757,2)*Q757</f>
        <v>#DIV/0!</v>
      </c>
      <c r="T757" s="66" t="e">
        <f>Q757*dagenperjaar1</f>
        <v>#DIV/0!</v>
      </c>
      <c r="U757" s="70" t="e">
        <f>T757*ROUND(P757,2)</f>
        <v>#DIV/0!</v>
      </c>
    </row>
    <row r="758" spans="1:21" x14ac:dyDescent="0.2">
      <c r="A758" s="63" t="s">
        <v>1299</v>
      </c>
      <c r="B758" s="64" t="s">
        <v>324</v>
      </c>
      <c r="C758" s="64" t="s">
        <v>323</v>
      </c>
      <c r="D758" s="64" t="s">
        <v>1372</v>
      </c>
      <c r="E758" s="64" t="s">
        <v>324</v>
      </c>
      <c r="F758" s="65" t="s">
        <v>1373</v>
      </c>
      <c r="G758" s="64" t="s">
        <v>1302</v>
      </c>
      <c r="H758" s="64" t="s">
        <v>237</v>
      </c>
      <c r="I758" s="64" t="s">
        <v>10</v>
      </c>
      <c r="J758" s="64" t="s">
        <v>201</v>
      </c>
      <c r="K758" s="66">
        <v>70</v>
      </c>
      <c r="L758" s="66">
        <f>K758*VLOOKUP(I758,dagsoorttabel1,2,FALSE)</f>
        <v>70</v>
      </c>
      <c r="M758" s="67">
        <f>prodnorm48</f>
        <v>0</v>
      </c>
      <c r="N758" s="68">
        <f>dagwerk48</f>
        <v>0</v>
      </c>
      <c r="O758" s="64" t="s">
        <v>38</v>
      </c>
      <c r="P758" s="69">
        <f>uurtarief48</f>
        <v>0</v>
      </c>
      <c r="Q758" s="66" t="e">
        <f>IF(ISBLANK(M758),0,L758/ROUND(M758,4))</f>
        <v>#DIV/0!</v>
      </c>
      <c r="R758" s="66" t="e">
        <f>IF(ISBLANK(M758),0,Q758*ROUND(N758,2))</f>
        <v>#DIV/0!</v>
      </c>
      <c r="S758" s="69" t="e">
        <f>ROUND(P758,2)*Q758</f>
        <v>#DIV/0!</v>
      </c>
      <c r="T758" s="66" t="e">
        <f>Q758*dagenperjaar1</f>
        <v>#DIV/0!</v>
      </c>
      <c r="U758" s="70" t="e">
        <f>T758*ROUND(P758,2)</f>
        <v>#DIV/0!</v>
      </c>
    </row>
    <row r="759" spans="1:21" x14ac:dyDescent="0.2">
      <c r="A759" s="63" t="s">
        <v>1299</v>
      </c>
      <c r="B759" s="64" t="s">
        <v>324</v>
      </c>
      <c r="C759" s="64" t="s">
        <v>323</v>
      </c>
      <c r="D759" s="64" t="s">
        <v>947</v>
      </c>
      <c r="E759" s="64" t="s">
        <v>324</v>
      </c>
      <c r="F759" s="65" t="s">
        <v>338</v>
      </c>
      <c r="G759" s="64" t="s">
        <v>1302</v>
      </c>
      <c r="H759" s="64" t="s">
        <v>263</v>
      </c>
      <c r="I759" s="64" t="s">
        <v>10</v>
      </c>
      <c r="J759" s="64" t="s">
        <v>201</v>
      </c>
      <c r="K759" s="66">
        <v>36.200000000000003</v>
      </c>
      <c r="L759" s="66">
        <f>K759*VLOOKUP(I759,dagsoorttabel1,2,FALSE)</f>
        <v>36.200000000000003</v>
      </c>
      <c r="M759" s="67">
        <f>prodnorm63</f>
        <v>0</v>
      </c>
      <c r="N759" s="68">
        <f>dagwerk63</f>
        <v>0</v>
      </c>
      <c r="O759" s="64" t="s">
        <v>38</v>
      </c>
      <c r="P759" s="69">
        <f>uurtarief63</f>
        <v>0</v>
      </c>
      <c r="Q759" s="66" t="e">
        <f>IF(ISBLANK(M759),0,L759/ROUND(M759,4))</f>
        <v>#DIV/0!</v>
      </c>
      <c r="R759" s="66" t="e">
        <f>IF(ISBLANK(M759),0,Q759*ROUND(N759,2))</f>
        <v>#DIV/0!</v>
      </c>
      <c r="S759" s="69" t="e">
        <f>ROUND(P759,2)*Q759</f>
        <v>#DIV/0!</v>
      </c>
      <c r="T759" s="66" t="e">
        <f>Q759*dagenperjaar1</f>
        <v>#DIV/0!</v>
      </c>
      <c r="U759" s="70" t="e">
        <f>T759*ROUND(P759,2)</f>
        <v>#DIV/0!</v>
      </c>
    </row>
    <row r="760" spans="1:21" x14ac:dyDescent="0.2">
      <c r="A760" s="63" t="s">
        <v>1299</v>
      </c>
      <c r="B760" s="64" t="s">
        <v>324</v>
      </c>
      <c r="C760" s="64" t="s">
        <v>323</v>
      </c>
      <c r="D760" s="64" t="s">
        <v>948</v>
      </c>
      <c r="E760" s="64" t="s">
        <v>324</v>
      </c>
      <c r="F760" s="65" t="s">
        <v>578</v>
      </c>
      <c r="G760" s="64" t="s">
        <v>1302</v>
      </c>
      <c r="H760" s="64" t="s">
        <v>267</v>
      </c>
      <c r="I760" s="64" t="s">
        <v>10</v>
      </c>
      <c r="J760" s="64" t="s">
        <v>201</v>
      </c>
      <c r="K760" s="66">
        <v>25</v>
      </c>
      <c r="L760" s="66">
        <f>K760*VLOOKUP(I760,dagsoorttabel1,2,FALSE)</f>
        <v>25</v>
      </c>
      <c r="M760" s="67">
        <f>prodnorm65</f>
        <v>0</v>
      </c>
      <c r="N760" s="68">
        <f>dagwerk65</f>
        <v>0</v>
      </c>
      <c r="O760" s="64" t="s">
        <v>38</v>
      </c>
      <c r="P760" s="69">
        <f>uurtarief65</f>
        <v>0</v>
      </c>
      <c r="Q760" s="66" t="e">
        <f>IF(ISBLANK(M760),0,L760/ROUND(M760,4))</f>
        <v>#DIV/0!</v>
      </c>
      <c r="R760" s="66" t="e">
        <f>IF(ISBLANK(M760),0,Q760*ROUND(N760,2))</f>
        <v>#DIV/0!</v>
      </c>
      <c r="S760" s="69" t="e">
        <f>ROUND(P760,2)*Q760</f>
        <v>#DIV/0!</v>
      </c>
      <c r="T760" s="66" t="e">
        <f>Q760*dagenperjaar1</f>
        <v>#DIV/0!</v>
      </c>
      <c r="U760" s="70" t="e">
        <f>T760*ROUND(P760,2)</f>
        <v>#DIV/0!</v>
      </c>
    </row>
    <row r="761" spans="1:21" x14ac:dyDescent="0.2">
      <c r="A761" s="63" t="s">
        <v>1299</v>
      </c>
      <c r="B761" s="64" t="s">
        <v>324</v>
      </c>
      <c r="C761" s="64" t="s">
        <v>323</v>
      </c>
      <c r="D761" s="64" t="s">
        <v>950</v>
      </c>
      <c r="E761" s="64" t="s">
        <v>324</v>
      </c>
      <c r="F761" s="65" t="s">
        <v>1374</v>
      </c>
      <c r="G761" s="64" t="s">
        <v>1302</v>
      </c>
      <c r="H761" s="64" t="s">
        <v>263</v>
      </c>
      <c r="I761" s="64" t="s">
        <v>10</v>
      </c>
      <c r="J761" s="64" t="s">
        <v>201</v>
      </c>
      <c r="K761" s="66">
        <v>44.8</v>
      </c>
      <c r="L761" s="66">
        <f>K761*VLOOKUP(I761,dagsoorttabel1,2,FALSE)</f>
        <v>44.8</v>
      </c>
      <c r="M761" s="67">
        <f>prodnorm63</f>
        <v>0</v>
      </c>
      <c r="N761" s="68">
        <f>dagwerk63</f>
        <v>0</v>
      </c>
      <c r="O761" s="64" t="s">
        <v>38</v>
      </c>
      <c r="P761" s="69">
        <f>uurtarief63</f>
        <v>0</v>
      </c>
      <c r="Q761" s="66" t="e">
        <f>IF(ISBLANK(M761),0,L761/ROUND(M761,4))</f>
        <v>#DIV/0!</v>
      </c>
      <c r="R761" s="66" t="e">
        <f>IF(ISBLANK(M761),0,Q761*ROUND(N761,2))</f>
        <v>#DIV/0!</v>
      </c>
      <c r="S761" s="69" t="e">
        <f>ROUND(P761,2)*Q761</f>
        <v>#DIV/0!</v>
      </c>
      <c r="T761" s="66" t="e">
        <f>Q761*dagenperjaar1</f>
        <v>#DIV/0!</v>
      </c>
      <c r="U761" s="70" t="e">
        <f>T761*ROUND(P761,2)</f>
        <v>#DIV/0!</v>
      </c>
    </row>
    <row r="762" spans="1:21" x14ac:dyDescent="0.2">
      <c r="A762" s="63" t="s">
        <v>1299</v>
      </c>
      <c r="B762" s="64" t="s">
        <v>324</v>
      </c>
      <c r="C762" s="64" t="s">
        <v>323</v>
      </c>
      <c r="D762" s="64" t="s">
        <v>952</v>
      </c>
      <c r="E762" s="64" t="s">
        <v>324</v>
      </c>
      <c r="F762" s="65" t="s">
        <v>1304</v>
      </c>
      <c r="G762" s="64" t="s">
        <v>1302</v>
      </c>
      <c r="H762" s="64" t="s">
        <v>263</v>
      </c>
      <c r="I762" s="64" t="s">
        <v>10</v>
      </c>
      <c r="J762" s="64" t="s">
        <v>201</v>
      </c>
      <c r="K762" s="66">
        <v>30</v>
      </c>
      <c r="L762" s="66">
        <f>K762*VLOOKUP(I762,dagsoorttabel1,2,FALSE)</f>
        <v>30</v>
      </c>
      <c r="M762" s="67">
        <f>prodnorm63</f>
        <v>0</v>
      </c>
      <c r="N762" s="68">
        <f>dagwerk63</f>
        <v>0</v>
      </c>
      <c r="O762" s="64" t="s">
        <v>38</v>
      </c>
      <c r="P762" s="69">
        <f>uurtarief63</f>
        <v>0</v>
      </c>
      <c r="Q762" s="66" t="e">
        <f>IF(ISBLANK(M762),0,L762/ROUND(M762,4))</f>
        <v>#DIV/0!</v>
      </c>
      <c r="R762" s="66" t="e">
        <f>IF(ISBLANK(M762),0,Q762*ROUND(N762,2))</f>
        <v>#DIV/0!</v>
      </c>
      <c r="S762" s="69" t="e">
        <f>ROUND(P762,2)*Q762</f>
        <v>#DIV/0!</v>
      </c>
      <c r="T762" s="66" t="e">
        <f>Q762*dagenperjaar1</f>
        <v>#DIV/0!</v>
      </c>
      <c r="U762" s="70" t="e">
        <f>T762*ROUND(P762,2)</f>
        <v>#DIV/0!</v>
      </c>
    </row>
    <row r="763" spans="1:21" x14ac:dyDescent="0.2">
      <c r="A763" s="63" t="s">
        <v>1299</v>
      </c>
      <c r="B763" s="64" t="s">
        <v>324</v>
      </c>
      <c r="C763" s="64" t="s">
        <v>323</v>
      </c>
      <c r="D763" s="64" t="s">
        <v>1375</v>
      </c>
      <c r="E763" s="64" t="s">
        <v>324</v>
      </c>
      <c r="F763" s="65" t="s">
        <v>1341</v>
      </c>
      <c r="G763" s="64" t="s">
        <v>1302</v>
      </c>
      <c r="H763" s="64" t="s">
        <v>251</v>
      </c>
      <c r="I763" s="64" t="s">
        <v>10</v>
      </c>
      <c r="J763" s="64" t="s">
        <v>201</v>
      </c>
      <c r="K763" s="66">
        <v>76</v>
      </c>
      <c r="L763" s="66">
        <f>K763*VLOOKUP(I763,dagsoorttabel1,2,FALSE)</f>
        <v>76</v>
      </c>
      <c r="M763" s="67">
        <f>prodnorm57</f>
        <v>0</v>
      </c>
      <c r="N763" s="68">
        <f>dagwerk57</f>
        <v>0</v>
      </c>
      <c r="O763" s="64" t="s">
        <v>38</v>
      </c>
      <c r="P763" s="69">
        <f>uurtarief57</f>
        <v>0</v>
      </c>
      <c r="Q763" s="66" t="e">
        <f>IF(ISBLANK(M763),0,L763/ROUND(M763,4))</f>
        <v>#DIV/0!</v>
      </c>
      <c r="R763" s="66" t="e">
        <f>IF(ISBLANK(M763),0,Q763*ROUND(N763,2))</f>
        <v>#DIV/0!</v>
      </c>
      <c r="S763" s="69" t="e">
        <f>ROUND(P763,2)*Q763</f>
        <v>#DIV/0!</v>
      </c>
      <c r="T763" s="66" t="e">
        <f>Q763*dagenperjaar1</f>
        <v>#DIV/0!</v>
      </c>
      <c r="U763" s="70" t="e">
        <f>T763*ROUND(P763,2)</f>
        <v>#DIV/0!</v>
      </c>
    </row>
    <row r="764" spans="1:21" x14ac:dyDescent="0.2">
      <c r="A764" s="63" t="s">
        <v>1299</v>
      </c>
      <c r="B764" s="64" t="s">
        <v>324</v>
      </c>
      <c r="C764" s="64" t="s">
        <v>323</v>
      </c>
      <c r="D764" s="64" t="s">
        <v>1376</v>
      </c>
      <c r="E764" s="64" t="s">
        <v>324</v>
      </c>
      <c r="F764" s="65" t="s">
        <v>578</v>
      </c>
      <c r="G764" s="64" t="s">
        <v>1302</v>
      </c>
      <c r="H764" s="64" t="s">
        <v>267</v>
      </c>
      <c r="I764" s="64" t="s">
        <v>10</v>
      </c>
      <c r="J764" s="64" t="s">
        <v>201</v>
      </c>
      <c r="K764" s="66">
        <v>67</v>
      </c>
      <c r="L764" s="66">
        <f>K764*VLOOKUP(I764,dagsoorttabel1,2,FALSE)</f>
        <v>67</v>
      </c>
      <c r="M764" s="67">
        <f>prodnorm65</f>
        <v>0</v>
      </c>
      <c r="N764" s="68">
        <f>dagwerk65</f>
        <v>0</v>
      </c>
      <c r="O764" s="64" t="s">
        <v>38</v>
      </c>
      <c r="P764" s="69">
        <f>uurtarief65</f>
        <v>0</v>
      </c>
      <c r="Q764" s="66" t="e">
        <f>IF(ISBLANK(M764),0,L764/ROUND(M764,4))</f>
        <v>#DIV/0!</v>
      </c>
      <c r="R764" s="66" t="e">
        <f>IF(ISBLANK(M764),0,Q764*ROUND(N764,2))</f>
        <v>#DIV/0!</v>
      </c>
      <c r="S764" s="69" t="e">
        <f>ROUND(P764,2)*Q764</f>
        <v>#DIV/0!</v>
      </c>
      <c r="T764" s="66" t="e">
        <f>Q764*dagenperjaar1</f>
        <v>#DIV/0!</v>
      </c>
      <c r="U764" s="70" t="e">
        <f>T764*ROUND(P764,2)</f>
        <v>#DIV/0!</v>
      </c>
    </row>
    <row r="765" spans="1:21" ht="25.5" x14ac:dyDescent="0.2">
      <c r="A765" s="63" t="s">
        <v>1299</v>
      </c>
      <c r="B765" s="64" t="s">
        <v>324</v>
      </c>
      <c r="C765" s="64" t="s">
        <v>323</v>
      </c>
      <c r="D765" s="64" t="s">
        <v>1377</v>
      </c>
      <c r="E765" s="64" t="s">
        <v>324</v>
      </c>
      <c r="F765" s="65" t="s">
        <v>1344</v>
      </c>
      <c r="G765" s="64" t="s">
        <v>1302</v>
      </c>
      <c r="H765" s="64" t="s">
        <v>251</v>
      </c>
      <c r="I765" s="64" t="s">
        <v>10</v>
      </c>
      <c r="J765" s="64" t="s">
        <v>201</v>
      </c>
      <c r="K765" s="66">
        <v>70</v>
      </c>
      <c r="L765" s="66">
        <f>K765*VLOOKUP(I765,dagsoorttabel1,2,FALSE)</f>
        <v>70</v>
      </c>
      <c r="M765" s="67">
        <f>prodnorm57</f>
        <v>0</v>
      </c>
      <c r="N765" s="68">
        <f>dagwerk57</f>
        <v>0</v>
      </c>
      <c r="O765" s="64" t="s">
        <v>38</v>
      </c>
      <c r="P765" s="69">
        <f>uurtarief57</f>
        <v>0</v>
      </c>
      <c r="Q765" s="66" t="e">
        <f>IF(ISBLANK(M765),0,L765/ROUND(M765,4))</f>
        <v>#DIV/0!</v>
      </c>
      <c r="R765" s="66" t="e">
        <f>IF(ISBLANK(M765),0,Q765*ROUND(N765,2))</f>
        <v>#DIV/0!</v>
      </c>
      <c r="S765" s="69" t="e">
        <f>ROUND(P765,2)*Q765</f>
        <v>#DIV/0!</v>
      </c>
      <c r="T765" s="66" t="e">
        <f>Q765*dagenperjaar1</f>
        <v>#DIV/0!</v>
      </c>
      <c r="U765" s="70" t="e">
        <f>T765*ROUND(P765,2)</f>
        <v>#DIV/0!</v>
      </c>
    </row>
    <row r="766" spans="1:21" x14ac:dyDescent="0.2">
      <c r="A766" s="63" t="s">
        <v>1299</v>
      </c>
      <c r="B766" s="64" t="s">
        <v>324</v>
      </c>
      <c r="C766" s="64" t="s">
        <v>323</v>
      </c>
      <c r="D766" s="64" t="s">
        <v>1378</v>
      </c>
      <c r="E766" s="64" t="s">
        <v>324</v>
      </c>
      <c r="F766" s="65" t="s">
        <v>1319</v>
      </c>
      <c r="G766" s="64" t="s">
        <v>1302</v>
      </c>
      <c r="H766" s="64" t="s">
        <v>267</v>
      </c>
      <c r="I766" s="64" t="s">
        <v>10</v>
      </c>
      <c r="J766" s="64" t="s">
        <v>201</v>
      </c>
      <c r="K766" s="66">
        <v>271.85000000000002</v>
      </c>
      <c r="L766" s="66">
        <f>K766*VLOOKUP(I766,dagsoorttabel1,2,FALSE)</f>
        <v>271.85000000000002</v>
      </c>
      <c r="M766" s="67">
        <f>prodnorm65</f>
        <v>0</v>
      </c>
      <c r="N766" s="68">
        <f>dagwerk65</f>
        <v>0</v>
      </c>
      <c r="O766" s="64" t="s">
        <v>38</v>
      </c>
      <c r="P766" s="69">
        <f>uurtarief65</f>
        <v>0</v>
      </c>
      <c r="Q766" s="66" t="e">
        <f>IF(ISBLANK(M766),0,L766/ROUND(M766,4))</f>
        <v>#DIV/0!</v>
      </c>
      <c r="R766" s="66" t="e">
        <f>IF(ISBLANK(M766),0,Q766*ROUND(N766,2))</f>
        <v>#DIV/0!</v>
      </c>
      <c r="S766" s="69" t="e">
        <f>ROUND(P766,2)*Q766</f>
        <v>#DIV/0!</v>
      </c>
      <c r="T766" s="66" t="e">
        <f>Q766*dagenperjaar1</f>
        <v>#DIV/0!</v>
      </c>
      <c r="U766" s="70" t="e">
        <f>T766*ROUND(P766,2)</f>
        <v>#DIV/0!</v>
      </c>
    </row>
    <row r="767" spans="1:21" x14ac:dyDescent="0.2">
      <c r="A767" s="63" t="s">
        <v>1299</v>
      </c>
      <c r="B767" s="64" t="s">
        <v>324</v>
      </c>
      <c r="C767" s="64" t="s">
        <v>472</v>
      </c>
      <c r="D767" s="64" t="s">
        <v>473</v>
      </c>
      <c r="E767" s="64" t="s">
        <v>324</v>
      </c>
      <c r="F767" s="65" t="s">
        <v>1379</v>
      </c>
      <c r="G767" s="64" t="s">
        <v>1302</v>
      </c>
      <c r="H767" s="64" t="s">
        <v>243</v>
      </c>
      <c r="I767" s="64" t="s">
        <v>10</v>
      </c>
      <c r="J767" s="64" t="s">
        <v>201</v>
      </c>
      <c r="K767" s="66">
        <v>68</v>
      </c>
      <c r="L767" s="66">
        <f>K767*VLOOKUP(I767,dagsoorttabel1,2,FALSE)</f>
        <v>68</v>
      </c>
      <c r="M767" s="67">
        <f>prodnorm52</f>
        <v>0</v>
      </c>
      <c r="N767" s="68">
        <f>dagwerk52</f>
        <v>0</v>
      </c>
      <c r="O767" s="64" t="s">
        <v>38</v>
      </c>
      <c r="P767" s="69">
        <f>uurtarief52</f>
        <v>0</v>
      </c>
      <c r="Q767" s="66" t="e">
        <f>IF(ISBLANK(M767),0,L767/ROUND(M767,4))</f>
        <v>#DIV/0!</v>
      </c>
      <c r="R767" s="66" t="e">
        <f>IF(ISBLANK(M767),0,Q767*ROUND(N767,2))</f>
        <v>#DIV/0!</v>
      </c>
      <c r="S767" s="69" t="e">
        <f>ROUND(P767,2)*Q767</f>
        <v>#DIV/0!</v>
      </c>
      <c r="T767" s="66" t="e">
        <f>Q767*dagenperjaar1</f>
        <v>#DIV/0!</v>
      </c>
      <c r="U767" s="70" t="e">
        <f>T767*ROUND(P767,2)</f>
        <v>#DIV/0!</v>
      </c>
    </row>
    <row r="768" spans="1:21" x14ac:dyDescent="0.2">
      <c r="A768" s="63" t="s">
        <v>1299</v>
      </c>
      <c r="B768" s="64" t="s">
        <v>324</v>
      </c>
      <c r="C768" s="64" t="s">
        <v>472</v>
      </c>
      <c r="D768" s="64" t="s">
        <v>487</v>
      </c>
      <c r="E768" s="64" t="s">
        <v>324</v>
      </c>
      <c r="F768" s="65" t="s">
        <v>1380</v>
      </c>
      <c r="G768" s="64" t="s">
        <v>1302</v>
      </c>
      <c r="H768" s="64" t="s">
        <v>229</v>
      </c>
      <c r="I768" s="64" t="s">
        <v>10</v>
      </c>
      <c r="J768" s="64" t="s">
        <v>201</v>
      </c>
      <c r="K768" s="66">
        <v>37</v>
      </c>
      <c r="L768" s="66">
        <f>K768*VLOOKUP(I768,dagsoorttabel1,2,FALSE)</f>
        <v>37</v>
      </c>
      <c r="M768" s="67">
        <f>prodnorm43</f>
        <v>0</v>
      </c>
      <c r="N768" s="68">
        <f>dagwerk43</f>
        <v>0</v>
      </c>
      <c r="O768" s="64" t="s">
        <v>38</v>
      </c>
      <c r="P768" s="69">
        <f>uurtarief43</f>
        <v>0</v>
      </c>
      <c r="Q768" s="66" t="e">
        <f>IF(ISBLANK(M768),0,L768/ROUND(M768,4))</f>
        <v>#DIV/0!</v>
      </c>
      <c r="R768" s="66" t="e">
        <f>IF(ISBLANK(M768),0,Q768*ROUND(N768,2))</f>
        <v>#DIV/0!</v>
      </c>
      <c r="S768" s="69" t="e">
        <f>ROUND(P768,2)*Q768</f>
        <v>#DIV/0!</v>
      </c>
      <c r="T768" s="66" t="e">
        <f>Q768*dagenperjaar1</f>
        <v>#DIV/0!</v>
      </c>
      <c r="U768" s="70" t="e">
        <f>T768*ROUND(P768,2)</f>
        <v>#DIV/0!</v>
      </c>
    </row>
    <row r="769" spans="1:21" x14ac:dyDescent="0.2">
      <c r="A769" s="63" t="s">
        <v>1299</v>
      </c>
      <c r="B769" s="64" t="s">
        <v>324</v>
      </c>
      <c r="C769" s="64" t="s">
        <v>472</v>
      </c>
      <c r="D769" s="64" t="s">
        <v>493</v>
      </c>
      <c r="E769" s="64" t="s">
        <v>324</v>
      </c>
      <c r="F769" s="65" t="s">
        <v>1379</v>
      </c>
      <c r="G769" s="64" t="s">
        <v>1302</v>
      </c>
      <c r="H769" s="64" t="s">
        <v>243</v>
      </c>
      <c r="I769" s="64" t="s">
        <v>10</v>
      </c>
      <c r="J769" s="64" t="s">
        <v>201</v>
      </c>
      <c r="K769" s="66">
        <v>70</v>
      </c>
      <c r="L769" s="66">
        <f>K769*VLOOKUP(I769,dagsoorttabel1,2,FALSE)</f>
        <v>70</v>
      </c>
      <c r="M769" s="67">
        <f>prodnorm52</f>
        <v>0</v>
      </c>
      <c r="N769" s="68">
        <f>dagwerk52</f>
        <v>0</v>
      </c>
      <c r="O769" s="64" t="s">
        <v>38</v>
      </c>
      <c r="P769" s="69">
        <f>uurtarief52</f>
        <v>0</v>
      </c>
      <c r="Q769" s="66" t="e">
        <f>IF(ISBLANK(M769),0,L769/ROUND(M769,4))</f>
        <v>#DIV/0!</v>
      </c>
      <c r="R769" s="66" t="e">
        <f>IF(ISBLANK(M769),0,Q769*ROUND(N769,2))</f>
        <v>#DIV/0!</v>
      </c>
      <c r="S769" s="69" t="e">
        <f>ROUND(P769,2)*Q769</f>
        <v>#DIV/0!</v>
      </c>
      <c r="T769" s="66" t="e">
        <f>Q769*dagenperjaar1</f>
        <v>#DIV/0!</v>
      </c>
      <c r="U769" s="70" t="e">
        <f>T769*ROUND(P769,2)</f>
        <v>#DIV/0!</v>
      </c>
    </row>
    <row r="770" spans="1:21" x14ac:dyDescent="0.2">
      <c r="A770" s="63" t="s">
        <v>1299</v>
      </c>
      <c r="B770" s="64" t="s">
        <v>324</v>
      </c>
      <c r="C770" s="64" t="s">
        <v>472</v>
      </c>
      <c r="D770" s="64" t="s">
        <v>1381</v>
      </c>
      <c r="E770" s="64" t="s">
        <v>324</v>
      </c>
      <c r="F770" s="65" t="s">
        <v>1382</v>
      </c>
      <c r="G770" s="64" t="s">
        <v>1302</v>
      </c>
      <c r="H770" s="64" t="s">
        <v>249</v>
      </c>
      <c r="I770" s="64" t="s">
        <v>10</v>
      </c>
      <c r="J770" s="64" t="s">
        <v>201</v>
      </c>
      <c r="K770" s="66">
        <v>68</v>
      </c>
      <c r="L770" s="66">
        <f>K770*VLOOKUP(I770,dagsoorttabel1,2,FALSE)</f>
        <v>68</v>
      </c>
      <c r="M770" s="67">
        <f>prodnorm56</f>
        <v>0</v>
      </c>
      <c r="N770" s="68">
        <f>dagwerk56</f>
        <v>0</v>
      </c>
      <c r="O770" s="64" t="s">
        <v>38</v>
      </c>
      <c r="P770" s="69">
        <f>uurtarief56</f>
        <v>0</v>
      </c>
      <c r="Q770" s="66" t="e">
        <f>IF(ISBLANK(M770),0,L770/ROUND(M770,4))</f>
        <v>#DIV/0!</v>
      </c>
      <c r="R770" s="66" t="e">
        <f>IF(ISBLANK(M770),0,Q770*ROUND(N770,2))</f>
        <v>#DIV/0!</v>
      </c>
      <c r="S770" s="69" t="e">
        <f>ROUND(P770,2)*Q770</f>
        <v>#DIV/0!</v>
      </c>
      <c r="T770" s="66" t="e">
        <f>Q770*dagenperjaar1</f>
        <v>#DIV/0!</v>
      </c>
      <c r="U770" s="70" t="e">
        <f>T770*ROUND(P770,2)</f>
        <v>#DIV/0!</v>
      </c>
    </row>
    <row r="771" spans="1:21" x14ac:dyDescent="0.2">
      <c r="A771" s="63" t="s">
        <v>1299</v>
      </c>
      <c r="B771" s="64" t="s">
        <v>324</v>
      </c>
      <c r="C771" s="64" t="s">
        <v>472</v>
      </c>
      <c r="D771" s="64" t="s">
        <v>495</v>
      </c>
      <c r="E771" s="64" t="s">
        <v>324</v>
      </c>
      <c r="F771" s="65" t="s">
        <v>1383</v>
      </c>
      <c r="G771" s="64" t="s">
        <v>1302</v>
      </c>
      <c r="H771" s="64" t="s">
        <v>229</v>
      </c>
      <c r="I771" s="64" t="s">
        <v>10</v>
      </c>
      <c r="J771" s="64" t="s">
        <v>201</v>
      </c>
      <c r="K771" s="66">
        <v>37</v>
      </c>
      <c r="L771" s="66">
        <f>K771*VLOOKUP(I771,dagsoorttabel1,2,FALSE)</f>
        <v>37</v>
      </c>
      <c r="M771" s="67">
        <f>prodnorm43</f>
        <v>0</v>
      </c>
      <c r="N771" s="68">
        <f>dagwerk43</f>
        <v>0</v>
      </c>
      <c r="O771" s="64" t="s">
        <v>38</v>
      </c>
      <c r="P771" s="69">
        <f>uurtarief43</f>
        <v>0</v>
      </c>
      <c r="Q771" s="66" t="e">
        <f>IF(ISBLANK(M771),0,L771/ROUND(M771,4))</f>
        <v>#DIV/0!</v>
      </c>
      <c r="R771" s="66" t="e">
        <f>IF(ISBLANK(M771),0,Q771*ROUND(N771,2))</f>
        <v>#DIV/0!</v>
      </c>
      <c r="S771" s="69" t="e">
        <f>ROUND(P771,2)*Q771</f>
        <v>#DIV/0!</v>
      </c>
      <c r="T771" s="66" t="e">
        <f>Q771*dagenperjaar1</f>
        <v>#DIV/0!</v>
      </c>
      <c r="U771" s="70" t="e">
        <f>T771*ROUND(P771,2)</f>
        <v>#DIV/0!</v>
      </c>
    </row>
    <row r="772" spans="1:21" x14ac:dyDescent="0.2">
      <c r="A772" s="63" t="s">
        <v>1299</v>
      </c>
      <c r="B772" s="64" t="s">
        <v>324</v>
      </c>
      <c r="C772" s="64" t="s">
        <v>472</v>
      </c>
      <c r="D772" s="64" t="s">
        <v>963</v>
      </c>
      <c r="E772" s="64" t="s">
        <v>324</v>
      </c>
      <c r="F772" s="65" t="s">
        <v>1382</v>
      </c>
      <c r="G772" s="64" t="s">
        <v>1302</v>
      </c>
      <c r="H772" s="64" t="s">
        <v>249</v>
      </c>
      <c r="I772" s="64" t="s">
        <v>10</v>
      </c>
      <c r="J772" s="64" t="s">
        <v>201</v>
      </c>
      <c r="K772" s="66">
        <v>68</v>
      </c>
      <c r="L772" s="66">
        <f>K772*VLOOKUP(I772,dagsoorttabel1,2,FALSE)</f>
        <v>68</v>
      </c>
      <c r="M772" s="67">
        <f>prodnorm56</f>
        <v>0</v>
      </c>
      <c r="N772" s="68">
        <f>dagwerk56</f>
        <v>0</v>
      </c>
      <c r="O772" s="64" t="s">
        <v>38</v>
      </c>
      <c r="P772" s="69">
        <f>uurtarief56</f>
        <v>0</v>
      </c>
      <c r="Q772" s="66" t="e">
        <f>IF(ISBLANK(M772),0,L772/ROUND(M772,4))</f>
        <v>#DIV/0!</v>
      </c>
      <c r="R772" s="66" t="e">
        <f>IF(ISBLANK(M772),0,Q772*ROUND(N772,2))</f>
        <v>#DIV/0!</v>
      </c>
      <c r="S772" s="69" t="e">
        <f>ROUND(P772,2)*Q772</f>
        <v>#DIV/0!</v>
      </c>
      <c r="T772" s="66" t="e">
        <f>Q772*dagenperjaar1</f>
        <v>#DIV/0!</v>
      </c>
      <c r="U772" s="70" t="e">
        <f>T772*ROUND(P772,2)</f>
        <v>#DIV/0!</v>
      </c>
    </row>
    <row r="773" spans="1:21" x14ac:dyDescent="0.2">
      <c r="A773" s="63" t="s">
        <v>1299</v>
      </c>
      <c r="B773" s="64" t="s">
        <v>324</v>
      </c>
      <c r="C773" s="64" t="s">
        <v>472</v>
      </c>
      <c r="D773" s="64" t="s">
        <v>497</v>
      </c>
      <c r="E773" s="64" t="s">
        <v>324</v>
      </c>
      <c r="F773" s="65" t="s">
        <v>1384</v>
      </c>
      <c r="G773" s="64" t="s">
        <v>1302</v>
      </c>
      <c r="H773" s="64" t="s">
        <v>229</v>
      </c>
      <c r="I773" s="64" t="s">
        <v>10</v>
      </c>
      <c r="J773" s="64" t="s">
        <v>201</v>
      </c>
      <c r="K773" s="66">
        <v>55</v>
      </c>
      <c r="L773" s="66">
        <f>K773*VLOOKUP(I773,dagsoorttabel1,2,FALSE)</f>
        <v>55</v>
      </c>
      <c r="M773" s="67">
        <f>prodnorm43</f>
        <v>0</v>
      </c>
      <c r="N773" s="68">
        <f>dagwerk43</f>
        <v>0</v>
      </c>
      <c r="O773" s="64" t="s">
        <v>38</v>
      </c>
      <c r="P773" s="69">
        <f>uurtarief43</f>
        <v>0</v>
      </c>
      <c r="Q773" s="66" t="e">
        <f>IF(ISBLANK(M773),0,L773/ROUND(M773,4))</f>
        <v>#DIV/0!</v>
      </c>
      <c r="R773" s="66" t="e">
        <f>IF(ISBLANK(M773),0,Q773*ROUND(N773,2))</f>
        <v>#DIV/0!</v>
      </c>
      <c r="S773" s="69" t="e">
        <f>ROUND(P773,2)*Q773</f>
        <v>#DIV/0!</v>
      </c>
      <c r="T773" s="66" t="e">
        <f>Q773*dagenperjaar1</f>
        <v>#DIV/0!</v>
      </c>
      <c r="U773" s="70" t="e">
        <f>T773*ROUND(P773,2)</f>
        <v>#DIV/0!</v>
      </c>
    </row>
    <row r="774" spans="1:21" x14ac:dyDescent="0.2">
      <c r="A774" s="63" t="s">
        <v>1299</v>
      </c>
      <c r="B774" s="64" t="s">
        <v>324</v>
      </c>
      <c r="C774" s="64" t="s">
        <v>472</v>
      </c>
      <c r="D774" s="64" t="s">
        <v>499</v>
      </c>
      <c r="E774" s="64" t="s">
        <v>324</v>
      </c>
      <c r="F774" s="65" t="s">
        <v>1384</v>
      </c>
      <c r="G774" s="64" t="s">
        <v>1302</v>
      </c>
      <c r="H774" s="64" t="s">
        <v>229</v>
      </c>
      <c r="I774" s="64" t="s">
        <v>10</v>
      </c>
      <c r="J774" s="64" t="s">
        <v>201</v>
      </c>
      <c r="K774" s="66">
        <v>55</v>
      </c>
      <c r="L774" s="66">
        <f>K774*VLOOKUP(I774,dagsoorttabel1,2,FALSE)</f>
        <v>55</v>
      </c>
      <c r="M774" s="67">
        <f>prodnorm43</f>
        <v>0</v>
      </c>
      <c r="N774" s="68">
        <f>dagwerk43</f>
        <v>0</v>
      </c>
      <c r="O774" s="64" t="s">
        <v>38</v>
      </c>
      <c r="P774" s="69">
        <f>uurtarief43</f>
        <v>0</v>
      </c>
      <c r="Q774" s="66" t="e">
        <f>IF(ISBLANK(M774),0,L774/ROUND(M774,4))</f>
        <v>#DIV/0!</v>
      </c>
      <c r="R774" s="66" t="e">
        <f>IF(ISBLANK(M774),0,Q774*ROUND(N774,2))</f>
        <v>#DIV/0!</v>
      </c>
      <c r="S774" s="69" t="e">
        <f>ROUND(P774,2)*Q774</f>
        <v>#DIV/0!</v>
      </c>
      <c r="T774" s="66" t="e">
        <f>Q774*dagenperjaar1</f>
        <v>#DIV/0!</v>
      </c>
      <c r="U774" s="70" t="e">
        <f>T774*ROUND(P774,2)</f>
        <v>#DIV/0!</v>
      </c>
    </row>
    <row r="775" spans="1:21" x14ac:dyDescent="0.2">
      <c r="A775" s="63" t="s">
        <v>1299</v>
      </c>
      <c r="B775" s="64" t="s">
        <v>324</v>
      </c>
      <c r="C775" s="64" t="s">
        <v>472</v>
      </c>
      <c r="D775" s="64" t="s">
        <v>1385</v>
      </c>
      <c r="E775" s="64" t="s">
        <v>324</v>
      </c>
      <c r="F775" s="65" t="s">
        <v>1384</v>
      </c>
      <c r="G775" s="64" t="s">
        <v>1302</v>
      </c>
      <c r="H775" s="64" t="s">
        <v>229</v>
      </c>
      <c r="I775" s="64" t="s">
        <v>10</v>
      </c>
      <c r="J775" s="64" t="s">
        <v>201</v>
      </c>
      <c r="K775" s="66">
        <v>55</v>
      </c>
      <c r="L775" s="66">
        <f>K775*VLOOKUP(I775,dagsoorttabel1,2,FALSE)</f>
        <v>55</v>
      </c>
      <c r="M775" s="67">
        <f>prodnorm43</f>
        <v>0</v>
      </c>
      <c r="N775" s="68">
        <f>dagwerk43</f>
        <v>0</v>
      </c>
      <c r="O775" s="64" t="s">
        <v>38</v>
      </c>
      <c r="P775" s="69">
        <f>uurtarief43</f>
        <v>0</v>
      </c>
      <c r="Q775" s="66" t="e">
        <f>IF(ISBLANK(M775),0,L775/ROUND(M775,4))</f>
        <v>#DIV/0!</v>
      </c>
      <c r="R775" s="66" t="e">
        <f>IF(ISBLANK(M775),0,Q775*ROUND(N775,2))</f>
        <v>#DIV/0!</v>
      </c>
      <c r="S775" s="69" t="e">
        <f>ROUND(P775,2)*Q775</f>
        <v>#DIV/0!</v>
      </c>
      <c r="T775" s="66" t="e">
        <f>Q775*dagenperjaar1</f>
        <v>#DIV/0!</v>
      </c>
      <c r="U775" s="70" t="e">
        <f>T775*ROUND(P775,2)</f>
        <v>#DIV/0!</v>
      </c>
    </row>
    <row r="776" spans="1:21" ht="25.5" x14ac:dyDescent="0.2">
      <c r="A776" s="63" t="s">
        <v>1299</v>
      </c>
      <c r="B776" s="64" t="s">
        <v>324</v>
      </c>
      <c r="C776" s="64" t="s">
        <v>472</v>
      </c>
      <c r="D776" s="64" t="s">
        <v>501</v>
      </c>
      <c r="E776" s="64" t="s">
        <v>324</v>
      </c>
      <c r="F776" s="65" t="s">
        <v>1386</v>
      </c>
      <c r="G776" s="64" t="s">
        <v>1302</v>
      </c>
      <c r="H776" s="64" t="s">
        <v>205</v>
      </c>
      <c r="I776" s="64" t="s">
        <v>10</v>
      </c>
      <c r="J776" s="64" t="s">
        <v>201</v>
      </c>
      <c r="K776" s="66">
        <v>15</v>
      </c>
      <c r="L776" s="66">
        <f>K776*VLOOKUP(I776,dagsoorttabel1,2,FALSE)</f>
        <v>15</v>
      </c>
      <c r="M776" s="67">
        <f>prodnorm26</f>
        <v>0</v>
      </c>
      <c r="N776" s="68">
        <f>dagwerk26</f>
        <v>0</v>
      </c>
      <c r="O776" s="64" t="s">
        <v>38</v>
      </c>
      <c r="P776" s="69">
        <f>uurtarief26</f>
        <v>0</v>
      </c>
      <c r="Q776" s="66" t="e">
        <f>IF(ISBLANK(M776),0,L776/ROUND(M776,4))</f>
        <v>#DIV/0!</v>
      </c>
      <c r="R776" s="66" t="e">
        <f>IF(ISBLANK(M776),0,Q776*ROUND(N776,2))</f>
        <v>#DIV/0!</v>
      </c>
      <c r="S776" s="69" t="e">
        <f>ROUND(P776,2)*Q776</f>
        <v>#DIV/0!</v>
      </c>
      <c r="T776" s="66" t="e">
        <f>Q776*dagenperjaar1</f>
        <v>#DIV/0!</v>
      </c>
      <c r="U776" s="70" t="e">
        <f>T776*ROUND(P776,2)</f>
        <v>#DIV/0!</v>
      </c>
    </row>
    <row r="777" spans="1:21" x14ac:dyDescent="0.2">
      <c r="A777" s="63" t="s">
        <v>1299</v>
      </c>
      <c r="B777" s="64" t="s">
        <v>324</v>
      </c>
      <c r="C777" s="64" t="s">
        <v>472</v>
      </c>
      <c r="D777" s="64" t="s">
        <v>504</v>
      </c>
      <c r="E777" s="64" t="s">
        <v>324</v>
      </c>
      <c r="F777" s="65" t="s">
        <v>1384</v>
      </c>
      <c r="G777" s="64" t="s">
        <v>1302</v>
      </c>
      <c r="H777" s="64" t="s">
        <v>229</v>
      </c>
      <c r="I777" s="64" t="s">
        <v>10</v>
      </c>
      <c r="J777" s="64" t="s">
        <v>201</v>
      </c>
      <c r="K777" s="66">
        <v>55</v>
      </c>
      <c r="L777" s="66">
        <f>K777*VLOOKUP(I777,dagsoorttabel1,2,FALSE)</f>
        <v>55</v>
      </c>
      <c r="M777" s="67">
        <f>prodnorm43</f>
        <v>0</v>
      </c>
      <c r="N777" s="68">
        <f>dagwerk43</f>
        <v>0</v>
      </c>
      <c r="O777" s="64" t="s">
        <v>38</v>
      </c>
      <c r="P777" s="69">
        <f>uurtarief43</f>
        <v>0</v>
      </c>
      <c r="Q777" s="66" t="e">
        <f>IF(ISBLANK(M777),0,L777/ROUND(M777,4))</f>
        <v>#DIV/0!</v>
      </c>
      <c r="R777" s="66" t="e">
        <f>IF(ISBLANK(M777),0,Q777*ROUND(N777,2))</f>
        <v>#DIV/0!</v>
      </c>
      <c r="S777" s="69" t="e">
        <f>ROUND(P777,2)*Q777</f>
        <v>#DIV/0!</v>
      </c>
      <c r="T777" s="66" t="e">
        <f>Q777*dagenperjaar1</f>
        <v>#DIV/0!</v>
      </c>
      <c r="U777" s="70" t="e">
        <f>T777*ROUND(P777,2)</f>
        <v>#DIV/0!</v>
      </c>
    </row>
    <row r="778" spans="1:21" x14ac:dyDescent="0.2">
      <c r="A778" s="63" t="s">
        <v>1299</v>
      </c>
      <c r="B778" s="64" t="s">
        <v>324</v>
      </c>
      <c r="C778" s="64" t="s">
        <v>472</v>
      </c>
      <c r="D778" s="64" t="s">
        <v>965</v>
      </c>
      <c r="E778" s="64" t="s">
        <v>324</v>
      </c>
      <c r="F778" s="65" t="s">
        <v>1387</v>
      </c>
      <c r="G778" s="64" t="s">
        <v>1302</v>
      </c>
      <c r="H778" s="64" t="s">
        <v>229</v>
      </c>
      <c r="I778" s="64" t="s">
        <v>10</v>
      </c>
      <c r="J778" s="64" t="s">
        <v>201</v>
      </c>
      <c r="K778" s="66">
        <v>55</v>
      </c>
      <c r="L778" s="66">
        <f>K778*VLOOKUP(I778,dagsoorttabel1,2,FALSE)</f>
        <v>55</v>
      </c>
      <c r="M778" s="67">
        <f>prodnorm43</f>
        <v>0</v>
      </c>
      <c r="N778" s="68">
        <f>dagwerk43</f>
        <v>0</v>
      </c>
      <c r="O778" s="64" t="s">
        <v>38</v>
      </c>
      <c r="P778" s="69">
        <f>uurtarief43</f>
        <v>0</v>
      </c>
      <c r="Q778" s="66" t="e">
        <f>IF(ISBLANK(M778),0,L778/ROUND(M778,4))</f>
        <v>#DIV/0!</v>
      </c>
      <c r="R778" s="66" t="e">
        <f>IF(ISBLANK(M778),0,Q778*ROUND(N778,2))</f>
        <v>#DIV/0!</v>
      </c>
      <c r="S778" s="69" t="e">
        <f>ROUND(P778,2)*Q778</f>
        <v>#DIV/0!</v>
      </c>
      <c r="T778" s="66" t="e">
        <f>Q778*dagenperjaar1</f>
        <v>#DIV/0!</v>
      </c>
      <c r="U778" s="70" t="e">
        <f>T778*ROUND(P778,2)</f>
        <v>#DIV/0!</v>
      </c>
    </row>
    <row r="779" spans="1:21" ht="25.5" x14ac:dyDescent="0.2">
      <c r="A779" s="63" t="s">
        <v>1299</v>
      </c>
      <c r="B779" s="64" t="s">
        <v>324</v>
      </c>
      <c r="C779" s="64" t="s">
        <v>472</v>
      </c>
      <c r="D779" s="64" t="s">
        <v>506</v>
      </c>
      <c r="E779" s="64" t="s">
        <v>324</v>
      </c>
      <c r="F779" s="65" t="s">
        <v>1388</v>
      </c>
      <c r="G779" s="64" t="s">
        <v>1302</v>
      </c>
      <c r="H779" s="64" t="s">
        <v>229</v>
      </c>
      <c r="I779" s="64" t="s">
        <v>10</v>
      </c>
      <c r="J779" s="64" t="s">
        <v>201</v>
      </c>
      <c r="K779" s="66">
        <v>57</v>
      </c>
      <c r="L779" s="66">
        <f>K779*VLOOKUP(I779,dagsoorttabel1,2,FALSE)</f>
        <v>57</v>
      </c>
      <c r="M779" s="67">
        <f>prodnorm43</f>
        <v>0</v>
      </c>
      <c r="N779" s="68">
        <f>dagwerk43</f>
        <v>0</v>
      </c>
      <c r="O779" s="64" t="s">
        <v>38</v>
      </c>
      <c r="P779" s="69">
        <f>uurtarief43</f>
        <v>0</v>
      </c>
      <c r="Q779" s="66" t="e">
        <f>IF(ISBLANK(M779),0,L779/ROUND(M779,4))</f>
        <v>#DIV/0!</v>
      </c>
      <c r="R779" s="66" t="e">
        <f>IF(ISBLANK(M779),0,Q779*ROUND(N779,2))</f>
        <v>#DIV/0!</v>
      </c>
      <c r="S779" s="69" t="e">
        <f>ROUND(P779,2)*Q779</f>
        <v>#DIV/0!</v>
      </c>
      <c r="T779" s="66" t="e">
        <f>Q779*dagenperjaar1</f>
        <v>#DIV/0!</v>
      </c>
      <c r="U779" s="70" t="e">
        <f>T779*ROUND(P779,2)</f>
        <v>#DIV/0!</v>
      </c>
    </row>
    <row r="780" spans="1:21" x14ac:dyDescent="0.2">
      <c r="A780" s="63" t="s">
        <v>1299</v>
      </c>
      <c r="B780" s="64" t="s">
        <v>324</v>
      </c>
      <c r="C780" s="64" t="s">
        <v>472</v>
      </c>
      <c r="D780" s="64" t="s">
        <v>510</v>
      </c>
      <c r="E780" s="64" t="s">
        <v>324</v>
      </c>
      <c r="F780" s="65" t="s">
        <v>1387</v>
      </c>
      <c r="G780" s="64" t="s">
        <v>1302</v>
      </c>
      <c r="H780" s="64" t="s">
        <v>229</v>
      </c>
      <c r="I780" s="64" t="s">
        <v>10</v>
      </c>
      <c r="J780" s="64" t="s">
        <v>201</v>
      </c>
      <c r="K780" s="66">
        <v>55</v>
      </c>
      <c r="L780" s="66">
        <f>K780*VLOOKUP(I780,dagsoorttabel1,2,FALSE)</f>
        <v>55</v>
      </c>
      <c r="M780" s="67">
        <f>prodnorm43</f>
        <v>0</v>
      </c>
      <c r="N780" s="68">
        <f>dagwerk43</f>
        <v>0</v>
      </c>
      <c r="O780" s="64" t="s">
        <v>38</v>
      </c>
      <c r="P780" s="69">
        <f>uurtarief43</f>
        <v>0</v>
      </c>
      <c r="Q780" s="66" t="e">
        <f>IF(ISBLANK(M780),0,L780/ROUND(M780,4))</f>
        <v>#DIV/0!</v>
      </c>
      <c r="R780" s="66" t="e">
        <f>IF(ISBLANK(M780),0,Q780*ROUND(N780,2))</f>
        <v>#DIV/0!</v>
      </c>
      <c r="S780" s="69" t="e">
        <f>ROUND(P780,2)*Q780</f>
        <v>#DIV/0!</v>
      </c>
      <c r="T780" s="66" t="e">
        <f>Q780*dagenperjaar1</f>
        <v>#DIV/0!</v>
      </c>
      <c r="U780" s="70" t="e">
        <f>T780*ROUND(P780,2)</f>
        <v>#DIV/0!</v>
      </c>
    </row>
    <row r="781" spans="1:21" x14ac:dyDescent="0.2">
      <c r="A781" s="63" t="s">
        <v>1299</v>
      </c>
      <c r="B781" s="64" t="s">
        <v>324</v>
      </c>
      <c r="C781" s="64" t="s">
        <v>472</v>
      </c>
      <c r="D781" s="64" t="s">
        <v>514</v>
      </c>
      <c r="E781" s="64" t="s">
        <v>324</v>
      </c>
      <c r="F781" s="65" t="s">
        <v>1387</v>
      </c>
      <c r="G781" s="64" t="s">
        <v>1302</v>
      </c>
      <c r="H781" s="64" t="s">
        <v>229</v>
      </c>
      <c r="I781" s="64" t="s">
        <v>10</v>
      </c>
      <c r="J781" s="64" t="s">
        <v>201</v>
      </c>
      <c r="K781" s="66">
        <v>55</v>
      </c>
      <c r="L781" s="66">
        <f>K781*VLOOKUP(I781,dagsoorttabel1,2,FALSE)</f>
        <v>55</v>
      </c>
      <c r="M781" s="67">
        <f>prodnorm43</f>
        <v>0</v>
      </c>
      <c r="N781" s="68">
        <f>dagwerk43</f>
        <v>0</v>
      </c>
      <c r="O781" s="64" t="s">
        <v>38</v>
      </c>
      <c r="P781" s="69">
        <f>uurtarief43</f>
        <v>0</v>
      </c>
      <c r="Q781" s="66" t="e">
        <f>IF(ISBLANK(M781),0,L781/ROUND(M781,4))</f>
        <v>#DIV/0!</v>
      </c>
      <c r="R781" s="66" t="e">
        <f>IF(ISBLANK(M781),0,Q781*ROUND(N781,2))</f>
        <v>#DIV/0!</v>
      </c>
      <c r="S781" s="69" t="e">
        <f>ROUND(P781,2)*Q781</f>
        <v>#DIV/0!</v>
      </c>
      <c r="T781" s="66" t="e">
        <f>Q781*dagenperjaar1</f>
        <v>#DIV/0!</v>
      </c>
      <c r="U781" s="70" t="e">
        <f>T781*ROUND(P781,2)</f>
        <v>#DIV/0!</v>
      </c>
    </row>
    <row r="782" spans="1:21" x14ac:dyDescent="0.2">
      <c r="A782" s="63" t="s">
        <v>1299</v>
      </c>
      <c r="B782" s="64" t="s">
        <v>324</v>
      </c>
      <c r="C782" s="64" t="s">
        <v>472</v>
      </c>
      <c r="D782" s="64" t="s">
        <v>516</v>
      </c>
      <c r="E782" s="64" t="s">
        <v>324</v>
      </c>
      <c r="F782" s="65" t="s">
        <v>1389</v>
      </c>
      <c r="G782" s="64" t="s">
        <v>1302</v>
      </c>
      <c r="H782" s="64" t="s">
        <v>229</v>
      </c>
      <c r="I782" s="64" t="s">
        <v>10</v>
      </c>
      <c r="J782" s="64" t="s">
        <v>201</v>
      </c>
      <c r="K782" s="66">
        <v>55</v>
      </c>
      <c r="L782" s="66">
        <f>K782*VLOOKUP(I782,dagsoorttabel1,2,FALSE)</f>
        <v>55</v>
      </c>
      <c r="M782" s="67">
        <f>prodnorm43</f>
        <v>0</v>
      </c>
      <c r="N782" s="68">
        <f>dagwerk43</f>
        <v>0</v>
      </c>
      <c r="O782" s="64" t="s">
        <v>38</v>
      </c>
      <c r="P782" s="69">
        <f>uurtarief43</f>
        <v>0</v>
      </c>
      <c r="Q782" s="66" t="e">
        <f>IF(ISBLANK(M782),0,L782/ROUND(M782,4))</f>
        <v>#DIV/0!</v>
      </c>
      <c r="R782" s="66" t="e">
        <f>IF(ISBLANK(M782),0,Q782*ROUND(N782,2))</f>
        <v>#DIV/0!</v>
      </c>
      <c r="S782" s="69" t="e">
        <f>ROUND(P782,2)*Q782</f>
        <v>#DIV/0!</v>
      </c>
      <c r="T782" s="66" t="e">
        <f>Q782*dagenperjaar1</f>
        <v>#DIV/0!</v>
      </c>
      <c r="U782" s="70" t="e">
        <f>T782*ROUND(P782,2)</f>
        <v>#DIV/0!</v>
      </c>
    </row>
    <row r="783" spans="1:21" x14ac:dyDescent="0.2">
      <c r="A783" s="63" t="s">
        <v>1299</v>
      </c>
      <c r="B783" s="64" t="s">
        <v>324</v>
      </c>
      <c r="C783" s="64" t="s">
        <v>472</v>
      </c>
      <c r="D783" s="64" t="s">
        <v>970</v>
      </c>
      <c r="E783" s="64" t="s">
        <v>324</v>
      </c>
      <c r="F783" s="65" t="s">
        <v>1390</v>
      </c>
      <c r="G783" s="64" t="s">
        <v>1302</v>
      </c>
      <c r="H783" s="64" t="s">
        <v>229</v>
      </c>
      <c r="I783" s="64" t="s">
        <v>10</v>
      </c>
      <c r="J783" s="64" t="s">
        <v>201</v>
      </c>
      <c r="K783" s="66">
        <v>40</v>
      </c>
      <c r="L783" s="66">
        <f>K783*VLOOKUP(I783,dagsoorttabel1,2,FALSE)</f>
        <v>40</v>
      </c>
      <c r="M783" s="67">
        <f>prodnorm43</f>
        <v>0</v>
      </c>
      <c r="N783" s="68">
        <f>dagwerk43</f>
        <v>0</v>
      </c>
      <c r="O783" s="64" t="s">
        <v>38</v>
      </c>
      <c r="P783" s="69">
        <f>uurtarief43</f>
        <v>0</v>
      </c>
      <c r="Q783" s="66" t="e">
        <f>IF(ISBLANK(M783),0,L783/ROUND(M783,4))</f>
        <v>#DIV/0!</v>
      </c>
      <c r="R783" s="66" t="e">
        <f>IF(ISBLANK(M783),0,Q783*ROUND(N783,2))</f>
        <v>#DIV/0!</v>
      </c>
      <c r="S783" s="69" t="e">
        <f>ROUND(P783,2)*Q783</f>
        <v>#DIV/0!</v>
      </c>
      <c r="T783" s="66" t="e">
        <f>Q783*dagenperjaar1</f>
        <v>#DIV/0!</v>
      </c>
      <c r="U783" s="70" t="e">
        <f>T783*ROUND(P783,2)</f>
        <v>#DIV/0!</v>
      </c>
    </row>
    <row r="784" spans="1:21" x14ac:dyDescent="0.2">
      <c r="A784" s="63" t="s">
        <v>1299</v>
      </c>
      <c r="B784" s="64" t="s">
        <v>324</v>
      </c>
      <c r="C784" s="64" t="s">
        <v>472</v>
      </c>
      <c r="D784" s="64" t="s">
        <v>971</v>
      </c>
      <c r="E784" s="64" t="s">
        <v>324</v>
      </c>
      <c r="F784" s="65" t="s">
        <v>1389</v>
      </c>
      <c r="G784" s="64" t="s">
        <v>1302</v>
      </c>
      <c r="H784" s="64" t="s">
        <v>229</v>
      </c>
      <c r="I784" s="64" t="s">
        <v>10</v>
      </c>
      <c r="J784" s="64" t="s">
        <v>201</v>
      </c>
      <c r="K784" s="66">
        <v>55</v>
      </c>
      <c r="L784" s="66">
        <f>K784*VLOOKUP(I784,dagsoorttabel1,2,FALSE)</f>
        <v>55</v>
      </c>
      <c r="M784" s="67">
        <f>prodnorm43</f>
        <v>0</v>
      </c>
      <c r="N784" s="68">
        <f>dagwerk43</f>
        <v>0</v>
      </c>
      <c r="O784" s="64" t="s">
        <v>38</v>
      </c>
      <c r="P784" s="69">
        <f>uurtarief43</f>
        <v>0</v>
      </c>
      <c r="Q784" s="66" t="e">
        <f>IF(ISBLANK(M784),0,L784/ROUND(M784,4))</f>
        <v>#DIV/0!</v>
      </c>
      <c r="R784" s="66" t="e">
        <f>IF(ISBLANK(M784),0,Q784*ROUND(N784,2))</f>
        <v>#DIV/0!</v>
      </c>
      <c r="S784" s="69" t="e">
        <f>ROUND(P784,2)*Q784</f>
        <v>#DIV/0!</v>
      </c>
      <c r="T784" s="66" t="e">
        <f>Q784*dagenperjaar1</f>
        <v>#DIV/0!</v>
      </c>
      <c r="U784" s="70" t="e">
        <f>T784*ROUND(P784,2)</f>
        <v>#DIV/0!</v>
      </c>
    </row>
    <row r="785" spans="1:21" x14ac:dyDescent="0.2">
      <c r="A785" s="63" t="s">
        <v>1299</v>
      </c>
      <c r="B785" s="64" t="s">
        <v>324</v>
      </c>
      <c r="C785" s="64" t="s">
        <v>472</v>
      </c>
      <c r="D785" s="64" t="s">
        <v>518</v>
      </c>
      <c r="E785" s="64" t="s">
        <v>324</v>
      </c>
      <c r="F785" s="65" t="s">
        <v>1391</v>
      </c>
      <c r="G785" s="64" t="s">
        <v>1302</v>
      </c>
      <c r="H785" s="64" t="s">
        <v>229</v>
      </c>
      <c r="I785" s="64" t="s">
        <v>10</v>
      </c>
      <c r="J785" s="64" t="s">
        <v>201</v>
      </c>
      <c r="K785" s="66">
        <v>55</v>
      </c>
      <c r="L785" s="66">
        <f>K785*VLOOKUP(I785,dagsoorttabel1,2,FALSE)</f>
        <v>55</v>
      </c>
      <c r="M785" s="67">
        <f>prodnorm43</f>
        <v>0</v>
      </c>
      <c r="N785" s="68">
        <f>dagwerk43</f>
        <v>0</v>
      </c>
      <c r="O785" s="64" t="s">
        <v>38</v>
      </c>
      <c r="P785" s="69">
        <f>uurtarief43</f>
        <v>0</v>
      </c>
      <c r="Q785" s="66" t="e">
        <f>IF(ISBLANK(M785),0,L785/ROUND(M785,4))</f>
        <v>#DIV/0!</v>
      </c>
      <c r="R785" s="66" t="e">
        <f>IF(ISBLANK(M785),0,Q785*ROUND(N785,2))</f>
        <v>#DIV/0!</v>
      </c>
      <c r="S785" s="69" t="e">
        <f>ROUND(P785,2)*Q785</f>
        <v>#DIV/0!</v>
      </c>
      <c r="T785" s="66" t="e">
        <f>Q785*dagenperjaar1</f>
        <v>#DIV/0!</v>
      </c>
      <c r="U785" s="70" t="e">
        <f>T785*ROUND(P785,2)</f>
        <v>#DIV/0!</v>
      </c>
    </row>
    <row r="786" spans="1:21" x14ac:dyDescent="0.2">
      <c r="A786" s="63" t="s">
        <v>1299</v>
      </c>
      <c r="B786" s="64" t="s">
        <v>324</v>
      </c>
      <c r="C786" s="64" t="s">
        <v>472</v>
      </c>
      <c r="D786" s="64" t="s">
        <v>521</v>
      </c>
      <c r="E786" s="64" t="s">
        <v>324</v>
      </c>
      <c r="F786" s="65" t="s">
        <v>1391</v>
      </c>
      <c r="G786" s="64" t="s">
        <v>1302</v>
      </c>
      <c r="H786" s="64" t="s">
        <v>229</v>
      </c>
      <c r="I786" s="64" t="s">
        <v>10</v>
      </c>
      <c r="J786" s="64" t="s">
        <v>201</v>
      </c>
      <c r="K786" s="66">
        <v>55</v>
      </c>
      <c r="L786" s="66">
        <f>K786*VLOOKUP(I786,dagsoorttabel1,2,FALSE)</f>
        <v>55</v>
      </c>
      <c r="M786" s="67">
        <f>prodnorm43</f>
        <v>0</v>
      </c>
      <c r="N786" s="68">
        <f>dagwerk43</f>
        <v>0</v>
      </c>
      <c r="O786" s="64" t="s">
        <v>38</v>
      </c>
      <c r="P786" s="69">
        <f>uurtarief43</f>
        <v>0</v>
      </c>
      <c r="Q786" s="66" t="e">
        <f>IF(ISBLANK(M786),0,L786/ROUND(M786,4))</f>
        <v>#DIV/0!</v>
      </c>
      <c r="R786" s="66" t="e">
        <f>IF(ISBLANK(M786),0,Q786*ROUND(N786,2))</f>
        <v>#DIV/0!</v>
      </c>
      <c r="S786" s="69" t="e">
        <f>ROUND(P786,2)*Q786</f>
        <v>#DIV/0!</v>
      </c>
      <c r="T786" s="66" t="e">
        <f>Q786*dagenperjaar1</f>
        <v>#DIV/0!</v>
      </c>
      <c r="U786" s="70" t="e">
        <f>T786*ROUND(P786,2)</f>
        <v>#DIV/0!</v>
      </c>
    </row>
    <row r="787" spans="1:21" x14ac:dyDescent="0.2">
      <c r="A787" s="63" t="s">
        <v>1299</v>
      </c>
      <c r="B787" s="64" t="s">
        <v>324</v>
      </c>
      <c r="C787" s="64" t="s">
        <v>472</v>
      </c>
      <c r="D787" s="64" t="s">
        <v>973</v>
      </c>
      <c r="E787" s="64" t="s">
        <v>324</v>
      </c>
      <c r="F787" s="65" t="s">
        <v>344</v>
      </c>
      <c r="G787" s="64" t="s">
        <v>1302</v>
      </c>
      <c r="H787" s="64" t="s">
        <v>263</v>
      </c>
      <c r="I787" s="64" t="s">
        <v>10</v>
      </c>
      <c r="J787" s="64" t="s">
        <v>201</v>
      </c>
      <c r="K787" s="66">
        <v>20</v>
      </c>
      <c r="L787" s="66">
        <f>K787*VLOOKUP(I787,dagsoorttabel1,2,FALSE)</f>
        <v>20</v>
      </c>
      <c r="M787" s="67">
        <f>prodnorm63</f>
        <v>0</v>
      </c>
      <c r="N787" s="68">
        <f>dagwerk63</f>
        <v>0</v>
      </c>
      <c r="O787" s="64" t="s">
        <v>38</v>
      </c>
      <c r="P787" s="69">
        <f>uurtarief63</f>
        <v>0</v>
      </c>
      <c r="Q787" s="66" t="e">
        <f>IF(ISBLANK(M787),0,L787/ROUND(M787,4))</f>
        <v>#DIV/0!</v>
      </c>
      <c r="R787" s="66" t="e">
        <f>IF(ISBLANK(M787),0,Q787*ROUND(N787,2))</f>
        <v>#DIV/0!</v>
      </c>
      <c r="S787" s="69" t="e">
        <f>ROUND(P787,2)*Q787</f>
        <v>#DIV/0!</v>
      </c>
      <c r="T787" s="66" t="e">
        <f>Q787*dagenperjaar1</f>
        <v>#DIV/0!</v>
      </c>
      <c r="U787" s="70" t="e">
        <f>T787*ROUND(P787,2)</f>
        <v>#DIV/0!</v>
      </c>
    </row>
    <row r="788" spans="1:21" x14ac:dyDescent="0.2">
      <c r="A788" s="63" t="s">
        <v>1299</v>
      </c>
      <c r="B788" s="64" t="s">
        <v>324</v>
      </c>
      <c r="C788" s="64" t="s">
        <v>472</v>
      </c>
      <c r="D788" s="64" t="s">
        <v>527</v>
      </c>
      <c r="E788" s="64" t="s">
        <v>324</v>
      </c>
      <c r="F788" s="65" t="s">
        <v>578</v>
      </c>
      <c r="G788" s="64" t="s">
        <v>1302</v>
      </c>
      <c r="H788" s="64" t="s">
        <v>267</v>
      </c>
      <c r="I788" s="64" t="s">
        <v>10</v>
      </c>
      <c r="J788" s="64" t="s">
        <v>201</v>
      </c>
      <c r="K788" s="66">
        <v>50</v>
      </c>
      <c r="L788" s="66">
        <f>K788*VLOOKUP(I788,dagsoorttabel1,2,FALSE)</f>
        <v>50</v>
      </c>
      <c r="M788" s="67">
        <f>prodnorm65</f>
        <v>0</v>
      </c>
      <c r="N788" s="68">
        <f>dagwerk65</f>
        <v>0</v>
      </c>
      <c r="O788" s="64" t="s">
        <v>38</v>
      </c>
      <c r="P788" s="69">
        <f>uurtarief65</f>
        <v>0</v>
      </c>
      <c r="Q788" s="66" t="e">
        <f>IF(ISBLANK(M788),0,L788/ROUND(M788,4))</f>
        <v>#DIV/0!</v>
      </c>
      <c r="R788" s="66" t="e">
        <f>IF(ISBLANK(M788),0,Q788*ROUND(N788,2))</f>
        <v>#DIV/0!</v>
      </c>
      <c r="S788" s="69" t="e">
        <f>ROUND(P788,2)*Q788</f>
        <v>#DIV/0!</v>
      </c>
      <c r="T788" s="66" t="e">
        <f>Q788*dagenperjaar1</f>
        <v>#DIV/0!</v>
      </c>
      <c r="U788" s="70" t="e">
        <f>T788*ROUND(P788,2)</f>
        <v>#DIV/0!</v>
      </c>
    </row>
    <row r="789" spans="1:21" x14ac:dyDescent="0.2">
      <c r="A789" s="63" t="s">
        <v>1299</v>
      </c>
      <c r="B789" s="64" t="s">
        <v>324</v>
      </c>
      <c r="C789" s="64" t="s">
        <v>472</v>
      </c>
      <c r="D789" s="64" t="s">
        <v>974</v>
      </c>
      <c r="E789" s="64" t="s">
        <v>324</v>
      </c>
      <c r="F789" s="65" t="s">
        <v>1304</v>
      </c>
      <c r="G789" s="64" t="s">
        <v>1302</v>
      </c>
      <c r="H789" s="64" t="s">
        <v>263</v>
      </c>
      <c r="I789" s="64" t="s">
        <v>10</v>
      </c>
      <c r="J789" s="64" t="s">
        <v>201</v>
      </c>
      <c r="K789" s="66">
        <v>30</v>
      </c>
      <c r="L789" s="66">
        <f>K789*VLOOKUP(I789,dagsoorttabel1,2,FALSE)</f>
        <v>30</v>
      </c>
      <c r="M789" s="67">
        <f>prodnorm63</f>
        <v>0</v>
      </c>
      <c r="N789" s="68">
        <f>dagwerk63</f>
        <v>0</v>
      </c>
      <c r="O789" s="64" t="s">
        <v>38</v>
      </c>
      <c r="P789" s="69">
        <f>uurtarief63</f>
        <v>0</v>
      </c>
      <c r="Q789" s="66" t="e">
        <f>IF(ISBLANK(M789),0,L789/ROUND(M789,4))</f>
        <v>#DIV/0!</v>
      </c>
      <c r="R789" s="66" t="e">
        <f>IF(ISBLANK(M789),0,Q789*ROUND(N789,2))</f>
        <v>#DIV/0!</v>
      </c>
      <c r="S789" s="69" t="e">
        <f>ROUND(P789,2)*Q789</f>
        <v>#DIV/0!</v>
      </c>
      <c r="T789" s="66" t="e">
        <f>Q789*dagenperjaar1</f>
        <v>#DIV/0!</v>
      </c>
      <c r="U789" s="70" t="e">
        <f>T789*ROUND(P789,2)</f>
        <v>#DIV/0!</v>
      </c>
    </row>
    <row r="790" spans="1:21" x14ac:dyDescent="0.2">
      <c r="A790" s="63" t="s">
        <v>1299</v>
      </c>
      <c r="B790" s="64" t="s">
        <v>324</v>
      </c>
      <c r="C790" s="64" t="s">
        <v>472</v>
      </c>
      <c r="D790" s="64" t="s">
        <v>977</v>
      </c>
      <c r="E790" s="64" t="s">
        <v>324</v>
      </c>
      <c r="F790" s="65" t="s">
        <v>1370</v>
      </c>
      <c r="G790" s="64" t="s">
        <v>1302</v>
      </c>
      <c r="H790" s="64" t="s">
        <v>267</v>
      </c>
      <c r="I790" s="64" t="s">
        <v>10</v>
      </c>
      <c r="J790" s="64" t="s">
        <v>201</v>
      </c>
      <c r="K790" s="66">
        <v>65</v>
      </c>
      <c r="L790" s="66">
        <f>K790*VLOOKUP(I790,dagsoorttabel1,2,FALSE)</f>
        <v>65</v>
      </c>
      <c r="M790" s="67">
        <f>prodnorm65</f>
        <v>0</v>
      </c>
      <c r="N790" s="68">
        <f>dagwerk65</f>
        <v>0</v>
      </c>
      <c r="O790" s="64" t="s">
        <v>38</v>
      </c>
      <c r="P790" s="69">
        <f>uurtarief65</f>
        <v>0</v>
      </c>
      <c r="Q790" s="66" t="e">
        <f>IF(ISBLANK(M790),0,L790/ROUND(M790,4))</f>
        <v>#DIV/0!</v>
      </c>
      <c r="R790" s="66" t="e">
        <f>IF(ISBLANK(M790),0,Q790*ROUND(N790,2))</f>
        <v>#DIV/0!</v>
      </c>
      <c r="S790" s="69" t="e">
        <f>ROUND(P790,2)*Q790</f>
        <v>#DIV/0!</v>
      </c>
      <c r="T790" s="66" t="e">
        <f>Q790*dagenperjaar1</f>
        <v>#DIV/0!</v>
      </c>
      <c r="U790" s="70" t="e">
        <f>T790*ROUND(P790,2)</f>
        <v>#DIV/0!</v>
      </c>
    </row>
    <row r="791" spans="1:21" x14ac:dyDescent="0.2">
      <c r="A791" s="63" t="s">
        <v>1299</v>
      </c>
      <c r="B791" s="64" t="s">
        <v>324</v>
      </c>
      <c r="C791" s="64" t="s">
        <v>472</v>
      </c>
      <c r="D791" s="64" t="s">
        <v>978</v>
      </c>
      <c r="E791" s="64" t="s">
        <v>324</v>
      </c>
      <c r="F791" s="65" t="s">
        <v>671</v>
      </c>
      <c r="G791" s="64" t="s">
        <v>365</v>
      </c>
      <c r="H791" s="64" t="s">
        <v>255</v>
      </c>
      <c r="I791" s="64" t="s">
        <v>10</v>
      </c>
      <c r="J791" s="64" t="s">
        <v>201</v>
      </c>
      <c r="K791" s="66">
        <v>10</v>
      </c>
      <c r="L791" s="66">
        <f>K791*VLOOKUP(I791,dagsoorttabel1,2,FALSE)</f>
        <v>10</v>
      </c>
      <c r="M791" s="67">
        <f>prodnorm59</f>
        <v>0</v>
      </c>
      <c r="N791" s="68">
        <f>dagwerk59</f>
        <v>0</v>
      </c>
      <c r="O791" s="64" t="s">
        <v>38</v>
      </c>
      <c r="P791" s="69">
        <f>uurtarief59</f>
        <v>0</v>
      </c>
      <c r="Q791" s="66" t="e">
        <f>IF(ISBLANK(M791),0,L791/ROUND(M791,4))</f>
        <v>#DIV/0!</v>
      </c>
      <c r="R791" s="66" t="e">
        <f>IF(ISBLANK(M791),0,Q791*ROUND(N791,2))</f>
        <v>#DIV/0!</v>
      </c>
      <c r="S791" s="69" t="e">
        <f>ROUND(P791,2)*Q791</f>
        <v>#DIV/0!</v>
      </c>
      <c r="T791" s="66" t="e">
        <f>Q791*dagenperjaar1</f>
        <v>#DIV/0!</v>
      </c>
      <c r="U791" s="70" t="e">
        <f>T791*ROUND(P791,2)</f>
        <v>#DIV/0!</v>
      </c>
    </row>
    <row r="792" spans="1:21" x14ac:dyDescent="0.2">
      <c r="A792" s="63" t="s">
        <v>1299</v>
      </c>
      <c r="B792" s="64" t="s">
        <v>324</v>
      </c>
      <c r="C792" s="64" t="s">
        <v>472</v>
      </c>
      <c r="D792" s="64" t="s">
        <v>978</v>
      </c>
      <c r="E792" s="64" t="s">
        <v>324</v>
      </c>
      <c r="F792" s="65" t="s">
        <v>671</v>
      </c>
      <c r="G792" s="64" t="s">
        <v>365</v>
      </c>
      <c r="H792" s="64" t="s">
        <v>257</v>
      </c>
      <c r="I792" s="64" t="s">
        <v>10</v>
      </c>
      <c r="J792" s="64" t="s">
        <v>201</v>
      </c>
      <c r="K792" s="66">
        <v>10</v>
      </c>
      <c r="L792" s="66">
        <f>K792*VLOOKUP(I792,dagsoorttabel1,2,FALSE)</f>
        <v>10</v>
      </c>
      <c r="M792" s="67">
        <f>prodnorm60</f>
        <v>0</v>
      </c>
      <c r="N792" s="68">
        <f>dagwerk60</f>
        <v>0</v>
      </c>
      <c r="O792" s="64" t="s">
        <v>38</v>
      </c>
      <c r="P792" s="69">
        <f>uurtarief60</f>
        <v>0</v>
      </c>
      <c r="Q792" s="66" t="e">
        <f>IF(ISBLANK(M792),0,L792/ROUND(M792,4))</f>
        <v>#DIV/0!</v>
      </c>
      <c r="R792" s="66" t="e">
        <f>IF(ISBLANK(M792),0,Q792*ROUND(N792,2))</f>
        <v>#DIV/0!</v>
      </c>
      <c r="S792" s="69" t="e">
        <f>ROUND(P792,2)*Q792</f>
        <v>#DIV/0!</v>
      </c>
      <c r="T792" s="66" t="e">
        <f>Q792*dagenperjaar1</f>
        <v>#DIV/0!</v>
      </c>
      <c r="U792" s="70" t="e">
        <f>T792*ROUND(P792,2)</f>
        <v>#DIV/0!</v>
      </c>
    </row>
    <row r="793" spans="1:21" x14ac:dyDescent="0.2">
      <c r="A793" s="63" t="s">
        <v>1299</v>
      </c>
      <c r="B793" s="64" t="s">
        <v>324</v>
      </c>
      <c r="C793" s="64" t="s">
        <v>472</v>
      </c>
      <c r="D793" s="64" t="s">
        <v>980</v>
      </c>
      <c r="E793" s="64" t="s">
        <v>324</v>
      </c>
      <c r="F793" s="65" t="s">
        <v>671</v>
      </c>
      <c r="G793" s="64" t="s">
        <v>365</v>
      </c>
      <c r="H793" s="64" t="s">
        <v>255</v>
      </c>
      <c r="I793" s="64" t="s">
        <v>10</v>
      </c>
      <c r="J793" s="64" t="s">
        <v>201</v>
      </c>
      <c r="K793" s="66">
        <v>9</v>
      </c>
      <c r="L793" s="66">
        <f>K793*VLOOKUP(I793,dagsoorttabel1,2,FALSE)</f>
        <v>9</v>
      </c>
      <c r="M793" s="67">
        <f>prodnorm59</f>
        <v>0</v>
      </c>
      <c r="N793" s="68">
        <f>dagwerk59</f>
        <v>0</v>
      </c>
      <c r="O793" s="64" t="s">
        <v>38</v>
      </c>
      <c r="P793" s="69">
        <f>uurtarief59</f>
        <v>0</v>
      </c>
      <c r="Q793" s="66" t="e">
        <f>IF(ISBLANK(M793),0,L793/ROUND(M793,4))</f>
        <v>#DIV/0!</v>
      </c>
      <c r="R793" s="66" t="e">
        <f>IF(ISBLANK(M793),0,Q793*ROUND(N793,2))</f>
        <v>#DIV/0!</v>
      </c>
      <c r="S793" s="69" t="e">
        <f>ROUND(P793,2)*Q793</f>
        <v>#DIV/0!</v>
      </c>
      <c r="T793" s="66" t="e">
        <f>Q793*dagenperjaar1</f>
        <v>#DIV/0!</v>
      </c>
      <c r="U793" s="70" t="e">
        <f>T793*ROUND(P793,2)</f>
        <v>#DIV/0!</v>
      </c>
    </row>
    <row r="794" spans="1:21" x14ac:dyDescent="0.2">
      <c r="A794" s="63" t="s">
        <v>1299</v>
      </c>
      <c r="B794" s="64" t="s">
        <v>324</v>
      </c>
      <c r="C794" s="64" t="s">
        <v>472</v>
      </c>
      <c r="D794" s="64" t="s">
        <v>980</v>
      </c>
      <c r="E794" s="64" t="s">
        <v>324</v>
      </c>
      <c r="F794" s="65" t="s">
        <v>671</v>
      </c>
      <c r="G794" s="64" t="s">
        <v>365</v>
      </c>
      <c r="H794" s="64" t="s">
        <v>257</v>
      </c>
      <c r="I794" s="64" t="s">
        <v>10</v>
      </c>
      <c r="J794" s="64" t="s">
        <v>201</v>
      </c>
      <c r="K794" s="66">
        <v>9</v>
      </c>
      <c r="L794" s="66">
        <f>K794*VLOOKUP(I794,dagsoorttabel1,2,FALSE)</f>
        <v>9</v>
      </c>
      <c r="M794" s="67">
        <f>prodnorm60</f>
        <v>0</v>
      </c>
      <c r="N794" s="68">
        <f>dagwerk60</f>
        <v>0</v>
      </c>
      <c r="O794" s="64" t="s">
        <v>38</v>
      </c>
      <c r="P794" s="69">
        <f>uurtarief60</f>
        <v>0</v>
      </c>
      <c r="Q794" s="66" t="e">
        <f>IF(ISBLANK(M794),0,L794/ROUND(M794,4))</f>
        <v>#DIV/0!</v>
      </c>
      <c r="R794" s="66" t="e">
        <f>IF(ISBLANK(M794),0,Q794*ROUND(N794,2))</f>
        <v>#DIV/0!</v>
      </c>
      <c r="S794" s="69" t="e">
        <f>ROUND(P794,2)*Q794</f>
        <v>#DIV/0!</v>
      </c>
      <c r="T794" s="66" t="e">
        <f>Q794*dagenperjaar1</f>
        <v>#DIV/0!</v>
      </c>
      <c r="U794" s="70" t="e">
        <f>T794*ROUND(P794,2)</f>
        <v>#DIV/0!</v>
      </c>
    </row>
    <row r="795" spans="1:21" x14ac:dyDescent="0.2">
      <c r="A795" s="63" t="s">
        <v>1299</v>
      </c>
      <c r="B795" s="64" t="s">
        <v>324</v>
      </c>
      <c r="C795" s="64" t="s">
        <v>472</v>
      </c>
      <c r="D795" s="64" t="s">
        <v>982</v>
      </c>
      <c r="E795" s="64" t="s">
        <v>324</v>
      </c>
      <c r="F795" s="65" t="s">
        <v>338</v>
      </c>
      <c r="G795" s="64" t="s">
        <v>1302</v>
      </c>
      <c r="H795" s="64" t="s">
        <v>263</v>
      </c>
      <c r="I795" s="64" t="s">
        <v>10</v>
      </c>
      <c r="J795" s="64" t="s">
        <v>201</v>
      </c>
      <c r="K795" s="66">
        <v>20</v>
      </c>
      <c r="L795" s="66">
        <f>K795*VLOOKUP(I795,dagsoorttabel1,2,FALSE)</f>
        <v>20</v>
      </c>
      <c r="M795" s="67">
        <f>prodnorm63</f>
        <v>0</v>
      </c>
      <c r="N795" s="68">
        <f>dagwerk63</f>
        <v>0</v>
      </c>
      <c r="O795" s="64" t="s">
        <v>38</v>
      </c>
      <c r="P795" s="69">
        <f>uurtarief63</f>
        <v>0</v>
      </c>
      <c r="Q795" s="66" t="e">
        <f>IF(ISBLANK(M795),0,L795/ROUND(M795,4))</f>
        <v>#DIV/0!</v>
      </c>
      <c r="R795" s="66" t="e">
        <f>IF(ISBLANK(M795),0,Q795*ROUND(N795,2))</f>
        <v>#DIV/0!</v>
      </c>
      <c r="S795" s="69" t="e">
        <f>ROUND(P795,2)*Q795</f>
        <v>#DIV/0!</v>
      </c>
      <c r="T795" s="66" t="e">
        <f>Q795*dagenperjaar1</f>
        <v>#DIV/0!</v>
      </c>
      <c r="U795" s="70" t="e">
        <f>T795*ROUND(P795,2)</f>
        <v>#DIV/0!</v>
      </c>
    </row>
    <row r="796" spans="1:21" x14ac:dyDescent="0.2">
      <c r="A796" s="63" t="s">
        <v>1299</v>
      </c>
      <c r="B796" s="64" t="s">
        <v>324</v>
      </c>
      <c r="C796" s="64" t="s">
        <v>472</v>
      </c>
      <c r="D796" s="64" t="s">
        <v>984</v>
      </c>
      <c r="E796" s="64" t="s">
        <v>324</v>
      </c>
      <c r="F796" s="65" t="s">
        <v>1392</v>
      </c>
      <c r="G796" s="64" t="s">
        <v>1302</v>
      </c>
      <c r="H796" s="64" t="s">
        <v>229</v>
      </c>
      <c r="I796" s="64" t="s">
        <v>10</v>
      </c>
      <c r="J796" s="64" t="s">
        <v>201</v>
      </c>
      <c r="K796" s="66">
        <v>60</v>
      </c>
      <c r="L796" s="66">
        <f>K796*VLOOKUP(I796,dagsoorttabel1,2,FALSE)</f>
        <v>60</v>
      </c>
      <c r="M796" s="67">
        <f>prodnorm43</f>
        <v>0</v>
      </c>
      <c r="N796" s="68">
        <f>dagwerk43</f>
        <v>0</v>
      </c>
      <c r="O796" s="64" t="s">
        <v>38</v>
      </c>
      <c r="P796" s="69">
        <f>uurtarief43</f>
        <v>0</v>
      </c>
      <c r="Q796" s="66" t="e">
        <f>IF(ISBLANK(M796),0,L796/ROUND(M796,4))</f>
        <v>#DIV/0!</v>
      </c>
      <c r="R796" s="66" t="e">
        <f>IF(ISBLANK(M796),0,Q796*ROUND(N796,2))</f>
        <v>#DIV/0!</v>
      </c>
      <c r="S796" s="69" t="e">
        <f>ROUND(P796,2)*Q796</f>
        <v>#DIV/0!</v>
      </c>
      <c r="T796" s="66" t="e">
        <f>Q796*dagenperjaar1</f>
        <v>#DIV/0!</v>
      </c>
      <c r="U796" s="70" t="e">
        <f>T796*ROUND(P796,2)</f>
        <v>#DIV/0!</v>
      </c>
    </row>
    <row r="797" spans="1:21" x14ac:dyDescent="0.2">
      <c r="A797" s="63" t="s">
        <v>1299</v>
      </c>
      <c r="B797" s="64" t="s">
        <v>324</v>
      </c>
      <c r="C797" s="64" t="s">
        <v>472</v>
      </c>
      <c r="D797" s="64" t="s">
        <v>985</v>
      </c>
      <c r="E797" s="64" t="s">
        <v>324</v>
      </c>
      <c r="F797" s="65" t="s">
        <v>1393</v>
      </c>
      <c r="G797" s="64" t="s">
        <v>1302</v>
      </c>
      <c r="H797" s="64" t="s">
        <v>229</v>
      </c>
      <c r="I797" s="64" t="s">
        <v>10</v>
      </c>
      <c r="J797" s="64" t="s">
        <v>201</v>
      </c>
      <c r="K797" s="66">
        <v>55</v>
      </c>
      <c r="L797" s="66">
        <f>K797*VLOOKUP(I797,dagsoorttabel1,2,FALSE)</f>
        <v>55</v>
      </c>
      <c r="M797" s="67">
        <f>prodnorm43</f>
        <v>0</v>
      </c>
      <c r="N797" s="68">
        <f>dagwerk43</f>
        <v>0</v>
      </c>
      <c r="O797" s="64" t="s">
        <v>38</v>
      </c>
      <c r="P797" s="69">
        <f>uurtarief43</f>
        <v>0</v>
      </c>
      <c r="Q797" s="66" t="e">
        <f>IF(ISBLANK(M797),0,L797/ROUND(M797,4))</f>
        <v>#DIV/0!</v>
      </c>
      <c r="R797" s="66" t="e">
        <f>IF(ISBLANK(M797),0,Q797*ROUND(N797,2))</f>
        <v>#DIV/0!</v>
      </c>
      <c r="S797" s="69" t="e">
        <f>ROUND(P797,2)*Q797</f>
        <v>#DIV/0!</v>
      </c>
      <c r="T797" s="66" t="e">
        <f>Q797*dagenperjaar1</f>
        <v>#DIV/0!</v>
      </c>
      <c r="U797" s="70" t="e">
        <f>T797*ROUND(P797,2)</f>
        <v>#DIV/0!</v>
      </c>
    </row>
    <row r="798" spans="1:21" x14ac:dyDescent="0.2">
      <c r="A798" s="63" t="s">
        <v>1299</v>
      </c>
      <c r="B798" s="64" t="s">
        <v>324</v>
      </c>
      <c r="C798" s="64" t="s">
        <v>472</v>
      </c>
      <c r="D798" s="64" t="s">
        <v>986</v>
      </c>
      <c r="E798" s="64" t="s">
        <v>324</v>
      </c>
      <c r="F798" s="65" t="s">
        <v>1393</v>
      </c>
      <c r="G798" s="64" t="s">
        <v>1302</v>
      </c>
      <c r="H798" s="64" t="s">
        <v>229</v>
      </c>
      <c r="I798" s="64" t="s">
        <v>10</v>
      </c>
      <c r="J798" s="64" t="s">
        <v>201</v>
      </c>
      <c r="K798" s="66">
        <v>55</v>
      </c>
      <c r="L798" s="66">
        <f>K798*VLOOKUP(I798,dagsoorttabel1,2,FALSE)</f>
        <v>55</v>
      </c>
      <c r="M798" s="67">
        <f>prodnorm43</f>
        <v>0</v>
      </c>
      <c r="N798" s="68">
        <f>dagwerk43</f>
        <v>0</v>
      </c>
      <c r="O798" s="64" t="s">
        <v>38</v>
      </c>
      <c r="P798" s="69">
        <f>uurtarief43</f>
        <v>0</v>
      </c>
      <c r="Q798" s="66" t="e">
        <f>IF(ISBLANK(M798),0,L798/ROUND(M798,4))</f>
        <v>#DIV/0!</v>
      </c>
      <c r="R798" s="66" t="e">
        <f>IF(ISBLANK(M798),0,Q798*ROUND(N798,2))</f>
        <v>#DIV/0!</v>
      </c>
      <c r="S798" s="69" t="e">
        <f>ROUND(P798,2)*Q798</f>
        <v>#DIV/0!</v>
      </c>
      <c r="T798" s="66" t="e">
        <f>Q798*dagenperjaar1</f>
        <v>#DIV/0!</v>
      </c>
      <c r="U798" s="70" t="e">
        <f>T798*ROUND(P798,2)</f>
        <v>#DIV/0!</v>
      </c>
    </row>
    <row r="799" spans="1:21" x14ac:dyDescent="0.2">
      <c r="A799" s="63" t="s">
        <v>1299</v>
      </c>
      <c r="B799" s="64" t="s">
        <v>324</v>
      </c>
      <c r="C799" s="64" t="s">
        <v>472</v>
      </c>
      <c r="D799" s="64" t="s">
        <v>987</v>
      </c>
      <c r="E799" s="64" t="s">
        <v>324</v>
      </c>
      <c r="F799" s="65" t="s">
        <v>1393</v>
      </c>
      <c r="G799" s="64" t="s">
        <v>1302</v>
      </c>
      <c r="H799" s="64" t="s">
        <v>229</v>
      </c>
      <c r="I799" s="64" t="s">
        <v>10</v>
      </c>
      <c r="J799" s="64" t="s">
        <v>201</v>
      </c>
      <c r="K799" s="66">
        <v>55</v>
      </c>
      <c r="L799" s="66">
        <f>K799*VLOOKUP(I799,dagsoorttabel1,2,FALSE)</f>
        <v>55</v>
      </c>
      <c r="M799" s="67">
        <f>prodnorm43</f>
        <v>0</v>
      </c>
      <c r="N799" s="68">
        <f>dagwerk43</f>
        <v>0</v>
      </c>
      <c r="O799" s="64" t="s">
        <v>38</v>
      </c>
      <c r="P799" s="69">
        <f>uurtarief43</f>
        <v>0</v>
      </c>
      <c r="Q799" s="66" t="e">
        <f>IF(ISBLANK(M799),0,L799/ROUND(M799,4))</f>
        <v>#DIV/0!</v>
      </c>
      <c r="R799" s="66" t="e">
        <f>IF(ISBLANK(M799),0,Q799*ROUND(N799,2))</f>
        <v>#DIV/0!</v>
      </c>
      <c r="S799" s="69" t="e">
        <f>ROUND(P799,2)*Q799</f>
        <v>#DIV/0!</v>
      </c>
      <c r="T799" s="66" t="e">
        <f>Q799*dagenperjaar1</f>
        <v>#DIV/0!</v>
      </c>
      <c r="U799" s="70" t="e">
        <f>T799*ROUND(P799,2)</f>
        <v>#DIV/0!</v>
      </c>
    </row>
    <row r="800" spans="1:21" x14ac:dyDescent="0.2">
      <c r="A800" s="63" t="s">
        <v>1299</v>
      </c>
      <c r="B800" s="64" t="s">
        <v>324</v>
      </c>
      <c r="C800" s="64" t="s">
        <v>472</v>
      </c>
      <c r="D800" s="64" t="s">
        <v>989</v>
      </c>
      <c r="E800" s="64" t="s">
        <v>324</v>
      </c>
      <c r="F800" s="65" t="s">
        <v>1392</v>
      </c>
      <c r="G800" s="64" t="s">
        <v>1302</v>
      </c>
      <c r="H800" s="64" t="s">
        <v>229</v>
      </c>
      <c r="I800" s="64" t="s">
        <v>10</v>
      </c>
      <c r="J800" s="64" t="s">
        <v>201</v>
      </c>
      <c r="K800" s="66">
        <v>40</v>
      </c>
      <c r="L800" s="66">
        <f>K800*VLOOKUP(I800,dagsoorttabel1,2,FALSE)</f>
        <v>40</v>
      </c>
      <c r="M800" s="67">
        <f>prodnorm43</f>
        <v>0</v>
      </c>
      <c r="N800" s="68">
        <f>dagwerk43</f>
        <v>0</v>
      </c>
      <c r="O800" s="64" t="s">
        <v>38</v>
      </c>
      <c r="P800" s="69">
        <f>uurtarief43</f>
        <v>0</v>
      </c>
      <c r="Q800" s="66" t="e">
        <f>IF(ISBLANK(M800),0,L800/ROUND(M800,4))</f>
        <v>#DIV/0!</v>
      </c>
      <c r="R800" s="66" t="e">
        <f>IF(ISBLANK(M800),0,Q800*ROUND(N800,2))</f>
        <v>#DIV/0!</v>
      </c>
      <c r="S800" s="69" t="e">
        <f>ROUND(P800,2)*Q800</f>
        <v>#DIV/0!</v>
      </c>
      <c r="T800" s="66" t="e">
        <f>Q800*dagenperjaar1</f>
        <v>#DIV/0!</v>
      </c>
      <c r="U800" s="70" t="e">
        <f>T800*ROUND(P800,2)</f>
        <v>#DIV/0!</v>
      </c>
    </row>
    <row r="801" spans="1:21" x14ac:dyDescent="0.2">
      <c r="A801" s="63" t="s">
        <v>1299</v>
      </c>
      <c r="B801" s="64" t="s">
        <v>324</v>
      </c>
      <c r="C801" s="64" t="s">
        <v>472</v>
      </c>
      <c r="D801" s="64" t="s">
        <v>1394</v>
      </c>
      <c r="E801" s="64" t="s">
        <v>324</v>
      </c>
      <c r="F801" s="65" t="s">
        <v>1395</v>
      </c>
      <c r="G801" s="64" t="s">
        <v>1302</v>
      </c>
      <c r="H801" s="64" t="s">
        <v>229</v>
      </c>
      <c r="I801" s="64" t="s">
        <v>10</v>
      </c>
      <c r="J801" s="64" t="s">
        <v>201</v>
      </c>
      <c r="K801" s="66">
        <v>80</v>
      </c>
      <c r="L801" s="66">
        <f>K801*VLOOKUP(I801,dagsoorttabel1,2,FALSE)</f>
        <v>80</v>
      </c>
      <c r="M801" s="67">
        <f>prodnorm43</f>
        <v>0</v>
      </c>
      <c r="N801" s="68">
        <f>dagwerk43</f>
        <v>0</v>
      </c>
      <c r="O801" s="64" t="s">
        <v>38</v>
      </c>
      <c r="P801" s="69">
        <f>uurtarief43</f>
        <v>0</v>
      </c>
      <c r="Q801" s="66" t="e">
        <f>IF(ISBLANK(M801),0,L801/ROUND(M801,4))</f>
        <v>#DIV/0!</v>
      </c>
      <c r="R801" s="66" t="e">
        <f>IF(ISBLANK(M801),0,Q801*ROUND(N801,2))</f>
        <v>#DIV/0!</v>
      </c>
      <c r="S801" s="69" t="e">
        <f>ROUND(P801,2)*Q801</f>
        <v>#DIV/0!</v>
      </c>
      <c r="T801" s="66" t="e">
        <f>Q801*dagenperjaar1</f>
        <v>#DIV/0!</v>
      </c>
      <c r="U801" s="70" t="e">
        <f>T801*ROUND(P801,2)</f>
        <v>#DIV/0!</v>
      </c>
    </row>
    <row r="802" spans="1:21" x14ac:dyDescent="0.2">
      <c r="A802" s="63" t="s">
        <v>1299</v>
      </c>
      <c r="B802" s="64" t="s">
        <v>324</v>
      </c>
      <c r="C802" s="64" t="s">
        <v>472</v>
      </c>
      <c r="D802" s="64" t="s">
        <v>1396</v>
      </c>
      <c r="E802" s="64" t="s">
        <v>324</v>
      </c>
      <c r="F802" s="65" t="s">
        <v>1397</v>
      </c>
      <c r="G802" s="64" t="s">
        <v>1302</v>
      </c>
      <c r="H802" s="64" t="s">
        <v>267</v>
      </c>
      <c r="I802" s="64" t="s">
        <v>10</v>
      </c>
      <c r="J802" s="64" t="s">
        <v>201</v>
      </c>
      <c r="K802" s="66">
        <v>476.51</v>
      </c>
      <c r="L802" s="66">
        <f>K802*VLOOKUP(I802,dagsoorttabel1,2,FALSE)</f>
        <v>476.51</v>
      </c>
      <c r="M802" s="67">
        <f>prodnorm65</f>
        <v>0</v>
      </c>
      <c r="N802" s="68">
        <f>dagwerk65</f>
        <v>0</v>
      </c>
      <c r="O802" s="64" t="s">
        <v>38</v>
      </c>
      <c r="P802" s="69">
        <f>uurtarief65</f>
        <v>0</v>
      </c>
      <c r="Q802" s="66" t="e">
        <f>IF(ISBLANK(M802),0,L802/ROUND(M802,4))</f>
        <v>#DIV/0!</v>
      </c>
      <c r="R802" s="66" t="e">
        <f>IF(ISBLANK(M802),0,Q802*ROUND(N802,2))</f>
        <v>#DIV/0!</v>
      </c>
      <c r="S802" s="69" t="e">
        <f>ROUND(P802,2)*Q802</f>
        <v>#DIV/0!</v>
      </c>
      <c r="T802" s="66" t="e">
        <f>Q802*dagenperjaar1</f>
        <v>#DIV/0!</v>
      </c>
      <c r="U802" s="70" t="e">
        <f>T802*ROUND(P802,2)</f>
        <v>#DIV/0!</v>
      </c>
    </row>
    <row r="803" spans="1:21" x14ac:dyDescent="0.2">
      <c r="A803" s="63" t="s">
        <v>1299</v>
      </c>
      <c r="B803" s="64" t="s">
        <v>324</v>
      </c>
      <c r="C803" s="64" t="s">
        <v>530</v>
      </c>
      <c r="D803" s="64" t="s">
        <v>531</v>
      </c>
      <c r="E803" s="64" t="s">
        <v>324</v>
      </c>
      <c r="F803" s="65" t="s">
        <v>1398</v>
      </c>
      <c r="G803" s="64" t="s">
        <v>1302</v>
      </c>
      <c r="H803" s="64" t="s">
        <v>229</v>
      </c>
      <c r="I803" s="64" t="s">
        <v>10</v>
      </c>
      <c r="J803" s="64" t="s">
        <v>201</v>
      </c>
      <c r="K803" s="66">
        <v>55</v>
      </c>
      <c r="L803" s="66">
        <f>K803*VLOOKUP(I803,dagsoorttabel1,2,FALSE)</f>
        <v>55</v>
      </c>
      <c r="M803" s="67">
        <f>prodnorm43</f>
        <v>0</v>
      </c>
      <c r="N803" s="68">
        <f>dagwerk43</f>
        <v>0</v>
      </c>
      <c r="O803" s="64" t="s">
        <v>38</v>
      </c>
      <c r="P803" s="69">
        <f>uurtarief43</f>
        <v>0</v>
      </c>
      <c r="Q803" s="66" t="e">
        <f>IF(ISBLANK(M803),0,L803/ROUND(M803,4))</f>
        <v>#DIV/0!</v>
      </c>
      <c r="R803" s="66" t="e">
        <f>IF(ISBLANK(M803),0,Q803*ROUND(N803,2))</f>
        <v>#DIV/0!</v>
      </c>
      <c r="S803" s="69" t="e">
        <f>ROUND(P803,2)*Q803</f>
        <v>#DIV/0!</v>
      </c>
      <c r="T803" s="66" t="e">
        <f>Q803*dagenperjaar1</f>
        <v>#DIV/0!</v>
      </c>
      <c r="U803" s="70" t="e">
        <f>T803*ROUND(P803,2)</f>
        <v>#DIV/0!</v>
      </c>
    </row>
    <row r="804" spans="1:21" ht="25.5" x14ac:dyDescent="0.2">
      <c r="A804" s="63" t="s">
        <v>1299</v>
      </c>
      <c r="B804" s="64" t="s">
        <v>324</v>
      </c>
      <c r="C804" s="64" t="s">
        <v>530</v>
      </c>
      <c r="D804" s="64" t="s">
        <v>541</v>
      </c>
      <c r="E804" s="64" t="s">
        <v>324</v>
      </c>
      <c r="F804" s="65" t="s">
        <v>1399</v>
      </c>
      <c r="G804" s="64" t="s">
        <v>1302</v>
      </c>
      <c r="H804" s="64" t="s">
        <v>243</v>
      </c>
      <c r="I804" s="64" t="s">
        <v>10</v>
      </c>
      <c r="J804" s="64" t="s">
        <v>201</v>
      </c>
      <c r="K804" s="66">
        <v>70</v>
      </c>
      <c r="L804" s="66">
        <f>K804*VLOOKUP(I804,dagsoorttabel1,2,FALSE)</f>
        <v>70</v>
      </c>
      <c r="M804" s="67">
        <f>prodnorm52</f>
        <v>0</v>
      </c>
      <c r="N804" s="68">
        <f>dagwerk52</f>
        <v>0</v>
      </c>
      <c r="O804" s="64" t="s">
        <v>38</v>
      </c>
      <c r="P804" s="69">
        <f>uurtarief52</f>
        <v>0</v>
      </c>
      <c r="Q804" s="66" t="e">
        <f>IF(ISBLANK(M804),0,L804/ROUND(M804,4))</f>
        <v>#DIV/0!</v>
      </c>
      <c r="R804" s="66" t="e">
        <f>IF(ISBLANK(M804),0,Q804*ROUND(N804,2))</f>
        <v>#DIV/0!</v>
      </c>
      <c r="S804" s="69" t="e">
        <f>ROUND(P804,2)*Q804</f>
        <v>#DIV/0!</v>
      </c>
      <c r="T804" s="66" t="e">
        <f>Q804*dagenperjaar1</f>
        <v>#DIV/0!</v>
      </c>
      <c r="U804" s="70" t="e">
        <f>T804*ROUND(P804,2)</f>
        <v>#DIV/0!</v>
      </c>
    </row>
    <row r="805" spans="1:21" x14ac:dyDescent="0.2">
      <c r="A805" s="63" t="s">
        <v>1299</v>
      </c>
      <c r="B805" s="64" t="s">
        <v>324</v>
      </c>
      <c r="C805" s="64" t="s">
        <v>530</v>
      </c>
      <c r="D805" s="64" t="s">
        <v>544</v>
      </c>
      <c r="E805" s="64" t="s">
        <v>324</v>
      </c>
      <c r="F805" s="65" t="s">
        <v>1400</v>
      </c>
      <c r="G805" s="64" t="s">
        <v>1302</v>
      </c>
      <c r="H805" s="64" t="s">
        <v>229</v>
      </c>
      <c r="I805" s="64" t="s">
        <v>10</v>
      </c>
      <c r="J805" s="64" t="s">
        <v>201</v>
      </c>
      <c r="K805" s="66">
        <v>79</v>
      </c>
      <c r="L805" s="66">
        <f>K805*VLOOKUP(I805,dagsoorttabel1,2,FALSE)</f>
        <v>79</v>
      </c>
      <c r="M805" s="67">
        <f>prodnorm43</f>
        <v>0</v>
      </c>
      <c r="N805" s="68">
        <f>dagwerk43</f>
        <v>0</v>
      </c>
      <c r="O805" s="64" t="s">
        <v>38</v>
      </c>
      <c r="P805" s="69">
        <f>uurtarief43</f>
        <v>0</v>
      </c>
      <c r="Q805" s="66" t="e">
        <f>IF(ISBLANK(M805),0,L805/ROUND(M805,4))</f>
        <v>#DIV/0!</v>
      </c>
      <c r="R805" s="66" t="e">
        <f>IF(ISBLANK(M805),0,Q805*ROUND(N805,2))</f>
        <v>#DIV/0!</v>
      </c>
      <c r="S805" s="69" t="e">
        <f>ROUND(P805,2)*Q805</f>
        <v>#DIV/0!</v>
      </c>
      <c r="T805" s="66" t="e">
        <f>Q805*dagenperjaar1</f>
        <v>#DIV/0!</v>
      </c>
      <c r="U805" s="70" t="e">
        <f>T805*ROUND(P805,2)</f>
        <v>#DIV/0!</v>
      </c>
    </row>
    <row r="806" spans="1:21" ht="25.5" x14ac:dyDescent="0.2">
      <c r="A806" s="63" t="s">
        <v>1299</v>
      </c>
      <c r="B806" s="64" t="s">
        <v>324</v>
      </c>
      <c r="C806" s="64" t="s">
        <v>530</v>
      </c>
      <c r="D806" s="64" t="s">
        <v>549</v>
      </c>
      <c r="E806" s="64" t="s">
        <v>324</v>
      </c>
      <c r="F806" s="65" t="s">
        <v>1399</v>
      </c>
      <c r="G806" s="64" t="s">
        <v>1302</v>
      </c>
      <c r="H806" s="64" t="s">
        <v>243</v>
      </c>
      <c r="I806" s="64" t="s">
        <v>10</v>
      </c>
      <c r="J806" s="64" t="s">
        <v>201</v>
      </c>
      <c r="K806" s="66">
        <v>70</v>
      </c>
      <c r="L806" s="66">
        <f>K806*VLOOKUP(I806,dagsoorttabel1,2,FALSE)</f>
        <v>70</v>
      </c>
      <c r="M806" s="67">
        <f>prodnorm52</f>
        <v>0</v>
      </c>
      <c r="N806" s="68">
        <f>dagwerk52</f>
        <v>0</v>
      </c>
      <c r="O806" s="64" t="s">
        <v>38</v>
      </c>
      <c r="P806" s="69">
        <f>uurtarief52</f>
        <v>0</v>
      </c>
      <c r="Q806" s="66" t="e">
        <f>IF(ISBLANK(M806),0,L806/ROUND(M806,4))</f>
        <v>#DIV/0!</v>
      </c>
      <c r="R806" s="66" t="e">
        <f>IF(ISBLANK(M806),0,Q806*ROUND(N806,2))</f>
        <v>#DIV/0!</v>
      </c>
      <c r="S806" s="69" t="e">
        <f>ROUND(P806,2)*Q806</f>
        <v>#DIV/0!</v>
      </c>
      <c r="T806" s="66" t="e">
        <f>Q806*dagenperjaar1</f>
        <v>#DIV/0!</v>
      </c>
      <c r="U806" s="70" t="e">
        <f>T806*ROUND(P806,2)</f>
        <v>#DIV/0!</v>
      </c>
    </row>
    <row r="807" spans="1:21" x14ac:dyDescent="0.2">
      <c r="A807" s="63" t="s">
        <v>1299</v>
      </c>
      <c r="B807" s="64" t="s">
        <v>324</v>
      </c>
      <c r="C807" s="64" t="s">
        <v>530</v>
      </c>
      <c r="D807" s="64" t="s">
        <v>558</v>
      </c>
      <c r="E807" s="64" t="s">
        <v>324</v>
      </c>
      <c r="F807" s="65" t="s">
        <v>1393</v>
      </c>
      <c r="G807" s="64" t="s">
        <v>1302</v>
      </c>
      <c r="H807" s="64" t="s">
        <v>229</v>
      </c>
      <c r="I807" s="64" t="s">
        <v>10</v>
      </c>
      <c r="J807" s="64" t="s">
        <v>201</v>
      </c>
      <c r="K807" s="66">
        <v>68</v>
      </c>
      <c r="L807" s="66">
        <f>K807*VLOOKUP(I807,dagsoorttabel1,2,FALSE)</f>
        <v>68</v>
      </c>
      <c r="M807" s="67">
        <f>prodnorm43</f>
        <v>0</v>
      </c>
      <c r="N807" s="68">
        <f>dagwerk43</f>
        <v>0</v>
      </c>
      <c r="O807" s="64" t="s">
        <v>38</v>
      </c>
      <c r="P807" s="69">
        <f>uurtarief43</f>
        <v>0</v>
      </c>
      <c r="Q807" s="66" t="e">
        <f>IF(ISBLANK(M807),0,L807/ROUND(M807,4))</f>
        <v>#DIV/0!</v>
      </c>
      <c r="R807" s="66" t="e">
        <f>IF(ISBLANK(M807),0,Q807*ROUND(N807,2))</f>
        <v>#DIV/0!</v>
      </c>
      <c r="S807" s="69" t="e">
        <f>ROUND(P807,2)*Q807</f>
        <v>#DIV/0!</v>
      </c>
      <c r="T807" s="66" t="e">
        <f>Q807*dagenperjaar1</f>
        <v>#DIV/0!</v>
      </c>
      <c r="U807" s="70" t="e">
        <f>T807*ROUND(P807,2)</f>
        <v>#DIV/0!</v>
      </c>
    </row>
    <row r="808" spans="1:21" x14ac:dyDescent="0.2">
      <c r="A808" s="63" t="s">
        <v>1299</v>
      </c>
      <c r="B808" s="64" t="s">
        <v>324</v>
      </c>
      <c r="C808" s="64" t="s">
        <v>530</v>
      </c>
      <c r="D808" s="64" t="s">
        <v>1401</v>
      </c>
      <c r="E808" s="64" t="s">
        <v>324</v>
      </c>
      <c r="F808" s="65" t="s">
        <v>1384</v>
      </c>
      <c r="G808" s="64" t="s">
        <v>1302</v>
      </c>
      <c r="H808" s="64" t="s">
        <v>229</v>
      </c>
      <c r="I808" s="64" t="s">
        <v>10</v>
      </c>
      <c r="J808" s="64" t="s">
        <v>201</v>
      </c>
      <c r="K808" s="66">
        <v>55</v>
      </c>
      <c r="L808" s="66">
        <f>K808*VLOOKUP(I808,dagsoorttabel1,2,FALSE)</f>
        <v>55</v>
      </c>
      <c r="M808" s="67">
        <f>prodnorm43</f>
        <v>0</v>
      </c>
      <c r="N808" s="68">
        <f>dagwerk43</f>
        <v>0</v>
      </c>
      <c r="O808" s="64" t="s">
        <v>38</v>
      </c>
      <c r="P808" s="69">
        <f>uurtarief43</f>
        <v>0</v>
      </c>
      <c r="Q808" s="66" t="e">
        <f>IF(ISBLANK(M808),0,L808/ROUND(M808,4))</f>
        <v>#DIV/0!</v>
      </c>
      <c r="R808" s="66" t="e">
        <f>IF(ISBLANK(M808),0,Q808*ROUND(N808,2))</f>
        <v>#DIV/0!</v>
      </c>
      <c r="S808" s="69" t="e">
        <f>ROUND(P808,2)*Q808</f>
        <v>#DIV/0!</v>
      </c>
      <c r="T808" s="66" t="e">
        <f>Q808*dagenperjaar1</f>
        <v>#DIV/0!</v>
      </c>
      <c r="U808" s="70" t="e">
        <f>T808*ROUND(P808,2)</f>
        <v>#DIV/0!</v>
      </c>
    </row>
    <row r="809" spans="1:21" x14ac:dyDescent="0.2">
      <c r="A809" s="63" t="s">
        <v>1299</v>
      </c>
      <c r="B809" s="64" t="s">
        <v>324</v>
      </c>
      <c r="C809" s="64" t="s">
        <v>530</v>
      </c>
      <c r="D809" s="64" t="s">
        <v>560</v>
      </c>
      <c r="E809" s="64" t="s">
        <v>324</v>
      </c>
      <c r="F809" s="65" t="s">
        <v>1384</v>
      </c>
      <c r="G809" s="64" t="s">
        <v>1302</v>
      </c>
      <c r="H809" s="64" t="s">
        <v>229</v>
      </c>
      <c r="I809" s="64" t="s">
        <v>10</v>
      </c>
      <c r="J809" s="64" t="s">
        <v>201</v>
      </c>
      <c r="K809" s="66">
        <v>55</v>
      </c>
      <c r="L809" s="66">
        <f>K809*VLOOKUP(I809,dagsoorttabel1,2,FALSE)</f>
        <v>55</v>
      </c>
      <c r="M809" s="67">
        <f>prodnorm43</f>
        <v>0</v>
      </c>
      <c r="N809" s="68">
        <f>dagwerk43</f>
        <v>0</v>
      </c>
      <c r="O809" s="64" t="s">
        <v>38</v>
      </c>
      <c r="P809" s="69">
        <f>uurtarief43</f>
        <v>0</v>
      </c>
      <c r="Q809" s="66" t="e">
        <f>IF(ISBLANK(M809),0,L809/ROUND(M809,4))</f>
        <v>#DIV/0!</v>
      </c>
      <c r="R809" s="66" t="e">
        <f>IF(ISBLANK(M809),0,Q809*ROUND(N809,2))</f>
        <v>#DIV/0!</v>
      </c>
      <c r="S809" s="69" t="e">
        <f>ROUND(P809,2)*Q809</f>
        <v>#DIV/0!</v>
      </c>
      <c r="T809" s="66" t="e">
        <f>Q809*dagenperjaar1</f>
        <v>#DIV/0!</v>
      </c>
      <c r="U809" s="70" t="e">
        <f>T809*ROUND(P809,2)</f>
        <v>#DIV/0!</v>
      </c>
    </row>
    <row r="810" spans="1:21" x14ac:dyDescent="0.2">
      <c r="A810" s="63" t="s">
        <v>1299</v>
      </c>
      <c r="B810" s="64" t="s">
        <v>324</v>
      </c>
      <c r="C810" s="64" t="s">
        <v>530</v>
      </c>
      <c r="D810" s="64" t="s">
        <v>562</v>
      </c>
      <c r="E810" s="64" t="s">
        <v>324</v>
      </c>
      <c r="F810" s="65" t="s">
        <v>1384</v>
      </c>
      <c r="G810" s="64" t="s">
        <v>1302</v>
      </c>
      <c r="H810" s="64" t="s">
        <v>229</v>
      </c>
      <c r="I810" s="64" t="s">
        <v>10</v>
      </c>
      <c r="J810" s="64" t="s">
        <v>201</v>
      </c>
      <c r="K810" s="66">
        <v>56</v>
      </c>
      <c r="L810" s="66">
        <f>K810*VLOOKUP(I810,dagsoorttabel1,2,FALSE)</f>
        <v>56</v>
      </c>
      <c r="M810" s="67">
        <f>prodnorm43</f>
        <v>0</v>
      </c>
      <c r="N810" s="68">
        <f>dagwerk43</f>
        <v>0</v>
      </c>
      <c r="O810" s="64" t="s">
        <v>38</v>
      </c>
      <c r="P810" s="69">
        <f>uurtarief43</f>
        <v>0</v>
      </c>
      <c r="Q810" s="66" t="e">
        <f>IF(ISBLANK(M810),0,L810/ROUND(M810,4))</f>
        <v>#DIV/0!</v>
      </c>
      <c r="R810" s="66" t="e">
        <f>IF(ISBLANK(M810),0,Q810*ROUND(N810,2))</f>
        <v>#DIV/0!</v>
      </c>
      <c r="S810" s="69" t="e">
        <f>ROUND(P810,2)*Q810</f>
        <v>#DIV/0!</v>
      </c>
      <c r="T810" s="66" t="e">
        <f>Q810*dagenperjaar1</f>
        <v>#DIV/0!</v>
      </c>
      <c r="U810" s="70" t="e">
        <f>T810*ROUND(P810,2)</f>
        <v>#DIV/0!</v>
      </c>
    </row>
    <row r="811" spans="1:21" ht="25.5" x14ac:dyDescent="0.2">
      <c r="A811" s="63" t="s">
        <v>1299</v>
      </c>
      <c r="B811" s="64" t="s">
        <v>324</v>
      </c>
      <c r="C811" s="64" t="s">
        <v>530</v>
      </c>
      <c r="D811" s="64" t="s">
        <v>1402</v>
      </c>
      <c r="E811" s="64" t="s">
        <v>324</v>
      </c>
      <c r="F811" s="65" t="s">
        <v>1386</v>
      </c>
      <c r="G811" s="64" t="s">
        <v>1302</v>
      </c>
      <c r="H811" s="64" t="s">
        <v>205</v>
      </c>
      <c r="I811" s="64" t="s">
        <v>10</v>
      </c>
      <c r="J811" s="64" t="s">
        <v>201</v>
      </c>
      <c r="K811" s="66">
        <v>15</v>
      </c>
      <c r="L811" s="66">
        <f>K811*VLOOKUP(I811,dagsoorttabel1,2,FALSE)</f>
        <v>15</v>
      </c>
      <c r="M811" s="67">
        <f>prodnorm26</f>
        <v>0</v>
      </c>
      <c r="N811" s="68">
        <f>dagwerk26</f>
        <v>0</v>
      </c>
      <c r="O811" s="64" t="s">
        <v>38</v>
      </c>
      <c r="P811" s="69">
        <f>uurtarief26</f>
        <v>0</v>
      </c>
      <c r="Q811" s="66" t="e">
        <f>IF(ISBLANK(M811),0,L811/ROUND(M811,4))</f>
        <v>#DIV/0!</v>
      </c>
      <c r="R811" s="66" t="e">
        <f>IF(ISBLANK(M811),0,Q811*ROUND(N811,2))</f>
        <v>#DIV/0!</v>
      </c>
      <c r="S811" s="69" t="e">
        <f>ROUND(P811,2)*Q811</f>
        <v>#DIV/0!</v>
      </c>
      <c r="T811" s="66" t="e">
        <f>Q811*dagenperjaar1</f>
        <v>#DIV/0!</v>
      </c>
      <c r="U811" s="70" t="e">
        <f>T811*ROUND(P811,2)</f>
        <v>#DIV/0!</v>
      </c>
    </row>
    <row r="812" spans="1:21" x14ac:dyDescent="0.2">
      <c r="A812" s="63" t="s">
        <v>1299</v>
      </c>
      <c r="B812" s="64" t="s">
        <v>324</v>
      </c>
      <c r="C812" s="64" t="s">
        <v>530</v>
      </c>
      <c r="D812" s="64" t="s">
        <v>564</v>
      </c>
      <c r="E812" s="64" t="s">
        <v>324</v>
      </c>
      <c r="F812" s="65" t="s">
        <v>1384</v>
      </c>
      <c r="G812" s="64" t="s">
        <v>1302</v>
      </c>
      <c r="H812" s="64" t="s">
        <v>229</v>
      </c>
      <c r="I812" s="64" t="s">
        <v>10</v>
      </c>
      <c r="J812" s="64" t="s">
        <v>201</v>
      </c>
      <c r="K812" s="66">
        <v>55</v>
      </c>
      <c r="L812" s="66">
        <f>K812*VLOOKUP(I812,dagsoorttabel1,2,FALSE)</f>
        <v>55</v>
      </c>
      <c r="M812" s="67">
        <f>prodnorm43</f>
        <v>0</v>
      </c>
      <c r="N812" s="68">
        <f>dagwerk43</f>
        <v>0</v>
      </c>
      <c r="O812" s="64" t="s">
        <v>38</v>
      </c>
      <c r="P812" s="69">
        <f>uurtarief43</f>
        <v>0</v>
      </c>
      <c r="Q812" s="66" t="e">
        <f>IF(ISBLANK(M812),0,L812/ROUND(M812,4))</f>
        <v>#DIV/0!</v>
      </c>
      <c r="R812" s="66" t="e">
        <f>IF(ISBLANK(M812),0,Q812*ROUND(N812,2))</f>
        <v>#DIV/0!</v>
      </c>
      <c r="S812" s="69" t="e">
        <f>ROUND(P812,2)*Q812</f>
        <v>#DIV/0!</v>
      </c>
      <c r="T812" s="66" t="e">
        <f>Q812*dagenperjaar1</f>
        <v>#DIV/0!</v>
      </c>
      <c r="U812" s="70" t="e">
        <f>T812*ROUND(P812,2)</f>
        <v>#DIV/0!</v>
      </c>
    </row>
    <row r="813" spans="1:21" x14ac:dyDescent="0.2">
      <c r="A813" s="63" t="s">
        <v>1299</v>
      </c>
      <c r="B813" s="64" t="s">
        <v>324</v>
      </c>
      <c r="C813" s="64" t="s">
        <v>530</v>
      </c>
      <c r="D813" s="64" t="s">
        <v>566</v>
      </c>
      <c r="E813" s="64" t="s">
        <v>324</v>
      </c>
      <c r="F813" s="65" t="s">
        <v>1387</v>
      </c>
      <c r="G813" s="64" t="s">
        <v>1302</v>
      </c>
      <c r="H813" s="64" t="s">
        <v>229</v>
      </c>
      <c r="I813" s="64" t="s">
        <v>10</v>
      </c>
      <c r="J813" s="64" t="s">
        <v>201</v>
      </c>
      <c r="K813" s="66">
        <v>55</v>
      </c>
      <c r="L813" s="66">
        <f>K813*VLOOKUP(I813,dagsoorttabel1,2,FALSE)</f>
        <v>55</v>
      </c>
      <c r="M813" s="67">
        <f>prodnorm43</f>
        <v>0</v>
      </c>
      <c r="N813" s="68">
        <f>dagwerk43</f>
        <v>0</v>
      </c>
      <c r="O813" s="64" t="s">
        <v>38</v>
      </c>
      <c r="P813" s="69">
        <f>uurtarief43</f>
        <v>0</v>
      </c>
      <c r="Q813" s="66" t="e">
        <f>IF(ISBLANK(M813),0,L813/ROUND(M813,4))</f>
        <v>#DIV/0!</v>
      </c>
      <c r="R813" s="66" t="e">
        <f>IF(ISBLANK(M813),0,Q813*ROUND(N813,2))</f>
        <v>#DIV/0!</v>
      </c>
      <c r="S813" s="69" t="e">
        <f>ROUND(P813,2)*Q813</f>
        <v>#DIV/0!</v>
      </c>
      <c r="T813" s="66" t="e">
        <f>Q813*dagenperjaar1</f>
        <v>#DIV/0!</v>
      </c>
      <c r="U813" s="70" t="e">
        <f>T813*ROUND(P813,2)</f>
        <v>#DIV/0!</v>
      </c>
    </row>
    <row r="814" spans="1:21" ht="25.5" x14ac:dyDescent="0.2">
      <c r="A814" s="63" t="s">
        <v>1299</v>
      </c>
      <c r="B814" s="64" t="s">
        <v>324</v>
      </c>
      <c r="C814" s="64" t="s">
        <v>530</v>
      </c>
      <c r="D814" s="64" t="s">
        <v>568</v>
      </c>
      <c r="E814" s="64" t="s">
        <v>324</v>
      </c>
      <c r="F814" s="65" t="s">
        <v>1388</v>
      </c>
      <c r="G814" s="64" t="s">
        <v>1302</v>
      </c>
      <c r="H814" s="64" t="s">
        <v>229</v>
      </c>
      <c r="I814" s="64" t="s">
        <v>10</v>
      </c>
      <c r="J814" s="64" t="s">
        <v>201</v>
      </c>
      <c r="K814" s="66">
        <v>94</v>
      </c>
      <c r="L814" s="66">
        <f>K814*VLOOKUP(I814,dagsoorttabel1,2,FALSE)</f>
        <v>94</v>
      </c>
      <c r="M814" s="67">
        <f>prodnorm43</f>
        <v>0</v>
      </c>
      <c r="N814" s="68">
        <f>dagwerk43</f>
        <v>0</v>
      </c>
      <c r="O814" s="64" t="s">
        <v>38</v>
      </c>
      <c r="P814" s="69">
        <f>uurtarief43</f>
        <v>0</v>
      </c>
      <c r="Q814" s="66" t="e">
        <f>IF(ISBLANK(M814),0,L814/ROUND(M814,4))</f>
        <v>#DIV/0!</v>
      </c>
      <c r="R814" s="66" t="e">
        <f>IF(ISBLANK(M814),0,Q814*ROUND(N814,2))</f>
        <v>#DIV/0!</v>
      </c>
      <c r="S814" s="69" t="e">
        <f>ROUND(P814,2)*Q814</f>
        <v>#DIV/0!</v>
      </c>
      <c r="T814" s="66" t="e">
        <f>Q814*dagenperjaar1</f>
        <v>#DIV/0!</v>
      </c>
      <c r="U814" s="70" t="e">
        <f>T814*ROUND(P814,2)</f>
        <v>#DIV/0!</v>
      </c>
    </row>
    <row r="815" spans="1:21" x14ac:dyDescent="0.2">
      <c r="A815" s="63" t="s">
        <v>1299</v>
      </c>
      <c r="B815" s="64" t="s">
        <v>324</v>
      </c>
      <c r="C815" s="64" t="s">
        <v>530</v>
      </c>
      <c r="D815" s="64" t="s">
        <v>571</v>
      </c>
      <c r="E815" s="64" t="s">
        <v>324</v>
      </c>
      <c r="F815" s="65" t="s">
        <v>1387</v>
      </c>
      <c r="G815" s="64" t="s">
        <v>1302</v>
      </c>
      <c r="H815" s="64" t="s">
        <v>229</v>
      </c>
      <c r="I815" s="64" t="s">
        <v>10</v>
      </c>
      <c r="J815" s="64" t="s">
        <v>201</v>
      </c>
      <c r="K815" s="66">
        <v>55</v>
      </c>
      <c r="L815" s="66">
        <f>K815*VLOOKUP(I815,dagsoorttabel1,2,FALSE)</f>
        <v>55</v>
      </c>
      <c r="M815" s="67">
        <f>prodnorm43</f>
        <v>0</v>
      </c>
      <c r="N815" s="68">
        <f>dagwerk43</f>
        <v>0</v>
      </c>
      <c r="O815" s="64" t="s">
        <v>38</v>
      </c>
      <c r="P815" s="69">
        <f>uurtarief43</f>
        <v>0</v>
      </c>
      <c r="Q815" s="66" t="e">
        <f>IF(ISBLANK(M815),0,L815/ROUND(M815,4))</f>
        <v>#DIV/0!</v>
      </c>
      <c r="R815" s="66" t="e">
        <f>IF(ISBLANK(M815),0,Q815*ROUND(N815,2))</f>
        <v>#DIV/0!</v>
      </c>
      <c r="S815" s="69" t="e">
        <f>ROUND(P815,2)*Q815</f>
        <v>#DIV/0!</v>
      </c>
      <c r="T815" s="66" t="e">
        <f>Q815*dagenperjaar1</f>
        <v>#DIV/0!</v>
      </c>
      <c r="U815" s="70" t="e">
        <f>T815*ROUND(P815,2)</f>
        <v>#DIV/0!</v>
      </c>
    </row>
    <row r="816" spans="1:21" x14ac:dyDescent="0.2">
      <c r="A816" s="63" t="s">
        <v>1299</v>
      </c>
      <c r="B816" s="64" t="s">
        <v>324</v>
      </c>
      <c r="C816" s="64" t="s">
        <v>530</v>
      </c>
      <c r="D816" s="64" t="s">
        <v>574</v>
      </c>
      <c r="E816" s="64" t="s">
        <v>324</v>
      </c>
      <c r="F816" s="65" t="s">
        <v>1387</v>
      </c>
      <c r="G816" s="64" t="s">
        <v>1302</v>
      </c>
      <c r="H816" s="64" t="s">
        <v>229</v>
      </c>
      <c r="I816" s="64" t="s">
        <v>10</v>
      </c>
      <c r="J816" s="64" t="s">
        <v>201</v>
      </c>
      <c r="K816" s="66">
        <v>55</v>
      </c>
      <c r="L816" s="66">
        <f>K816*VLOOKUP(I816,dagsoorttabel1,2,FALSE)</f>
        <v>55</v>
      </c>
      <c r="M816" s="67">
        <f>prodnorm43</f>
        <v>0</v>
      </c>
      <c r="N816" s="68">
        <f>dagwerk43</f>
        <v>0</v>
      </c>
      <c r="O816" s="64" t="s">
        <v>38</v>
      </c>
      <c r="P816" s="69">
        <f>uurtarief43</f>
        <v>0</v>
      </c>
      <c r="Q816" s="66" t="e">
        <f>IF(ISBLANK(M816),0,L816/ROUND(M816,4))</f>
        <v>#DIV/0!</v>
      </c>
      <c r="R816" s="66" t="e">
        <f>IF(ISBLANK(M816),0,Q816*ROUND(N816,2))</f>
        <v>#DIV/0!</v>
      </c>
      <c r="S816" s="69" t="e">
        <f>ROUND(P816,2)*Q816</f>
        <v>#DIV/0!</v>
      </c>
      <c r="T816" s="66" t="e">
        <f>Q816*dagenperjaar1</f>
        <v>#DIV/0!</v>
      </c>
      <c r="U816" s="70" t="e">
        <f>T816*ROUND(P816,2)</f>
        <v>#DIV/0!</v>
      </c>
    </row>
    <row r="817" spans="1:21" x14ac:dyDescent="0.2">
      <c r="A817" s="63" t="s">
        <v>1299</v>
      </c>
      <c r="B817" s="64" t="s">
        <v>324</v>
      </c>
      <c r="C817" s="64" t="s">
        <v>530</v>
      </c>
      <c r="D817" s="64" t="s">
        <v>1403</v>
      </c>
      <c r="E817" s="64" t="s">
        <v>324</v>
      </c>
      <c r="F817" s="65" t="s">
        <v>1389</v>
      </c>
      <c r="G817" s="64" t="s">
        <v>1302</v>
      </c>
      <c r="H817" s="64" t="s">
        <v>229</v>
      </c>
      <c r="I817" s="64" t="s">
        <v>10</v>
      </c>
      <c r="J817" s="64" t="s">
        <v>201</v>
      </c>
      <c r="K817" s="66">
        <v>55</v>
      </c>
      <c r="L817" s="66">
        <f>K817*VLOOKUP(I817,dagsoorttabel1,2,FALSE)</f>
        <v>55</v>
      </c>
      <c r="M817" s="67">
        <f>prodnorm43</f>
        <v>0</v>
      </c>
      <c r="N817" s="68">
        <f>dagwerk43</f>
        <v>0</v>
      </c>
      <c r="O817" s="64" t="s">
        <v>38</v>
      </c>
      <c r="P817" s="69">
        <f>uurtarief43</f>
        <v>0</v>
      </c>
      <c r="Q817" s="66" t="e">
        <f>IF(ISBLANK(M817),0,L817/ROUND(M817,4))</f>
        <v>#DIV/0!</v>
      </c>
      <c r="R817" s="66" t="e">
        <f>IF(ISBLANK(M817),0,Q817*ROUND(N817,2))</f>
        <v>#DIV/0!</v>
      </c>
      <c r="S817" s="69" t="e">
        <f>ROUND(P817,2)*Q817</f>
        <v>#DIV/0!</v>
      </c>
      <c r="T817" s="66" t="e">
        <f>Q817*dagenperjaar1</f>
        <v>#DIV/0!</v>
      </c>
      <c r="U817" s="70" t="e">
        <f>T817*ROUND(P817,2)</f>
        <v>#DIV/0!</v>
      </c>
    </row>
    <row r="818" spans="1:21" x14ac:dyDescent="0.2">
      <c r="A818" s="63" t="s">
        <v>1299</v>
      </c>
      <c r="B818" s="64" t="s">
        <v>324</v>
      </c>
      <c r="C818" s="64" t="s">
        <v>530</v>
      </c>
      <c r="D818" s="64" t="s">
        <v>576</v>
      </c>
      <c r="E818" s="64" t="s">
        <v>324</v>
      </c>
      <c r="F818" s="65" t="s">
        <v>1389</v>
      </c>
      <c r="G818" s="64" t="s">
        <v>1302</v>
      </c>
      <c r="H818" s="64" t="s">
        <v>229</v>
      </c>
      <c r="I818" s="64" t="s">
        <v>10</v>
      </c>
      <c r="J818" s="64" t="s">
        <v>201</v>
      </c>
      <c r="K818" s="66">
        <v>55</v>
      </c>
      <c r="L818" s="66">
        <f>K818*VLOOKUP(I818,dagsoorttabel1,2,FALSE)</f>
        <v>55</v>
      </c>
      <c r="M818" s="67">
        <f>prodnorm43</f>
        <v>0</v>
      </c>
      <c r="N818" s="68">
        <f>dagwerk43</f>
        <v>0</v>
      </c>
      <c r="O818" s="64" t="s">
        <v>38</v>
      </c>
      <c r="P818" s="69">
        <f>uurtarief43</f>
        <v>0</v>
      </c>
      <c r="Q818" s="66" t="e">
        <f>IF(ISBLANK(M818),0,L818/ROUND(M818,4))</f>
        <v>#DIV/0!</v>
      </c>
      <c r="R818" s="66" t="e">
        <f>IF(ISBLANK(M818),0,Q818*ROUND(N818,2))</f>
        <v>#DIV/0!</v>
      </c>
      <c r="S818" s="69" t="e">
        <f>ROUND(P818,2)*Q818</f>
        <v>#DIV/0!</v>
      </c>
      <c r="T818" s="66" t="e">
        <f>Q818*dagenperjaar1</f>
        <v>#DIV/0!</v>
      </c>
      <c r="U818" s="70" t="e">
        <f>T818*ROUND(P818,2)</f>
        <v>#DIV/0!</v>
      </c>
    </row>
    <row r="819" spans="1:21" x14ac:dyDescent="0.2">
      <c r="A819" s="63" t="s">
        <v>1299</v>
      </c>
      <c r="B819" s="64" t="s">
        <v>324</v>
      </c>
      <c r="C819" s="64" t="s">
        <v>530</v>
      </c>
      <c r="D819" s="64" t="s">
        <v>579</v>
      </c>
      <c r="E819" s="64" t="s">
        <v>324</v>
      </c>
      <c r="F819" s="65" t="s">
        <v>1404</v>
      </c>
      <c r="G819" s="64" t="s">
        <v>1302</v>
      </c>
      <c r="H819" s="64" t="s">
        <v>229</v>
      </c>
      <c r="I819" s="64" t="s">
        <v>10</v>
      </c>
      <c r="J819" s="64" t="s">
        <v>201</v>
      </c>
      <c r="K819" s="66">
        <v>55</v>
      </c>
      <c r="L819" s="66">
        <f>K819*VLOOKUP(I819,dagsoorttabel1,2,FALSE)</f>
        <v>55</v>
      </c>
      <c r="M819" s="67">
        <f>prodnorm43</f>
        <v>0</v>
      </c>
      <c r="N819" s="68">
        <f>dagwerk43</f>
        <v>0</v>
      </c>
      <c r="O819" s="64" t="s">
        <v>38</v>
      </c>
      <c r="P819" s="69">
        <f>uurtarief43</f>
        <v>0</v>
      </c>
      <c r="Q819" s="66" t="e">
        <f>IF(ISBLANK(M819),0,L819/ROUND(M819,4))</f>
        <v>#DIV/0!</v>
      </c>
      <c r="R819" s="66" t="e">
        <f>IF(ISBLANK(M819),0,Q819*ROUND(N819,2))</f>
        <v>#DIV/0!</v>
      </c>
      <c r="S819" s="69" t="e">
        <f>ROUND(P819,2)*Q819</f>
        <v>#DIV/0!</v>
      </c>
      <c r="T819" s="66" t="e">
        <f>Q819*dagenperjaar1</f>
        <v>#DIV/0!</v>
      </c>
      <c r="U819" s="70" t="e">
        <f>T819*ROUND(P819,2)</f>
        <v>#DIV/0!</v>
      </c>
    </row>
    <row r="820" spans="1:21" x14ac:dyDescent="0.2">
      <c r="A820" s="63" t="s">
        <v>1299</v>
      </c>
      <c r="B820" s="64" t="s">
        <v>324</v>
      </c>
      <c r="C820" s="64" t="s">
        <v>530</v>
      </c>
      <c r="D820" s="64" t="s">
        <v>1405</v>
      </c>
      <c r="E820" s="64" t="s">
        <v>324</v>
      </c>
      <c r="F820" s="65" t="s">
        <v>1406</v>
      </c>
      <c r="G820" s="64" t="s">
        <v>1302</v>
      </c>
      <c r="H820" s="64" t="s">
        <v>229</v>
      </c>
      <c r="I820" s="64" t="s">
        <v>10</v>
      </c>
      <c r="J820" s="64" t="s">
        <v>201</v>
      </c>
      <c r="K820" s="66">
        <v>55</v>
      </c>
      <c r="L820" s="66">
        <f>K820*VLOOKUP(I820,dagsoorttabel1,2,FALSE)</f>
        <v>55</v>
      </c>
      <c r="M820" s="67">
        <f>prodnorm43</f>
        <v>0</v>
      </c>
      <c r="N820" s="68">
        <f>dagwerk43</f>
        <v>0</v>
      </c>
      <c r="O820" s="64" t="s">
        <v>38</v>
      </c>
      <c r="P820" s="69">
        <f>uurtarief43</f>
        <v>0</v>
      </c>
      <c r="Q820" s="66" t="e">
        <f>IF(ISBLANK(M820),0,L820/ROUND(M820,4))</f>
        <v>#DIV/0!</v>
      </c>
      <c r="R820" s="66" t="e">
        <f>IF(ISBLANK(M820),0,Q820*ROUND(N820,2))</f>
        <v>#DIV/0!</v>
      </c>
      <c r="S820" s="69" t="e">
        <f>ROUND(P820,2)*Q820</f>
        <v>#DIV/0!</v>
      </c>
      <c r="T820" s="66" t="e">
        <f>Q820*dagenperjaar1</f>
        <v>#DIV/0!</v>
      </c>
      <c r="U820" s="70" t="e">
        <f>T820*ROUND(P820,2)</f>
        <v>#DIV/0!</v>
      </c>
    </row>
    <row r="821" spans="1:21" x14ac:dyDescent="0.2">
      <c r="A821" s="63" t="s">
        <v>1299</v>
      </c>
      <c r="B821" s="64" t="s">
        <v>324</v>
      </c>
      <c r="C821" s="64" t="s">
        <v>530</v>
      </c>
      <c r="D821" s="64" t="s">
        <v>584</v>
      </c>
      <c r="E821" s="64" t="s">
        <v>324</v>
      </c>
      <c r="F821" s="65" t="s">
        <v>344</v>
      </c>
      <c r="G821" s="64" t="s">
        <v>1302</v>
      </c>
      <c r="H821" s="64" t="s">
        <v>263</v>
      </c>
      <c r="I821" s="64" t="s">
        <v>10</v>
      </c>
      <c r="J821" s="64" t="s">
        <v>201</v>
      </c>
      <c r="K821" s="66">
        <v>25</v>
      </c>
      <c r="L821" s="66">
        <f>K821*VLOOKUP(I821,dagsoorttabel1,2,FALSE)</f>
        <v>25</v>
      </c>
      <c r="M821" s="67">
        <f>prodnorm63</f>
        <v>0</v>
      </c>
      <c r="N821" s="68">
        <f>dagwerk63</f>
        <v>0</v>
      </c>
      <c r="O821" s="64" t="s">
        <v>38</v>
      </c>
      <c r="P821" s="69">
        <f>uurtarief63</f>
        <v>0</v>
      </c>
      <c r="Q821" s="66" t="e">
        <f>IF(ISBLANK(M821),0,L821/ROUND(M821,4))</f>
        <v>#DIV/0!</v>
      </c>
      <c r="R821" s="66" t="e">
        <f>IF(ISBLANK(M821),0,Q821*ROUND(N821,2))</f>
        <v>#DIV/0!</v>
      </c>
      <c r="S821" s="69" t="e">
        <f>ROUND(P821,2)*Q821</f>
        <v>#DIV/0!</v>
      </c>
      <c r="T821" s="66" t="e">
        <f>Q821*dagenperjaar1</f>
        <v>#DIV/0!</v>
      </c>
      <c r="U821" s="70" t="e">
        <f>T821*ROUND(P821,2)</f>
        <v>#DIV/0!</v>
      </c>
    </row>
    <row r="822" spans="1:21" x14ac:dyDescent="0.2">
      <c r="A822" s="63" t="s">
        <v>1299</v>
      </c>
      <c r="B822" s="64" t="s">
        <v>324</v>
      </c>
      <c r="C822" s="64" t="s">
        <v>530</v>
      </c>
      <c r="D822" s="64" t="s">
        <v>586</v>
      </c>
      <c r="E822" s="64" t="s">
        <v>324</v>
      </c>
      <c r="F822" s="65" t="s">
        <v>1395</v>
      </c>
      <c r="G822" s="64" t="s">
        <v>1302</v>
      </c>
      <c r="H822" s="64" t="s">
        <v>229</v>
      </c>
      <c r="I822" s="64" t="s">
        <v>10</v>
      </c>
      <c r="J822" s="64" t="s">
        <v>201</v>
      </c>
      <c r="K822" s="66">
        <v>80</v>
      </c>
      <c r="L822" s="66">
        <f>K822*VLOOKUP(I822,dagsoorttabel1,2,FALSE)</f>
        <v>80</v>
      </c>
      <c r="M822" s="67">
        <f>prodnorm43</f>
        <v>0</v>
      </c>
      <c r="N822" s="68">
        <f>dagwerk43</f>
        <v>0</v>
      </c>
      <c r="O822" s="64" t="s">
        <v>38</v>
      </c>
      <c r="P822" s="69">
        <f>uurtarief43</f>
        <v>0</v>
      </c>
      <c r="Q822" s="66" t="e">
        <f>IF(ISBLANK(M822),0,L822/ROUND(M822,4))</f>
        <v>#DIV/0!</v>
      </c>
      <c r="R822" s="66" t="e">
        <f>IF(ISBLANK(M822),0,Q822*ROUND(N822,2))</f>
        <v>#DIV/0!</v>
      </c>
      <c r="S822" s="69" t="e">
        <f>ROUND(P822,2)*Q822</f>
        <v>#DIV/0!</v>
      </c>
      <c r="T822" s="66" t="e">
        <f>Q822*dagenperjaar1</f>
        <v>#DIV/0!</v>
      </c>
      <c r="U822" s="70" t="e">
        <f>T822*ROUND(P822,2)</f>
        <v>#DIV/0!</v>
      </c>
    </row>
    <row r="823" spans="1:21" x14ac:dyDescent="0.2">
      <c r="A823" s="63" t="s">
        <v>1299</v>
      </c>
      <c r="B823" s="64" t="s">
        <v>324</v>
      </c>
      <c r="C823" s="64" t="s">
        <v>530</v>
      </c>
      <c r="D823" s="64" t="s">
        <v>589</v>
      </c>
      <c r="E823" s="64" t="s">
        <v>324</v>
      </c>
      <c r="F823" s="65" t="s">
        <v>1407</v>
      </c>
      <c r="G823" s="64" t="s">
        <v>1302</v>
      </c>
      <c r="H823" s="64" t="s">
        <v>229</v>
      </c>
      <c r="I823" s="64" t="s">
        <v>10</v>
      </c>
      <c r="J823" s="64" t="s">
        <v>201</v>
      </c>
      <c r="K823" s="66">
        <v>40</v>
      </c>
      <c r="L823" s="66">
        <f>K823*VLOOKUP(I823,dagsoorttabel1,2,FALSE)</f>
        <v>40</v>
      </c>
      <c r="M823" s="67">
        <f>prodnorm43</f>
        <v>0</v>
      </c>
      <c r="N823" s="68">
        <f>dagwerk43</f>
        <v>0</v>
      </c>
      <c r="O823" s="64" t="s">
        <v>38</v>
      </c>
      <c r="P823" s="69">
        <f>uurtarief43</f>
        <v>0</v>
      </c>
      <c r="Q823" s="66" t="e">
        <f>IF(ISBLANK(M823),0,L823/ROUND(M823,4))</f>
        <v>#DIV/0!</v>
      </c>
      <c r="R823" s="66" t="e">
        <f>IF(ISBLANK(M823),0,Q823*ROUND(N823,2))</f>
        <v>#DIV/0!</v>
      </c>
      <c r="S823" s="69" t="e">
        <f>ROUND(P823,2)*Q823</f>
        <v>#DIV/0!</v>
      </c>
      <c r="T823" s="66" t="e">
        <f>Q823*dagenperjaar1</f>
        <v>#DIV/0!</v>
      </c>
      <c r="U823" s="70" t="e">
        <f>T823*ROUND(P823,2)</f>
        <v>#DIV/0!</v>
      </c>
    </row>
    <row r="824" spans="1:21" x14ac:dyDescent="0.2">
      <c r="A824" s="63" t="s">
        <v>1299</v>
      </c>
      <c r="B824" s="64" t="s">
        <v>324</v>
      </c>
      <c r="C824" s="64" t="s">
        <v>530</v>
      </c>
      <c r="D824" s="64" t="s">
        <v>591</v>
      </c>
      <c r="E824" s="64" t="s">
        <v>324</v>
      </c>
      <c r="F824" s="65" t="s">
        <v>1407</v>
      </c>
      <c r="G824" s="64" t="s">
        <v>1302</v>
      </c>
      <c r="H824" s="64" t="s">
        <v>229</v>
      </c>
      <c r="I824" s="64" t="s">
        <v>10</v>
      </c>
      <c r="J824" s="64" t="s">
        <v>201</v>
      </c>
      <c r="K824" s="66">
        <v>40</v>
      </c>
      <c r="L824" s="66">
        <f>K824*VLOOKUP(I824,dagsoorttabel1,2,FALSE)</f>
        <v>40</v>
      </c>
      <c r="M824" s="67">
        <f>prodnorm43</f>
        <v>0</v>
      </c>
      <c r="N824" s="68">
        <f>dagwerk43</f>
        <v>0</v>
      </c>
      <c r="O824" s="64" t="s">
        <v>38</v>
      </c>
      <c r="P824" s="69">
        <f>uurtarief43</f>
        <v>0</v>
      </c>
      <c r="Q824" s="66" t="e">
        <f>IF(ISBLANK(M824),0,L824/ROUND(M824,4))</f>
        <v>#DIV/0!</v>
      </c>
      <c r="R824" s="66" t="e">
        <f>IF(ISBLANK(M824),0,Q824*ROUND(N824,2))</f>
        <v>#DIV/0!</v>
      </c>
      <c r="S824" s="69" t="e">
        <f>ROUND(P824,2)*Q824</f>
        <v>#DIV/0!</v>
      </c>
      <c r="T824" s="66" t="e">
        <f>Q824*dagenperjaar1</f>
        <v>#DIV/0!</v>
      </c>
      <c r="U824" s="70" t="e">
        <f>T824*ROUND(P824,2)</f>
        <v>#DIV/0!</v>
      </c>
    </row>
    <row r="825" spans="1:21" x14ac:dyDescent="0.2">
      <c r="A825" s="63" t="s">
        <v>1299</v>
      </c>
      <c r="B825" s="64" t="s">
        <v>324</v>
      </c>
      <c r="C825" s="64" t="s">
        <v>530</v>
      </c>
      <c r="D825" s="64" t="s">
        <v>1408</v>
      </c>
      <c r="E825" s="64" t="s">
        <v>324</v>
      </c>
      <c r="F825" s="65" t="s">
        <v>671</v>
      </c>
      <c r="G825" s="64" t="s">
        <v>365</v>
      </c>
      <c r="H825" s="64" t="s">
        <v>255</v>
      </c>
      <c r="I825" s="64" t="s">
        <v>10</v>
      </c>
      <c r="J825" s="64" t="s">
        <v>201</v>
      </c>
      <c r="K825" s="66">
        <v>10</v>
      </c>
      <c r="L825" s="66">
        <f>K825*VLOOKUP(I825,dagsoorttabel1,2,FALSE)</f>
        <v>10</v>
      </c>
      <c r="M825" s="67">
        <f>prodnorm59</f>
        <v>0</v>
      </c>
      <c r="N825" s="68">
        <f>dagwerk59</f>
        <v>0</v>
      </c>
      <c r="O825" s="64" t="s">
        <v>38</v>
      </c>
      <c r="P825" s="69">
        <f>uurtarief59</f>
        <v>0</v>
      </c>
      <c r="Q825" s="66" t="e">
        <f>IF(ISBLANK(M825),0,L825/ROUND(M825,4))</f>
        <v>#DIV/0!</v>
      </c>
      <c r="R825" s="66" t="e">
        <f>IF(ISBLANK(M825),0,Q825*ROUND(N825,2))</f>
        <v>#DIV/0!</v>
      </c>
      <c r="S825" s="69" t="e">
        <f>ROUND(P825,2)*Q825</f>
        <v>#DIV/0!</v>
      </c>
      <c r="T825" s="66" t="e">
        <f>Q825*dagenperjaar1</f>
        <v>#DIV/0!</v>
      </c>
      <c r="U825" s="70" t="e">
        <f>T825*ROUND(P825,2)</f>
        <v>#DIV/0!</v>
      </c>
    </row>
    <row r="826" spans="1:21" x14ac:dyDescent="0.2">
      <c r="A826" s="63" t="s">
        <v>1299</v>
      </c>
      <c r="B826" s="64" t="s">
        <v>324</v>
      </c>
      <c r="C826" s="64" t="s">
        <v>530</v>
      </c>
      <c r="D826" s="64" t="s">
        <v>1408</v>
      </c>
      <c r="E826" s="64" t="s">
        <v>324</v>
      </c>
      <c r="F826" s="65" t="s">
        <v>671</v>
      </c>
      <c r="G826" s="64" t="s">
        <v>365</v>
      </c>
      <c r="H826" s="64" t="s">
        <v>257</v>
      </c>
      <c r="I826" s="64" t="s">
        <v>10</v>
      </c>
      <c r="J826" s="64" t="s">
        <v>201</v>
      </c>
      <c r="K826" s="66">
        <v>10</v>
      </c>
      <c r="L826" s="66">
        <f>K826*VLOOKUP(I826,dagsoorttabel1,2,FALSE)</f>
        <v>10</v>
      </c>
      <c r="M826" s="67">
        <f>prodnorm60</f>
        <v>0</v>
      </c>
      <c r="N826" s="68">
        <f>dagwerk60</f>
        <v>0</v>
      </c>
      <c r="O826" s="64" t="s">
        <v>38</v>
      </c>
      <c r="P826" s="69">
        <f>uurtarief60</f>
        <v>0</v>
      </c>
      <c r="Q826" s="66" t="e">
        <f>IF(ISBLANK(M826),0,L826/ROUND(M826,4))</f>
        <v>#DIV/0!</v>
      </c>
      <c r="R826" s="66" t="e">
        <f>IF(ISBLANK(M826),0,Q826*ROUND(N826,2))</f>
        <v>#DIV/0!</v>
      </c>
      <c r="S826" s="69" t="e">
        <f>ROUND(P826,2)*Q826</f>
        <v>#DIV/0!</v>
      </c>
      <c r="T826" s="66" t="e">
        <f>Q826*dagenperjaar1</f>
        <v>#DIV/0!</v>
      </c>
      <c r="U826" s="70" t="e">
        <f>T826*ROUND(P826,2)</f>
        <v>#DIV/0!</v>
      </c>
    </row>
    <row r="827" spans="1:21" x14ac:dyDescent="0.2">
      <c r="A827" s="63" t="s">
        <v>1299</v>
      </c>
      <c r="B827" s="64" t="s">
        <v>324</v>
      </c>
      <c r="C827" s="64" t="s">
        <v>530</v>
      </c>
      <c r="D827" s="64" t="s">
        <v>593</v>
      </c>
      <c r="E827" s="64" t="s">
        <v>324</v>
      </c>
      <c r="F827" s="65" t="s">
        <v>671</v>
      </c>
      <c r="G827" s="64" t="s">
        <v>365</v>
      </c>
      <c r="H827" s="64" t="s">
        <v>255</v>
      </c>
      <c r="I827" s="64" t="s">
        <v>10</v>
      </c>
      <c r="J827" s="64" t="s">
        <v>201</v>
      </c>
      <c r="K827" s="66">
        <v>9</v>
      </c>
      <c r="L827" s="66">
        <f>K827*VLOOKUP(I827,dagsoorttabel1,2,FALSE)</f>
        <v>9</v>
      </c>
      <c r="M827" s="67">
        <f>prodnorm59</f>
        <v>0</v>
      </c>
      <c r="N827" s="68">
        <f>dagwerk59</f>
        <v>0</v>
      </c>
      <c r="O827" s="64" t="s">
        <v>38</v>
      </c>
      <c r="P827" s="69">
        <f>uurtarief59</f>
        <v>0</v>
      </c>
      <c r="Q827" s="66" t="e">
        <f>IF(ISBLANK(M827),0,L827/ROUND(M827,4))</f>
        <v>#DIV/0!</v>
      </c>
      <c r="R827" s="66" t="e">
        <f>IF(ISBLANK(M827),0,Q827*ROUND(N827,2))</f>
        <v>#DIV/0!</v>
      </c>
      <c r="S827" s="69" t="e">
        <f>ROUND(P827,2)*Q827</f>
        <v>#DIV/0!</v>
      </c>
      <c r="T827" s="66" t="e">
        <f>Q827*dagenperjaar1</f>
        <v>#DIV/0!</v>
      </c>
      <c r="U827" s="70" t="e">
        <f>T827*ROUND(P827,2)</f>
        <v>#DIV/0!</v>
      </c>
    </row>
    <row r="828" spans="1:21" x14ac:dyDescent="0.2">
      <c r="A828" s="63" t="s">
        <v>1299</v>
      </c>
      <c r="B828" s="64" t="s">
        <v>324</v>
      </c>
      <c r="C828" s="64" t="s">
        <v>530</v>
      </c>
      <c r="D828" s="64" t="s">
        <v>593</v>
      </c>
      <c r="E828" s="64" t="s">
        <v>324</v>
      </c>
      <c r="F828" s="65" t="s">
        <v>671</v>
      </c>
      <c r="G828" s="64" t="s">
        <v>365</v>
      </c>
      <c r="H828" s="64" t="s">
        <v>257</v>
      </c>
      <c r="I828" s="64" t="s">
        <v>10</v>
      </c>
      <c r="J828" s="64" t="s">
        <v>201</v>
      </c>
      <c r="K828" s="66">
        <v>9</v>
      </c>
      <c r="L828" s="66">
        <f>K828*VLOOKUP(I828,dagsoorttabel1,2,FALSE)</f>
        <v>9</v>
      </c>
      <c r="M828" s="67">
        <f>prodnorm60</f>
        <v>0</v>
      </c>
      <c r="N828" s="68">
        <f>dagwerk60</f>
        <v>0</v>
      </c>
      <c r="O828" s="64" t="s">
        <v>38</v>
      </c>
      <c r="P828" s="69">
        <f>uurtarief60</f>
        <v>0</v>
      </c>
      <c r="Q828" s="66" t="e">
        <f>IF(ISBLANK(M828),0,L828/ROUND(M828,4))</f>
        <v>#DIV/0!</v>
      </c>
      <c r="R828" s="66" t="e">
        <f>IF(ISBLANK(M828),0,Q828*ROUND(N828,2))</f>
        <v>#DIV/0!</v>
      </c>
      <c r="S828" s="69" t="e">
        <f>ROUND(P828,2)*Q828</f>
        <v>#DIV/0!</v>
      </c>
      <c r="T828" s="66" t="e">
        <f>Q828*dagenperjaar1</f>
        <v>#DIV/0!</v>
      </c>
      <c r="U828" s="70" t="e">
        <f>T828*ROUND(P828,2)</f>
        <v>#DIV/0!</v>
      </c>
    </row>
    <row r="829" spans="1:21" x14ac:dyDescent="0.2">
      <c r="A829" s="63" t="s">
        <v>1299</v>
      </c>
      <c r="B829" s="64" t="s">
        <v>324</v>
      </c>
      <c r="C829" s="64" t="s">
        <v>530</v>
      </c>
      <c r="D829" s="64" t="s">
        <v>599</v>
      </c>
      <c r="E829" s="64" t="s">
        <v>324</v>
      </c>
      <c r="F829" s="65" t="s">
        <v>338</v>
      </c>
      <c r="G829" s="64" t="s">
        <v>1302</v>
      </c>
      <c r="H829" s="64" t="s">
        <v>263</v>
      </c>
      <c r="I829" s="64" t="s">
        <v>10</v>
      </c>
      <c r="J829" s="64" t="s">
        <v>201</v>
      </c>
      <c r="K829" s="66">
        <v>25</v>
      </c>
      <c r="L829" s="66">
        <f>K829*VLOOKUP(I829,dagsoorttabel1,2,FALSE)</f>
        <v>25</v>
      </c>
      <c r="M829" s="67">
        <f>prodnorm63</f>
        <v>0</v>
      </c>
      <c r="N829" s="68">
        <f>dagwerk63</f>
        <v>0</v>
      </c>
      <c r="O829" s="64" t="s">
        <v>38</v>
      </c>
      <c r="P829" s="69">
        <f>uurtarief63</f>
        <v>0</v>
      </c>
      <c r="Q829" s="66" t="e">
        <f>IF(ISBLANK(M829),0,L829/ROUND(M829,4))</f>
        <v>#DIV/0!</v>
      </c>
      <c r="R829" s="66" t="e">
        <f>IF(ISBLANK(M829),0,Q829*ROUND(N829,2))</f>
        <v>#DIV/0!</v>
      </c>
      <c r="S829" s="69" t="e">
        <f>ROUND(P829,2)*Q829</f>
        <v>#DIV/0!</v>
      </c>
      <c r="T829" s="66" t="e">
        <f>Q829*dagenperjaar1</f>
        <v>#DIV/0!</v>
      </c>
      <c r="U829" s="70" t="e">
        <f>T829*ROUND(P829,2)</f>
        <v>#DIV/0!</v>
      </c>
    </row>
    <row r="830" spans="1:21" x14ac:dyDescent="0.2">
      <c r="A830" s="63" t="s">
        <v>1299</v>
      </c>
      <c r="B830" s="64" t="s">
        <v>324</v>
      </c>
      <c r="C830" s="64" t="s">
        <v>530</v>
      </c>
      <c r="D830" s="64" t="s">
        <v>1409</v>
      </c>
      <c r="E830" s="64" t="s">
        <v>324</v>
      </c>
      <c r="F830" s="65" t="s">
        <v>335</v>
      </c>
      <c r="G830" s="64" t="s">
        <v>1302</v>
      </c>
      <c r="H830" s="64" t="s">
        <v>267</v>
      </c>
      <c r="I830" s="64" t="s">
        <v>10</v>
      </c>
      <c r="J830" s="64" t="s">
        <v>201</v>
      </c>
      <c r="K830" s="66">
        <v>345.41999999999996</v>
      </c>
      <c r="L830" s="66">
        <f>K830*VLOOKUP(I830,dagsoorttabel1,2,FALSE)</f>
        <v>345.41999999999996</v>
      </c>
      <c r="M830" s="67">
        <f>prodnorm65</f>
        <v>0</v>
      </c>
      <c r="N830" s="68">
        <f>dagwerk65</f>
        <v>0</v>
      </c>
      <c r="O830" s="64" t="s">
        <v>38</v>
      </c>
      <c r="P830" s="69">
        <f>uurtarief65</f>
        <v>0</v>
      </c>
      <c r="Q830" s="66" t="e">
        <f>IF(ISBLANK(M830),0,L830/ROUND(M830,4))</f>
        <v>#DIV/0!</v>
      </c>
      <c r="R830" s="66" t="e">
        <f>IF(ISBLANK(M830),0,Q830*ROUND(N830,2))</f>
        <v>#DIV/0!</v>
      </c>
      <c r="S830" s="69" t="e">
        <f>ROUND(P830,2)*Q830</f>
        <v>#DIV/0!</v>
      </c>
      <c r="T830" s="66" t="e">
        <f>Q830*dagenperjaar1</f>
        <v>#DIV/0!</v>
      </c>
      <c r="U830" s="70" t="e">
        <f>T830*ROUND(P830,2)</f>
        <v>#DIV/0!</v>
      </c>
    </row>
    <row r="831" spans="1:21" x14ac:dyDescent="0.2">
      <c r="A831" s="63" t="s">
        <v>1299</v>
      </c>
      <c r="B831" s="64" t="s">
        <v>324</v>
      </c>
      <c r="C831" s="64" t="s">
        <v>530</v>
      </c>
      <c r="D831" s="64" t="s">
        <v>1410</v>
      </c>
      <c r="E831" s="64" t="s">
        <v>324</v>
      </c>
      <c r="F831" s="65" t="s">
        <v>1398</v>
      </c>
      <c r="G831" s="64" t="s">
        <v>1302</v>
      </c>
      <c r="H831" s="64" t="s">
        <v>229</v>
      </c>
      <c r="I831" s="64" t="s">
        <v>10</v>
      </c>
      <c r="J831" s="64" t="s">
        <v>201</v>
      </c>
      <c r="K831" s="66">
        <v>62</v>
      </c>
      <c r="L831" s="66">
        <f>K831*VLOOKUP(I831,dagsoorttabel1,2,FALSE)</f>
        <v>62</v>
      </c>
      <c r="M831" s="67">
        <f>prodnorm43</f>
        <v>0</v>
      </c>
      <c r="N831" s="68">
        <f>dagwerk43</f>
        <v>0</v>
      </c>
      <c r="O831" s="64" t="s">
        <v>38</v>
      </c>
      <c r="P831" s="69">
        <f>uurtarief43</f>
        <v>0</v>
      </c>
      <c r="Q831" s="66" t="e">
        <f>IF(ISBLANK(M831),0,L831/ROUND(M831,4))</f>
        <v>#DIV/0!</v>
      </c>
      <c r="R831" s="66" t="e">
        <f>IF(ISBLANK(M831),0,Q831*ROUND(N831,2))</f>
        <v>#DIV/0!</v>
      </c>
      <c r="S831" s="69" t="e">
        <f>ROUND(P831,2)*Q831</f>
        <v>#DIV/0!</v>
      </c>
      <c r="T831" s="66" t="e">
        <f>Q831*dagenperjaar1</f>
        <v>#DIV/0!</v>
      </c>
      <c r="U831" s="70" t="e">
        <f>T831*ROUND(P831,2)</f>
        <v>#DIV/0!</v>
      </c>
    </row>
    <row r="832" spans="1:21" x14ac:dyDescent="0.2">
      <c r="A832" s="63" t="s">
        <v>1299</v>
      </c>
      <c r="B832" s="64" t="s">
        <v>324</v>
      </c>
      <c r="C832" s="64" t="s">
        <v>530</v>
      </c>
      <c r="D832" s="64" t="s">
        <v>1411</v>
      </c>
      <c r="E832" s="64" t="s">
        <v>324</v>
      </c>
      <c r="F832" s="65" t="s">
        <v>1398</v>
      </c>
      <c r="G832" s="64" t="s">
        <v>1302</v>
      </c>
      <c r="H832" s="64" t="s">
        <v>229</v>
      </c>
      <c r="I832" s="64" t="s">
        <v>10</v>
      </c>
      <c r="J832" s="64" t="s">
        <v>201</v>
      </c>
      <c r="K832" s="66">
        <v>61</v>
      </c>
      <c r="L832" s="66">
        <f>K832*VLOOKUP(I832,dagsoorttabel1,2,FALSE)</f>
        <v>61</v>
      </c>
      <c r="M832" s="67">
        <f>prodnorm43</f>
        <v>0</v>
      </c>
      <c r="N832" s="68">
        <f>dagwerk43</f>
        <v>0</v>
      </c>
      <c r="O832" s="64" t="s">
        <v>38</v>
      </c>
      <c r="P832" s="69">
        <f>uurtarief43</f>
        <v>0</v>
      </c>
      <c r="Q832" s="66" t="e">
        <f>IF(ISBLANK(M832),0,L832/ROUND(M832,4))</f>
        <v>#DIV/0!</v>
      </c>
      <c r="R832" s="66" t="e">
        <f>IF(ISBLANK(M832),0,Q832*ROUND(N832,2))</f>
        <v>#DIV/0!</v>
      </c>
      <c r="S832" s="69" t="e">
        <f>ROUND(P832,2)*Q832</f>
        <v>#DIV/0!</v>
      </c>
      <c r="T832" s="66" t="e">
        <f>Q832*dagenperjaar1</f>
        <v>#DIV/0!</v>
      </c>
      <c r="U832" s="70" t="e">
        <f>T832*ROUND(P832,2)</f>
        <v>#DIV/0!</v>
      </c>
    </row>
    <row r="833" spans="1:21" x14ac:dyDescent="0.2">
      <c r="A833" s="63" t="s">
        <v>1299</v>
      </c>
      <c r="B833" s="64" t="s">
        <v>324</v>
      </c>
      <c r="C833" s="64" t="s">
        <v>530</v>
      </c>
      <c r="D833" s="64" t="s">
        <v>1412</v>
      </c>
      <c r="E833" s="64" t="s">
        <v>324</v>
      </c>
      <c r="F833" s="65" t="s">
        <v>1398</v>
      </c>
      <c r="G833" s="64" t="s">
        <v>1302</v>
      </c>
      <c r="H833" s="64" t="s">
        <v>229</v>
      </c>
      <c r="I833" s="64" t="s">
        <v>10</v>
      </c>
      <c r="J833" s="64" t="s">
        <v>201</v>
      </c>
      <c r="K833" s="66">
        <v>82</v>
      </c>
      <c r="L833" s="66">
        <f>K833*VLOOKUP(I833,dagsoorttabel1,2,FALSE)</f>
        <v>82</v>
      </c>
      <c r="M833" s="67">
        <f>prodnorm43</f>
        <v>0</v>
      </c>
      <c r="N833" s="68">
        <f>dagwerk43</f>
        <v>0</v>
      </c>
      <c r="O833" s="64" t="s">
        <v>38</v>
      </c>
      <c r="P833" s="69">
        <f>uurtarief43</f>
        <v>0</v>
      </c>
      <c r="Q833" s="66" t="e">
        <f>IF(ISBLANK(M833),0,L833/ROUND(M833,4))</f>
        <v>#DIV/0!</v>
      </c>
      <c r="R833" s="66" t="e">
        <f>IF(ISBLANK(M833),0,Q833*ROUND(N833,2))</f>
        <v>#DIV/0!</v>
      </c>
      <c r="S833" s="69" t="e">
        <f>ROUND(P833,2)*Q833</f>
        <v>#DIV/0!</v>
      </c>
      <c r="T833" s="66" t="e">
        <f>Q833*dagenperjaar1</f>
        <v>#DIV/0!</v>
      </c>
      <c r="U833" s="70" t="e">
        <f>T833*ROUND(P833,2)</f>
        <v>#DIV/0!</v>
      </c>
    </row>
    <row r="834" spans="1:21" x14ac:dyDescent="0.2">
      <c r="A834" s="71" t="s">
        <v>1299</v>
      </c>
      <c r="B834" s="72" t="s">
        <v>324</v>
      </c>
      <c r="C834" s="72" t="s">
        <v>530</v>
      </c>
      <c r="D834" s="72" t="s">
        <v>1412</v>
      </c>
      <c r="E834" s="72" t="s">
        <v>324</v>
      </c>
      <c r="F834" s="73" t="s">
        <v>1370</v>
      </c>
      <c r="G834" s="72" t="s">
        <v>1302</v>
      </c>
      <c r="H834" s="72" t="s">
        <v>267</v>
      </c>
      <c r="I834" s="72" t="s">
        <v>10</v>
      </c>
      <c r="J834" s="72" t="s">
        <v>201</v>
      </c>
      <c r="K834" s="74">
        <v>55.6</v>
      </c>
      <c r="L834" s="74">
        <f>K834*VLOOKUP(I834,dagsoorttabel1,2,FALSE)</f>
        <v>55.6</v>
      </c>
      <c r="M834" s="75">
        <f>prodnorm65</f>
        <v>0</v>
      </c>
      <c r="N834" s="76">
        <f>dagwerk65</f>
        <v>0</v>
      </c>
      <c r="O834" s="72" t="s">
        <v>38</v>
      </c>
      <c r="P834" s="77">
        <f>uurtarief65</f>
        <v>0</v>
      </c>
      <c r="Q834" s="74" t="e">
        <f>IF(ISBLANK(M834),0,L834/ROUND(M834,4))</f>
        <v>#DIV/0!</v>
      </c>
      <c r="R834" s="74" t="e">
        <f>IF(ISBLANK(M834),0,Q834*ROUND(N834,2))</f>
        <v>#DIV/0!</v>
      </c>
      <c r="S834" s="77" t="e">
        <f>ROUND(P834,2)*Q834</f>
        <v>#DIV/0!</v>
      </c>
      <c r="T834" s="74" t="e">
        <f>Q834*dagenperjaar1</f>
        <v>#DIV/0!</v>
      </c>
      <c r="U834" s="78" t="e">
        <f>T834*ROUND(P834,2)</f>
        <v>#DIV/0!</v>
      </c>
    </row>
    <row r="835" spans="1:21" x14ac:dyDescent="0.2">
      <c r="A835" s="79" t="s">
        <v>602</v>
      </c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6" t="e">
        <f>IF(_xlfn.SINGLE(object5_urenjaar1)&gt;0,_xlfn.SINGLE(object5_prijsjaar1)/_xlfn.SINGLE(object5_urenjaar1),0)</f>
        <v>#DIV/0!</v>
      </c>
      <c r="Q835" s="45" t="e">
        <f>SUM(Q670:Q834)</f>
        <v>#DIV/0!</v>
      </c>
      <c r="R835" s="45" t="e">
        <f>SUM(R670:R834)</f>
        <v>#DIV/0!</v>
      </c>
      <c r="S835" s="46" t="e">
        <f>SUM(S670:S834)</f>
        <v>#DIV/0!</v>
      </c>
      <c r="T835" s="45" t="e">
        <f>SUM(T670:T834)</f>
        <v>#DIV/0!</v>
      </c>
      <c r="U835" s="47" t="e">
        <f>SUM(U670:U834)</f>
        <v>#DIV/0!</v>
      </c>
    </row>
    <row r="836" spans="1:21" x14ac:dyDescent="0.2">
      <c r="A836" s="54" t="s">
        <v>1413</v>
      </c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42"/>
    </row>
    <row r="837" spans="1:21" ht="25.5" x14ac:dyDescent="0.2">
      <c r="A837" s="55" t="s">
        <v>1414</v>
      </c>
      <c r="B837" s="56" t="s">
        <v>324</v>
      </c>
      <c r="C837" s="56" t="s">
        <v>345</v>
      </c>
      <c r="D837" s="56" t="s">
        <v>1415</v>
      </c>
      <c r="E837" s="56" t="s">
        <v>324</v>
      </c>
      <c r="F837" s="57" t="s">
        <v>1416</v>
      </c>
      <c r="G837" s="56" t="s">
        <v>1417</v>
      </c>
      <c r="H837" s="56" t="s">
        <v>249</v>
      </c>
      <c r="I837" s="56" t="s">
        <v>10</v>
      </c>
      <c r="J837" s="56" t="s">
        <v>201</v>
      </c>
      <c r="K837" s="58">
        <v>53</v>
      </c>
      <c r="L837" s="58">
        <f>K837*VLOOKUP(I837,dagsoorttabel1,2,FALSE)</f>
        <v>53</v>
      </c>
      <c r="M837" s="59">
        <f>prodnorm56</f>
        <v>0</v>
      </c>
      <c r="N837" s="60">
        <f>dagwerk56</f>
        <v>0</v>
      </c>
      <c r="O837" s="56" t="s">
        <v>38</v>
      </c>
      <c r="P837" s="61">
        <f>uurtarief56</f>
        <v>0</v>
      </c>
      <c r="Q837" s="58" t="e">
        <f>IF(ISBLANK(M837),0,L837/ROUND(M837,4))</f>
        <v>#DIV/0!</v>
      </c>
      <c r="R837" s="58" t="e">
        <f>IF(ISBLANK(M837),0,Q837*ROUND(N837,2))</f>
        <v>#DIV/0!</v>
      </c>
      <c r="S837" s="61" t="e">
        <f>ROUND(P837,2)*Q837</f>
        <v>#DIV/0!</v>
      </c>
      <c r="T837" s="58" t="e">
        <f>Q837*dagenperjaar1</f>
        <v>#DIV/0!</v>
      </c>
      <c r="U837" s="62" t="e">
        <f>T837*ROUND(P837,2)</f>
        <v>#DIV/0!</v>
      </c>
    </row>
    <row r="838" spans="1:21" x14ac:dyDescent="0.2">
      <c r="A838" s="63" t="s">
        <v>1414</v>
      </c>
      <c r="B838" s="64" t="s">
        <v>324</v>
      </c>
      <c r="C838" s="64" t="s">
        <v>345</v>
      </c>
      <c r="D838" s="64" t="s">
        <v>1418</v>
      </c>
      <c r="E838" s="64" t="s">
        <v>324</v>
      </c>
      <c r="F838" s="65" t="s">
        <v>1419</v>
      </c>
      <c r="G838" s="64" t="s">
        <v>351</v>
      </c>
      <c r="H838" s="64" t="s">
        <v>211</v>
      </c>
      <c r="I838" s="64" t="s">
        <v>10</v>
      </c>
      <c r="J838" s="64" t="s">
        <v>201</v>
      </c>
      <c r="K838" s="66">
        <v>87</v>
      </c>
      <c r="L838" s="66">
        <f>K838*VLOOKUP(I838,dagsoorttabel1,2,FALSE)</f>
        <v>87</v>
      </c>
      <c r="M838" s="67">
        <f>prodnorm32</f>
        <v>0</v>
      </c>
      <c r="N838" s="68">
        <f>dagwerk32</f>
        <v>0</v>
      </c>
      <c r="O838" s="64" t="s">
        <v>38</v>
      </c>
      <c r="P838" s="69">
        <f>uurtarief32</f>
        <v>0</v>
      </c>
      <c r="Q838" s="66" t="e">
        <f>IF(ISBLANK(M838),0,L838/ROUND(M838,4))</f>
        <v>#DIV/0!</v>
      </c>
      <c r="R838" s="66" t="e">
        <f>IF(ISBLANK(M838),0,Q838*ROUND(N838,2))</f>
        <v>#DIV/0!</v>
      </c>
      <c r="S838" s="69" t="e">
        <f>ROUND(P838,2)*Q838</f>
        <v>#DIV/0!</v>
      </c>
      <c r="T838" s="66" t="e">
        <f>Q838*dagenperjaar1</f>
        <v>#DIV/0!</v>
      </c>
      <c r="U838" s="70" t="e">
        <f>T838*ROUND(P838,2)</f>
        <v>#DIV/0!</v>
      </c>
    </row>
    <row r="839" spans="1:21" x14ac:dyDescent="0.2">
      <c r="A839" s="63" t="s">
        <v>1414</v>
      </c>
      <c r="B839" s="64" t="s">
        <v>324</v>
      </c>
      <c r="C839" s="64" t="s">
        <v>345</v>
      </c>
      <c r="D839" s="64" t="s">
        <v>1420</v>
      </c>
      <c r="E839" s="64" t="s">
        <v>324</v>
      </c>
      <c r="F839" s="65" t="s">
        <v>335</v>
      </c>
      <c r="G839" s="64" t="s">
        <v>1421</v>
      </c>
      <c r="H839" s="64" t="s">
        <v>267</v>
      </c>
      <c r="I839" s="64" t="s">
        <v>10</v>
      </c>
      <c r="J839" s="64" t="s">
        <v>201</v>
      </c>
      <c r="K839" s="66">
        <v>17</v>
      </c>
      <c r="L839" s="66">
        <f>K839*VLOOKUP(I839,dagsoorttabel1,2,FALSE)</f>
        <v>17</v>
      </c>
      <c r="M839" s="67">
        <f>prodnorm65</f>
        <v>0</v>
      </c>
      <c r="N839" s="68">
        <f>dagwerk65</f>
        <v>0</v>
      </c>
      <c r="O839" s="64" t="s">
        <v>38</v>
      </c>
      <c r="P839" s="69">
        <f>uurtarief65</f>
        <v>0</v>
      </c>
      <c r="Q839" s="66" t="e">
        <f>IF(ISBLANK(M839),0,L839/ROUND(M839,4))</f>
        <v>#DIV/0!</v>
      </c>
      <c r="R839" s="66" t="e">
        <f>IF(ISBLANK(M839),0,Q839*ROUND(N839,2))</f>
        <v>#DIV/0!</v>
      </c>
      <c r="S839" s="69" t="e">
        <f>ROUND(P839,2)*Q839</f>
        <v>#DIV/0!</v>
      </c>
      <c r="T839" s="66" t="e">
        <f>Q839*dagenperjaar1</f>
        <v>#DIV/0!</v>
      </c>
      <c r="U839" s="70" t="e">
        <f>T839*ROUND(P839,2)</f>
        <v>#DIV/0!</v>
      </c>
    </row>
    <row r="840" spans="1:21" x14ac:dyDescent="0.2">
      <c r="A840" s="63" t="s">
        <v>1414</v>
      </c>
      <c r="B840" s="64" t="s">
        <v>324</v>
      </c>
      <c r="C840" s="64" t="s">
        <v>345</v>
      </c>
      <c r="D840" s="64" t="s">
        <v>1422</v>
      </c>
      <c r="E840" s="64" t="s">
        <v>324</v>
      </c>
      <c r="F840" s="65" t="s">
        <v>1423</v>
      </c>
      <c r="G840" s="64" t="s">
        <v>1417</v>
      </c>
      <c r="H840" s="64" t="s">
        <v>249</v>
      </c>
      <c r="I840" s="64" t="s">
        <v>10</v>
      </c>
      <c r="J840" s="64" t="s">
        <v>201</v>
      </c>
      <c r="K840" s="66">
        <v>133</v>
      </c>
      <c r="L840" s="66">
        <f>K840*VLOOKUP(I840,dagsoorttabel1,2,FALSE)</f>
        <v>133</v>
      </c>
      <c r="M840" s="67">
        <f>prodnorm56</f>
        <v>0</v>
      </c>
      <c r="N840" s="68">
        <f>dagwerk56</f>
        <v>0</v>
      </c>
      <c r="O840" s="64" t="s">
        <v>38</v>
      </c>
      <c r="P840" s="69">
        <f>uurtarief56</f>
        <v>0</v>
      </c>
      <c r="Q840" s="66" t="e">
        <f>IF(ISBLANK(M840),0,L840/ROUND(M840,4))</f>
        <v>#DIV/0!</v>
      </c>
      <c r="R840" s="66" t="e">
        <f>IF(ISBLANK(M840),0,Q840*ROUND(N840,2))</f>
        <v>#DIV/0!</v>
      </c>
      <c r="S840" s="69" t="e">
        <f>ROUND(P840,2)*Q840</f>
        <v>#DIV/0!</v>
      </c>
      <c r="T840" s="66" t="e">
        <f>Q840*dagenperjaar1</f>
        <v>#DIV/0!</v>
      </c>
      <c r="U840" s="70" t="e">
        <f>T840*ROUND(P840,2)</f>
        <v>#DIV/0!</v>
      </c>
    </row>
    <row r="841" spans="1:21" x14ac:dyDescent="0.2">
      <c r="A841" s="63" t="s">
        <v>1414</v>
      </c>
      <c r="B841" s="64" t="s">
        <v>324</v>
      </c>
      <c r="C841" s="64" t="s">
        <v>345</v>
      </c>
      <c r="D841" s="64" t="s">
        <v>1424</v>
      </c>
      <c r="E841" s="64" t="s">
        <v>324</v>
      </c>
      <c r="F841" s="65" t="s">
        <v>1425</v>
      </c>
      <c r="G841" s="64" t="s">
        <v>1417</v>
      </c>
      <c r="H841" s="64" t="s">
        <v>249</v>
      </c>
      <c r="I841" s="64" t="s">
        <v>10</v>
      </c>
      <c r="J841" s="64" t="s">
        <v>201</v>
      </c>
      <c r="K841" s="66">
        <v>133</v>
      </c>
      <c r="L841" s="66">
        <f>K841*VLOOKUP(I841,dagsoorttabel1,2,FALSE)</f>
        <v>133</v>
      </c>
      <c r="M841" s="67">
        <f>prodnorm56</f>
        <v>0</v>
      </c>
      <c r="N841" s="68">
        <f>dagwerk56</f>
        <v>0</v>
      </c>
      <c r="O841" s="64" t="s">
        <v>38</v>
      </c>
      <c r="P841" s="69">
        <f>uurtarief56</f>
        <v>0</v>
      </c>
      <c r="Q841" s="66" t="e">
        <f>IF(ISBLANK(M841),0,L841/ROUND(M841,4))</f>
        <v>#DIV/0!</v>
      </c>
      <c r="R841" s="66" t="e">
        <f>IF(ISBLANK(M841),0,Q841*ROUND(N841,2))</f>
        <v>#DIV/0!</v>
      </c>
      <c r="S841" s="69" t="e">
        <f>ROUND(P841,2)*Q841</f>
        <v>#DIV/0!</v>
      </c>
      <c r="T841" s="66" t="e">
        <f>Q841*dagenperjaar1</f>
        <v>#DIV/0!</v>
      </c>
      <c r="U841" s="70" t="e">
        <f>T841*ROUND(P841,2)</f>
        <v>#DIV/0!</v>
      </c>
    </row>
    <row r="842" spans="1:21" x14ac:dyDescent="0.2">
      <c r="A842" s="63" t="s">
        <v>1414</v>
      </c>
      <c r="B842" s="64" t="s">
        <v>324</v>
      </c>
      <c r="C842" s="64" t="s">
        <v>345</v>
      </c>
      <c r="D842" s="64" t="s">
        <v>1426</v>
      </c>
      <c r="E842" s="64" t="s">
        <v>324</v>
      </c>
      <c r="F842" s="65" t="s">
        <v>1427</v>
      </c>
      <c r="G842" s="64" t="s">
        <v>1417</v>
      </c>
      <c r="H842" s="64" t="s">
        <v>249</v>
      </c>
      <c r="I842" s="64" t="s">
        <v>10</v>
      </c>
      <c r="J842" s="64" t="s">
        <v>201</v>
      </c>
      <c r="K842" s="66">
        <v>178</v>
      </c>
      <c r="L842" s="66">
        <f>K842*VLOOKUP(I842,dagsoorttabel1,2,FALSE)</f>
        <v>178</v>
      </c>
      <c r="M842" s="67">
        <f>prodnorm56</f>
        <v>0</v>
      </c>
      <c r="N842" s="68">
        <f>dagwerk56</f>
        <v>0</v>
      </c>
      <c r="O842" s="64" t="s">
        <v>38</v>
      </c>
      <c r="P842" s="69">
        <f>uurtarief56</f>
        <v>0</v>
      </c>
      <c r="Q842" s="66" t="e">
        <f>IF(ISBLANK(M842),0,L842/ROUND(M842,4))</f>
        <v>#DIV/0!</v>
      </c>
      <c r="R842" s="66" t="e">
        <f>IF(ISBLANK(M842),0,Q842*ROUND(N842,2))</f>
        <v>#DIV/0!</v>
      </c>
      <c r="S842" s="69" t="e">
        <f>ROUND(P842,2)*Q842</f>
        <v>#DIV/0!</v>
      </c>
      <c r="T842" s="66" t="e">
        <f>Q842*dagenperjaar1</f>
        <v>#DIV/0!</v>
      </c>
      <c r="U842" s="70" t="e">
        <f>T842*ROUND(P842,2)</f>
        <v>#DIV/0!</v>
      </c>
    </row>
    <row r="843" spans="1:21" x14ac:dyDescent="0.2">
      <c r="A843" s="63" t="s">
        <v>1414</v>
      </c>
      <c r="B843" s="64" t="s">
        <v>324</v>
      </c>
      <c r="C843" s="64" t="s">
        <v>345</v>
      </c>
      <c r="D843" s="64" t="s">
        <v>1428</v>
      </c>
      <c r="E843" s="64" t="s">
        <v>324</v>
      </c>
      <c r="F843" s="65" t="s">
        <v>641</v>
      </c>
      <c r="G843" s="64" t="s">
        <v>1421</v>
      </c>
      <c r="H843" s="64" t="s">
        <v>255</v>
      </c>
      <c r="I843" s="64" t="s">
        <v>10</v>
      </c>
      <c r="J843" s="64" t="s">
        <v>201</v>
      </c>
      <c r="K843" s="66">
        <v>1.1000000000000001</v>
      </c>
      <c r="L843" s="66">
        <f>K843*VLOOKUP(I843,dagsoorttabel1,2,FALSE)</f>
        <v>1.1000000000000001</v>
      </c>
      <c r="M843" s="67">
        <f>prodnorm59</f>
        <v>0</v>
      </c>
      <c r="N843" s="68">
        <f>dagwerk59</f>
        <v>0</v>
      </c>
      <c r="O843" s="64" t="s">
        <v>38</v>
      </c>
      <c r="P843" s="69">
        <f>uurtarief59</f>
        <v>0</v>
      </c>
      <c r="Q843" s="66" t="e">
        <f>IF(ISBLANK(M843),0,L843/ROUND(M843,4))</f>
        <v>#DIV/0!</v>
      </c>
      <c r="R843" s="66" t="e">
        <f>IF(ISBLANK(M843),0,Q843*ROUND(N843,2))</f>
        <v>#DIV/0!</v>
      </c>
      <c r="S843" s="69" t="e">
        <f>ROUND(P843,2)*Q843</f>
        <v>#DIV/0!</v>
      </c>
      <c r="T843" s="66" t="e">
        <f>Q843*dagenperjaar1</f>
        <v>#DIV/0!</v>
      </c>
      <c r="U843" s="70" t="e">
        <f>T843*ROUND(P843,2)</f>
        <v>#DIV/0!</v>
      </c>
    </row>
    <row r="844" spans="1:21" x14ac:dyDescent="0.2">
      <c r="A844" s="63" t="s">
        <v>1414</v>
      </c>
      <c r="B844" s="64" t="s">
        <v>324</v>
      </c>
      <c r="C844" s="64" t="s">
        <v>345</v>
      </c>
      <c r="D844" s="64" t="s">
        <v>1429</v>
      </c>
      <c r="E844" s="64" t="s">
        <v>324</v>
      </c>
      <c r="F844" s="65" t="s">
        <v>1419</v>
      </c>
      <c r="G844" s="64" t="s">
        <v>1417</v>
      </c>
      <c r="H844" s="64" t="s">
        <v>209</v>
      </c>
      <c r="I844" s="64" t="s">
        <v>16</v>
      </c>
      <c r="J844" s="64" t="s">
        <v>201</v>
      </c>
      <c r="K844" s="66">
        <v>38</v>
      </c>
      <c r="L844" s="66">
        <f>K844*VLOOKUP(I844,dagsoorttabel1,2,FALSE)</f>
        <v>7.6000000000000005</v>
      </c>
      <c r="M844" s="67">
        <f>prodnorm31</f>
        <v>0</v>
      </c>
      <c r="N844" s="68">
        <f>dagwerk31</f>
        <v>0</v>
      </c>
      <c r="O844" s="64" t="s">
        <v>38</v>
      </c>
      <c r="P844" s="69">
        <f>uurtarief31</f>
        <v>0</v>
      </c>
      <c r="Q844" s="66" t="e">
        <f>IF(ISBLANK(M844),0,L844/ROUND(M844,4))</f>
        <v>#DIV/0!</v>
      </c>
      <c r="R844" s="66" t="e">
        <f>IF(ISBLANK(M844),0,Q844*ROUND(N844,2))</f>
        <v>#DIV/0!</v>
      </c>
      <c r="S844" s="69" t="e">
        <f>ROUND(P844,2)*Q844</f>
        <v>#DIV/0!</v>
      </c>
      <c r="T844" s="66" t="e">
        <f>Q844*dagenperjaar1</f>
        <v>#DIV/0!</v>
      </c>
      <c r="U844" s="70" t="e">
        <f>T844*ROUND(P844,2)</f>
        <v>#DIV/0!</v>
      </c>
    </row>
    <row r="845" spans="1:21" x14ac:dyDescent="0.2">
      <c r="A845" s="63" t="s">
        <v>1414</v>
      </c>
      <c r="B845" s="64" t="s">
        <v>324</v>
      </c>
      <c r="C845" s="64" t="s">
        <v>345</v>
      </c>
      <c r="D845" s="64" t="s">
        <v>1430</v>
      </c>
      <c r="E845" s="64" t="s">
        <v>324</v>
      </c>
      <c r="F845" s="65" t="s">
        <v>1431</v>
      </c>
      <c r="G845" s="64" t="s">
        <v>1417</v>
      </c>
      <c r="H845" s="64" t="s">
        <v>249</v>
      </c>
      <c r="I845" s="64" t="s">
        <v>10</v>
      </c>
      <c r="J845" s="64" t="s">
        <v>201</v>
      </c>
      <c r="K845" s="66">
        <v>243</v>
      </c>
      <c r="L845" s="66">
        <f>K845*VLOOKUP(I845,dagsoorttabel1,2,FALSE)</f>
        <v>243</v>
      </c>
      <c r="M845" s="67">
        <f>prodnorm56</f>
        <v>0</v>
      </c>
      <c r="N845" s="68">
        <f>dagwerk56</f>
        <v>0</v>
      </c>
      <c r="O845" s="64" t="s">
        <v>38</v>
      </c>
      <c r="P845" s="69">
        <f>uurtarief56</f>
        <v>0</v>
      </c>
      <c r="Q845" s="66" t="e">
        <f>IF(ISBLANK(M845),0,L845/ROUND(M845,4))</f>
        <v>#DIV/0!</v>
      </c>
      <c r="R845" s="66" t="e">
        <f>IF(ISBLANK(M845),0,Q845*ROUND(N845,2))</f>
        <v>#DIV/0!</v>
      </c>
      <c r="S845" s="69" t="e">
        <f>ROUND(P845,2)*Q845</f>
        <v>#DIV/0!</v>
      </c>
      <c r="T845" s="66" t="e">
        <f>Q845*dagenperjaar1</f>
        <v>#DIV/0!</v>
      </c>
      <c r="U845" s="70" t="e">
        <f>T845*ROUND(P845,2)</f>
        <v>#DIV/0!</v>
      </c>
    </row>
    <row r="846" spans="1:21" x14ac:dyDescent="0.2">
      <c r="A846" s="63" t="s">
        <v>1414</v>
      </c>
      <c r="B846" s="64" t="s">
        <v>324</v>
      </c>
      <c r="C846" s="64" t="s">
        <v>345</v>
      </c>
      <c r="D846" s="64" t="s">
        <v>1432</v>
      </c>
      <c r="E846" s="64" t="s">
        <v>324</v>
      </c>
      <c r="F846" s="65" t="s">
        <v>381</v>
      </c>
      <c r="G846" s="64" t="s">
        <v>328</v>
      </c>
      <c r="H846" s="64" t="s">
        <v>205</v>
      </c>
      <c r="I846" s="64" t="s">
        <v>16</v>
      </c>
      <c r="J846" s="64" t="s">
        <v>201</v>
      </c>
      <c r="K846" s="66">
        <v>14</v>
      </c>
      <c r="L846" s="66">
        <f>K846*VLOOKUP(I846,dagsoorttabel1,2,FALSE)</f>
        <v>2.8000000000000003</v>
      </c>
      <c r="M846" s="67">
        <f>prodnorm27</f>
        <v>0</v>
      </c>
      <c r="N846" s="68">
        <f>dagwerk27</f>
        <v>0</v>
      </c>
      <c r="O846" s="64" t="s">
        <v>38</v>
      </c>
      <c r="P846" s="69">
        <f>uurtarief27</f>
        <v>0</v>
      </c>
      <c r="Q846" s="66" t="e">
        <f>IF(ISBLANK(M846),0,L846/ROUND(M846,4))</f>
        <v>#DIV/0!</v>
      </c>
      <c r="R846" s="66" t="e">
        <f>IF(ISBLANK(M846),0,Q846*ROUND(N846,2))</f>
        <v>#DIV/0!</v>
      </c>
      <c r="S846" s="69" t="e">
        <f>ROUND(P846,2)*Q846</f>
        <v>#DIV/0!</v>
      </c>
      <c r="T846" s="66" t="e">
        <f>Q846*dagenperjaar1</f>
        <v>#DIV/0!</v>
      </c>
      <c r="U846" s="70" t="e">
        <f>T846*ROUND(P846,2)</f>
        <v>#DIV/0!</v>
      </c>
    </row>
    <row r="847" spans="1:21" x14ac:dyDescent="0.2">
      <c r="A847" s="63" t="s">
        <v>1414</v>
      </c>
      <c r="B847" s="64" t="s">
        <v>324</v>
      </c>
      <c r="C847" s="64" t="s">
        <v>345</v>
      </c>
      <c r="D847" s="64" t="s">
        <v>1433</v>
      </c>
      <c r="E847" s="64" t="s">
        <v>324</v>
      </c>
      <c r="F847" s="65" t="s">
        <v>1434</v>
      </c>
      <c r="G847" s="64" t="s">
        <v>365</v>
      </c>
      <c r="H847" s="64" t="s">
        <v>251</v>
      </c>
      <c r="I847" s="64" t="s">
        <v>10</v>
      </c>
      <c r="J847" s="64" t="s">
        <v>201</v>
      </c>
      <c r="K847" s="66">
        <v>160</v>
      </c>
      <c r="L847" s="66">
        <f>K847*VLOOKUP(I847,dagsoorttabel1,2,FALSE)</f>
        <v>160</v>
      </c>
      <c r="M847" s="67">
        <f>prodnorm57</f>
        <v>0</v>
      </c>
      <c r="N847" s="68">
        <f>dagwerk57</f>
        <v>0</v>
      </c>
      <c r="O847" s="64" t="s">
        <v>38</v>
      </c>
      <c r="P847" s="69">
        <f>uurtarief57</f>
        <v>0</v>
      </c>
      <c r="Q847" s="66" t="e">
        <f>IF(ISBLANK(M847),0,L847/ROUND(M847,4))</f>
        <v>#DIV/0!</v>
      </c>
      <c r="R847" s="66" t="e">
        <f>IF(ISBLANK(M847),0,Q847*ROUND(N847,2))</f>
        <v>#DIV/0!</v>
      </c>
      <c r="S847" s="69" t="e">
        <f>ROUND(P847,2)*Q847</f>
        <v>#DIV/0!</v>
      </c>
      <c r="T847" s="66" t="e">
        <f>Q847*dagenperjaar1</f>
        <v>#DIV/0!</v>
      </c>
      <c r="U847" s="70" t="e">
        <f>T847*ROUND(P847,2)</f>
        <v>#DIV/0!</v>
      </c>
    </row>
    <row r="848" spans="1:21" x14ac:dyDescent="0.2">
      <c r="A848" s="63" t="s">
        <v>1414</v>
      </c>
      <c r="B848" s="64" t="s">
        <v>324</v>
      </c>
      <c r="C848" s="64" t="s">
        <v>345</v>
      </c>
      <c r="D848" s="64" t="s">
        <v>1435</v>
      </c>
      <c r="E848" s="64" t="s">
        <v>324</v>
      </c>
      <c r="F848" s="65" t="s">
        <v>1436</v>
      </c>
      <c r="G848" s="64" t="s">
        <v>365</v>
      </c>
      <c r="H848" s="64" t="s">
        <v>251</v>
      </c>
      <c r="I848" s="64" t="s">
        <v>10</v>
      </c>
      <c r="J848" s="64" t="s">
        <v>201</v>
      </c>
      <c r="K848" s="66">
        <v>160</v>
      </c>
      <c r="L848" s="66">
        <f>K848*VLOOKUP(I848,dagsoorttabel1,2,FALSE)</f>
        <v>160</v>
      </c>
      <c r="M848" s="67">
        <f>prodnorm57</f>
        <v>0</v>
      </c>
      <c r="N848" s="68">
        <f>dagwerk57</f>
        <v>0</v>
      </c>
      <c r="O848" s="64" t="s">
        <v>38</v>
      </c>
      <c r="P848" s="69">
        <f>uurtarief57</f>
        <v>0</v>
      </c>
      <c r="Q848" s="66" t="e">
        <f>IF(ISBLANK(M848),0,L848/ROUND(M848,4))</f>
        <v>#DIV/0!</v>
      </c>
      <c r="R848" s="66" t="e">
        <f>IF(ISBLANK(M848),0,Q848*ROUND(N848,2))</f>
        <v>#DIV/0!</v>
      </c>
      <c r="S848" s="69" t="e">
        <f>ROUND(P848,2)*Q848</f>
        <v>#DIV/0!</v>
      </c>
      <c r="T848" s="66" t="e">
        <f>Q848*dagenperjaar1</f>
        <v>#DIV/0!</v>
      </c>
      <c r="U848" s="70" t="e">
        <f>T848*ROUND(P848,2)</f>
        <v>#DIV/0!</v>
      </c>
    </row>
    <row r="849" spans="1:21" x14ac:dyDescent="0.2">
      <c r="A849" s="63" t="s">
        <v>1414</v>
      </c>
      <c r="B849" s="64" t="s">
        <v>324</v>
      </c>
      <c r="C849" s="64" t="s">
        <v>345</v>
      </c>
      <c r="D849" s="64" t="s">
        <v>1437</v>
      </c>
      <c r="E849" s="64" t="s">
        <v>324</v>
      </c>
      <c r="F849" s="65" t="s">
        <v>1438</v>
      </c>
      <c r="G849" s="64" t="s">
        <v>365</v>
      </c>
      <c r="H849" s="64" t="s">
        <v>227</v>
      </c>
      <c r="I849" s="64" t="s">
        <v>10</v>
      </c>
      <c r="J849" s="64" t="s">
        <v>201</v>
      </c>
      <c r="K849" s="66">
        <v>10</v>
      </c>
      <c r="L849" s="66">
        <f>K849*VLOOKUP(I849,dagsoorttabel1,2,FALSE)</f>
        <v>10</v>
      </c>
      <c r="M849" s="67">
        <f>prodnorm42</f>
        <v>0</v>
      </c>
      <c r="N849" s="68">
        <f>dagwerk42</f>
        <v>0</v>
      </c>
      <c r="O849" s="64" t="s">
        <v>38</v>
      </c>
      <c r="P849" s="69">
        <f>uurtarief42</f>
        <v>0</v>
      </c>
      <c r="Q849" s="66" t="e">
        <f>IF(ISBLANK(M849),0,L849/ROUND(M849,4))</f>
        <v>#DIV/0!</v>
      </c>
      <c r="R849" s="66" t="e">
        <f>IF(ISBLANK(M849),0,Q849*ROUND(N849,2))</f>
        <v>#DIV/0!</v>
      </c>
      <c r="S849" s="69" t="e">
        <f>ROUND(P849,2)*Q849</f>
        <v>#DIV/0!</v>
      </c>
      <c r="T849" s="66" t="e">
        <f>Q849*dagenperjaar1</f>
        <v>#DIV/0!</v>
      </c>
      <c r="U849" s="70" t="e">
        <f>T849*ROUND(P849,2)</f>
        <v>#DIV/0!</v>
      </c>
    </row>
    <row r="850" spans="1:21" x14ac:dyDescent="0.2">
      <c r="A850" s="63" t="s">
        <v>1414</v>
      </c>
      <c r="B850" s="64" t="s">
        <v>324</v>
      </c>
      <c r="C850" s="64" t="s">
        <v>345</v>
      </c>
      <c r="D850" s="64" t="s">
        <v>1439</v>
      </c>
      <c r="E850" s="64" t="s">
        <v>324</v>
      </c>
      <c r="F850" s="65" t="s">
        <v>1393</v>
      </c>
      <c r="G850" s="64" t="s">
        <v>328</v>
      </c>
      <c r="H850" s="64" t="s">
        <v>229</v>
      </c>
      <c r="I850" s="64" t="s">
        <v>10</v>
      </c>
      <c r="J850" s="64" t="s">
        <v>201</v>
      </c>
      <c r="K850" s="66">
        <v>61</v>
      </c>
      <c r="L850" s="66">
        <f>K850*VLOOKUP(I850,dagsoorttabel1,2,FALSE)</f>
        <v>61</v>
      </c>
      <c r="M850" s="67">
        <f>prodnorm43</f>
        <v>0</v>
      </c>
      <c r="N850" s="68">
        <f>dagwerk43</f>
        <v>0</v>
      </c>
      <c r="O850" s="64" t="s">
        <v>38</v>
      </c>
      <c r="P850" s="69">
        <f>uurtarief43</f>
        <v>0</v>
      </c>
      <c r="Q850" s="66" t="e">
        <f>IF(ISBLANK(M850),0,L850/ROUND(M850,4))</f>
        <v>#DIV/0!</v>
      </c>
      <c r="R850" s="66" t="e">
        <f>IF(ISBLANK(M850),0,Q850*ROUND(N850,2))</f>
        <v>#DIV/0!</v>
      </c>
      <c r="S850" s="69" t="e">
        <f>ROUND(P850,2)*Q850</f>
        <v>#DIV/0!</v>
      </c>
      <c r="T850" s="66" t="e">
        <f>Q850*dagenperjaar1</f>
        <v>#DIV/0!</v>
      </c>
      <c r="U850" s="70" t="e">
        <f>T850*ROUND(P850,2)</f>
        <v>#DIV/0!</v>
      </c>
    </row>
    <row r="851" spans="1:21" x14ac:dyDescent="0.2">
      <c r="A851" s="63" t="s">
        <v>1414</v>
      </c>
      <c r="B851" s="64" t="s">
        <v>324</v>
      </c>
      <c r="C851" s="64" t="s">
        <v>345</v>
      </c>
      <c r="D851" s="64" t="s">
        <v>1440</v>
      </c>
      <c r="E851" s="64" t="s">
        <v>324</v>
      </c>
      <c r="F851" s="65" t="s">
        <v>1441</v>
      </c>
      <c r="G851" s="64" t="s">
        <v>328</v>
      </c>
      <c r="H851" s="64" t="s">
        <v>229</v>
      </c>
      <c r="I851" s="64" t="s">
        <v>10</v>
      </c>
      <c r="J851" s="64" t="s">
        <v>201</v>
      </c>
      <c r="K851" s="66">
        <v>45</v>
      </c>
      <c r="L851" s="66">
        <f>K851*VLOOKUP(I851,dagsoorttabel1,2,FALSE)</f>
        <v>45</v>
      </c>
      <c r="M851" s="67">
        <f>prodnorm43</f>
        <v>0</v>
      </c>
      <c r="N851" s="68">
        <f>dagwerk43</f>
        <v>0</v>
      </c>
      <c r="O851" s="64" t="s">
        <v>38</v>
      </c>
      <c r="P851" s="69">
        <f>uurtarief43</f>
        <v>0</v>
      </c>
      <c r="Q851" s="66" t="e">
        <f>IF(ISBLANK(M851),0,L851/ROUND(M851,4))</f>
        <v>#DIV/0!</v>
      </c>
      <c r="R851" s="66" t="e">
        <f>IF(ISBLANK(M851),0,Q851*ROUND(N851,2))</f>
        <v>#DIV/0!</v>
      </c>
      <c r="S851" s="69" t="e">
        <f>ROUND(P851,2)*Q851</f>
        <v>#DIV/0!</v>
      </c>
      <c r="T851" s="66" t="e">
        <f>Q851*dagenperjaar1</f>
        <v>#DIV/0!</v>
      </c>
      <c r="U851" s="70" t="e">
        <f>T851*ROUND(P851,2)</f>
        <v>#DIV/0!</v>
      </c>
    </row>
    <row r="852" spans="1:21" ht="25.5" x14ac:dyDescent="0.2">
      <c r="A852" s="63" t="s">
        <v>1414</v>
      </c>
      <c r="B852" s="64" t="s">
        <v>324</v>
      </c>
      <c r="C852" s="64" t="s">
        <v>345</v>
      </c>
      <c r="D852" s="64" t="s">
        <v>1442</v>
      </c>
      <c r="E852" s="64" t="s">
        <v>324</v>
      </c>
      <c r="F852" s="65" t="s">
        <v>1443</v>
      </c>
      <c r="G852" s="64" t="s">
        <v>339</v>
      </c>
      <c r="H852" s="64" t="s">
        <v>249</v>
      </c>
      <c r="I852" s="64" t="s">
        <v>10</v>
      </c>
      <c r="J852" s="64" t="s">
        <v>201</v>
      </c>
      <c r="K852" s="66">
        <v>505</v>
      </c>
      <c r="L852" s="66">
        <f>K852*VLOOKUP(I852,dagsoorttabel1,2,FALSE)</f>
        <v>505</v>
      </c>
      <c r="M852" s="67">
        <f>prodnorm56</f>
        <v>0</v>
      </c>
      <c r="N852" s="68">
        <f>dagwerk56</f>
        <v>0</v>
      </c>
      <c r="O852" s="64" t="s">
        <v>38</v>
      </c>
      <c r="P852" s="69">
        <f>uurtarief56</f>
        <v>0</v>
      </c>
      <c r="Q852" s="66" t="e">
        <f>IF(ISBLANK(M852),0,L852/ROUND(M852,4))</f>
        <v>#DIV/0!</v>
      </c>
      <c r="R852" s="66" t="e">
        <f>IF(ISBLANK(M852),0,Q852*ROUND(N852,2))</f>
        <v>#DIV/0!</v>
      </c>
      <c r="S852" s="69" t="e">
        <f>ROUND(P852,2)*Q852</f>
        <v>#DIV/0!</v>
      </c>
      <c r="T852" s="66" t="e">
        <f>Q852*dagenperjaar1</f>
        <v>#DIV/0!</v>
      </c>
      <c r="U852" s="70" t="e">
        <f>T852*ROUND(P852,2)</f>
        <v>#DIV/0!</v>
      </c>
    </row>
    <row r="853" spans="1:21" ht="25.5" x14ac:dyDescent="0.2">
      <c r="A853" s="63" t="s">
        <v>1414</v>
      </c>
      <c r="B853" s="64" t="s">
        <v>324</v>
      </c>
      <c r="C853" s="64" t="s">
        <v>345</v>
      </c>
      <c r="D853" s="64" t="s">
        <v>1444</v>
      </c>
      <c r="E853" s="64" t="s">
        <v>324</v>
      </c>
      <c r="F853" s="65" t="s">
        <v>1445</v>
      </c>
      <c r="G853" s="64" t="s">
        <v>339</v>
      </c>
      <c r="H853" s="64" t="s">
        <v>249</v>
      </c>
      <c r="I853" s="64" t="s">
        <v>10</v>
      </c>
      <c r="J853" s="64" t="s">
        <v>201</v>
      </c>
      <c r="K853" s="66">
        <v>117</v>
      </c>
      <c r="L853" s="66">
        <f>K853*VLOOKUP(I853,dagsoorttabel1,2,FALSE)</f>
        <v>117</v>
      </c>
      <c r="M853" s="67">
        <f>prodnorm56</f>
        <v>0</v>
      </c>
      <c r="N853" s="68">
        <f>dagwerk56</f>
        <v>0</v>
      </c>
      <c r="O853" s="64" t="s">
        <v>38</v>
      </c>
      <c r="P853" s="69">
        <f>uurtarief56</f>
        <v>0</v>
      </c>
      <c r="Q853" s="66" t="e">
        <f>IF(ISBLANK(M853),0,L853/ROUND(M853,4))</f>
        <v>#DIV/0!</v>
      </c>
      <c r="R853" s="66" t="e">
        <f>IF(ISBLANK(M853),0,Q853*ROUND(N853,2))</f>
        <v>#DIV/0!</v>
      </c>
      <c r="S853" s="69" t="e">
        <f>ROUND(P853,2)*Q853</f>
        <v>#DIV/0!</v>
      </c>
      <c r="T853" s="66" t="e">
        <f>Q853*dagenperjaar1</f>
        <v>#DIV/0!</v>
      </c>
      <c r="U853" s="70" t="e">
        <f>T853*ROUND(P853,2)</f>
        <v>#DIV/0!</v>
      </c>
    </row>
    <row r="854" spans="1:21" x14ac:dyDescent="0.2">
      <c r="A854" s="63" t="s">
        <v>1414</v>
      </c>
      <c r="B854" s="64" t="s">
        <v>324</v>
      </c>
      <c r="C854" s="64" t="s">
        <v>345</v>
      </c>
      <c r="D854" s="64" t="s">
        <v>1446</v>
      </c>
      <c r="E854" s="64" t="s">
        <v>324</v>
      </c>
      <c r="F854" s="65" t="s">
        <v>1447</v>
      </c>
      <c r="G854" s="64" t="s">
        <v>1421</v>
      </c>
      <c r="H854" s="64" t="s">
        <v>229</v>
      </c>
      <c r="I854" s="64" t="s">
        <v>10</v>
      </c>
      <c r="J854" s="64" t="s">
        <v>201</v>
      </c>
      <c r="K854" s="66">
        <v>70</v>
      </c>
      <c r="L854" s="66">
        <f>K854*VLOOKUP(I854,dagsoorttabel1,2,FALSE)</f>
        <v>70</v>
      </c>
      <c r="M854" s="67">
        <f>prodnorm43</f>
        <v>0</v>
      </c>
      <c r="N854" s="68">
        <f>dagwerk43</f>
        <v>0</v>
      </c>
      <c r="O854" s="64" t="s">
        <v>38</v>
      </c>
      <c r="P854" s="69">
        <f>uurtarief43</f>
        <v>0</v>
      </c>
      <c r="Q854" s="66" t="e">
        <f>IF(ISBLANK(M854),0,L854/ROUND(M854,4))</f>
        <v>#DIV/0!</v>
      </c>
      <c r="R854" s="66" t="e">
        <f>IF(ISBLANK(M854),0,Q854*ROUND(N854,2))</f>
        <v>#DIV/0!</v>
      </c>
      <c r="S854" s="69" t="e">
        <f>ROUND(P854,2)*Q854</f>
        <v>#DIV/0!</v>
      </c>
      <c r="T854" s="66" t="e">
        <f>Q854*dagenperjaar1</f>
        <v>#DIV/0!</v>
      </c>
      <c r="U854" s="70" t="e">
        <f>T854*ROUND(P854,2)</f>
        <v>#DIV/0!</v>
      </c>
    </row>
    <row r="855" spans="1:21" x14ac:dyDescent="0.2">
      <c r="A855" s="63" t="s">
        <v>1414</v>
      </c>
      <c r="B855" s="64" t="s">
        <v>324</v>
      </c>
      <c r="C855" s="64" t="s">
        <v>345</v>
      </c>
      <c r="D855" s="64" t="s">
        <v>1448</v>
      </c>
      <c r="E855" s="64" t="s">
        <v>324</v>
      </c>
      <c r="F855" s="65" t="s">
        <v>1447</v>
      </c>
      <c r="G855" s="64" t="s">
        <v>1421</v>
      </c>
      <c r="H855" s="64" t="s">
        <v>229</v>
      </c>
      <c r="I855" s="64" t="s">
        <v>10</v>
      </c>
      <c r="J855" s="64" t="s">
        <v>201</v>
      </c>
      <c r="K855" s="66">
        <v>64</v>
      </c>
      <c r="L855" s="66">
        <f>K855*VLOOKUP(I855,dagsoorttabel1,2,FALSE)</f>
        <v>64</v>
      </c>
      <c r="M855" s="67">
        <f>prodnorm43</f>
        <v>0</v>
      </c>
      <c r="N855" s="68">
        <f>dagwerk43</f>
        <v>0</v>
      </c>
      <c r="O855" s="64" t="s">
        <v>38</v>
      </c>
      <c r="P855" s="69">
        <f>uurtarief43</f>
        <v>0</v>
      </c>
      <c r="Q855" s="66" t="e">
        <f>IF(ISBLANK(M855),0,L855/ROUND(M855,4))</f>
        <v>#DIV/0!</v>
      </c>
      <c r="R855" s="66" t="e">
        <f>IF(ISBLANK(M855),0,Q855*ROUND(N855,2))</f>
        <v>#DIV/0!</v>
      </c>
      <c r="S855" s="69" t="e">
        <f>ROUND(P855,2)*Q855</f>
        <v>#DIV/0!</v>
      </c>
      <c r="T855" s="66" t="e">
        <f>Q855*dagenperjaar1</f>
        <v>#DIV/0!</v>
      </c>
      <c r="U855" s="70" t="e">
        <f>T855*ROUND(P855,2)</f>
        <v>#DIV/0!</v>
      </c>
    </row>
    <row r="856" spans="1:21" ht="25.5" x14ac:dyDescent="0.2">
      <c r="A856" s="63" t="s">
        <v>1414</v>
      </c>
      <c r="B856" s="64" t="s">
        <v>324</v>
      </c>
      <c r="C856" s="64" t="s">
        <v>345</v>
      </c>
      <c r="D856" s="64" t="s">
        <v>1449</v>
      </c>
      <c r="E856" s="64" t="s">
        <v>324</v>
      </c>
      <c r="F856" s="65" t="s">
        <v>1450</v>
      </c>
      <c r="G856" s="64" t="s">
        <v>1421</v>
      </c>
      <c r="H856" s="64" t="s">
        <v>249</v>
      </c>
      <c r="I856" s="64" t="s">
        <v>10</v>
      </c>
      <c r="J856" s="64" t="s">
        <v>201</v>
      </c>
      <c r="K856" s="66">
        <v>275</v>
      </c>
      <c r="L856" s="66">
        <f>K856*VLOOKUP(I856,dagsoorttabel1,2,FALSE)</f>
        <v>275</v>
      </c>
      <c r="M856" s="67">
        <f>prodnorm56</f>
        <v>0</v>
      </c>
      <c r="N856" s="68">
        <f>dagwerk56</f>
        <v>0</v>
      </c>
      <c r="O856" s="64" t="s">
        <v>38</v>
      </c>
      <c r="P856" s="69">
        <f>uurtarief56</f>
        <v>0</v>
      </c>
      <c r="Q856" s="66" t="e">
        <f>IF(ISBLANK(M856),0,L856/ROUND(M856,4))</f>
        <v>#DIV/0!</v>
      </c>
      <c r="R856" s="66" t="e">
        <f>IF(ISBLANK(M856),0,Q856*ROUND(N856,2))</f>
        <v>#DIV/0!</v>
      </c>
      <c r="S856" s="69" t="e">
        <f>ROUND(P856,2)*Q856</f>
        <v>#DIV/0!</v>
      </c>
      <c r="T856" s="66" t="e">
        <f>Q856*dagenperjaar1</f>
        <v>#DIV/0!</v>
      </c>
      <c r="U856" s="70" t="e">
        <f>T856*ROUND(P856,2)</f>
        <v>#DIV/0!</v>
      </c>
    </row>
    <row r="857" spans="1:21" x14ac:dyDescent="0.2">
      <c r="A857" s="63" t="s">
        <v>1414</v>
      </c>
      <c r="B857" s="64" t="s">
        <v>324</v>
      </c>
      <c r="C857" s="64" t="s">
        <v>345</v>
      </c>
      <c r="D857" s="64" t="s">
        <v>1451</v>
      </c>
      <c r="E857" s="64" t="s">
        <v>324</v>
      </c>
      <c r="F857" s="65" t="s">
        <v>1452</v>
      </c>
      <c r="G857" s="64" t="s">
        <v>624</v>
      </c>
      <c r="H857" s="64" t="s">
        <v>229</v>
      </c>
      <c r="I857" s="64" t="s">
        <v>10</v>
      </c>
      <c r="J857" s="64" t="s">
        <v>201</v>
      </c>
      <c r="K857" s="66">
        <v>46</v>
      </c>
      <c r="L857" s="66">
        <f>K857*VLOOKUP(I857,dagsoorttabel1,2,FALSE)</f>
        <v>46</v>
      </c>
      <c r="M857" s="67">
        <f>prodnorm43</f>
        <v>0</v>
      </c>
      <c r="N857" s="68">
        <f>dagwerk43</f>
        <v>0</v>
      </c>
      <c r="O857" s="64" t="s">
        <v>38</v>
      </c>
      <c r="P857" s="69">
        <f>uurtarief43</f>
        <v>0</v>
      </c>
      <c r="Q857" s="66" t="e">
        <f>IF(ISBLANK(M857),0,L857/ROUND(M857,4))</f>
        <v>#DIV/0!</v>
      </c>
      <c r="R857" s="66" t="e">
        <f>IF(ISBLANK(M857),0,Q857*ROUND(N857,2))</f>
        <v>#DIV/0!</v>
      </c>
      <c r="S857" s="69" t="e">
        <f>ROUND(P857,2)*Q857</f>
        <v>#DIV/0!</v>
      </c>
      <c r="T857" s="66" t="e">
        <f>Q857*dagenperjaar1</f>
        <v>#DIV/0!</v>
      </c>
      <c r="U857" s="70" t="e">
        <f>T857*ROUND(P857,2)</f>
        <v>#DIV/0!</v>
      </c>
    </row>
    <row r="858" spans="1:21" x14ac:dyDescent="0.2">
      <c r="A858" s="63" t="s">
        <v>1414</v>
      </c>
      <c r="B858" s="64" t="s">
        <v>324</v>
      </c>
      <c r="C858" s="64" t="s">
        <v>345</v>
      </c>
      <c r="D858" s="64" t="s">
        <v>1453</v>
      </c>
      <c r="E858" s="64" t="s">
        <v>324</v>
      </c>
      <c r="F858" s="65" t="s">
        <v>1454</v>
      </c>
      <c r="G858" s="64" t="s">
        <v>1421</v>
      </c>
      <c r="H858" s="64" t="s">
        <v>249</v>
      </c>
      <c r="I858" s="64" t="s">
        <v>10</v>
      </c>
      <c r="J858" s="64" t="s">
        <v>201</v>
      </c>
      <c r="K858" s="66">
        <v>192</v>
      </c>
      <c r="L858" s="66">
        <f>K858*VLOOKUP(I858,dagsoorttabel1,2,FALSE)</f>
        <v>192</v>
      </c>
      <c r="M858" s="67">
        <f>prodnorm56</f>
        <v>0</v>
      </c>
      <c r="N858" s="68">
        <f>dagwerk56</f>
        <v>0</v>
      </c>
      <c r="O858" s="64" t="s">
        <v>38</v>
      </c>
      <c r="P858" s="69">
        <f>uurtarief56</f>
        <v>0</v>
      </c>
      <c r="Q858" s="66" t="e">
        <f>IF(ISBLANK(M858),0,L858/ROUND(M858,4))</f>
        <v>#DIV/0!</v>
      </c>
      <c r="R858" s="66" t="e">
        <f>IF(ISBLANK(M858),0,Q858*ROUND(N858,2))</f>
        <v>#DIV/0!</v>
      </c>
      <c r="S858" s="69" t="e">
        <f>ROUND(P858,2)*Q858</f>
        <v>#DIV/0!</v>
      </c>
      <c r="T858" s="66" t="e">
        <f>Q858*dagenperjaar1</f>
        <v>#DIV/0!</v>
      </c>
      <c r="U858" s="70" t="e">
        <f>T858*ROUND(P858,2)</f>
        <v>#DIV/0!</v>
      </c>
    </row>
    <row r="859" spans="1:21" x14ac:dyDescent="0.2">
      <c r="A859" s="63" t="s">
        <v>1414</v>
      </c>
      <c r="B859" s="64" t="s">
        <v>324</v>
      </c>
      <c r="C859" s="64" t="s">
        <v>345</v>
      </c>
      <c r="D859" s="64" t="s">
        <v>1455</v>
      </c>
      <c r="E859" s="64" t="s">
        <v>324</v>
      </c>
      <c r="F859" s="65" t="s">
        <v>936</v>
      </c>
      <c r="G859" s="64" t="s">
        <v>1421</v>
      </c>
      <c r="H859" s="64" t="s">
        <v>200</v>
      </c>
      <c r="I859" s="64" t="s">
        <v>10</v>
      </c>
      <c r="J859" s="64" t="s">
        <v>201</v>
      </c>
      <c r="K859" s="66">
        <v>120</v>
      </c>
      <c r="L859" s="66">
        <f>K859*VLOOKUP(I859,dagsoorttabel1,2,FALSE)</f>
        <v>120</v>
      </c>
      <c r="M859" s="67">
        <f>prodnorm24</f>
        <v>0</v>
      </c>
      <c r="N859" s="68">
        <f>dagwerk24</f>
        <v>0</v>
      </c>
      <c r="O859" s="64" t="s">
        <v>38</v>
      </c>
      <c r="P859" s="69">
        <f>uurtarief24</f>
        <v>0</v>
      </c>
      <c r="Q859" s="66" t="e">
        <f>IF(ISBLANK(M859),0,L859/ROUND(M859,4))</f>
        <v>#DIV/0!</v>
      </c>
      <c r="R859" s="66" t="e">
        <f>IF(ISBLANK(M859),0,Q859*ROUND(N859,2))</f>
        <v>#DIV/0!</v>
      </c>
      <c r="S859" s="69" t="e">
        <f>ROUND(P859,2)*Q859</f>
        <v>#DIV/0!</v>
      </c>
      <c r="T859" s="66" t="e">
        <f>Q859*dagenperjaar1</f>
        <v>#DIV/0!</v>
      </c>
      <c r="U859" s="70" t="e">
        <f>T859*ROUND(P859,2)</f>
        <v>#DIV/0!</v>
      </c>
    </row>
    <row r="860" spans="1:21" x14ac:dyDescent="0.2">
      <c r="A860" s="63" t="s">
        <v>1414</v>
      </c>
      <c r="B860" s="64" t="s">
        <v>324</v>
      </c>
      <c r="C860" s="64" t="s">
        <v>345</v>
      </c>
      <c r="D860" s="64" t="s">
        <v>1456</v>
      </c>
      <c r="E860" s="64" t="s">
        <v>324</v>
      </c>
      <c r="F860" s="65" t="s">
        <v>1457</v>
      </c>
      <c r="G860" s="64" t="s">
        <v>324</v>
      </c>
      <c r="H860" s="64" t="s">
        <v>229</v>
      </c>
      <c r="I860" s="64" t="s">
        <v>10</v>
      </c>
      <c r="J860" s="64" t="s">
        <v>201</v>
      </c>
      <c r="K860" s="66">
        <v>50</v>
      </c>
      <c r="L860" s="66">
        <f>K860*VLOOKUP(I860,dagsoorttabel1,2,FALSE)</f>
        <v>50</v>
      </c>
      <c r="M860" s="67">
        <f>prodnorm43</f>
        <v>0</v>
      </c>
      <c r="N860" s="68">
        <f>dagwerk43</f>
        <v>0</v>
      </c>
      <c r="O860" s="64" t="s">
        <v>38</v>
      </c>
      <c r="P860" s="69">
        <f>uurtarief43</f>
        <v>0</v>
      </c>
      <c r="Q860" s="66" t="e">
        <f>IF(ISBLANK(M860),0,L860/ROUND(M860,4))</f>
        <v>#DIV/0!</v>
      </c>
      <c r="R860" s="66" t="e">
        <f>IF(ISBLANK(M860),0,Q860*ROUND(N860,2))</f>
        <v>#DIV/0!</v>
      </c>
      <c r="S860" s="69" t="e">
        <f>ROUND(P860,2)*Q860</f>
        <v>#DIV/0!</v>
      </c>
      <c r="T860" s="66" t="e">
        <f>Q860*dagenperjaar1</f>
        <v>#DIV/0!</v>
      </c>
      <c r="U860" s="70" t="e">
        <f>T860*ROUND(P860,2)</f>
        <v>#DIV/0!</v>
      </c>
    </row>
    <row r="861" spans="1:21" x14ac:dyDescent="0.2">
      <c r="A861" s="63" t="s">
        <v>1414</v>
      </c>
      <c r="B861" s="64" t="s">
        <v>324</v>
      </c>
      <c r="C861" s="64" t="s">
        <v>345</v>
      </c>
      <c r="D861" s="64" t="s">
        <v>1458</v>
      </c>
      <c r="E861" s="64" t="s">
        <v>324</v>
      </c>
      <c r="F861" s="65" t="s">
        <v>1459</v>
      </c>
      <c r="G861" s="64" t="s">
        <v>328</v>
      </c>
      <c r="H861" s="64" t="s">
        <v>243</v>
      </c>
      <c r="I861" s="64" t="s">
        <v>10</v>
      </c>
      <c r="J861" s="64" t="s">
        <v>201</v>
      </c>
      <c r="K861" s="66">
        <v>143</v>
      </c>
      <c r="L861" s="66">
        <f>K861*VLOOKUP(I861,dagsoorttabel1,2,FALSE)</f>
        <v>143</v>
      </c>
      <c r="M861" s="67">
        <f>prodnorm52</f>
        <v>0</v>
      </c>
      <c r="N861" s="68">
        <f>dagwerk52</f>
        <v>0</v>
      </c>
      <c r="O861" s="64" t="s">
        <v>38</v>
      </c>
      <c r="P861" s="69">
        <f>uurtarief52</f>
        <v>0</v>
      </c>
      <c r="Q861" s="66" t="e">
        <f>IF(ISBLANK(M861),0,L861/ROUND(M861,4))</f>
        <v>#DIV/0!</v>
      </c>
      <c r="R861" s="66" t="e">
        <f>IF(ISBLANK(M861),0,Q861*ROUND(N861,2))</f>
        <v>#DIV/0!</v>
      </c>
      <c r="S861" s="69" t="e">
        <f>ROUND(P861,2)*Q861</f>
        <v>#DIV/0!</v>
      </c>
      <c r="T861" s="66" t="e">
        <f>Q861*dagenperjaar1</f>
        <v>#DIV/0!</v>
      </c>
      <c r="U861" s="70" t="e">
        <f>T861*ROUND(P861,2)</f>
        <v>#DIV/0!</v>
      </c>
    </row>
    <row r="862" spans="1:21" x14ac:dyDescent="0.2">
      <c r="A862" s="63" t="s">
        <v>1414</v>
      </c>
      <c r="B862" s="64" t="s">
        <v>324</v>
      </c>
      <c r="C862" s="64" t="s">
        <v>345</v>
      </c>
      <c r="D862" s="64" t="s">
        <v>1460</v>
      </c>
      <c r="E862" s="64" t="s">
        <v>324</v>
      </c>
      <c r="F862" s="65" t="s">
        <v>1459</v>
      </c>
      <c r="G862" s="64" t="s">
        <v>328</v>
      </c>
      <c r="H862" s="64" t="s">
        <v>243</v>
      </c>
      <c r="I862" s="64" t="s">
        <v>10</v>
      </c>
      <c r="J862" s="64" t="s">
        <v>201</v>
      </c>
      <c r="K862" s="66">
        <v>149</v>
      </c>
      <c r="L862" s="66">
        <f>K862*VLOOKUP(I862,dagsoorttabel1,2,FALSE)</f>
        <v>149</v>
      </c>
      <c r="M862" s="67">
        <f>prodnorm52</f>
        <v>0</v>
      </c>
      <c r="N862" s="68">
        <f>dagwerk52</f>
        <v>0</v>
      </c>
      <c r="O862" s="64" t="s">
        <v>38</v>
      </c>
      <c r="P862" s="69">
        <f>uurtarief52</f>
        <v>0</v>
      </c>
      <c r="Q862" s="66" t="e">
        <f>IF(ISBLANK(M862),0,L862/ROUND(M862,4))</f>
        <v>#DIV/0!</v>
      </c>
      <c r="R862" s="66" t="e">
        <f>IF(ISBLANK(M862),0,Q862*ROUND(N862,2))</f>
        <v>#DIV/0!</v>
      </c>
      <c r="S862" s="69" t="e">
        <f>ROUND(P862,2)*Q862</f>
        <v>#DIV/0!</v>
      </c>
      <c r="T862" s="66" t="e">
        <f>Q862*dagenperjaar1</f>
        <v>#DIV/0!</v>
      </c>
      <c r="U862" s="70" t="e">
        <f>T862*ROUND(P862,2)</f>
        <v>#DIV/0!</v>
      </c>
    </row>
    <row r="863" spans="1:21" x14ac:dyDescent="0.2">
      <c r="A863" s="63" t="s">
        <v>1414</v>
      </c>
      <c r="B863" s="64" t="s">
        <v>324</v>
      </c>
      <c r="C863" s="64" t="s">
        <v>345</v>
      </c>
      <c r="D863" s="64" t="s">
        <v>1461</v>
      </c>
      <c r="E863" s="64" t="s">
        <v>324</v>
      </c>
      <c r="F863" s="65" t="s">
        <v>1459</v>
      </c>
      <c r="G863" s="64" t="s">
        <v>328</v>
      </c>
      <c r="H863" s="64" t="s">
        <v>243</v>
      </c>
      <c r="I863" s="64" t="s">
        <v>10</v>
      </c>
      <c r="J863" s="64" t="s">
        <v>201</v>
      </c>
      <c r="K863" s="66">
        <v>178</v>
      </c>
      <c r="L863" s="66">
        <f>K863*VLOOKUP(I863,dagsoorttabel1,2,FALSE)</f>
        <v>178</v>
      </c>
      <c r="M863" s="67">
        <f>prodnorm52</f>
        <v>0</v>
      </c>
      <c r="N863" s="68">
        <f>dagwerk52</f>
        <v>0</v>
      </c>
      <c r="O863" s="64" t="s">
        <v>38</v>
      </c>
      <c r="P863" s="69">
        <f>uurtarief52</f>
        <v>0</v>
      </c>
      <c r="Q863" s="66" t="e">
        <f>IF(ISBLANK(M863),0,L863/ROUND(M863,4))</f>
        <v>#DIV/0!</v>
      </c>
      <c r="R863" s="66" t="e">
        <f>IF(ISBLANK(M863),0,Q863*ROUND(N863,2))</f>
        <v>#DIV/0!</v>
      </c>
      <c r="S863" s="69" t="e">
        <f>ROUND(P863,2)*Q863</f>
        <v>#DIV/0!</v>
      </c>
      <c r="T863" s="66" t="e">
        <f>Q863*dagenperjaar1</f>
        <v>#DIV/0!</v>
      </c>
      <c r="U863" s="70" t="e">
        <f>T863*ROUND(P863,2)</f>
        <v>#DIV/0!</v>
      </c>
    </row>
    <row r="864" spans="1:21" x14ac:dyDescent="0.2">
      <c r="A864" s="63" t="s">
        <v>1414</v>
      </c>
      <c r="B864" s="64" t="s">
        <v>324</v>
      </c>
      <c r="C864" s="64" t="s">
        <v>345</v>
      </c>
      <c r="D864" s="64" t="s">
        <v>1462</v>
      </c>
      <c r="E864" s="64" t="s">
        <v>324</v>
      </c>
      <c r="F864" s="65" t="s">
        <v>1457</v>
      </c>
      <c r="G864" s="64" t="s">
        <v>351</v>
      </c>
      <c r="H864" s="64" t="s">
        <v>231</v>
      </c>
      <c r="I864" s="64" t="s">
        <v>10</v>
      </c>
      <c r="J864" s="64" t="s">
        <v>201</v>
      </c>
      <c r="K864" s="66">
        <v>60</v>
      </c>
      <c r="L864" s="66">
        <f>K864*VLOOKUP(I864,dagsoorttabel1,2,FALSE)</f>
        <v>60</v>
      </c>
      <c r="M864" s="67">
        <f>prodnorm44</f>
        <v>0</v>
      </c>
      <c r="N864" s="68">
        <f>dagwerk44</f>
        <v>0</v>
      </c>
      <c r="O864" s="64" t="s">
        <v>38</v>
      </c>
      <c r="P864" s="69">
        <f>uurtarief44</f>
        <v>0</v>
      </c>
      <c r="Q864" s="66" t="e">
        <f>IF(ISBLANK(M864),0,L864/ROUND(M864,4))</f>
        <v>#DIV/0!</v>
      </c>
      <c r="R864" s="66" t="e">
        <f>IF(ISBLANK(M864),0,Q864*ROUND(N864,2))</f>
        <v>#DIV/0!</v>
      </c>
      <c r="S864" s="69" t="e">
        <f>ROUND(P864,2)*Q864</f>
        <v>#DIV/0!</v>
      </c>
      <c r="T864" s="66" t="e">
        <f>Q864*dagenperjaar1</f>
        <v>#DIV/0!</v>
      </c>
      <c r="U864" s="70" t="e">
        <f>T864*ROUND(P864,2)</f>
        <v>#DIV/0!</v>
      </c>
    </row>
    <row r="865" spans="1:21" x14ac:dyDescent="0.2">
      <c r="A865" s="63" t="s">
        <v>1414</v>
      </c>
      <c r="B865" s="64" t="s">
        <v>324</v>
      </c>
      <c r="C865" s="64" t="s">
        <v>345</v>
      </c>
      <c r="D865" s="64" t="s">
        <v>1463</v>
      </c>
      <c r="E865" s="64" t="s">
        <v>324</v>
      </c>
      <c r="F865" s="65" t="s">
        <v>335</v>
      </c>
      <c r="G865" s="64" t="s">
        <v>351</v>
      </c>
      <c r="H865" s="64" t="s">
        <v>269</v>
      </c>
      <c r="I865" s="64" t="s">
        <v>10</v>
      </c>
      <c r="J865" s="64" t="s">
        <v>201</v>
      </c>
      <c r="K865" s="66">
        <v>46.5</v>
      </c>
      <c r="L865" s="66">
        <f>K865*VLOOKUP(I865,dagsoorttabel1,2,FALSE)</f>
        <v>46.5</v>
      </c>
      <c r="M865" s="67">
        <f>prodnorm67</f>
        <v>0</v>
      </c>
      <c r="N865" s="68">
        <f>dagwerk67</f>
        <v>0</v>
      </c>
      <c r="O865" s="64" t="s">
        <v>38</v>
      </c>
      <c r="P865" s="69">
        <f>uurtarief67</f>
        <v>0</v>
      </c>
      <c r="Q865" s="66" t="e">
        <f>IF(ISBLANK(M865),0,L865/ROUND(M865,4))</f>
        <v>#DIV/0!</v>
      </c>
      <c r="R865" s="66" t="e">
        <f>IF(ISBLANK(M865),0,Q865*ROUND(N865,2))</f>
        <v>#DIV/0!</v>
      </c>
      <c r="S865" s="69" t="e">
        <f>ROUND(P865,2)*Q865</f>
        <v>#DIV/0!</v>
      </c>
      <c r="T865" s="66" t="e">
        <f>Q865*dagenperjaar1</f>
        <v>#DIV/0!</v>
      </c>
      <c r="U865" s="70" t="e">
        <f>T865*ROUND(P865,2)</f>
        <v>#DIV/0!</v>
      </c>
    </row>
    <row r="866" spans="1:21" x14ac:dyDescent="0.2">
      <c r="A866" s="63" t="s">
        <v>1414</v>
      </c>
      <c r="B866" s="64" t="s">
        <v>324</v>
      </c>
      <c r="C866" s="64" t="s">
        <v>345</v>
      </c>
      <c r="D866" s="64" t="s">
        <v>1464</v>
      </c>
      <c r="E866" s="64" t="s">
        <v>324</v>
      </c>
      <c r="F866" s="65" t="s">
        <v>335</v>
      </c>
      <c r="G866" s="64" t="s">
        <v>351</v>
      </c>
      <c r="H866" s="64" t="s">
        <v>269</v>
      </c>
      <c r="I866" s="64" t="s">
        <v>10</v>
      </c>
      <c r="J866" s="64" t="s">
        <v>201</v>
      </c>
      <c r="K866" s="66">
        <v>73</v>
      </c>
      <c r="L866" s="66">
        <f>K866*VLOOKUP(I866,dagsoorttabel1,2,FALSE)</f>
        <v>73</v>
      </c>
      <c r="M866" s="67">
        <f>prodnorm67</f>
        <v>0</v>
      </c>
      <c r="N866" s="68">
        <f>dagwerk67</f>
        <v>0</v>
      </c>
      <c r="O866" s="64" t="s">
        <v>38</v>
      </c>
      <c r="P866" s="69">
        <f>uurtarief67</f>
        <v>0</v>
      </c>
      <c r="Q866" s="66" t="e">
        <f>IF(ISBLANK(M866),0,L866/ROUND(M866,4))</f>
        <v>#DIV/0!</v>
      </c>
      <c r="R866" s="66" t="e">
        <f>IF(ISBLANK(M866),0,Q866*ROUND(N866,2))</f>
        <v>#DIV/0!</v>
      </c>
      <c r="S866" s="69" t="e">
        <f>ROUND(P866,2)*Q866</f>
        <v>#DIV/0!</v>
      </c>
      <c r="T866" s="66" t="e">
        <f>Q866*dagenperjaar1</f>
        <v>#DIV/0!</v>
      </c>
      <c r="U866" s="70" t="e">
        <f>T866*ROUND(P866,2)</f>
        <v>#DIV/0!</v>
      </c>
    </row>
    <row r="867" spans="1:21" x14ac:dyDescent="0.2">
      <c r="A867" s="63" t="s">
        <v>1414</v>
      </c>
      <c r="B867" s="64" t="s">
        <v>324</v>
      </c>
      <c r="C867" s="64" t="s">
        <v>345</v>
      </c>
      <c r="D867" s="64" t="s">
        <v>1465</v>
      </c>
      <c r="E867" s="64" t="s">
        <v>324</v>
      </c>
      <c r="F867" s="65" t="s">
        <v>1466</v>
      </c>
      <c r="G867" s="64" t="s">
        <v>351</v>
      </c>
      <c r="H867" s="64" t="s">
        <v>203</v>
      </c>
      <c r="I867" s="64" t="s">
        <v>10</v>
      </c>
      <c r="J867" s="64" t="s">
        <v>201</v>
      </c>
      <c r="K867" s="66">
        <v>297</v>
      </c>
      <c r="L867" s="66">
        <f>K867*VLOOKUP(I867,dagsoorttabel1,2,FALSE)</f>
        <v>297</v>
      </c>
      <c r="M867" s="67">
        <f>prodnorm25</f>
        <v>0</v>
      </c>
      <c r="N867" s="68">
        <f>dagwerk25</f>
        <v>0</v>
      </c>
      <c r="O867" s="64" t="s">
        <v>38</v>
      </c>
      <c r="P867" s="69">
        <f>uurtarief25</f>
        <v>0</v>
      </c>
      <c r="Q867" s="66" t="e">
        <f>IF(ISBLANK(M867),0,L867/ROUND(M867,4))</f>
        <v>#DIV/0!</v>
      </c>
      <c r="R867" s="66" t="e">
        <f>IF(ISBLANK(M867),0,Q867*ROUND(N867,2))</f>
        <v>#DIV/0!</v>
      </c>
      <c r="S867" s="69" t="e">
        <f>ROUND(P867,2)*Q867</f>
        <v>#DIV/0!</v>
      </c>
      <c r="T867" s="66" t="e">
        <f>Q867*dagenperjaar1</f>
        <v>#DIV/0!</v>
      </c>
      <c r="U867" s="70" t="e">
        <f>T867*ROUND(P867,2)</f>
        <v>#DIV/0!</v>
      </c>
    </row>
    <row r="868" spans="1:21" x14ac:dyDescent="0.2">
      <c r="A868" s="63" t="s">
        <v>1414</v>
      </c>
      <c r="B868" s="64" t="s">
        <v>324</v>
      </c>
      <c r="C868" s="64" t="s">
        <v>345</v>
      </c>
      <c r="D868" s="64" t="s">
        <v>1467</v>
      </c>
      <c r="E868" s="64" t="s">
        <v>324</v>
      </c>
      <c r="F868" s="65" t="s">
        <v>327</v>
      </c>
      <c r="G868" s="64" t="s">
        <v>351</v>
      </c>
      <c r="H868" s="64" t="s">
        <v>225</v>
      </c>
      <c r="I868" s="64" t="s">
        <v>10</v>
      </c>
      <c r="J868" s="64" t="s">
        <v>201</v>
      </c>
      <c r="K868" s="66">
        <v>2</v>
      </c>
      <c r="L868" s="66">
        <f>K868*VLOOKUP(I868,dagsoorttabel1,2,FALSE)</f>
        <v>2</v>
      </c>
      <c r="M868" s="67">
        <f>prodnorm41</f>
        <v>0</v>
      </c>
      <c r="N868" s="68">
        <f>dagwerk41</f>
        <v>0</v>
      </c>
      <c r="O868" s="64" t="s">
        <v>38</v>
      </c>
      <c r="P868" s="69">
        <f>uurtarief41</f>
        <v>0</v>
      </c>
      <c r="Q868" s="66" t="e">
        <f>IF(ISBLANK(M868),0,L868/ROUND(M868,4))</f>
        <v>#DIV/0!</v>
      </c>
      <c r="R868" s="66" t="e">
        <f>IF(ISBLANK(M868),0,Q868*ROUND(N868,2))</f>
        <v>#DIV/0!</v>
      </c>
      <c r="S868" s="69" t="e">
        <f>ROUND(P868,2)*Q868</f>
        <v>#DIV/0!</v>
      </c>
      <c r="T868" s="66" t="e">
        <f>Q868*dagenperjaar1</f>
        <v>#DIV/0!</v>
      </c>
      <c r="U868" s="70" t="e">
        <f>T868*ROUND(P868,2)</f>
        <v>#DIV/0!</v>
      </c>
    </row>
    <row r="869" spans="1:21" x14ac:dyDescent="0.2">
      <c r="A869" s="63" t="s">
        <v>1414</v>
      </c>
      <c r="B869" s="64" t="s">
        <v>324</v>
      </c>
      <c r="C869" s="64" t="s">
        <v>345</v>
      </c>
      <c r="D869" s="64" t="s">
        <v>1468</v>
      </c>
      <c r="E869" s="64" t="s">
        <v>324</v>
      </c>
      <c r="F869" s="65" t="s">
        <v>925</v>
      </c>
      <c r="G869" s="64" t="s">
        <v>365</v>
      </c>
      <c r="H869" s="64" t="s">
        <v>255</v>
      </c>
      <c r="I869" s="64" t="s">
        <v>10</v>
      </c>
      <c r="J869" s="64" t="s">
        <v>201</v>
      </c>
      <c r="K869" s="66">
        <v>13.6</v>
      </c>
      <c r="L869" s="66">
        <f>K869*VLOOKUP(I869,dagsoorttabel1,2,FALSE)</f>
        <v>13.6</v>
      </c>
      <c r="M869" s="67">
        <f>prodnorm59</f>
        <v>0</v>
      </c>
      <c r="N869" s="68">
        <f>dagwerk59</f>
        <v>0</v>
      </c>
      <c r="O869" s="64" t="s">
        <v>38</v>
      </c>
      <c r="P869" s="69">
        <f>uurtarief59</f>
        <v>0</v>
      </c>
      <c r="Q869" s="66" t="e">
        <f>IF(ISBLANK(M869),0,L869/ROUND(M869,4))</f>
        <v>#DIV/0!</v>
      </c>
      <c r="R869" s="66" t="e">
        <f>IF(ISBLANK(M869),0,Q869*ROUND(N869,2))</f>
        <v>#DIV/0!</v>
      </c>
      <c r="S869" s="69" t="e">
        <f>ROUND(P869,2)*Q869</f>
        <v>#DIV/0!</v>
      </c>
      <c r="T869" s="66" t="e">
        <f>Q869*dagenperjaar1</f>
        <v>#DIV/0!</v>
      </c>
      <c r="U869" s="70" t="e">
        <f>T869*ROUND(P869,2)</f>
        <v>#DIV/0!</v>
      </c>
    </row>
    <row r="870" spans="1:21" x14ac:dyDescent="0.2">
      <c r="A870" s="63" t="s">
        <v>1414</v>
      </c>
      <c r="B870" s="64" t="s">
        <v>324</v>
      </c>
      <c r="C870" s="64" t="s">
        <v>345</v>
      </c>
      <c r="D870" s="64" t="s">
        <v>1469</v>
      </c>
      <c r="E870" s="64" t="s">
        <v>324</v>
      </c>
      <c r="F870" s="65" t="s">
        <v>1470</v>
      </c>
      <c r="G870" s="64" t="s">
        <v>365</v>
      </c>
      <c r="H870" s="64" t="s">
        <v>255</v>
      </c>
      <c r="I870" s="64" t="s">
        <v>10</v>
      </c>
      <c r="J870" s="64" t="s">
        <v>201</v>
      </c>
      <c r="K870" s="66">
        <v>13.6</v>
      </c>
      <c r="L870" s="66">
        <f>K870*VLOOKUP(I870,dagsoorttabel1,2,FALSE)</f>
        <v>13.6</v>
      </c>
      <c r="M870" s="67">
        <f>prodnorm59</f>
        <v>0</v>
      </c>
      <c r="N870" s="68">
        <f>dagwerk59</f>
        <v>0</v>
      </c>
      <c r="O870" s="64" t="s">
        <v>38</v>
      </c>
      <c r="P870" s="69">
        <f>uurtarief59</f>
        <v>0</v>
      </c>
      <c r="Q870" s="66" t="e">
        <f>IF(ISBLANK(M870),0,L870/ROUND(M870,4))</f>
        <v>#DIV/0!</v>
      </c>
      <c r="R870" s="66" t="e">
        <f>IF(ISBLANK(M870),0,Q870*ROUND(N870,2))</f>
        <v>#DIV/0!</v>
      </c>
      <c r="S870" s="69" t="e">
        <f>ROUND(P870,2)*Q870</f>
        <v>#DIV/0!</v>
      </c>
      <c r="T870" s="66" t="e">
        <f>Q870*dagenperjaar1</f>
        <v>#DIV/0!</v>
      </c>
      <c r="U870" s="70" t="e">
        <f>T870*ROUND(P870,2)</f>
        <v>#DIV/0!</v>
      </c>
    </row>
    <row r="871" spans="1:21" x14ac:dyDescent="0.2">
      <c r="A871" s="63" t="s">
        <v>1414</v>
      </c>
      <c r="B871" s="64" t="s">
        <v>324</v>
      </c>
      <c r="C871" s="64" t="s">
        <v>345</v>
      </c>
      <c r="D871" s="64" t="s">
        <v>1471</v>
      </c>
      <c r="E871" s="64" t="s">
        <v>324</v>
      </c>
      <c r="F871" s="65" t="s">
        <v>1472</v>
      </c>
      <c r="G871" s="64" t="s">
        <v>1421</v>
      </c>
      <c r="H871" s="64" t="s">
        <v>205</v>
      </c>
      <c r="I871" s="64" t="s">
        <v>10</v>
      </c>
      <c r="J871" s="64" t="s">
        <v>201</v>
      </c>
      <c r="K871" s="66">
        <v>4</v>
      </c>
      <c r="L871" s="66">
        <f>K871*VLOOKUP(I871,dagsoorttabel1,2,FALSE)</f>
        <v>4</v>
      </c>
      <c r="M871" s="67">
        <f>prodnorm26</f>
        <v>0</v>
      </c>
      <c r="N871" s="68">
        <f>dagwerk26</f>
        <v>0</v>
      </c>
      <c r="O871" s="64" t="s">
        <v>38</v>
      </c>
      <c r="P871" s="69">
        <f>uurtarief26</f>
        <v>0</v>
      </c>
      <c r="Q871" s="66" t="e">
        <f>IF(ISBLANK(M871),0,L871/ROUND(M871,4))</f>
        <v>#DIV/0!</v>
      </c>
      <c r="R871" s="66" t="e">
        <f>IF(ISBLANK(M871),0,Q871*ROUND(N871,2))</f>
        <v>#DIV/0!</v>
      </c>
      <c r="S871" s="69" t="e">
        <f>ROUND(P871,2)*Q871</f>
        <v>#DIV/0!</v>
      </c>
      <c r="T871" s="66" t="e">
        <f>Q871*dagenperjaar1</f>
        <v>#DIV/0!</v>
      </c>
      <c r="U871" s="70" t="e">
        <f>T871*ROUND(P871,2)</f>
        <v>#DIV/0!</v>
      </c>
    </row>
    <row r="872" spans="1:21" x14ac:dyDescent="0.2">
      <c r="A872" s="63" t="s">
        <v>1414</v>
      </c>
      <c r="B872" s="64" t="s">
        <v>324</v>
      </c>
      <c r="C872" s="64" t="s">
        <v>345</v>
      </c>
      <c r="D872" s="64" t="s">
        <v>1473</v>
      </c>
      <c r="E872" s="64" t="s">
        <v>324</v>
      </c>
      <c r="F872" s="65" t="s">
        <v>354</v>
      </c>
      <c r="G872" s="64" t="s">
        <v>351</v>
      </c>
      <c r="H872" s="64" t="s">
        <v>217</v>
      </c>
      <c r="I872" s="64" t="s">
        <v>10</v>
      </c>
      <c r="J872" s="64" t="s">
        <v>201</v>
      </c>
      <c r="K872" s="66">
        <v>40</v>
      </c>
      <c r="L872" s="66">
        <f>K872*VLOOKUP(I872,dagsoorttabel1,2,FALSE)</f>
        <v>40</v>
      </c>
      <c r="M872" s="67">
        <f>prodnorm35</f>
        <v>0</v>
      </c>
      <c r="N872" s="68">
        <f>dagwerk35</f>
        <v>0</v>
      </c>
      <c r="O872" s="64" t="s">
        <v>38</v>
      </c>
      <c r="P872" s="69">
        <f>uurtarief35</f>
        <v>0</v>
      </c>
      <c r="Q872" s="66" t="e">
        <f>IF(ISBLANK(M872),0,L872/ROUND(M872,4))</f>
        <v>#DIV/0!</v>
      </c>
      <c r="R872" s="66" t="e">
        <f>IF(ISBLANK(M872),0,Q872*ROUND(N872,2))</f>
        <v>#DIV/0!</v>
      </c>
      <c r="S872" s="69" t="e">
        <f>ROUND(P872,2)*Q872</f>
        <v>#DIV/0!</v>
      </c>
      <c r="T872" s="66" t="e">
        <f>Q872*dagenperjaar1</f>
        <v>#DIV/0!</v>
      </c>
      <c r="U872" s="70" t="e">
        <f>T872*ROUND(P872,2)</f>
        <v>#DIV/0!</v>
      </c>
    </row>
    <row r="873" spans="1:21" x14ac:dyDescent="0.2">
      <c r="A873" s="63" t="s">
        <v>1414</v>
      </c>
      <c r="B873" s="64" t="s">
        <v>324</v>
      </c>
      <c r="C873" s="64" t="s">
        <v>345</v>
      </c>
      <c r="D873" s="64" t="s">
        <v>1474</v>
      </c>
      <c r="E873" s="64" t="s">
        <v>324</v>
      </c>
      <c r="F873" s="65" t="s">
        <v>1457</v>
      </c>
      <c r="G873" s="64" t="s">
        <v>328</v>
      </c>
      <c r="H873" s="64" t="s">
        <v>229</v>
      </c>
      <c r="I873" s="64" t="s">
        <v>10</v>
      </c>
      <c r="J873" s="64" t="s">
        <v>201</v>
      </c>
      <c r="K873" s="66">
        <v>59</v>
      </c>
      <c r="L873" s="66">
        <f>K873*VLOOKUP(I873,dagsoorttabel1,2,FALSE)</f>
        <v>59</v>
      </c>
      <c r="M873" s="67">
        <f>prodnorm43</f>
        <v>0</v>
      </c>
      <c r="N873" s="68">
        <f>dagwerk43</f>
        <v>0</v>
      </c>
      <c r="O873" s="64" t="s">
        <v>38</v>
      </c>
      <c r="P873" s="69">
        <f>uurtarief43</f>
        <v>0</v>
      </c>
      <c r="Q873" s="66" t="e">
        <f>IF(ISBLANK(M873),0,L873/ROUND(M873,4))</f>
        <v>#DIV/0!</v>
      </c>
      <c r="R873" s="66" t="e">
        <f>IF(ISBLANK(M873),0,Q873*ROUND(N873,2))</f>
        <v>#DIV/0!</v>
      </c>
      <c r="S873" s="69" t="e">
        <f>ROUND(P873,2)*Q873</f>
        <v>#DIV/0!</v>
      </c>
      <c r="T873" s="66" t="e">
        <f>Q873*dagenperjaar1</f>
        <v>#DIV/0!</v>
      </c>
      <c r="U873" s="70" t="e">
        <f>T873*ROUND(P873,2)</f>
        <v>#DIV/0!</v>
      </c>
    </row>
    <row r="874" spans="1:21" x14ac:dyDescent="0.2">
      <c r="A874" s="63" t="s">
        <v>1414</v>
      </c>
      <c r="B874" s="64" t="s">
        <v>324</v>
      </c>
      <c r="C874" s="64" t="s">
        <v>345</v>
      </c>
      <c r="D874" s="64" t="s">
        <v>1475</v>
      </c>
      <c r="E874" s="64" t="s">
        <v>324</v>
      </c>
      <c r="F874" s="65" t="s">
        <v>1457</v>
      </c>
      <c r="G874" s="64" t="s">
        <v>328</v>
      </c>
      <c r="H874" s="64" t="s">
        <v>229</v>
      </c>
      <c r="I874" s="64" t="s">
        <v>10</v>
      </c>
      <c r="J874" s="64" t="s">
        <v>201</v>
      </c>
      <c r="K874" s="66">
        <v>58</v>
      </c>
      <c r="L874" s="66">
        <f>K874*VLOOKUP(I874,dagsoorttabel1,2,FALSE)</f>
        <v>58</v>
      </c>
      <c r="M874" s="67">
        <f>prodnorm43</f>
        <v>0</v>
      </c>
      <c r="N874" s="68">
        <f>dagwerk43</f>
        <v>0</v>
      </c>
      <c r="O874" s="64" t="s">
        <v>38</v>
      </c>
      <c r="P874" s="69">
        <f>uurtarief43</f>
        <v>0</v>
      </c>
      <c r="Q874" s="66" t="e">
        <f>IF(ISBLANK(M874),0,L874/ROUND(M874,4))</f>
        <v>#DIV/0!</v>
      </c>
      <c r="R874" s="66" t="e">
        <f>IF(ISBLANK(M874),0,Q874*ROUND(N874,2))</f>
        <v>#DIV/0!</v>
      </c>
      <c r="S874" s="69" t="e">
        <f>ROUND(P874,2)*Q874</f>
        <v>#DIV/0!</v>
      </c>
      <c r="T874" s="66" t="e">
        <f>Q874*dagenperjaar1</f>
        <v>#DIV/0!</v>
      </c>
      <c r="U874" s="70" t="e">
        <f>T874*ROUND(P874,2)</f>
        <v>#DIV/0!</v>
      </c>
    </row>
    <row r="875" spans="1:21" x14ac:dyDescent="0.2">
      <c r="A875" s="63" t="s">
        <v>1414</v>
      </c>
      <c r="B875" s="64" t="s">
        <v>324</v>
      </c>
      <c r="C875" s="64" t="s">
        <v>345</v>
      </c>
      <c r="D875" s="64" t="s">
        <v>1476</v>
      </c>
      <c r="E875" s="64" t="s">
        <v>324</v>
      </c>
      <c r="F875" s="65" t="s">
        <v>1457</v>
      </c>
      <c r="G875" s="64" t="s">
        <v>328</v>
      </c>
      <c r="H875" s="64" t="s">
        <v>229</v>
      </c>
      <c r="I875" s="64" t="s">
        <v>10</v>
      </c>
      <c r="J875" s="64" t="s">
        <v>201</v>
      </c>
      <c r="K875" s="66">
        <v>89</v>
      </c>
      <c r="L875" s="66">
        <f>K875*VLOOKUP(I875,dagsoorttabel1,2,FALSE)</f>
        <v>89</v>
      </c>
      <c r="M875" s="67">
        <f>prodnorm43</f>
        <v>0</v>
      </c>
      <c r="N875" s="68">
        <f>dagwerk43</f>
        <v>0</v>
      </c>
      <c r="O875" s="64" t="s">
        <v>38</v>
      </c>
      <c r="P875" s="69">
        <f>uurtarief43</f>
        <v>0</v>
      </c>
      <c r="Q875" s="66" t="e">
        <f>IF(ISBLANK(M875),0,L875/ROUND(M875,4))</f>
        <v>#DIV/0!</v>
      </c>
      <c r="R875" s="66" t="e">
        <f>IF(ISBLANK(M875),0,Q875*ROUND(N875,2))</f>
        <v>#DIV/0!</v>
      </c>
      <c r="S875" s="69" t="e">
        <f>ROUND(P875,2)*Q875</f>
        <v>#DIV/0!</v>
      </c>
      <c r="T875" s="66" t="e">
        <f>Q875*dagenperjaar1</f>
        <v>#DIV/0!</v>
      </c>
      <c r="U875" s="70" t="e">
        <f>T875*ROUND(P875,2)</f>
        <v>#DIV/0!</v>
      </c>
    </row>
    <row r="876" spans="1:21" x14ac:dyDescent="0.2">
      <c r="A876" s="63" t="s">
        <v>1414</v>
      </c>
      <c r="B876" s="64" t="s">
        <v>324</v>
      </c>
      <c r="C876" s="64" t="s">
        <v>345</v>
      </c>
      <c r="D876" s="64" t="s">
        <v>1477</v>
      </c>
      <c r="E876" s="64" t="s">
        <v>324</v>
      </c>
      <c r="F876" s="65" t="s">
        <v>381</v>
      </c>
      <c r="G876" s="64" t="s">
        <v>351</v>
      </c>
      <c r="H876" s="64" t="s">
        <v>207</v>
      </c>
      <c r="I876" s="64" t="s">
        <v>16</v>
      </c>
      <c r="J876" s="64" t="s">
        <v>201</v>
      </c>
      <c r="K876" s="66">
        <v>29</v>
      </c>
      <c r="L876" s="66">
        <f>K876*VLOOKUP(I876,dagsoorttabel1,2,FALSE)</f>
        <v>5.8000000000000007</v>
      </c>
      <c r="M876" s="67">
        <f>prodnorm29</f>
        <v>0</v>
      </c>
      <c r="N876" s="68">
        <f>dagwerk29</f>
        <v>0</v>
      </c>
      <c r="O876" s="64" t="s">
        <v>38</v>
      </c>
      <c r="P876" s="69">
        <f>uurtarief29</f>
        <v>0</v>
      </c>
      <c r="Q876" s="66" t="e">
        <f>IF(ISBLANK(M876),0,L876/ROUND(M876,4))</f>
        <v>#DIV/0!</v>
      </c>
      <c r="R876" s="66" t="e">
        <f>IF(ISBLANK(M876),0,Q876*ROUND(N876,2))</f>
        <v>#DIV/0!</v>
      </c>
      <c r="S876" s="69" t="e">
        <f>ROUND(P876,2)*Q876</f>
        <v>#DIV/0!</v>
      </c>
      <c r="T876" s="66" t="e">
        <f>Q876*dagenperjaar1</f>
        <v>#DIV/0!</v>
      </c>
      <c r="U876" s="70" t="e">
        <f>T876*ROUND(P876,2)</f>
        <v>#DIV/0!</v>
      </c>
    </row>
    <row r="877" spans="1:21" x14ac:dyDescent="0.2">
      <c r="A877" s="63" t="s">
        <v>1414</v>
      </c>
      <c r="B877" s="64" t="s">
        <v>324</v>
      </c>
      <c r="C877" s="64" t="s">
        <v>345</v>
      </c>
      <c r="D877" s="64" t="s">
        <v>1478</v>
      </c>
      <c r="E877" s="64" t="s">
        <v>324</v>
      </c>
      <c r="F877" s="65" t="s">
        <v>381</v>
      </c>
      <c r="G877" s="64" t="s">
        <v>351</v>
      </c>
      <c r="H877" s="64" t="s">
        <v>207</v>
      </c>
      <c r="I877" s="64" t="s">
        <v>16</v>
      </c>
      <c r="J877" s="64" t="s">
        <v>201</v>
      </c>
      <c r="K877" s="66">
        <v>22</v>
      </c>
      <c r="L877" s="66">
        <f>K877*VLOOKUP(I877,dagsoorttabel1,2,FALSE)</f>
        <v>4.4000000000000004</v>
      </c>
      <c r="M877" s="67">
        <f>prodnorm29</f>
        <v>0</v>
      </c>
      <c r="N877" s="68">
        <f>dagwerk29</f>
        <v>0</v>
      </c>
      <c r="O877" s="64" t="s">
        <v>38</v>
      </c>
      <c r="P877" s="69">
        <f>uurtarief29</f>
        <v>0</v>
      </c>
      <c r="Q877" s="66" t="e">
        <f>IF(ISBLANK(M877),0,L877/ROUND(M877,4))</f>
        <v>#DIV/0!</v>
      </c>
      <c r="R877" s="66" t="e">
        <f>IF(ISBLANK(M877),0,Q877*ROUND(N877,2))</f>
        <v>#DIV/0!</v>
      </c>
      <c r="S877" s="69" t="e">
        <f>ROUND(P877,2)*Q877</f>
        <v>#DIV/0!</v>
      </c>
      <c r="T877" s="66" t="e">
        <f>Q877*dagenperjaar1</f>
        <v>#DIV/0!</v>
      </c>
      <c r="U877" s="70" t="e">
        <f>T877*ROUND(P877,2)</f>
        <v>#DIV/0!</v>
      </c>
    </row>
    <row r="878" spans="1:21" x14ac:dyDescent="0.2">
      <c r="A878" s="63" t="s">
        <v>1414</v>
      </c>
      <c r="B878" s="64" t="s">
        <v>324</v>
      </c>
      <c r="C878" s="64" t="s">
        <v>345</v>
      </c>
      <c r="D878" s="64" t="s">
        <v>1479</v>
      </c>
      <c r="E878" s="64" t="s">
        <v>324</v>
      </c>
      <c r="F878" s="65" t="s">
        <v>1334</v>
      </c>
      <c r="G878" s="64" t="s">
        <v>351</v>
      </c>
      <c r="H878" s="64" t="s">
        <v>207</v>
      </c>
      <c r="I878" s="64" t="s">
        <v>16</v>
      </c>
      <c r="J878" s="64" t="s">
        <v>201</v>
      </c>
      <c r="K878" s="66">
        <v>60</v>
      </c>
      <c r="L878" s="66">
        <f>K878*VLOOKUP(I878,dagsoorttabel1,2,FALSE)</f>
        <v>12</v>
      </c>
      <c r="M878" s="67">
        <f>prodnorm29</f>
        <v>0</v>
      </c>
      <c r="N878" s="68">
        <f>dagwerk29</f>
        <v>0</v>
      </c>
      <c r="O878" s="64" t="s">
        <v>38</v>
      </c>
      <c r="P878" s="69">
        <f>uurtarief29</f>
        <v>0</v>
      </c>
      <c r="Q878" s="66" t="e">
        <f>IF(ISBLANK(M878),0,L878/ROUND(M878,4))</f>
        <v>#DIV/0!</v>
      </c>
      <c r="R878" s="66" t="e">
        <f>IF(ISBLANK(M878),0,Q878*ROUND(N878,2))</f>
        <v>#DIV/0!</v>
      </c>
      <c r="S878" s="69" t="e">
        <f>ROUND(P878,2)*Q878</f>
        <v>#DIV/0!</v>
      </c>
      <c r="T878" s="66" t="e">
        <f>Q878*dagenperjaar1</f>
        <v>#DIV/0!</v>
      </c>
      <c r="U878" s="70" t="e">
        <f>T878*ROUND(P878,2)</f>
        <v>#DIV/0!</v>
      </c>
    </row>
    <row r="879" spans="1:21" x14ac:dyDescent="0.2">
      <c r="A879" s="63" t="s">
        <v>1414</v>
      </c>
      <c r="B879" s="64" t="s">
        <v>324</v>
      </c>
      <c r="C879" s="64" t="s">
        <v>345</v>
      </c>
      <c r="D879" s="64" t="s">
        <v>1480</v>
      </c>
      <c r="E879" s="64" t="s">
        <v>324</v>
      </c>
      <c r="F879" s="65" t="s">
        <v>381</v>
      </c>
      <c r="G879" s="64" t="s">
        <v>351</v>
      </c>
      <c r="H879" s="64" t="s">
        <v>207</v>
      </c>
      <c r="I879" s="64" t="s">
        <v>16</v>
      </c>
      <c r="J879" s="64" t="s">
        <v>201</v>
      </c>
      <c r="K879" s="66">
        <v>22</v>
      </c>
      <c r="L879" s="66">
        <f>K879*VLOOKUP(I879,dagsoorttabel1,2,FALSE)</f>
        <v>4.4000000000000004</v>
      </c>
      <c r="M879" s="67">
        <f>prodnorm29</f>
        <v>0</v>
      </c>
      <c r="N879" s="68">
        <f>dagwerk29</f>
        <v>0</v>
      </c>
      <c r="O879" s="64" t="s">
        <v>38</v>
      </c>
      <c r="P879" s="69">
        <f>uurtarief29</f>
        <v>0</v>
      </c>
      <c r="Q879" s="66" t="e">
        <f>IF(ISBLANK(M879),0,L879/ROUND(M879,4))</f>
        <v>#DIV/0!</v>
      </c>
      <c r="R879" s="66" t="e">
        <f>IF(ISBLANK(M879),0,Q879*ROUND(N879,2))</f>
        <v>#DIV/0!</v>
      </c>
      <c r="S879" s="69" t="e">
        <f>ROUND(P879,2)*Q879</f>
        <v>#DIV/0!</v>
      </c>
      <c r="T879" s="66" t="e">
        <f>Q879*dagenperjaar1</f>
        <v>#DIV/0!</v>
      </c>
      <c r="U879" s="70" t="e">
        <f>T879*ROUND(P879,2)</f>
        <v>#DIV/0!</v>
      </c>
    </row>
    <row r="880" spans="1:21" x14ac:dyDescent="0.2">
      <c r="A880" s="63" t="s">
        <v>1414</v>
      </c>
      <c r="B880" s="64" t="s">
        <v>324</v>
      </c>
      <c r="C880" s="64" t="s">
        <v>345</v>
      </c>
      <c r="D880" s="64" t="s">
        <v>1481</v>
      </c>
      <c r="E880" s="64" t="s">
        <v>324</v>
      </c>
      <c r="F880" s="65" t="s">
        <v>605</v>
      </c>
      <c r="G880" s="64" t="s">
        <v>328</v>
      </c>
      <c r="H880" s="64" t="s">
        <v>200</v>
      </c>
      <c r="I880" s="64" t="s">
        <v>10</v>
      </c>
      <c r="J880" s="64" t="s">
        <v>201</v>
      </c>
      <c r="K880" s="66">
        <v>508</v>
      </c>
      <c r="L880" s="66">
        <f>K880*VLOOKUP(I880,dagsoorttabel1,2,FALSE)</f>
        <v>508</v>
      </c>
      <c r="M880" s="67">
        <f>prodnorm24</f>
        <v>0</v>
      </c>
      <c r="N880" s="68">
        <f>dagwerk24</f>
        <v>0</v>
      </c>
      <c r="O880" s="64" t="s">
        <v>38</v>
      </c>
      <c r="P880" s="69">
        <f>uurtarief24</f>
        <v>0</v>
      </c>
      <c r="Q880" s="66" t="e">
        <f>IF(ISBLANK(M880),0,L880/ROUND(M880,4))</f>
        <v>#DIV/0!</v>
      </c>
      <c r="R880" s="66" t="e">
        <f>IF(ISBLANK(M880),0,Q880*ROUND(N880,2))</f>
        <v>#DIV/0!</v>
      </c>
      <c r="S880" s="69" t="e">
        <f>ROUND(P880,2)*Q880</f>
        <v>#DIV/0!</v>
      </c>
      <c r="T880" s="66" t="e">
        <f>Q880*dagenperjaar1</f>
        <v>#DIV/0!</v>
      </c>
      <c r="U880" s="70" t="e">
        <f>T880*ROUND(P880,2)</f>
        <v>#DIV/0!</v>
      </c>
    </row>
    <row r="881" spans="1:21" x14ac:dyDescent="0.2">
      <c r="A881" s="63" t="s">
        <v>1414</v>
      </c>
      <c r="B881" s="64" t="s">
        <v>324</v>
      </c>
      <c r="C881" s="64" t="s">
        <v>345</v>
      </c>
      <c r="D881" s="64" t="s">
        <v>1482</v>
      </c>
      <c r="E881" s="64" t="s">
        <v>324</v>
      </c>
      <c r="F881" s="65" t="s">
        <v>1483</v>
      </c>
      <c r="G881" s="64" t="s">
        <v>328</v>
      </c>
      <c r="H881" s="64" t="s">
        <v>205</v>
      </c>
      <c r="I881" s="64" t="s">
        <v>10</v>
      </c>
      <c r="J881" s="64" t="s">
        <v>201</v>
      </c>
      <c r="K881" s="66">
        <v>94</v>
      </c>
      <c r="L881" s="66">
        <f>K881*VLOOKUP(I881,dagsoorttabel1,2,FALSE)</f>
        <v>94</v>
      </c>
      <c r="M881" s="67">
        <f>prodnorm26</f>
        <v>0</v>
      </c>
      <c r="N881" s="68">
        <f>dagwerk26</f>
        <v>0</v>
      </c>
      <c r="O881" s="64" t="s">
        <v>38</v>
      </c>
      <c r="P881" s="69">
        <f>uurtarief26</f>
        <v>0</v>
      </c>
      <c r="Q881" s="66" t="e">
        <f>IF(ISBLANK(M881),0,L881/ROUND(M881,4))</f>
        <v>#DIV/0!</v>
      </c>
      <c r="R881" s="66" t="e">
        <f>IF(ISBLANK(M881),0,Q881*ROUND(N881,2))</f>
        <v>#DIV/0!</v>
      </c>
      <c r="S881" s="69" t="e">
        <f>ROUND(P881,2)*Q881</f>
        <v>#DIV/0!</v>
      </c>
      <c r="T881" s="66" t="e">
        <f>Q881*dagenperjaar1</f>
        <v>#DIV/0!</v>
      </c>
      <c r="U881" s="70" t="e">
        <f>T881*ROUND(P881,2)</f>
        <v>#DIV/0!</v>
      </c>
    </row>
    <row r="882" spans="1:21" x14ac:dyDescent="0.2">
      <c r="A882" s="63" t="s">
        <v>1414</v>
      </c>
      <c r="B882" s="64" t="s">
        <v>324</v>
      </c>
      <c r="C882" s="64" t="s">
        <v>345</v>
      </c>
      <c r="D882" s="64" t="s">
        <v>1484</v>
      </c>
      <c r="E882" s="64" t="s">
        <v>324</v>
      </c>
      <c r="F882" s="65" t="s">
        <v>1485</v>
      </c>
      <c r="G882" s="64" t="s">
        <v>351</v>
      </c>
      <c r="H882" s="64" t="s">
        <v>207</v>
      </c>
      <c r="I882" s="64" t="s">
        <v>16</v>
      </c>
      <c r="J882" s="64" t="s">
        <v>201</v>
      </c>
      <c r="K882" s="66">
        <v>28</v>
      </c>
      <c r="L882" s="66">
        <f>K882*VLOOKUP(I882,dagsoorttabel1,2,FALSE)</f>
        <v>5.6000000000000005</v>
      </c>
      <c r="M882" s="67">
        <f>prodnorm29</f>
        <v>0</v>
      </c>
      <c r="N882" s="68">
        <f>dagwerk29</f>
        <v>0</v>
      </c>
      <c r="O882" s="64" t="s">
        <v>38</v>
      </c>
      <c r="P882" s="69">
        <f>uurtarief29</f>
        <v>0</v>
      </c>
      <c r="Q882" s="66" t="e">
        <f>IF(ISBLANK(M882),0,L882/ROUND(M882,4))</f>
        <v>#DIV/0!</v>
      </c>
      <c r="R882" s="66" t="e">
        <f>IF(ISBLANK(M882),0,Q882*ROUND(N882,2))</f>
        <v>#DIV/0!</v>
      </c>
      <c r="S882" s="69" t="e">
        <f>ROUND(P882,2)*Q882</f>
        <v>#DIV/0!</v>
      </c>
      <c r="T882" s="66" t="e">
        <f>Q882*dagenperjaar1</f>
        <v>#DIV/0!</v>
      </c>
      <c r="U882" s="70" t="e">
        <f>T882*ROUND(P882,2)</f>
        <v>#DIV/0!</v>
      </c>
    </row>
    <row r="883" spans="1:21" x14ac:dyDescent="0.2">
      <c r="A883" s="63" t="s">
        <v>1414</v>
      </c>
      <c r="B883" s="64" t="s">
        <v>324</v>
      </c>
      <c r="C883" s="64" t="s">
        <v>345</v>
      </c>
      <c r="D883" s="64" t="s">
        <v>1486</v>
      </c>
      <c r="E883" s="64" t="s">
        <v>324</v>
      </c>
      <c r="F883" s="65" t="s">
        <v>632</v>
      </c>
      <c r="G883" s="64" t="s">
        <v>351</v>
      </c>
      <c r="H883" s="64" t="s">
        <v>207</v>
      </c>
      <c r="I883" s="64" t="s">
        <v>16</v>
      </c>
      <c r="J883" s="64" t="s">
        <v>201</v>
      </c>
      <c r="K883" s="66">
        <v>30</v>
      </c>
      <c r="L883" s="66">
        <f>K883*VLOOKUP(I883,dagsoorttabel1,2,FALSE)</f>
        <v>6</v>
      </c>
      <c r="M883" s="67">
        <f>prodnorm29</f>
        <v>0</v>
      </c>
      <c r="N883" s="68">
        <f>dagwerk29</f>
        <v>0</v>
      </c>
      <c r="O883" s="64" t="s">
        <v>38</v>
      </c>
      <c r="P883" s="69">
        <f>uurtarief29</f>
        <v>0</v>
      </c>
      <c r="Q883" s="66" t="e">
        <f>IF(ISBLANK(M883),0,L883/ROUND(M883,4))</f>
        <v>#DIV/0!</v>
      </c>
      <c r="R883" s="66" t="e">
        <f>IF(ISBLANK(M883),0,Q883*ROUND(N883,2))</f>
        <v>#DIV/0!</v>
      </c>
      <c r="S883" s="69" t="e">
        <f>ROUND(P883,2)*Q883</f>
        <v>#DIV/0!</v>
      </c>
      <c r="T883" s="66" t="e">
        <f>Q883*dagenperjaar1</f>
        <v>#DIV/0!</v>
      </c>
      <c r="U883" s="70" t="e">
        <f>T883*ROUND(P883,2)</f>
        <v>#DIV/0!</v>
      </c>
    </row>
    <row r="884" spans="1:21" x14ac:dyDescent="0.2">
      <c r="A884" s="63" t="s">
        <v>1414</v>
      </c>
      <c r="B884" s="64" t="s">
        <v>324</v>
      </c>
      <c r="C884" s="64" t="s">
        <v>345</v>
      </c>
      <c r="D884" s="64" t="s">
        <v>1487</v>
      </c>
      <c r="E884" s="64" t="s">
        <v>324</v>
      </c>
      <c r="F884" s="65" t="s">
        <v>335</v>
      </c>
      <c r="G884" s="64" t="s">
        <v>351</v>
      </c>
      <c r="H884" s="64" t="s">
        <v>269</v>
      </c>
      <c r="I884" s="64" t="s">
        <v>10</v>
      </c>
      <c r="J884" s="64" t="s">
        <v>201</v>
      </c>
      <c r="K884" s="66">
        <v>25</v>
      </c>
      <c r="L884" s="66">
        <f>K884*VLOOKUP(I884,dagsoorttabel1,2,FALSE)</f>
        <v>25</v>
      </c>
      <c r="M884" s="67">
        <f>prodnorm67</f>
        <v>0</v>
      </c>
      <c r="N884" s="68">
        <f>dagwerk67</f>
        <v>0</v>
      </c>
      <c r="O884" s="64" t="s">
        <v>38</v>
      </c>
      <c r="P884" s="69">
        <f>uurtarief67</f>
        <v>0</v>
      </c>
      <c r="Q884" s="66" t="e">
        <f>IF(ISBLANK(M884),0,L884/ROUND(M884,4))</f>
        <v>#DIV/0!</v>
      </c>
      <c r="R884" s="66" t="e">
        <f>IF(ISBLANK(M884),0,Q884*ROUND(N884,2))</f>
        <v>#DIV/0!</v>
      </c>
      <c r="S884" s="69" t="e">
        <f>ROUND(P884,2)*Q884</f>
        <v>#DIV/0!</v>
      </c>
      <c r="T884" s="66" t="e">
        <f>Q884*dagenperjaar1</f>
        <v>#DIV/0!</v>
      </c>
      <c r="U884" s="70" t="e">
        <f>T884*ROUND(P884,2)</f>
        <v>#DIV/0!</v>
      </c>
    </row>
    <row r="885" spans="1:21" x14ac:dyDescent="0.2">
      <c r="A885" s="63" t="s">
        <v>1414</v>
      </c>
      <c r="B885" s="64" t="s">
        <v>324</v>
      </c>
      <c r="C885" s="64" t="s">
        <v>345</v>
      </c>
      <c r="D885" s="64" t="s">
        <v>1488</v>
      </c>
      <c r="E885" s="64" t="s">
        <v>324</v>
      </c>
      <c r="F885" s="65" t="s">
        <v>925</v>
      </c>
      <c r="G885" s="64" t="s">
        <v>1421</v>
      </c>
      <c r="H885" s="64" t="s">
        <v>255</v>
      </c>
      <c r="I885" s="64" t="s">
        <v>10</v>
      </c>
      <c r="J885" s="64" t="s">
        <v>201</v>
      </c>
      <c r="K885" s="66">
        <v>14.2</v>
      </c>
      <c r="L885" s="66">
        <f>K885*VLOOKUP(I885,dagsoorttabel1,2,FALSE)</f>
        <v>14.2</v>
      </c>
      <c r="M885" s="67">
        <f>prodnorm59</f>
        <v>0</v>
      </c>
      <c r="N885" s="68">
        <f>dagwerk59</f>
        <v>0</v>
      </c>
      <c r="O885" s="64" t="s">
        <v>38</v>
      </c>
      <c r="P885" s="69">
        <f>uurtarief59</f>
        <v>0</v>
      </c>
      <c r="Q885" s="66" t="e">
        <f>IF(ISBLANK(M885),0,L885/ROUND(M885,4))</f>
        <v>#DIV/0!</v>
      </c>
      <c r="R885" s="66" t="e">
        <f>IF(ISBLANK(M885),0,Q885*ROUND(N885,2))</f>
        <v>#DIV/0!</v>
      </c>
      <c r="S885" s="69" t="e">
        <f>ROUND(P885,2)*Q885</f>
        <v>#DIV/0!</v>
      </c>
      <c r="T885" s="66" t="e">
        <f>Q885*dagenperjaar1</f>
        <v>#DIV/0!</v>
      </c>
      <c r="U885" s="70" t="e">
        <f>T885*ROUND(P885,2)</f>
        <v>#DIV/0!</v>
      </c>
    </row>
    <row r="886" spans="1:21" x14ac:dyDescent="0.2">
      <c r="A886" s="63" t="s">
        <v>1414</v>
      </c>
      <c r="B886" s="64" t="s">
        <v>324</v>
      </c>
      <c r="C886" s="64" t="s">
        <v>345</v>
      </c>
      <c r="D886" s="64" t="s">
        <v>1489</v>
      </c>
      <c r="E886" s="64" t="s">
        <v>324</v>
      </c>
      <c r="F886" s="65" t="s">
        <v>1470</v>
      </c>
      <c r="G886" s="64" t="s">
        <v>1421</v>
      </c>
      <c r="H886" s="64" t="s">
        <v>255</v>
      </c>
      <c r="I886" s="64" t="s">
        <v>10</v>
      </c>
      <c r="J886" s="64" t="s">
        <v>201</v>
      </c>
      <c r="K886" s="66">
        <v>20.5</v>
      </c>
      <c r="L886" s="66">
        <f>K886*VLOOKUP(I886,dagsoorttabel1,2,FALSE)</f>
        <v>20.5</v>
      </c>
      <c r="M886" s="67">
        <f>prodnorm59</f>
        <v>0</v>
      </c>
      <c r="N886" s="68">
        <f>dagwerk59</f>
        <v>0</v>
      </c>
      <c r="O886" s="64" t="s">
        <v>38</v>
      </c>
      <c r="P886" s="69">
        <f>uurtarief59</f>
        <v>0</v>
      </c>
      <c r="Q886" s="66" t="e">
        <f>IF(ISBLANK(M886),0,L886/ROUND(M886,4))</f>
        <v>#DIV/0!</v>
      </c>
      <c r="R886" s="66" t="e">
        <f>IF(ISBLANK(M886),0,Q886*ROUND(N886,2))</f>
        <v>#DIV/0!</v>
      </c>
      <c r="S886" s="69" t="e">
        <f>ROUND(P886,2)*Q886</f>
        <v>#DIV/0!</v>
      </c>
      <c r="T886" s="66" t="e">
        <f>Q886*dagenperjaar1</f>
        <v>#DIV/0!</v>
      </c>
      <c r="U886" s="70" t="e">
        <f>T886*ROUND(P886,2)</f>
        <v>#DIV/0!</v>
      </c>
    </row>
    <row r="887" spans="1:21" x14ac:dyDescent="0.2">
      <c r="A887" s="63" t="s">
        <v>1414</v>
      </c>
      <c r="B887" s="64" t="s">
        <v>324</v>
      </c>
      <c r="C887" s="64" t="s">
        <v>345</v>
      </c>
      <c r="D887" s="64" t="s">
        <v>1490</v>
      </c>
      <c r="E887" s="64" t="s">
        <v>324</v>
      </c>
      <c r="F887" s="65" t="s">
        <v>364</v>
      </c>
      <c r="G887" s="64" t="s">
        <v>1421</v>
      </c>
      <c r="H887" s="64" t="s">
        <v>255</v>
      </c>
      <c r="I887" s="64" t="s">
        <v>10</v>
      </c>
      <c r="J887" s="64" t="s">
        <v>201</v>
      </c>
      <c r="K887" s="66">
        <v>4</v>
      </c>
      <c r="L887" s="66">
        <f>K887*VLOOKUP(I887,dagsoorttabel1,2,FALSE)</f>
        <v>4</v>
      </c>
      <c r="M887" s="67">
        <f>prodnorm59</f>
        <v>0</v>
      </c>
      <c r="N887" s="68">
        <f>dagwerk59</f>
        <v>0</v>
      </c>
      <c r="O887" s="64" t="s">
        <v>38</v>
      </c>
      <c r="P887" s="69">
        <f>uurtarief59</f>
        <v>0</v>
      </c>
      <c r="Q887" s="66" t="e">
        <f>IF(ISBLANK(M887),0,L887/ROUND(M887,4))</f>
        <v>#DIV/0!</v>
      </c>
      <c r="R887" s="66" t="e">
        <f>IF(ISBLANK(M887),0,Q887*ROUND(N887,2))</f>
        <v>#DIV/0!</v>
      </c>
      <c r="S887" s="69" t="e">
        <f>ROUND(P887,2)*Q887</f>
        <v>#DIV/0!</v>
      </c>
      <c r="T887" s="66" t="e">
        <f>Q887*dagenperjaar1</f>
        <v>#DIV/0!</v>
      </c>
      <c r="U887" s="70" t="e">
        <f>T887*ROUND(P887,2)</f>
        <v>#DIV/0!</v>
      </c>
    </row>
    <row r="888" spans="1:21" x14ac:dyDescent="0.2">
      <c r="A888" s="63" t="s">
        <v>1414</v>
      </c>
      <c r="B888" s="64" t="s">
        <v>324</v>
      </c>
      <c r="C888" s="64" t="s">
        <v>345</v>
      </c>
      <c r="D888" s="64" t="s">
        <v>1491</v>
      </c>
      <c r="E888" s="64" t="s">
        <v>324</v>
      </c>
      <c r="F888" s="65" t="s">
        <v>777</v>
      </c>
      <c r="G888" s="64" t="s">
        <v>778</v>
      </c>
      <c r="H888" s="64" t="s">
        <v>219</v>
      </c>
      <c r="I888" s="64" t="s">
        <v>10</v>
      </c>
      <c r="J888" s="64" t="s">
        <v>201</v>
      </c>
      <c r="K888" s="66">
        <v>366</v>
      </c>
      <c r="L888" s="66">
        <f>K888*VLOOKUP(I888,dagsoorttabel1,2,FALSE)</f>
        <v>366</v>
      </c>
      <c r="M888" s="67">
        <f>prodnorm36</f>
        <v>0</v>
      </c>
      <c r="N888" s="68">
        <f>dagwerk36</f>
        <v>0</v>
      </c>
      <c r="O888" s="64" t="s">
        <v>38</v>
      </c>
      <c r="P888" s="69">
        <f>uurtarief36</f>
        <v>0</v>
      </c>
      <c r="Q888" s="66" t="e">
        <f>IF(ISBLANK(M888),0,L888/ROUND(M888,4))</f>
        <v>#DIV/0!</v>
      </c>
      <c r="R888" s="66" t="e">
        <f>IF(ISBLANK(M888),0,Q888*ROUND(N888,2))</f>
        <v>#DIV/0!</v>
      </c>
      <c r="S888" s="69" t="e">
        <f>ROUND(P888,2)*Q888</f>
        <v>#DIV/0!</v>
      </c>
      <c r="T888" s="66" t="e">
        <f>Q888*dagenperjaar1</f>
        <v>#DIV/0!</v>
      </c>
      <c r="U888" s="70" t="e">
        <f>T888*ROUND(P888,2)</f>
        <v>#DIV/0!</v>
      </c>
    </row>
    <row r="889" spans="1:21" x14ac:dyDescent="0.2">
      <c r="A889" s="63" t="s">
        <v>1414</v>
      </c>
      <c r="B889" s="64" t="s">
        <v>324</v>
      </c>
      <c r="C889" s="64" t="s">
        <v>345</v>
      </c>
      <c r="D889" s="64" t="s">
        <v>1492</v>
      </c>
      <c r="E889" s="64" t="s">
        <v>324</v>
      </c>
      <c r="F889" s="65" t="s">
        <v>1493</v>
      </c>
      <c r="G889" s="64" t="s">
        <v>778</v>
      </c>
      <c r="H889" s="64" t="s">
        <v>219</v>
      </c>
      <c r="I889" s="64" t="s">
        <v>16</v>
      </c>
      <c r="J889" s="64" t="s">
        <v>201</v>
      </c>
      <c r="K889" s="66">
        <v>107</v>
      </c>
      <c r="L889" s="66">
        <f>K889*VLOOKUP(I889,dagsoorttabel1,2,FALSE)</f>
        <v>21.400000000000002</v>
      </c>
      <c r="M889" s="67">
        <f>prodnorm37</f>
        <v>0</v>
      </c>
      <c r="N889" s="68">
        <f>dagwerk37</f>
        <v>0</v>
      </c>
      <c r="O889" s="64" t="s">
        <v>38</v>
      </c>
      <c r="P889" s="69">
        <f>uurtarief37</f>
        <v>0</v>
      </c>
      <c r="Q889" s="66" t="e">
        <f>IF(ISBLANK(M889),0,L889/ROUND(M889,4))</f>
        <v>#DIV/0!</v>
      </c>
      <c r="R889" s="66" t="e">
        <f>IF(ISBLANK(M889),0,Q889*ROUND(N889,2))</f>
        <v>#DIV/0!</v>
      </c>
      <c r="S889" s="69" t="e">
        <f>ROUND(P889,2)*Q889</f>
        <v>#DIV/0!</v>
      </c>
      <c r="T889" s="66" t="e">
        <f>Q889*dagenperjaar1</f>
        <v>#DIV/0!</v>
      </c>
      <c r="U889" s="70" t="e">
        <f>T889*ROUND(P889,2)</f>
        <v>#DIV/0!</v>
      </c>
    </row>
    <row r="890" spans="1:21" x14ac:dyDescent="0.2">
      <c r="A890" s="63" t="s">
        <v>1414</v>
      </c>
      <c r="B890" s="64" t="s">
        <v>324</v>
      </c>
      <c r="C890" s="64" t="s">
        <v>345</v>
      </c>
      <c r="D890" s="64" t="s">
        <v>1494</v>
      </c>
      <c r="E890" s="64" t="s">
        <v>324</v>
      </c>
      <c r="F890" s="65" t="s">
        <v>777</v>
      </c>
      <c r="G890" s="64" t="s">
        <v>778</v>
      </c>
      <c r="H890" s="64" t="s">
        <v>219</v>
      </c>
      <c r="I890" s="64" t="s">
        <v>10</v>
      </c>
      <c r="J890" s="64" t="s">
        <v>201</v>
      </c>
      <c r="K890" s="66">
        <v>366</v>
      </c>
      <c r="L890" s="66">
        <f>K890*VLOOKUP(I890,dagsoorttabel1,2,FALSE)</f>
        <v>366</v>
      </c>
      <c r="M890" s="67">
        <f>prodnorm36</f>
        <v>0</v>
      </c>
      <c r="N890" s="68">
        <f>dagwerk36</f>
        <v>0</v>
      </c>
      <c r="O890" s="64" t="s">
        <v>38</v>
      </c>
      <c r="P890" s="69">
        <f>uurtarief36</f>
        <v>0</v>
      </c>
      <c r="Q890" s="66" t="e">
        <f>IF(ISBLANK(M890),0,L890/ROUND(M890,4))</f>
        <v>#DIV/0!</v>
      </c>
      <c r="R890" s="66" t="e">
        <f>IF(ISBLANK(M890),0,Q890*ROUND(N890,2))</f>
        <v>#DIV/0!</v>
      </c>
      <c r="S890" s="69" t="e">
        <f>ROUND(P890,2)*Q890</f>
        <v>#DIV/0!</v>
      </c>
      <c r="T890" s="66" t="e">
        <f>Q890*dagenperjaar1</f>
        <v>#DIV/0!</v>
      </c>
      <c r="U890" s="70" t="e">
        <f>T890*ROUND(P890,2)</f>
        <v>#DIV/0!</v>
      </c>
    </row>
    <row r="891" spans="1:21" x14ac:dyDescent="0.2">
      <c r="A891" s="63" t="s">
        <v>1414</v>
      </c>
      <c r="B891" s="64" t="s">
        <v>324</v>
      </c>
      <c r="C891" s="64" t="s">
        <v>345</v>
      </c>
      <c r="D891" s="64" t="s">
        <v>1495</v>
      </c>
      <c r="E891" s="64" t="s">
        <v>324</v>
      </c>
      <c r="F891" s="65" t="s">
        <v>1496</v>
      </c>
      <c r="G891" s="64" t="s">
        <v>351</v>
      </c>
      <c r="H891" s="64" t="s">
        <v>207</v>
      </c>
      <c r="I891" s="64" t="s">
        <v>16</v>
      </c>
      <c r="J891" s="64" t="s">
        <v>201</v>
      </c>
      <c r="K891" s="66">
        <v>24.630000000000003</v>
      </c>
      <c r="L891" s="66">
        <f>K891*VLOOKUP(I891,dagsoorttabel1,2,FALSE)</f>
        <v>4.926000000000001</v>
      </c>
      <c r="M891" s="67">
        <f>prodnorm29</f>
        <v>0</v>
      </c>
      <c r="N891" s="68">
        <f>dagwerk29</f>
        <v>0</v>
      </c>
      <c r="O891" s="64" t="s">
        <v>38</v>
      </c>
      <c r="P891" s="69">
        <f>uurtarief29</f>
        <v>0</v>
      </c>
      <c r="Q891" s="66" t="e">
        <f>IF(ISBLANK(M891),0,L891/ROUND(M891,4))</f>
        <v>#DIV/0!</v>
      </c>
      <c r="R891" s="66" t="e">
        <f>IF(ISBLANK(M891),0,Q891*ROUND(N891,2))</f>
        <v>#DIV/0!</v>
      </c>
      <c r="S891" s="69" t="e">
        <f>ROUND(P891,2)*Q891</f>
        <v>#DIV/0!</v>
      </c>
      <c r="T891" s="66" t="e">
        <f>Q891*dagenperjaar1</f>
        <v>#DIV/0!</v>
      </c>
      <c r="U891" s="70" t="e">
        <f>T891*ROUND(P891,2)</f>
        <v>#DIV/0!</v>
      </c>
    </row>
    <row r="892" spans="1:21" x14ac:dyDescent="0.2">
      <c r="A892" s="63" t="s">
        <v>1414</v>
      </c>
      <c r="B892" s="64" t="s">
        <v>324</v>
      </c>
      <c r="C892" s="64" t="s">
        <v>345</v>
      </c>
      <c r="D892" s="64" t="s">
        <v>1497</v>
      </c>
      <c r="E892" s="64" t="s">
        <v>324</v>
      </c>
      <c r="F892" s="65" t="s">
        <v>1498</v>
      </c>
      <c r="G892" s="64" t="s">
        <v>778</v>
      </c>
      <c r="H892" s="64" t="s">
        <v>219</v>
      </c>
      <c r="I892" s="64" t="s">
        <v>10</v>
      </c>
      <c r="J892" s="64" t="s">
        <v>201</v>
      </c>
      <c r="K892" s="66">
        <v>33</v>
      </c>
      <c r="L892" s="66">
        <f>K892*VLOOKUP(I892,dagsoorttabel1,2,FALSE)</f>
        <v>33</v>
      </c>
      <c r="M892" s="67">
        <f>prodnorm36</f>
        <v>0</v>
      </c>
      <c r="N892" s="68">
        <f>dagwerk36</f>
        <v>0</v>
      </c>
      <c r="O892" s="64" t="s">
        <v>38</v>
      </c>
      <c r="P892" s="69">
        <f>uurtarief36</f>
        <v>0</v>
      </c>
      <c r="Q892" s="66" t="e">
        <f>IF(ISBLANK(M892),0,L892/ROUND(M892,4))</f>
        <v>#DIV/0!</v>
      </c>
      <c r="R892" s="66" t="e">
        <f>IF(ISBLANK(M892),0,Q892*ROUND(N892,2))</f>
        <v>#DIV/0!</v>
      </c>
      <c r="S892" s="69" t="e">
        <f>ROUND(P892,2)*Q892</f>
        <v>#DIV/0!</v>
      </c>
      <c r="T892" s="66" t="e">
        <f>Q892*dagenperjaar1</f>
        <v>#DIV/0!</v>
      </c>
      <c r="U892" s="70" t="e">
        <f>T892*ROUND(P892,2)</f>
        <v>#DIV/0!</v>
      </c>
    </row>
    <row r="893" spans="1:21" x14ac:dyDescent="0.2">
      <c r="A893" s="63" t="s">
        <v>1414</v>
      </c>
      <c r="B893" s="64" t="s">
        <v>324</v>
      </c>
      <c r="C893" s="64" t="s">
        <v>345</v>
      </c>
      <c r="D893" s="64" t="s">
        <v>1499</v>
      </c>
      <c r="E893" s="64" t="s">
        <v>324</v>
      </c>
      <c r="F893" s="65" t="s">
        <v>641</v>
      </c>
      <c r="G893" s="64" t="s">
        <v>365</v>
      </c>
      <c r="H893" s="64" t="s">
        <v>255</v>
      </c>
      <c r="I893" s="64" t="s">
        <v>10</v>
      </c>
      <c r="J893" s="64" t="s">
        <v>201</v>
      </c>
      <c r="K893" s="66">
        <v>1.3</v>
      </c>
      <c r="L893" s="66">
        <f>K893*VLOOKUP(I893,dagsoorttabel1,2,FALSE)</f>
        <v>1.3</v>
      </c>
      <c r="M893" s="67">
        <f>prodnorm59</f>
        <v>0</v>
      </c>
      <c r="N893" s="68">
        <f>dagwerk59</f>
        <v>0</v>
      </c>
      <c r="O893" s="64" t="s">
        <v>38</v>
      </c>
      <c r="P893" s="69">
        <f>uurtarief59</f>
        <v>0</v>
      </c>
      <c r="Q893" s="66" t="e">
        <f>IF(ISBLANK(M893),0,L893/ROUND(M893,4))</f>
        <v>#DIV/0!</v>
      </c>
      <c r="R893" s="66" t="e">
        <f>IF(ISBLANK(M893),0,Q893*ROUND(N893,2))</f>
        <v>#DIV/0!</v>
      </c>
      <c r="S893" s="69" t="e">
        <f>ROUND(P893,2)*Q893</f>
        <v>#DIV/0!</v>
      </c>
      <c r="T893" s="66" t="e">
        <f>Q893*dagenperjaar1</f>
        <v>#DIV/0!</v>
      </c>
      <c r="U893" s="70" t="e">
        <f>T893*ROUND(P893,2)</f>
        <v>#DIV/0!</v>
      </c>
    </row>
    <row r="894" spans="1:21" x14ac:dyDescent="0.2">
      <c r="A894" s="63" t="s">
        <v>1414</v>
      </c>
      <c r="B894" s="64" t="s">
        <v>324</v>
      </c>
      <c r="C894" s="64" t="s">
        <v>345</v>
      </c>
      <c r="D894" s="64" t="s">
        <v>1500</v>
      </c>
      <c r="E894" s="64" t="s">
        <v>324</v>
      </c>
      <c r="F894" s="65" t="s">
        <v>834</v>
      </c>
      <c r="G894" s="64" t="s">
        <v>365</v>
      </c>
      <c r="H894" s="64" t="s">
        <v>267</v>
      </c>
      <c r="I894" s="64" t="s">
        <v>10</v>
      </c>
      <c r="J894" s="64" t="s">
        <v>201</v>
      </c>
      <c r="K894" s="66">
        <v>1.6700000000000002</v>
      </c>
      <c r="L894" s="66">
        <f>K894*VLOOKUP(I894,dagsoorttabel1,2,FALSE)</f>
        <v>1.6700000000000002</v>
      </c>
      <c r="M894" s="67">
        <f>prodnorm65</f>
        <v>0</v>
      </c>
      <c r="N894" s="68">
        <f>dagwerk65</f>
        <v>0</v>
      </c>
      <c r="O894" s="64" t="s">
        <v>38</v>
      </c>
      <c r="P894" s="69">
        <f>uurtarief65</f>
        <v>0</v>
      </c>
      <c r="Q894" s="66" t="e">
        <f>IF(ISBLANK(M894),0,L894/ROUND(M894,4))</f>
        <v>#DIV/0!</v>
      </c>
      <c r="R894" s="66" t="e">
        <f>IF(ISBLANK(M894),0,Q894*ROUND(N894,2))</f>
        <v>#DIV/0!</v>
      </c>
      <c r="S894" s="69" t="e">
        <f>ROUND(P894,2)*Q894</f>
        <v>#DIV/0!</v>
      </c>
      <c r="T894" s="66" t="e">
        <f>Q894*dagenperjaar1</f>
        <v>#DIV/0!</v>
      </c>
      <c r="U894" s="70" t="e">
        <f>T894*ROUND(P894,2)</f>
        <v>#DIV/0!</v>
      </c>
    </row>
    <row r="895" spans="1:21" x14ac:dyDescent="0.2">
      <c r="A895" s="63" t="s">
        <v>1414</v>
      </c>
      <c r="B895" s="64" t="s">
        <v>324</v>
      </c>
      <c r="C895" s="64" t="s">
        <v>345</v>
      </c>
      <c r="D895" s="64" t="s">
        <v>1501</v>
      </c>
      <c r="E895" s="64" t="s">
        <v>324</v>
      </c>
      <c r="F895" s="65" t="s">
        <v>802</v>
      </c>
      <c r="G895" s="64" t="s">
        <v>365</v>
      </c>
      <c r="H895" s="64" t="s">
        <v>255</v>
      </c>
      <c r="I895" s="64" t="s">
        <v>10</v>
      </c>
      <c r="J895" s="64" t="s">
        <v>201</v>
      </c>
      <c r="K895" s="66">
        <v>3.4</v>
      </c>
      <c r="L895" s="66">
        <f>K895*VLOOKUP(I895,dagsoorttabel1,2,FALSE)</f>
        <v>3.4</v>
      </c>
      <c r="M895" s="67">
        <f>prodnorm59</f>
        <v>0</v>
      </c>
      <c r="N895" s="68">
        <f>dagwerk59</f>
        <v>0</v>
      </c>
      <c r="O895" s="64" t="s">
        <v>38</v>
      </c>
      <c r="P895" s="69">
        <f>uurtarief59</f>
        <v>0</v>
      </c>
      <c r="Q895" s="66" t="e">
        <f>IF(ISBLANK(M895),0,L895/ROUND(M895,4))</f>
        <v>#DIV/0!</v>
      </c>
      <c r="R895" s="66" t="e">
        <f>IF(ISBLANK(M895),0,Q895*ROUND(N895,2))</f>
        <v>#DIV/0!</v>
      </c>
      <c r="S895" s="69" t="e">
        <f>ROUND(P895,2)*Q895</f>
        <v>#DIV/0!</v>
      </c>
      <c r="T895" s="66" t="e">
        <f>Q895*dagenperjaar1</f>
        <v>#DIV/0!</v>
      </c>
      <c r="U895" s="70" t="e">
        <f>T895*ROUND(P895,2)</f>
        <v>#DIV/0!</v>
      </c>
    </row>
    <row r="896" spans="1:21" x14ac:dyDescent="0.2">
      <c r="A896" s="63" t="s">
        <v>1414</v>
      </c>
      <c r="B896" s="64" t="s">
        <v>324</v>
      </c>
      <c r="C896" s="64" t="s">
        <v>345</v>
      </c>
      <c r="D896" s="64" t="s">
        <v>1502</v>
      </c>
      <c r="E896" s="64" t="s">
        <v>324</v>
      </c>
      <c r="F896" s="65" t="s">
        <v>1457</v>
      </c>
      <c r="G896" s="64" t="s">
        <v>328</v>
      </c>
      <c r="H896" s="64" t="s">
        <v>229</v>
      </c>
      <c r="I896" s="64" t="s">
        <v>10</v>
      </c>
      <c r="J896" s="64" t="s">
        <v>201</v>
      </c>
      <c r="K896" s="66">
        <v>59</v>
      </c>
      <c r="L896" s="66">
        <f>K896*VLOOKUP(I896,dagsoorttabel1,2,FALSE)</f>
        <v>59</v>
      </c>
      <c r="M896" s="67">
        <f>prodnorm43</f>
        <v>0</v>
      </c>
      <c r="N896" s="68">
        <f>dagwerk43</f>
        <v>0</v>
      </c>
      <c r="O896" s="64" t="s">
        <v>38</v>
      </c>
      <c r="P896" s="69">
        <f>uurtarief43</f>
        <v>0</v>
      </c>
      <c r="Q896" s="66" t="e">
        <f>IF(ISBLANK(M896),0,L896/ROUND(M896,4))</f>
        <v>#DIV/0!</v>
      </c>
      <c r="R896" s="66" t="e">
        <f>IF(ISBLANK(M896),0,Q896*ROUND(N896,2))</f>
        <v>#DIV/0!</v>
      </c>
      <c r="S896" s="69" t="e">
        <f>ROUND(P896,2)*Q896</f>
        <v>#DIV/0!</v>
      </c>
      <c r="T896" s="66" t="e">
        <f>Q896*dagenperjaar1</f>
        <v>#DIV/0!</v>
      </c>
      <c r="U896" s="70" t="e">
        <f>T896*ROUND(P896,2)</f>
        <v>#DIV/0!</v>
      </c>
    </row>
    <row r="897" spans="1:21" x14ac:dyDescent="0.2">
      <c r="A897" s="63" t="s">
        <v>1414</v>
      </c>
      <c r="B897" s="64" t="s">
        <v>324</v>
      </c>
      <c r="C897" s="64" t="s">
        <v>345</v>
      </c>
      <c r="D897" s="64" t="s">
        <v>1503</v>
      </c>
      <c r="E897" s="64" t="s">
        <v>324</v>
      </c>
      <c r="F897" s="65" t="s">
        <v>1457</v>
      </c>
      <c r="G897" s="64" t="s">
        <v>328</v>
      </c>
      <c r="H897" s="64" t="s">
        <v>229</v>
      </c>
      <c r="I897" s="64" t="s">
        <v>10</v>
      </c>
      <c r="J897" s="64" t="s">
        <v>201</v>
      </c>
      <c r="K897" s="66">
        <v>59</v>
      </c>
      <c r="L897" s="66">
        <f>K897*VLOOKUP(I897,dagsoorttabel1,2,FALSE)</f>
        <v>59</v>
      </c>
      <c r="M897" s="67">
        <f>prodnorm43</f>
        <v>0</v>
      </c>
      <c r="N897" s="68">
        <f>dagwerk43</f>
        <v>0</v>
      </c>
      <c r="O897" s="64" t="s">
        <v>38</v>
      </c>
      <c r="P897" s="69">
        <f>uurtarief43</f>
        <v>0</v>
      </c>
      <c r="Q897" s="66" t="e">
        <f>IF(ISBLANK(M897),0,L897/ROUND(M897,4))</f>
        <v>#DIV/0!</v>
      </c>
      <c r="R897" s="66" t="e">
        <f>IF(ISBLANK(M897),0,Q897*ROUND(N897,2))</f>
        <v>#DIV/0!</v>
      </c>
      <c r="S897" s="69" t="e">
        <f>ROUND(P897,2)*Q897</f>
        <v>#DIV/0!</v>
      </c>
      <c r="T897" s="66" t="e">
        <f>Q897*dagenperjaar1</f>
        <v>#DIV/0!</v>
      </c>
      <c r="U897" s="70" t="e">
        <f>T897*ROUND(P897,2)</f>
        <v>#DIV/0!</v>
      </c>
    </row>
    <row r="898" spans="1:21" x14ac:dyDescent="0.2">
      <c r="A898" s="63" t="s">
        <v>1414</v>
      </c>
      <c r="B898" s="64" t="s">
        <v>324</v>
      </c>
      <c r="C898" s="64" t="s">
        <v>345</v>
      </c>
      <c r="D898" s="64" t="s">
        <v>1504</v>
      </c>
      <c r="E898" s="64" t="s">
        <v>324</v>
      </c>
      <c r="F898" s="65" t="s">
        <v>1419</v>
      </c>
      <c r="G898" s="64" t="s">
        <v>328</v>
      </c>
      <c r="H898" s="64" t="s">
        <v>209</v>
      </c>
      <c r="I898" s="64" t="s">
        <v>10</v>
      </c>
      <c r="J898" s="64" t="s">
        <v>201</v>
      </c>
      <c r="K898" s="66">
        <v>99</v>
      </c>
      <c r="L898" s="66">
        <f>K898*VLOOKUP(I898,dagsoorttabel1,2,FALSE)</f>
        <v>99</v>
      </c>
      <c r="M898" s="67">
        <f>prodnorm30</f>
        <v>0</v>
      </c>
      <c r="N898" s="68">
        <f>dagwerk30</f>
        <v>0</v>
      </c>
      <c r="O898" s="64" t="s">
        <v>38</v>
      </c>
      <c r="P898" s="69">
        <f>uurtarief30</f>
        <v>0</v>
      </c>
      <c r="Q898" s="66" t="e">
        <f>IF(ISBLANK(M898),0,L898/ROUND(M898,4))</f>
        <v>#DIV/0!</v>
      </c>
      <c r="R898" s="66" t="e">
        <f>IF(ISBLANK(M898),0,Q898*ROUND(N898,2))</f>
        <v>#DIV/0!</v>
      </c>
      <c r="S898" s="69" t="e">
        <f>ROUND(P898,2)*Q898</f>
        <v>#DIV/0!</v>
      </c>
      <c r="T898" s="66" t="e">
        <f>Q898*dagenperjaar1</f>
        <v>#DIV/0!</v>
      </c>
      <c r="U898" s="70" t="e">
        <f>T898*ROUND(P898,2)</f>
        <v>#DIV/0!</v>
      </c>
    </row>
    <row r="899" spans="1:21" x14ac:dyDescent="0.2">
      <c r="A899" s="63" t="s">
        <v>1414</v>
      </c>
      <c r="B899" s="64" t="s">
        <v>324</v>
      </c>
      <c r="C899" s="64" t="s">
        <v>345</v>
      </c>
      <c r="D899" s="64" t="s">
        <v>1505</v>
      </c>
      <c r="E899" s="64" t="s">
        <v>324</v>
      </c>
      <c r="F899" s="65" t="s">
        <v>1419</v>
      </c>
      <c r="G899" s="64" t="s">
        <v>328</v>
      </c>
      <c r="H899" s="64" t="s">
        <v>209</v>
      </c>
      <c r="I899" s="64" t="s">
        <v>10</v>
      </c>
      <c r="J899" s="64" t="s">
        <v>201</v>
      </c>
      <c r="K899" s="66">
        <v>100</v>
      </c>
      <c r="L899" s="66">
        <f>K899*VLOOKUP(I899,dagsoorttabel1,2,FALSE)</f>
        <v>100</v>
      </c>
      <c r="M899" s="67">
        <f>prodnorm30</f>
        <v>0</v>
      </c>
      <c r="N899" s="68">
        <f>dagwerk30</f>
        <v>0</v>
      </c>
      <c r="O899" s="64" t="s">
        <v>38</v>
      </c>
      <c r="P899" s="69">
        <f>uurtarief30</f>
        <v>0</v>
      </c>
      <c r="Q899" s="66" t="e">
        <f>IF(ISBLANK(M899),0,L899/ROUND(M899,4))</f>
        <v>#DIV/0!</v>
      </c>
      <c r="R899" s="66" t="e">
        <f>IF(ISBLANK(M899),0,Q899*ROUND(N899,2))</f>
        <v>#DIV/0!</v>
      </c>
      <c r="S899" s="69" t="e">
        <f>ROUND(P899,2)*Q899</f>
        <v>#DIV/0!</v>
      </c>
      <c r="T899" s="66" t="e">
        <f>Q899*dagenperjaar1</f>
        <v>#DIV/0!</v>
      </c>
      <c r="U899" s="70" t="e">
        <f>T899*ROUND(P899,2)</f>
        <v>#DIV/0!</v>
      </c>
    </row>
    <row r="900" spans="1:21" x14ac:dyDescent="0.2">
      <c r="A900" s="63" t="s">
        <v>1414</v>
      </c>
      <c r="B900" s="64" t="s">
        <v>324</v>
      </c>
      <c r="C900" s="64" t="s">
        <v>345</v>
      </c>
      <c r="D900" s="64" t="s">
        <v>1506</v>
      </c>
      <c r="E900" s="64" t="s">
        <v>324</v>
      </c>
      <c r="F900" s="65" t="s">
        <v>852</v>
      </c>
      <c r="G900" s="64" t="s">
        <v>351</v>
      </c>
      <c r="H900" s="64" t="s">
        <v>231</v>
      </c>
      <c r="I900" s="64" t="s">
        <v>10</v>
      </c>
      <c r="J900" s="64" t="s">
        <v>201</v>
      </c>
      <c r="K900" s="66">
        <v>61</v>
      </c>
      <c r="L900" s="66">
        <f>K900*VLOOKUP(I900,dagsoorttabel1,2,FALSE)</f>
        <v>61</v>
      </c>
      <c r="M900" s="67">
        <f>prodnorm44</f>
        <v>0</v>
      </c>
      <c r="N900" s="68">
        <f>dagwerk44</f>
        <v>0</v>
      </c>
      <c r="O900" s="64" t="s">
        <v>38</v>
      </c>
      <c r="P900" s="69">
        <f>uurtarief44</f>
        <v>0</v>
      </c>
      <c r="Q900" s="66" t="e">
        <f>IF(ISBLANK(M900),0,L900/ROUND(M900,4))</f>
        <v>#DIV/0!</v>
      </c>
      <c r="R900" s="66" t="e">
        <f>IF(ISBLANK(M900),0,Q900*ROUND(N900,2))</f>
        <v>#DIV/0!</v>
      </c>
      <c r="S900" s="69" t="e">
        <f>ROUND(P900,2)*Q900</f>
        <v>#DIV/0!</v>
      </c>
      <c r="T900" s="66" t="e">
        <f>Q900*dagenperjaar1</f>
        <v>#DIV/0!</v>
      </c>
      <c r="U900" s="70" t="e">
        <f>T900*ROUND(P900,2)</f>
        <v>#DIV/0!</v>
      </c>
    </row>
    <row r="901" spans="1:21" x14ac:dyDescent="0.2">
      <c r="A901" s="63" t="s">
        <v>1414</v>
      </c>
      <c r="B901" s="64" t="s">
        <v>324</v>
      </c>
      <c r="C901" s="64" t="s">
        <v>345</v>
      </c>
      <c r="D901" s="64" t="s">
        <v>1507</v>
      </c>
      <c r="E901" s="64" t="s">
        <v>324</v>
      </c>
      <c r="F901" s="65" t="s">
        <v>852</v>
      </c>
      <c r="G901" s="64" t="s">
        <v>351</v>
      </c>
      <c r="H901" s="64" t="s">
        <v>231</v>
      </c>
      <c r="I901" s="64" t="s">
        <v>10</v>
      </c>
      <c r="J901" s="64" t="s">
        <v>201</v>
      </c>
      <c r="K901" s="66">
        <v>63</v>
      </c>
      <c r="L901" s="66">
        <f>K901*VLOOKUP(I901,dagsoorttabel1,2,FALSE)</f>
        <v>63</v>
      </c>
      <c r="M901" s="67">
        <f>prodnorm44</f>
        <v>0</v>
      </c>
      <c r="N901" s="68">
        <f>dagwerk44</f>
        <v>0</v>
      </c>
      <c r="O901" s="64" t="s">
        <v>38</v>
      </c>
      <c r="P901" s="69">
        <f>uurtarief44</f>
        <v>0</v>
      </c>
      <c r="Q901" s="66" t="e">
        <f>IF(ISBLANK(M901),0,L901/ROUND(M901,4))</f>
        <v>#DIV/0!</v>
      </c>
      <c r="R901" s="66" t="e">
        <f>IF(ISBLANK(M901),0,Q901*ROUND(N901,2))</f>
        <v>#DIV/0!</v>
      </c>
      <c r="S901" s="69" t="e">
        <f>ROUND(P901,2)*Q901</f>
        <v>#DIV/0!</v>
      </c>
      <c r="T901" s="66" t="e">
        <f>Q901*dagenperjaar1</f>
        <v>#DIV/0!</v>
      </c>
      <c r="U901" s="70" t="e">
        <f>T901*ROUND(P901,2)</f>
        <v>#DIV/0!</v>
      </c>
    </row>
    <row r="902" spans="1:21" x14ac:dyDescent="0.2">
      <c r="A902" s="63" t="s">
        <v>1414</v>
      </c>
      <c r="B902" s="64" t="s">
        <v>324</v>
      </c>
      <c r="C902" s="64" t="s">
        <v>345</v>
      </c>
      <c r="D902" s="64" t="s">
        <v>1508</v>
      </c>
      <c r="E902" s="64" t="s">
        <v>324</v>
      </c>
      <c r="F902" s="65" t="s">
        <v>1509</v>
      </c>
      <c r="G902" s="64" t="s">
        <v>328</v>
      </c>
      <c r="H902" s="64" t="s">
        <v>247</v>
      </c>
      <c r="I902" s="64" t="s">
        <v>10</v>
      </c>
      <c r="J902" s="64" t="s">
        <v>201</v>
      </c>
      <c r="K902" s="66">
        <v>100</v>
      </c>
      <c r="L902" s="66">
        <f>K902*VLOOKUP(I902,dagsoorttabel1,2,FALSE)</f>
        <v>100</v>
      </c>
      <c r="M902" s="67">
        <f>prodnorm55</f>
        <v>0</v>
      </c>
      <c r="N902" s="68">
        <f>dagwerk55</f>
        <v>0</v>
      </c>
      <c r="O902" s="64" t="s">
        <v>38</v>
      </c>
      <c r="P902" s="69">
        <f>uurtarief55</f>
        <v>0</v>
      </c>
      <c r="Q902" s="66" t="e">
        <f>IF(ISBLANK(M902),0,L902/ROUND(M902,4))</f>
        <v>#DIV/0!</v>
      </c>
      <c r="R902" s="66" t="e">
        <f>IF(ISBLANK(M902),0,Q902*ROUND(N902,2))</f>
        <v>#DIV/0!</v>
      </c>
      <c r="S902" s="69" t="e">
        <f>ROUND(P902,2)*Q902</f>
        <v>#DIV/0!</v>
      </c>
      <c r="T902" s="66" t="e">
        <f>Q902*dagenperjaar1</f>
        <v>#DIV/0!</v>
      </c>
      <c r="U902" s="70" t="e">
        <f>T902*ROUND(P902,2)</f>
        <v>#DIV/0!</v>
      </c>
    </row>
    <row r="903" spans="1:21" x14ac:dyDescent="0.2">
      <c r="A903" s="63" t="s">
        <v>1414</v>
      </c>
      <c r="B903" s="64" t="s">
        <v>324</v>
      </c>
      <c r="C903" s="64" t="s">
        <v>345</v>
      </c>
      <c r="D903" s="64" t="s">
        <v>1510</v>
      </c>
      <c r="E903" s="64" t="s">
        <v>324</v>
      </c>
      <c r="F903" s="65" t="s">
        <v>335</v>
      </c>
      <c r="G903" s="64" t="s">
        <v>328</v>
      </c>
      <c r="H903" s="64" t="s">
        <v>267</v>
      </c>
      <c r="I903" s="64" t="s">
        <v>10</v>
      </c>
      <c r="J903" s="64" t="s">
        <v>201</v>
      </c>
      <c r="K903" s="66">
        <v>43.5</v>
      </c>
      <c r="L903" s="66">
        <f>K903*VLOOKUP(I903,dagsoorttabel1,2,FALSE)</f>
        <v>43.5</v>
      </c>
      <c r="M903" s="67">
        <f>prodnorm65</f>
        <v>0</v>
      </c>
      <c r="N903" s="68">
        <f>dagwerk65</f>
        <v>0</v>
      </c>
      <c r="O903" s="64" t="s">
        <v>38</v>
      </c>
      <c r="P903" s="69">
        <f>uurtarief65</f>
        <v>0</v>
      </c>
      <c r="Q903" s="66" t="e">
        <f>IF(ISBLANK(M903),0,L903/ROUND(M903,4))</f>
        <v>#DIV/0!</v>
      </c>
      <c r="R903" s="66" t="e">
        <f>IF(ISBLANK(M903),0,Q903*ROUND(N903,2))</f>
        <v>#DIV/0!</v>
      </c>
      <c r="S903" s="69" t="e">
        <f>ROUND(P903,2)*Q903</f>
        <v>#DIV/0!</v>
      </c>
      <c r="T903" s="66" t="e">
        <f>Q903*dagenperjaar1</f>
        <v>#DIV/0!</v>
      </c>
      <c r="U903" s="70" t="e">
        <f>T903*ROUND(P903,2)</f>
        <v>#DIV/0!</v>
      </c>
    </row>
    <row r="904" spans="1:21" x14ac:dyDescent="0.2">
      <c r="A904" s="63" t="s">
        <v>1414</v>
      </c>
      <c r="B904" s="64" t="s">
        <v>324</v>
      </c>
      <c r="C904" s="64" t="s">
        <v>345</v>
      </c>
      <c r="D904" s="64" t="s">
        <v>1511</v>
      </c>
      <c r="E904" s="64" t="s">
        <v>324</v>
      </c>
      <c r="F904" s="65" t="s">
        <v>768</v>
      </c>
      <c r="G904" s="64" t="s">
        <v>351</v>
      </c>
      <c r="H904" s="64" t="s">
        <v>235</v>
      </c>
      <c r="I904" s="64" t="s">
        <v>10</v>
      </c>
      <c r="J904" s="64" t="s">
        <v>201</v>
      </c>
      <c r="K904" s="66">
        <v>100</v>
      </c>
      <c r="L904" s="66">
        <f>K904*VLOOKUP(I904,dagsoorttabel1,2,FALSE)</f>
        <v>100</v>
      </c>
      <c r="M904" s="67">
        <f>prodnorm46</f>
        <v>0</v>
      </c>
      <c r="N904" s="68">
        <f>dagwerk46</f>
        <v>0</v>
      </c>
      <c r="O904" s="64" t="s">
        <v>38</v>
      </c>
      <c r="P904" s="69">
        <f>uurtarief46</f>
        <v>0</v>
      </c>
      <c r="Q904" s="66" t="e">
        <f>IF(ISBLANK(M904),0,L904/ROUND(M904,4))</f>
        <v>#DIV/0!</v>
      </c>
      <c r="R904" s="66" t="e">
        <f>IF(ISBLANK(M904),0,Q904*ROUND(N904,2))</f>
        <v>#DIV/0!</v>
      </c>
      <c r="S904" s="69" t="e">
        <f>ROUND(P904,2)*Q904</f>
        <v>#DIV/0!</v>
      </c>
      <c r="T904" s="66" t="e">
        <f>Q904*dagenperjaar1</f>
        <v>#DIV/0!</v>
      </c>
      <c r="U904" s="70" t="e">
        <f>T904*ROUND(P904,2)</f>
        <v>#DIV/0!</v>
      </c>
    </row>
    <row r="905" spans="1:21" x14ac:dyDescent="0.2">
      <c r="A905" s="63" t="s">
        <v>1414</v>
      </c>
      <c r="B905" s="64" t="s">
        <v>324</v>
      </c>
      <c r="C905" s="64" t="s">
        <v>345</v>
      </c>
      <c r="D905" s="64" t="s">
        <v>1512</v>
      </c>
      <c r="E905" s="64" t="s">
        <v>324</v>
      </c>
      <c r="F905" s="65" t="s">
        <v>1513</v>
      </c>
      <c r="G905" s="64" t="s">
        <v>351</v>
      </c>
      <c r="H905" s="64" t="s">
        <v>207</v>
      </c>
      <c r="I905" s="64" t="s">
        <v>10</v>
      </c>
      <c r="J905" s="64" t="s">
        <v>201</v>
      </c>
      <c r="K905" s="66">
        <v>29</v>
      </c>
      <c r="L905" s="66">
        <f>K905*VLOOKUP(I905,dagsoorttabel1,2,FALSE)</f>
        <v>29</v>
      </c>
      <c r="M905" s="67">
        <f>prodnorm28</f>
        <v>0</v>
      </c>
      <c r="N905" s="68">
        <f>dagwerk28</f>
        <v>0</v>
      </c>
      <c r="O905" s="64" t="s">
        <v>38</v>
      </c>
      <c r="P905" s="69">
        <f>uurtarief28</f>
        <v>0</v>
      </c>
      <c r="Q905" s="66" t="e">
        <f>IF(ISBLANK(M905),0,L905/ROUND(M905,4))</f>
        <v>#DIV/0!</v>
      </c>
      <c r="R905" s="66" t="e">
        <f>IF(ISBLANK(M905),0,Q905*ROUND(N905,2))</f>
        <v>#DIV/0!</v>
      </c>
      <c r="S905" s="69" t="e">
        <f>ROUND(P905,2)*Q905</f>
        <v>#DIV/0!</v>
      </c>
      <c r="T905" s="66" t="e">
        <f>Q905*dagenperjaar1</f>
        <v>#DIV/0!</v>
      </c>
      <c r="U905" s="70" t="e">
        <f>T905*ROUND(P905,2)</f>
        <v>#DIV/0!</v>
      </c>
    </row>
    <row r="906" spans="1:21" x14ac:dyDescent="0.2">
      <c r="A906" s="63" t="s">
        <v>1414</v>
      </c>
      <c r="B906" s="64" t="s">
        <v>324</v>
      </c>
      <c r="C906" s="64" t="s">
        <v>345</v>
      </c>
      <c r="D906" s="64" t="s">
        <v>1514</v>
      </c>
      <c r="E906" s="64" t="s">
        <v>324</v>
      </c>
      <c r="F906" s="65" t="s">
        <v>1513</v>
      </c>
      <c r="G906" s="64" t="s">
        <v>351</v>
      </c>
      <c r="H906" s="64" t="s">
        <v>207</v>
      </c>
      <c r="I906" s="64" t="s">
        <v>10</v>
      </c>
      <c r="J906" s="64" t="s">
        <v>201</v>
      </c>
      <c r="K906" s="66">
        <v>16</v>
      </c>
      <c r="L906" s="66">
        <f>K906*VLOOKUP(I906,dagsoorttabel1,2,FALSE)</f>
        <v>16</v>
      </c>
      <c r="M906" s="67">
        <f>prodnorm28</f>
        <v>0</v>
      </c>
      <c r="N906" s="68">
        <f>dagwerk28</f>
        <v>0</v>
      </c>
      <c r="O906" s="64" t="s">
        <v>38</v>
      </c>
      <c r="P906" s="69">
        <f>uurtarief28</f>
        <v>0</v>
      </c>
      <c r="Q906" s="66" t="e">
        <f>IF(ISBLANK(M906),0,L906/ROUND(M906,4))</f>
        <v>#DIV/0!</v>
      </c>
      <c r="R906" s="66" t="e">
        <f>IF(ISBLANK(M906),0,Q906*ROUND(N906,2))</f>
        <v>#DIV/0!</v>
      </c>
      <c r="S906" s="69" t="e">
        <f>ROUND(P906,2)*Q906</f>
        <v>#DIV/0!</v>
      </c>
      <c r="T906" s="66" t="e">
        <f>Q906*dagenperjaar1</f>
        <v>#DIV/0!</v>
      </c>
      <c r="U906" s="70" t="e">
        <f>T906*ROUND(P906,2)</f>
        <v>#DIV/0!</v>
      </c>
    </row>
    <row r="907" spans="1:21" x14ac:dyDescent="0.2">
      <c r="A907" s="63" t="s">
        <v>1414</v>
      </c>
      <c r="B907" s="64" t="s">
        <v>324</v>
      </c>
      <c r="C907" s="64" t="s">
        <v>345</v>
      </c>
      <c r="D907" s="64" t="s">
        <v>1515</v>
      </c>
      <c r="E907" s="64" t="s">
        <v>324</v>
      </c>
      <c r="F907" s="65" t="s">
        <v>1516</v>
      </c>
      <c r="G907" s="64" t="s">
        <v>328</v>
      </c>
      <c r="H907" s="64" t="s">
        <v>205</v>
      </c>
      <c r="I907" s="64" t="s">
        <v>10</v>
      </c>
      <c r="J907" s="64" t="s">
        <v>201</v>
      </c>
      <c r="K907" s="66">
        <v>13</v>
      </c>
      <c r="L907" s="66">
        <f>K907*VLOOKUP(I907,dagsoorttabel1,2,FALSE)</f>
        <v>13</v>
      </c>
      <c r="M907" s="67">
        <f>prodnorm26</f>
        <v>0</v>
      </c>
      <c r="N907" s="68">
        <f>dagwerk26</f>
        <v>0</v>
      </c>
      <c r="O907" s="64" t="s">
        <v>38</v>
      </c>
      <c r="P907" s="69">
        <f>uurtarief26</f>
        <v>0</v>
      </c>
      <c r="Q907" s="66" t="e">
        <f>IF(ISBLANK(M907),0,L907/ROUND(M907,4))</f>
        <v>#DIV/0!</v>
      </c>
      <c r="R907" s="66" t="e">
        <f>IF(ISBLANK(M907),0,Q907*ROUND(N907,2))</f>
        <v>#DIV/0!</v>
      </c>
      <c r="S907" s="69" t="e">
        <f>ROUND(P907,2)*Q907</f>
        <v>#DIV/0!</v>
      </c>
      <c r="T907" s="66" t="e">
        <f>Q907*dagenperjaar1</f>
        <v>#DIV/0!</v>
      </c>
      <c r="U907" s="70" t="e">
        <f>T907*ROUND(P907,2)</f>
        <v>#DIV/0!</v>
      </c>
    </row>
    <row r="908" spans="1:21" x14ac:dyDescent="0.2">
      <c r="A908" s="63" t="s">
        <v>1414</v>
      </c>
      <c r="B908" s="64" t="s">
        <v>324</v>
      </c>
      <c r="C908" s="64" t="s">
        <v>345</v>
      </c>
      <c r="D908" s="64" t="s">
        <v>1517</v>
      </c>
      <c r="E908" s="64" t="s">
        <v>324</v>
      </c>
      <c r="F908" s="65" t="s">
        <v>335</v>
      </c>
      <c r="G908" s="64" t="s">
        <v>1421</v>
      </c>
      <c r="H908" s="64" t="s">
        <v>267</v>
      </c>
      <c r="I908" s="64" t="s">
        <v>10</v>
      </c>
      <c r="J908" s="64" t="s">
        <v>201</v>
      </c>
      <c r="K908" s="66">
        <v>112</v>
      </c>
      <c r="L908" s="66">
        <f>K908*VLOOKUP(I908,dagsoorttabel1,2,FALSE)</f>
        <v>112</v>
      </c>
      <c r="M908" s="67">
        <f>prodnorm65</f>
        <v>0</v>
      </c>
      <c r="N908" s="68">
        <f>dagwerk65</f>
        <v>0</v>
      </c>
      <c r="O908" s="64" t="s">
        <v>38</v>
      </c>
      <c r="P908" s="69">
        <f>uurtarief65</f>
        <v>0</v>
      </c>
      <c r="Q908" s="66" t="e">
        <f>IF(ISBLANK(M908),0,L908/ROUND(M908,4))</f>
        <v>#DIV/0!</v>
      </c>
      <c r="R908" s="66" t="e">
        <f>IF(ISBLANK(M908),0,Q908*ROUND(N908,2))</f>
        <v>#DIV/0!</v>
      </c>
      <c r="S908" s="69" t="e">
        <f>ROUND(P908,2)*Q908</f>
        <v>#DIV/0!</v>
      </c>
      <c r="T908" s="66" t="e">
        <f>Q908*dagenperjaar1</f>
        <v>#DIV/0!</v>
      </c>
      <c r="U908" s="70" t="e">
        <f>T908*ROUND(P908,2)</f>
        <v>#DIV/0!</v>
      </c>
    </row>
    <row r="909" spans="1:21" x14ac:dyDescent="0.2">
      <c r="A909" s="63" t="s">
        <v>1414</v>
      </c>
      <c r="B909" s="64" t="s">
        <v>324</v>
      </c>
      <c r="C909" s="64" t="s">
        <v>345</v>
      </c>
      <c r="D909" s="64" t="s">
        <v>1518</v>
      </c>
      <c r="E909" s="64" t="s">
        <v>324</v>
      </c>
      <c r="F909" s="65" t="s">
        <v>335</v>
      </c>
      <c r="G909" s="64" t="s">
        <v>1421</v>
      </c>
      <c r="H909" s="64" t="s">
        <v>267</v>
      </c>
      <c r="I909" s="64" t="s">
        <v>10</v>
      </c>
      <c r="J909" s="64" t="s">
        <v>201</v>
      </c>
      <c r="K909" s="66">
        <v>87.6</v>
      </c>
      <c r="L909" s="66">
        <f>K909*VLOOKUP(I909,dagsoorttabel1,2,FALSE)</f>
        <v>87.6</v>
      </c>
      <c r="M909" s="67">
        <f>prodnorm65</f>
        <v>0</v>
      </c>
      <c r="N909" s="68">
        <f>dagwerk65</f>
        <v>0</v>
      </c>
      <c r="O909" s="64" t="s">
        <v>38</v>
      </c>
      <c r="P909" s="69">
        <f>uurtarief65</f>
        <v>0</v>
      </c>
      <c r="Q909" s="66" t="e">
        <f>IF(ISBLANK(M909),0,L909/ROUND(M909,4))</f>
        <v>#DIV/0!</v>
      </c>
      <c r="R909" s="66" t="e">
        <f>IF(ISBLANK(M909),0,Q909*ROUND(N909,2))</f>
        <v>#DIV/0!</v>
      </c>
      <c r="S909" s="69" t="e">
        <f>ROUND(P909,2)*Q909</f>
        <v>#DIV/0!</v>
      </c>
      <c r="T909" s="66" t="e">
        <f>Q909*dagenperjaar1</f>
        <v>#DIV/0!</v>
      </c>
      <c r="U909" s="70" t="e">
        <f>T909*ROUND(P909,2)</f>
        <v>#DIV/0!</v>
      </c>
    </row>
    <row r="910" spans="1:21" x14ac:dyDescent="0.2">
      <c r="A910" s="63" t="s">
        <v>1414</v>
      </c>
      <c r="B910" s="64" t="s">
        <v>324</v>
      </c>
      <c r="C910" s="64" t="s">
        <v>345</v>
      </c>
      <c r="D910" s="64" t="s">
        <v>1519</v>
      </c>
      <c r="E910" s="64" t="s">
        <v>324</v>
      </c>
      <c r="F910" s="65" t="s">
        <v>335</v>
      </c>
      <c r="G910" s="64" t="s">
        <v>351</v>
      </c>
      <c r="H910" s="64" t="s">
        <v>269</v>
      </c>
      <c r="I910" s="64" t="s">
        <v>10</v>
      </c>
      <c r="J910" s="64" t="s">
        <v>201</v>
      </c>
      <c r="K910" s="66">
        <v>46</v>
      </c>
      <c r="L910" s="66">
        <f>K910*VLOOKUP(I910,dagsoorttabel1,2,FALSE)</f>
        <v>46</v>
      </c>
      <c r="M910" s="67">
        <f>prodnorm67</f>
        <v>0</v>
      </c>
      <c r="N910" s="68">
        <f>dagwerk67</f>
        <v>0</v>
      </c>
      <c r="O910" s="64" t="s">
        <v>38</v>
      </c>
      <c r="P910" s="69">
        <f>uurtarief67</f>
        <v>0</v>
      </c>
      <c r="Q910" s="66" t="e">
        <f>IF(ISBLANK(M910),0,L910/ROUND(M910,4))</f>
        <v>#DIV/0!</v>
      </c>
      <c r="R910" s="66" t="e">
        <f>IF(ISBLANK(M910),0,Q910*ROUND(N910,2))</f>
        <v>#DIV/0!</v>
      </c>
      <c r="S910" s="69" t="e">
        <f>ROUND(P910,2)*Q910</f>
        <v>#DIV/0!</v>
      </c>
      <c r="T910" s="66" t="e">
        <f>Q910*dagenperjaar1</f>
        <v>#DIV/0!</v>
      </c>
      <c r="U910" s="70" t="e">
        <f>T910*ROUND(P910,2)</f>
        <v>#DIV/0!</v>
      </c>
    </row>
    <row r="911" spans="1:21" x14ac:dyDescent="0.2">
      <c r="A911" s="63" t="s">
        <v>1414</v>
      </c>
      <c r="B911" s="64" t="s">
        <v>324</v>
      </c>
      <c r="C911" s="64" t="s">
        <v>345</v>
      </c>
      <c r="D911" s="64" t="s">
        <v>1520</v>
      </c>
      <c r="E911" s="64" t="s">
        <v>324</v>
      </c>
      <c r="F911" s="65" t="s">
        <v>335</v>
      </c>
      <c r="G911" s="64" t="s">
        <v>351</v>
      </c>
      <c r="H911" s="64" t="s">
        <v>269</v>
      </c>
      <c r="I911" s="64" t="s">
        <v>10</v>
      </c>
      <c r="J911" s="64" t="s">
        <v>201</v>
      </c>
      <c r="K911" s="66">
        <v>70</v>
      </c>
      <c r="L911" s="66">
        <f>K911*VLOOKUP(I911,dagsoorttabel1,2,FALSE)</f>
        <v>70</v>
      </c>
      <c r="M911" s="67">
        <f>prodnorm67</f>
        <v>0</v>
      </c>
      <c r="N911" s="68">
        <f>dagwerk67</f>
        <v>0</v>
      </c>
      <c r="O911" s="64" t="s">
        <v>38</v>
      </c>
      <c r="P911" s="69">
        <f>uurtarief67</f>
        <v>0</v>
      </c>
      <c r="Q911" s="66" t="e">
        <f>IF(ISBLANK(M911),0,L911/ROUND(M911,4))</f>
        <v>#DIV/0!</v>
      </c>
      <c r="R911" s="66" t="e">
        <f>IF(ISBLANK(M911),0,Q911*ROUND(N911,2))</f>
        <v>#DIV/0!</v>
      </c>
      <c r="S911" s="69" t="e">
        <f>ROUND(P911,2)*Q911</f>
        <v>#DIV/0!</v>
      </c>
      <c r="T911" s="66" t="e">
        <f>Q911*dagenperjaar1</f>
        <v>#DIV/0!</v>
      </c>
      <c r="U911" s="70" t="e">
        <f>T911*ROUND(P911,2)</f>
        <v>#DIV/0!</v>
      </c>
    </row>
    <row r="912" spans="1:21" x14ac:dyDescent="0.2">
      <c r="A912" s="63" t="s">
        <v>1414</v>
      </c>
      <c r="B912" s="64" t="s">
        <v>324</v>
      </c>
      <c r="C912" s="64" t="s">
        <v>345</v>
      </c>
      <c r="D912" s="64" t="s">
        <v>1521</v>
      </c>
      <c r="E912" s="64" t="s">
        <v>324</v>
      </c>
      <c r="F912" s="65" t="s">
        <v>335</v>
      </c>
      <c r="G912" s="64" t="s">
        <v>351</v>
      </c>
      <c r="H912" s="64" t="s">
        <v>269</v>
      </c>
      <c r="I912" s="64" t="s">
        <v>10</v>
      </c>
      <c r="J912" s="64" t="s">
        <v>201</v>
      </c>
      <c r="K912" s="66">
        <v>71</v>
      </c>
      <c r="L912" s="66">
        <f>K912*VLOOKUP(I912,dagsoorttabel1,2,FALSE)</f>
        <v>71</v>
      </c>
      <c r="M912" s="67">
        <f>prodnorm67</f>
        <v>0</v>
      </c>
      <c r="N912" s="68">
        <f>dagwerk67</f>
        <v>0</v>
      </c>
      <c r="O912" s="64" t="s">
        <v>38</v>
      </c>
      <c r="P912" s="69">
        <f>uurtarief67</f>
        <v>0</v>
      </c>
      <c r="Q912" s="66" t="e">
        <f>IF(ISBLANK(M912),0,L912/ROUND(M912,4))</f>
        <v>#DIV/0!</v>
      </c>
      <c r="R912" s="66" t="e">
        <f>IF(ISBLANK(M912),0,Q912*ROUND(N912,2))</f>
        <v>#DIV/0!</v>
      </c>
      <c r="S912" s="69" t="e">
        <f>ROUND(P912,2)*Q912</f>
        <v>#DIV/0!</v>
      </c>
      <c r="T912" s="66" t="e">
        <f>Q912*dagenperjaar1</f>
        <v>#DIV/0!</v>
      </c>
      <c r="U912" s="70" t="e">
        <f>T912*ROUND(P912,2)</f>
        <v>#DIV/0!</v>
      </c>
    </row>
    <row r="913" spans="1:21" x14ac:dyDescent="0.2">
      <c r="A913" s="63" t="s">
        <v>1414</v>
      </c>
      <c r="B913" s="64" t="s">
        <v>324</v>
      </c>
      <c r="C913" s="64" t="s">
        <v>345</v>
      </c>
      <c r="D913" s="64" t="s">
        <v>1522</v>
      </c>
      <c r="E913" s="64" t="s">
        <v>324</v>
      </c>
      <c r="F913" s="65" t="s">
        <v>655</v>
      </c>
      <c r="G913" s="64" t="s">
        <v>351</v>
      </c>
      <c r="H913" s="64" t="s">
        <v>265</v>
      </c>
      <c r="I913" s="64" t="s">
        <v>10</v>
      </c>
      <c r="J913" s="64" t="s">
        <v>201</v>
      </c>
      <c r="K913" s="66">
        <v>60</v>
      </c>
      <c r="L913" s="66">
        <f>K913*VLOOKUP(I913,dagsoorttabel1,2,FALSE)</f>
        <v>60</v>
      </c>
      <c r="M913" s="67">
        <f>prodnorm64</f>
        <v>0</v>
      </c>
      <c r="N913" s="68">
        <f>dagwerk64</f>
        <v>0</v>
      </c>
      <c r="O913" s="64" t="s">
        <v>38</v>
      </c>
      <c r="P913" s="69">
        <f>uurtarief64</f>
        <v>0</v>
      </c>
      <c r="Q913" s="66" t="e">
        <f>IF(ISBLANK(M913),0,L913/ROUND(M913,4))</f>
        <v>#DIV/0!</v>
      </c>
      <c r="R913" s="66" t="e">
        <f>IF(ISBLANK(M913),0,Q913*ROUND(N913,2))</f>
        <v>#DIV/0!</v>
      </c>
      <c r="S913" s="69" t="e">
        <f>ROUND(P913,2)*Q913</f>
        <v>#DIV/0!</v>
      </c>
      <c r="T913" s="66" t="e">
        <f>Q913*dagenperjaar1</f>
        <v>#DIV/0!</v>
      </c>
      <c r="U913" s="70" t="e">
        <f>T913*ROUND(P913,2)</f>
        <v>#DIV/0!</v>
      </c>
    </row>
    <row r="914" spans="1:21" x14ac:dyDescent="0.2">
      <c r="A914" s="63" t="s">
        <v>1414</v>
      </c>
      <c r="B914" s="64" t="s">
        <v>324</v>
      </c>
      <c r="C914" s="64" t="s">
        <v>345</v>
      </c>
      <c r="D914" s="64" t="s">
        <v>1523</v>
      </c>
      <c r="E914" s="64" t="s">
        <v>324</v>
      </c>
      <c r="F914" s="65" t="s">
        <v>335</v>
      </c>
      <c r="G914" s="64" t="s">
        <v>351</v>
      </c>
      <c r="H914" s="64" t="s">
        <v>269</v>
      </c>
      <c r="I914" s="64" t="s">
        <v>10</v>
      </c>
      <c r="J914" s="64" t="s">
        <v>201</v>
      </c>
      <c r="K914" s="66">
        <v>52</v>
      </c>
      <c r="L914" s="66">
        <f>K914*VLOOKUP(I914,dagsoorttabel1,2,FALSE)</f>
        <v>52</v>
      </c>
      <c r="M914" s="67">
        <f>prodnorm67</f>
        <v>0</v>
      </c>
      <c r="N914" s="68">
        <f>dagwerk67</f>
        <v>0</v>
      </c>
      <c r="O914" s="64" t="s">
        <v>38</v>
      </c>
      <c r="P914" s="69">
        <f>uurtarief67</f>
        <v>0</v>
      </c>
      <c r="Q914" s="66" t="e">
        <f>IF(ISBLANK(M914),0,L914/ROUND(M914,4))</f>
        <v>#DIV/0!</v>
      </c>
      <c r="R914" s="66" t="e">
        <f>IF(ISBLANK(M914),0,Q914*ROUND(N914,2))</f>
        <v>#DIV/0!</v>
      </c>
      <c r="S914" s="69" t="e">
        <f>ROUND(P914,2)*Q914</f>
        <v>#DIV/0!</v>
      </c>
      <c r="T914" s="66" t="e">
        <f>Q914*dagenperjaar1</f>
        <v>#DIV/0!</v>
      </c>
      <c r="U914" s="70" t="e">
        <f>T914*ROUND(P914,2)</f>
        <v>#DIV/0!</v>
      </c>
    </row>
    <row r="915" spans="1:21" x14ac:dyDescent="0.2">
      <c r="A915" s="63" t="s">
        <v>1414</v>
      </c>
      <c r="B915" s="64" t="s">
        <v>324</v>
      </c>
      <c r="C915" s="64" t="s">
        <v>345</v>
      </c>
      <c r="D915" s="64" t="s">
        <v>1524</v>
      </c>
      <c r="E915" s="64" t="s">
        <v>324</v>
      </c>
      <c r="F915" s="65" t="s">
        <v>354</v>
      </c>
      <c r="G915" s="64" t="s">
        <v>1421</v>
      </c>
      <c r="H915" s="64" t="s">
        <v>215</v>
      </c>
      <c r="I915" s="64" t="s">
        <v>10</v>
      </c>
      <c r="J915" s="64" t="s">
        <v>201</v>
      </c>
      <c r="K915" s="66">
        <v>5</v>
      </c>
      <c r="L915" s="66">
        <f>K915*VLOOKUP(I915,dagsoorttabel1,2,FALSE)</f>
        <v>5</v>
      </c>
      <c r="M915" s="67">
        <f>prodnorm34</f>
        <v>0</v>
      </c>
      <c r="N915" s="68">
        <f>dagwerk34</f>
        <v>0</v>
      </c>
      <c r="O915" s="64" t="s">
        <v>38</v>
      </c>
      <c r="P915" s="69">
        <f>uurtarief34</f>
        <v>0</v>
      </c>
      <c r="Q915" s="66" t="e">
        <f>IF(ISBLANK(M915),0,L915/ROUND(M915,4))</f>
        <v>#DIV/0!</v>
      </c>
      <c r="R915" s="66" t="e">
        <f>IF(ISBLANK(M915),0,Q915*ROUND(N915,2))</f>
        <v>#DIV/0!</v>
      </c>
      <c r="S915" s="69" t="e">
        <f>ROUND(P915,2)*Q915</f>
        <v>#DIV/0!</v>
      </c>
      <c r="T915" s="66" t="e">
        <f>Q915*dagenperjaar1</f>
        <v>#DIV/0!</v>
      </c>
      <c r="U915" s="70" t="e">
        <f>T915*ROUND(P915,2)</f>
        <v>#DIV/0!</v>
      </c>
    </row>
    <row r="916" spans="1:21" x14ac:dyDescent="0.2">
      <c r="A916" s="63" t="s">
        <v>1414</v>
      </c>
      <c r="B916" s="64" t="s">
        <v>324</v>
      </c>
      <c r="C916" s="64" t="s">
        <v>345</v>
      </c>
      <c r="D916" s="64" t="s">
        <v>1525</v>
      </c>
      <c r="E916" s="64" t="s">
        <v>324</v>
      </c>
      <c r="F916" s="65" t="s">
        <v>578</v>
      </c>
      <c r="G916" s="64" t="s">
        <v>1421</v>
      </c>
      <c r="H916" s="64" t="s">
        <v>267</v>
      </c>
      <c r="I916" s="64" t="s">
        <v>10</v>
      </c>
      <c r="J916" s="64" t="s">
        <v>201</v>
      </c>
      <c r="K916" s="66">
        <v>7</v>
      </c>
      <c r="L916" s="66">
        <f>K916*VLOOKUP(I916,dagsoorttabel1,2,FALSE)</f>
        <v>7</v>
      </c>
      <c r="M916" s="67">
        <f>prodnorm65</f>
        <v>0</v>
      </c>
      <c r="N916" s="68">
        <f>dagwerk65</f>
        <v>0</v>
      </c>
      <c r="O916" s="64" t="s">
        <v>38</v>
      </c>
      <c r="P916" s="69">
        <f>uurtarief65</f>
        <v>0</v>
      </c>
      <c r="Q916" s="66" t="e">
        <f>IF(ISBLANK(M916),0,L916/ROUND(M916,4))</f>
        <v>#DIV/0!</v>
      </c>
      <c r="R916" s="66" t="e">
        <f>IF(ISBLANK(M916),0,Q916*ROUND(N916,2))</f>
        <v>#DIV/0!</v>
      </c>
      <c r="S916" s="69" t="e">
        <f>ROUND(P916,2)*Q916</f>
        <v>#DIV/0!</v>
      </c>
      <c r="T916" s="66" t="e">
        <f>Q916*dagenperjaar1</f>
        <v>#DIV/0!</v>
      </c>
      <c r="U916" s="70" t="e">
        <f>T916*ROUND(P916,2)</f>
        <v>#DIV/0!</v>
      </c>
    </row>
    <row r="917" spans="1:21" x14ac:dyDescent="0.2">
      <c r="A917" s="63" t="s">
        <v>1414</v>
      </c>
      <c r="B917" s="64" t="s">
        <v>324</v>
      </c>
      <c r="C917" s="64" t="s">
        <v>345</v>
      </c>
      <c r="D917" s="64" t="s">
        <v>1526</v>
      </c>
      <c r="E917" s="64" t="s">
        <v>324</v>
      </c>
      <c r="F917" s="65" t="s">
        <v>641</v>
      </c>
      <c r="G917" s="64" t="s">
        <v>1421</v>
      </c>
      <c r="H917" s="64" t="s">
        <v>255</v>
      </c>
      <c r="I917" s="64" t="s">
        <v>10</v>
      </c>
      <c r="J917" s="64" t="s">
        <v>201</v>
      </c>
      <c r="K917" s="66">
        <v>2.9</v>
      </c>
      <c r="L917" s="66">
        <f>K917*VLOOKUP(I917,dagsoorttabel1,2,FALSE)</f>
        <v>2.9</v>
      </c>
      <c r="M917" s="67">
        <f>prodnorm59</f>
        <v>0</v>
      </c>
      <c r="N917" s="68">
        <f>dagwerk59</f>
        <v>0</v>
      </c>
      <c r="O917" s="64" t="s">
        <v>38</v>
      </c>
      <c r="P917" s="69">
        <f>uurtarief59</f>
        <v>0</v>
      </c>
      <c r="Q917" s="66" t="e">
        <f>IF(ISBLANK(M917),0,L917/ROUND(M917,4))</f>
        <v>#DIV/0!</v>
      </c>
      <c r="R917" s="66" t="e">
        <f>IF(ISBLANK(M917),0,Q917*ROUND(N917,2))</f>
        <v>#DIV/0!</v>
      </c>
      <c r="S917" s="69" t="e">
        <f>ROUND(P917,2)*Q917</f>
        <v>#DIV/0!</v>
      </c>
      <c r="T917" s="66" t="e">
        <f>Q917*dagenperjaar1</f>
        <v>#DIV/0!</v>
      </c>
      <c r="U917" s="70" t="e">
        <f>T917*ROUND(P917,2)</f>
        <v>#DIV/0!</v>
      </c>
    </row>
    <row r="918" spans="1:21" x14ac:dyDescent="0.2">
      <c r="A918" s="63" t="s">
        <v>1414</v>
      </c>
      <c r="B918" s="64" t="s">
        <v>324</v>
      </c>
      <c r="C918" s="64" t="s">
        <v>345</v>
      </c>
      <c r="D918" s="64" t="s">
        <v>1527</v>
      </c>
      <c r="E918" s="64" t="s">
        <v>324</v>
      </c>
      <c r="F918" s="65" t="s">
        <v>641</v>
      </c>
      <c r="G918" s="64" t="s">
        <v>1421</v>
      </c>
      <c r="H918" s="64" t="s">
        <v>255</v>
      </c>
      <c r="I918" s="64" t="s">
        <v>10</v>
      </c>
      <c r="J918" s="64" t="s">
        <v>201</v>
      </c>
      <c r="K918" s="66">
        <v>2.9</v>
      </c>
      <c r="L918" s="66">
        <f>K918*VLOOKUP(I918,dagsoorttabel1,2,FALSE)</f>
        <v>2.9</v>
      </c>
      <c r="M918" s="67">
        <f>prodnorm59</f>
        <v>0</v>
      </c>
      <c r="N918" s="68">
        <f>dagwerk59</f>
        <v>0</v>
      </c>
      <c r="O918" s="64" t="s">
        <v>38</v>
      </c>
      <c r="P918" s="69">
        <f>uurtarief59</f>
        <v>0</v>
      </c>
      <c r="Q918" s="66" t="e">
        <f>IF(ISBLANK(M918),0,L918/ROUND(M918,4))</f>
        <v>#DIV/0!</v>
      </c>
      <c r="R918" s="66" t="e">
        <f>IF(ISBLANK(M918),0,Q918*ROUND(N918,2))</f>
        <v>#DIV/0!</v>
      </c>
      <c r="S918" s="69" t="e">
        <f>ROUND(P918,2)*Q918</f>
        <v>#DIV/0!</v>
      </c>
      <c r="T918" s="66" t="e">
        <f>Q918*dagenperjaar1</f>
        <v>#DIV/0!</v>
      </c>
      <c r="U918" s="70" t="e">
        <f>T918*ROUND(P918,2)</f>
        <v>#DIV/0!</v>
      </c>
    </row>
    <row r="919" spans="1:21" x14ac:dyDescent="0.2">
      <c r="A919" s="63" t="s">
        <v>1414</v>
      </c>
      <c r="B919" s="64" t="s">
        <v>324</v>
      </c>
      <c r="C919" s="64" t="s">
        <v>345</v>
      </c>
      <c r="D919" s="64" t="s">
        <v>1528</v>
      </c>
      <c r="E919" s="64" t="s">
        <v>324</v>
      </c>
      <c r="F919" s="65" t="s">
        <v>641</v>
      </c>
      <c r="G919" s="64" t="s">
        <v>1421</v>
      </c>
      <c r="H919" s="64" t="s">
        <v>255</v>
      </c>
      <c r="I919" s="64" t="s">
        <v>10</v>
      </c>
      <c r="J919" s="64" t="s">
        <v>201</v>
      </c>
      <c r="K919" s="66">
        <v>1.51</v>
      </c>
      <c r="L919" s="66">
        <f>K919*VLOOKUP(I919,dagsoorttabel1,2,FALSE)</f>
        <v>1.51</v>
      </c>
      <c r="M919" s="67">
        <f>prodnorm59</f>
        <v>0</v>
      </c>
      <c r="N919" s="68">
        <f>dagwerk59</f>
        <v>0</v>
      </c>
      <c r="O919" s="64" t="s">
        <v>38</v>
      </c>
      <c r="P919" s="69">
        <f>uurtarief59</f>
        <v>0</v>
      </c>
      <c r="Q919" s="66" t="e">
        <f>IF(ISBLANK(M919),0,L919/ROUND(M919,4))</f>
        <v>#DIV/0!</v>
      </c>
      <c r="R919" s="66" t="e">
        <f>IF(ISBLANK(M919),0,Q919*ROUND(N919,2))</f>
        <v>#DIV/0!</v>
      </c>
      <c r="S919" s="69" t="e">
        <f>ROUND(P919,2)*Q919</f>
        <v>#DIV/0!</v>
      </c>
      <c r="T919" s="66" t="e">
        <f>Q919*dagenperjaar1</f>
        <v>#DIV/0!</v>
      </c>
      <c r="U919" s="70" t="e">
        <f>T919*ROUND(P919,2)</f>
        <v>#DIV/0!</v>
      </c>
    </row>
    <row r="920" spans="1:21" x14ac:dyDescent="0.2">
      <c r="A920" s="63" t="s">
        <v>1414</v>
      </c>
      <c r="B920" s="64" t="s">
        <v>324</v>
      </c>
      <c r="C920" s="64" t="s">
        <v>345</v>
      </c>
      <c r="D920" s="64" t="s">
        <v>1529</v>
      </c>
      <c r="E920" s="64" t="s">
        <v>324</v>
      </c>
      <c r="F920" s="65" t="s">
        <v>1530</v>
      </c>
      <c r="G920" s="64" t="s">
        <v>365</v>
      </c>
      <c r="H920" s="64" t="s">
        <v>227</v>
      </c>
      <c r="I920" s="64" t="s">
        <v>10</v>
      </c>
      <c r="J920" s="64" t="s">
        <v>201</v>
      </c>
      <c r="K920" s="66">
        <v>25</v>
      </c>
      <c r="L920" s="66">
        <f>K920*VLOOKUP(I920,dagsoorttabel1,2,FALSE)</f>
        <v>25</v>
      </c>
      <c r="M920" s="67">
        <f>prodnorm42</f>
        <v>0</v>
      </c>
      <c r="N920" s="68">
        <f>dagwerk42</f>
        <v>0</v>
      </c>
      <c r="O920" s="64" t="s">
        <v>38</v>
      </c>
      <c r="P920" s="69">
        <f>uurtarief42</f>
        <v>0</v>
      </c>
      <c r="Q920" s="66" t="e">
        <f>IF(ISBLANK(M920),0,L920/ROUND(M920,4))</f>
        <v>#DIV/0!</v>
      </c>
      <c r="R920" s="66" t="e">
        <f>IF(ISBLANK(M920),0,Q920*ROUND(N920,2))</f>
        <v>#DIV/0!</v>
      </c>
      <c r="S920" s="69" t="e">
        <f>ROUND(P920,2)*Q920</f>
        <v>#DIV/0!</v>
      </c>
      <c r="T920" s="66" t="e">
        <f>Q920*dagenperjaar1</f>
        <v>#DIV/0!</v>
      </c>
      <c r="U920" s="70" t="e">
        <f>T920*ROUND(P920,2)</f>
        <v>#DIV/0!</v>
      </c>
    </row>
    <row r="921" spans="1:21" x14ac:dyDescent="0.2">
      <c r="A921" s="63" t="s">
        <v>1414</v>
      </c>
      <c r="B921" s="64" t="s">
        <v>324</v>
      </c>
      <c r="C921" s="64" t="s">
        <v>345</v>
      </c>
      <c r="D921" s="64" t="s">
        <v>1531</v>
      </c>
      <c r="E921" s="64" t="s">
        <v>324</v>
      </c>
      <c r="F921" s="65" t="s">
        <v>802</v>
      </c>
      <c r="G921" s="64" t="s">
        <v>365</v>
      </c>
      <c r="H921" s="64" t="s">
        <v>255</v>
      </c>
      <c r="I921" s="64" t="s">
        <v>10</v>
      </c>
      <c r="J921" s="64" t="s">
        <v>201</v>
      </c>
      <c r="K921" s="66">
        <v>9</v>
      </c>
      <c r="L921" s="66">
        <f>K921*VLOOKUP(I921,dagsoorttabel1,2,FALSE)</f>
        <v>9</v>
      </c>
      <c r="M921" s="67">
        <f>prodnorm59</f>
        <v>0</v>
      </c>
      <c r="N921" s="68">
        <f>dagwerk59</f>
        <v>0</v>
      </c>
      <c r="O921" s="64" t="s">
        <v>38</v>
      </c>
      <c r="P921" s="69">
        <f>uurtarief59</f>
        <v>0</v>
      </c>
      <c r="Q921" s="66" t="e">
        <f>IF(ISBLANK(M921),0,L921/ROUND(M921,4))</f>
        <v>#DIV/0!</v>
      </c>
      <c r="R921" s="66" t="e">
        <f>IF(ISBLANK(M921),0,Q921*ROUND(N921,2))</f>
        <v>#DIV/0!</v>
      </c>
      <c r="S921" s="69" t="e">
        <f>ROUND(P921,2)*Q921</f>
        <v>#DIV/0!</v>
      </c>
      <c r="T921" s="66" t="e">
        <f>Q921*dagenperjaar1</f>
        <v>#DIV/0!</v>
      </c>
      <c r="U921" s="70" t="e">
        <f>T921*ROUND(P921,2)</f>
        <v>#DIV/0!</v>
      </c>
    </row>
    <row r="922" spans="1:21" x14ac:dyDescent="0.2">
      <c r="A922" s="63" t="s">
        <v>1414</v>
      </c>
      <c r="B922" s="64" t="s">
        <v>324</v>
      </c>
      <c r="C922" s="64" t="s">
        <v>345</v>
      </c>
      <c r="D922" s="64" t="s">
        <v>1532</v>
      </c>
      <c r="E922" s="64" t="s">
        <v>324</v>
      </c>
      <c r="F922" s="65" t="s">
        <v>1530</v>
      </c>
      <c r="G922" s="64" t="s">
        <v>365</v>
      </c>
      <c r="H922" s="64" t="s">
        <v>227</v>
      </c>
      <c r="I922" s="64" t="s">
        <v>10</v>
      </c>
      <c r="J922" s="64" t="s">
        <v>201</v>
      </c>
      <c r="K922" s="66">
        <v>25</v>
      </c>
      <c r="L922" s="66">
        <f>K922*VLOOKUP(I922,dagsoorttabel1,2,FALSE)</f>
        <v>25</v>
      </c>
      <c r="M922" s="67">
        <f>prodnorm42</f>
        <v>0</v>
      </c>
      <c r="N922" s="68">
        <f>dagwerk42</f>
        <v>0</v>
      </c>
      <c r="O922" s="64" t="s">
        <v>38</v>
      </c>
      <c r="P922" s="69">
        <f>uurtarief42</f>
        <v>0</v>
      </c>
      <c r="Q922" s="66" t="e">
        <f>IF(ISBLANK(M922),0,L922/ROUND(M922,4))</f>
        <v>#DIV/0!</v>
      </c>
      <c r="R922" s="66" t="e">
        <f>IF(ISBLANK(M922),0,Q922*ROUND(N922,2))</f>
        <v>#DIV/0!</v>
      </c>
      <c r="S922" s="69" t="e">
        <f>ROUND(P922,2)*Q922</f>
        <v>#DIV/0!</v>
      </c>
      <c r="T922" s="66" t="e">
        <f>Q922*dagenperjaar1</f>
        <v>#DIV/0!</v>
      </c>
      <c r="U922" s="70" t="e">
        <f>T922*ROUND(P922,2)</f>
        <v>#DIV/0!</v>
      </c>
    </row>
    <row r="923" spans="1:21" x14ac:dyDescent="0.2">
      <c r="A923" s="63" t="s">
        <v>1414</v>
      </c>
      <c r="B923" s="64" t="s">
        <v>324</v>
      </c>
      <c r="C923" s="64" t="s">
        <v>345</v>
      </c>
      <c r="D923" s="64" t="s">
        <v>1533</v>
      </c>
      <c r="E923" s="64" t="s">
        <v>324</v>
      </c>
      <c r="F923" s="65" t="s">
        <v>802</v>
      </c>
      <c r="G923" s="64" t="s">
        <v>365</v>
      </c>
      <c r="H923" s="64" t="s">
        <v>255</v>
      </c>
      <c r="I923" s="64" t="s">
        <v>10</v>
      </c>
      <c r="J923" s="64" t="s">
        <v>201</v>
      </c>
      <c r="K923" s="66">
        <v>9</v>
      </c>
      <c r="L923" s="66">
        <f>K923*VLOOKUP(I923,dagsoorttabel1,2,FALSE)</f>
        <v>9</v>
      </c>
      <c r="M923" s="67">
        <f>prodnorm59</f>
        <v>0</v>
      </c>
      <c r="N923" s="68">
        <f>dagwerk59</f>
        <v>0</v>
      </c>
      <c r="O923" s="64" t="s">
        <v>38</v>
      </c>
      <c r="P923" s="69">
        <f>uurtarief59</f>
        <v>0</v>
      </c>
      <c r="Q923" s="66" t="e">
        <f>IF(ISBLANK(M923),0,L923/ROUND(M923,4))</f>
        <v>#DIV/0!</v>
      </c>
      <c r="R923" s="66" t="e">
        <f>IF(ISBLANK(M923),0,Q923*ROUND(N923,2))</f>
        <v>#DIV/0!</v>
      </c>
      <c r="S923" s="69" t="e">
        <f>ROUND(P923,2)*Q923</f>
        <v>#DIV/0!</v>
      </c>
      <c r="T923" s="66" t="e">
        <f>Q923*dagenperjaar1</f>
        <v>#DIV/0!</v>
      </c>
      <c r="U923" s="70" t="e">
        <f>T923*ROUND(P923,2)</f>
        <v>#DIV/0!</v>
      </c>
    </row>
    <row r="924" spans="1:21" x14ac:dyDescent="0.2">
      <c r="A924" s="63" t="s">
        <v>1414</v>
      </c>
      <c r="B924" s="64" t="s">
        <v>324</v>
      </c>
      <c r="C924" s="64" t="s">
        <v>345</v>
      </c>
      <c r="D924" s="64" t="s">
        <v>1534</v>
      </c>
      <c r="E924" s="64" t="s">
        <v>324</v>
      </c>
      <c r="F924" s="65" t="s">
        <v>1530</v>
      </c>
      <c r="G924" s="64" t="s">
        <v>365</v>
      </c>
      <c r="H924" s="64" t="s">
        <v>227</v>
      </c>
      <c r="I924" s="64" t="s">
        <v>10</v>
      </c>
      <c r="J924" s="64" t="s">
        <v>201</v>
      </c>
      <c r="K924" s="66">
        <v>25</v>
      </c>
      <c r="L924" s="66">
        <f>K924*VLOOKUP(I924,dagsoorttabel1,2,FALSE)</f>
        <v>25</v>
      </c>
      <c r="M924" s="67">
        <f>prodnorm42</f>
        <v>0</v>
      </c>
      <c r="N924" s="68">
        <f>dagwerk42</f>
        <v>0</v>
      </c>
      <c r="O924" s="64" t="s">
        <v>38</v>
      </c>
      <c r="P924" s="69">
        <f>uurtarief42</f>
        <v>0</v>
      </c>
      <c r="Q924" s="66" t="e">
        <f>IF(ISBLANK(M924),0,L924/ROUND(M924,4))</f>
        <v>#DIV/0!</v>
      </c>
      <c r="R924" s="66" t="e">
        <f>IF(ISBLANK(M924),0,Q924*ROUND(N924,2))</f>
        <v>#DIV/0!</v>
      </c>
      <c r="S924" s="69" t="e">
        <f>ROUND(P924,2)*Q924</f>
        <v>#DIV/0!</v>
      </c>
      <c r="T924" s="66" t="e">
        <f>Q924*dagenperjaar1</f>
        <v>#DIV/0!</v>
      </c>
      <c r="U924" s="70" t="e">
        <f>T924*ROUND(P924,2)</f>
        <v>#DIV/0!</v>
      </c>
    </row>
    <row r="925" spans="1:21" x14ac:dyDescent="0.2">
      <c r="A925" s="63" t="s">
        <v>1414</v>
      </c>
      <c r="B925" s="64" t="s">
        <v>324</v>
      </c>
      <c r="C925" s="64" t="s">
        <v>345</v>
      </c>
      <c r="D925" s="64" t="s">
        <v>1535</v>
      </c>
      <c r="E925" s="64" t="s">
        <v>324</v>
      </c>
      <c r="F925" s="65" t="s">
        <v>802</v>
      </c>
      <c r="G925" s="64" t="s">
        <v>365</v>
      </c>
      <c r="H925" s="64" t="s">
        <v>255</v>
      </c>
      <c r="I925" s="64" t="s">
        <v>10</v>
      </c>
      <c r="J925" s="64" t="s">
        <v>201</v>
      </c>
      <c r="K925" s="66">
        <v>9</v>
      </c>
      <c r="L925" s="66">
        <f>K925*VLOOKUP(I925,dagsoorttabel1,2,FALSE)</f>
        <v>9</v>
      </c>
      <c r="M925" s="67">
        <f>prodnorm59</f>
        <v>0</v>
      </c>
      <c r="N925" s="68">
        <f>dagwerk59</f>
        <v>0</v>
      </c>
      <c r="O925" s="64" t="s">
        <v>38</v>
      </c>
      <c r="P925" s="69">
        <f>uurtarief59</f>
        <v>0</v>
      </c>
      <c r="Q925" s="66" t="e">
        <f>IF(ISBLANK(M925),0,L925/ROUND(M925,4))</f>
        <v>#DIV/0!</v>
      </c>
      <c r="R925" s="66" t="e">
        <f>IF(ISBLANK(M925),0,Q925*ROUND(N925,2))</f>
        <v>#DIV/0!</v>
      </c>
      <c r="S925" s="69" t="e">
        <f>ROUND(P925,2)*Q925</f>
        <v>#DIV/0!</v>
      </c>
      <c r="T925" s="66" t="e">
        <f>Q925*dagenperjaar1</f>
        <v>#DIV/0!</v>
      </c>
      <c r="U925" s="70" t="e">
        <f>T925*ROUND(P925,2)</f>
        <v>#DIV/0!</v>
      </c>
    </row>
    <row r="926" spans="1:21" x14ac:dyDescent="0.2">
      <c r="A926" s="63" t="s">
        <v>1414</v>
      </c>
      <c r="B926" s="64" t="s">
        <v>324</v>
      </c>
      <c r="C926" s="64" t="s">
        <v>345</v>
      </c>
      <c r="D926" s="64" t="s">
        <v>1536</v>
      </c>
      <c r="E926" s="64" t="s">
        <v>324</v>
      </c>
      <c r="F926" s="65" t="s">
        <v>1530</v>
      </c>
      <c r="G926" s="64" t="s">
        <v>365</v>
      </c>
      <c r="H926" s="64" t="s">
        <v>227</v>
      </c>
      <c r="I926" s="64" t="s">
        <v>10</v>
      </c>
      <c r="J926" s="64" t="s">
        <v>201</v>
      </c>
      <c r="K926" s="66">
        <v>25</v>
      </c>
      <c r="L926" s="66">
        <f>K926*VLOOKUP(I926,dagsoorttabel1,2,FALSE)</f>
        <v>25</v>
      </c>
      <c r="M926" s="67">
        <f>prodnorm42</f>
        <v>0</v>
      </c>
      <c r="N926" s="68">
        <f>dagwerk42</f>
        <v>0</v>
      </c>
      <c r="O926" s="64" t="s">
        <v>38</v>
      </c>
      <c r="P926" s="69">
        <f>uurtarief42</f>
        <v>0</v>
      </c>
      <c r="Q926" s="66" t="e">
        <f>IF(ISBLANK(M926),0,L926/ROUND(M926,4))</f>
        <v>#DIV/0!</v>
      </c>
      <c r="R926" s="66" t="e">
        <f>IF(ISBLANK(M926),0,Q926*ROUND(N926,2))</f>
        <v>#DIV/0!</v>
      </c>
      <c r="S926" s="69" t="e">
        <f>ROUND(P926,2)*Q926</f>
        <v>#DIV/0!</v>
      </c>
      <c r="T926" s="66" t="e">
        <f>Q926*dagenperjaar1</f>
        <v>#DIV/0!</v>
      </c>
      <c r="U926" s="70" t="e">
        <f>T926*ROUND(P926,2)</f>
        <v>#DIV/0!</v>
      </c>
    </row>
    <row r="927" spans="1:21" x14ac:dyDescent="0.2">
      <c r="A927" s="63" t="s">
        <v>1414</v>
      </c>
      <c r="B927" s="64" t="s">
        <v>324</v>
      </c>
      <c r="C927" s="64" t="s">
        <v>345</v>
      </c>
      <c r="D927" s="64" t="s">
        <v>1537</v>
      </c>
      <c r="E927" s="64" t="s">
        <v>324</v>
      </c>
      <c r="F927" s="65" t="s">
        <v>802</v>
      </c>
      <c r="G927" s="64" t="s">
        <v>365</v>
      </c>
      <c r="H927" s="64" t="s">
        <v>255</v>
      </c>
      <c r="I927" s="64" t="s">
        <v>10</v>
      </c>
      <c r="J927" s="64" t="s">
        <v>201</v>
      </c>
      <c r="K927" s="66">
        <v>9</v>
      </c>
      <c r="L927" s="66">
        <f>K927*VLOOKUP(I927,dagsoorttabel1,2,FALSE)</f>
        <v>9</v>
      </c>
      <c r="M927" s="67">
        <f>prodnorm59</f>
        <v>0</v>
      </c>
      <c r="N927" s="68">
        <f>dagwerk59</f>
        <v>0</v>
      </c>
      <c r="O927" s="64" t="s">
        <v>38</v>
      </c>
      <c r="P927" s="69">
        <f>uurtarief59</f>
        <v>0</v>
      </c>
      <c r="Q927" s="66" t="e">
        <f>IF(ISBLANK(M927),0,L927/ROUND(M927,4))</f>
        <v>#DIV/0!</v>
      </c>
      <c r="R927" s="66" t="e">
        <f>IF(ISBLANK(M927),0,Q927*ROUND(N927,2))</f>
        <v>#DIV/0!</v>
      </c>
      <c r="S927" s="69" t="e">
        <f>ROUND(P927,2)*Q927</f>
        <v>#DIV/0!</v>
      </c>
      <c r="T927" s="66" t="e">
        <f>Q927*dagenperjaar1</f>
        <v>#DIV/0!</v>
      </c>
      <c r="U927" s="70" t="e">
        <f>T927*ROUND(P927,2)</f>
        <v>#DIV/0!</v>
      </c>
    </row>
    <row r="928" spans="1:21" x14ac:dyDescent="0.2">
      <c r="A928" s="63" t="s">
        <v>1414</v>
      </c>
      <c r="B928" s="64" t="s">
        <v>324</v>
      </c>
      <c r="C928" s="64" t="s">
        <v>345</v>
      </c>
      <c r="D928" s="64" t="s">
        <v>1538</v>
      </c>
      <c r="E928" s="64" t="s">
        <v>324</v>
      </c>
      <c r="F928" s="65" t="s">
        <v>335</v>
      </c>
      <c r="G928" s="64" t="s">
        <v>351</v>
      </c>
      <c r="H928" s="64" t="s">
        <v>269</v>
      </c>
      <c r="I928" s="64" t="s">
        <v>10</v>
      </c>
      <c r="J928" s="64" t="s">
        <v>201</v>
      </c>
      <c r="K928" s="66">
        <v>75</v>
      </c>
      <c r="L928" s="66">
        <f>K928*VLOOKUP(I928,dagsoorttabel1,2,FALSE)</f>
        <v>75</v>
      </c>
      <c r="M928" s="67">
        <f>prodnorm67</f>
        <v>0</v>
      </c>
      <c r="N928" s="68">
        <f>dagwerk67</f>
        <v>0</v>
      </c>
      <c r="O928" s="64" t="s">
        <v>38</v>
      </c>
      <c r="P928" s="69">
        <f>uurtarief67</f>
        <v>0</v>
      </c>
      <c r="Q928" s="66" t="e">
        <f>IF(ISBLANK(M928),0,L928/ROUND(M928,4))</f>
        <v>#DIV/0!</v>
      </c>
      <c r="R928" s="66" t="e">
        <f>IF(ISBLANK(M928),0,Q928*ROUND(N928,2))</f>
        <v>#DIV/0!</v>
      </c>
      <c r="S928" s="69" t="e">
        <f>ROUND(P928,2)*Q928</f>
        <v>#DIV/0!</v>
      </c>
      <c r="T928" s="66" t="e">
        <f>Q928*dagenperjaar1</f>
        <v>#DIV/0!</v>
      </c>
      <c r="U928" s="70" t="e">
        <f>T928*ROUND(P928,2)</f>
        <v>#DIV/0!</v>
      </c>
    </row>
    <row r="929" spans="1:21" x14ac:dyDescent="0.2">
      <c r="A929" s="63" t="s">
        <v>1414</v>
      </c>
      <c r="B929" s="64" t="s">
        <v>324</v>
      </c>
      <c r="C929" s="64" t="s">
        <v>345</v>
      </c>
      <c r="D929" s="64" t="s">
        <v>1539</v>
      </c>
      <c r="E929" s="64" t="s">
        <v>324</v>
      </c>
      <c r="F929" s="65" t="s">
        <v>641</v>
      </c>
      <c r="G929" s="64" t="s">
        <v>365</v>
      </c>
      <c r="H929" s="64" t="s">
        <v>255</v>
      </c>
      <c r="I929" s="64" t="s">
        <v>10</v>
      </c>
      <c r="J929" s="64" t="s">
        <v>201</v>
      </c>
      <c r="K929" s="66">
        <v>1.3</v>
      </c>
      <c r="L929" s="66">
        <f>K929*VLOOKUP(I929,dagsoorttabel1,2,FALSE)</f>
        <v>1.3</v>
      </c>
      <c r="M929" s="67">
        <f>prodnorm59</f>
        <v>0</v>
      </c>
      <c r="N929" s="68">
        <f>dagwerk59</f>
        <v>0</v>
      </c>
      <c r="O929" s="64" t="s">
        <v>38</v>
      </c>
      <c r="P929" s="69">
        <f>uurtarief59</f>
        <v>0</v>
      </c>
      <c r="Q929" s="66" t="e">
        <f>IF(ISBLANK(M929),0,L929/ROUND(M929,4))</f>
        <v>#DIV/0!</v>
      </c>
      <c r="R929" s="66" t="e">
        <f>IF(ISBLANK(M929),0,Q929*ROUND(N929,2))</f>
        <v>#DIV/0!</v>
      </c>
      <c r="S929" s="69" t="e">
        <f>ROUND(P929,2)*Q929</f>
        <v>#DIV/0!</v>
      </c>
      <c r="T929" s="66" t="e">
        <f>Q929*dagenperjaar1</f>
        <v>#DIV/0!</v>
      </c>
      <c r="U929" s="70" t="e">
        <f>T929*ROUND(P929,2)</f>
        <v>#DIV/0!</v>
      </c>
    </row>
    <row r="930" spans="1:21" x14ac:dyDescent="0.2">
      <c r="A930" s="63" t="s">
        <v>1414</v>
      </c>
      <c r="B930" s="64" t="s">
        <v>324</v>
      </c>
      <c r="C930" s="64" t="s">
        <v>345</v>
      </c>
      <c r="D930" s="64" t="s">
        <v>1540</v>
      </c>
      <c r="E930" s="64" t="s">
        <v>324</v>
      </c>
      <c r="F930" s="65" t="s">
        <v>641</v>
      </c>
      <c r="G930" s="64" t="s">
        <v>365</v>
      </c>
      <c r="H930" s="64" t="s">
        <v>255</v>
      </c>
      <c r="I930" s="64" t="s">
        <v>10</v>
      </c>
      <c r="J930" s="64" t="s">
        <v>201</v>
      </c>
      <c r="K930" s="66">
        <v>1.3</v>
      </c>
      <c r="L930" s="66">
        <f>K930*VLOOKUP(I930,dagsoorttabel1,2,FALSE)</f>
        <v>1.3</v>
      </c>
      <c r="M930" s="67">
        <f>prodnorm59</f>
        <v>0</v>
      </c>
      <c r="N930" s="68">
        <f>dagwerk59</f>
        <v>0</v>
      </c>
      <c r="O930" s="64" t="s">
        <v>38</v>
      </c>
      <c r="P930" s="69">
        <f>uurtarief59</f>
        <v>0</v>
      </c>
      <c r="Q930" s="66" t="e">
        <f>IF(ISBLANK(M930),0,L930/ROUND(M930,4))</f>
        <v>#DIV/0!</v>
      </c>
      <c r="R930" s="66" t="e">
        <f>IF(ISBLANK(M930),0,Q930*ROUND(N930,2))</f>
        <v>#DIV/0!</v>
      </c>
      <c r="S930" s="69" t="e">
        <f>ROUND(P930,2)*Q930</f>
        <v>#DIV/0!</v>
      </c>
      <c r="T930" s="66" t="e">
        <f>Q930*dagenperjaar1</f>
        <v>#DIV/0!</v>
      </c>
      <c r="U930" s="70" t="e">
        <f>T930*ROUND(P930,2)</f>
        <v>#DIV/0!</v>
      </c>
    </row>
    <row r="931" spans="1:21" x14ac:dyDescent="0.2">
      <c r="A931" s="63" t="s">
        <v>1414</v>
      </c>
      <c r="B931" s="64" t="s">
        <v>324</v>
      </c>
      <c r="C931" s="64" t="s">
        <v>345</v>
      </c>
      <c r="D931" s="64" t="s">
        <v>1541</v>
      </c>
      <c r="E931" s="64" t="s">
        <v>324</v>
      </c>
      <c r="F931" s="65" t="s">
        <v>641</v>
      </c>
      <c r="G931" s="64" t="s">
        <v>365</v>
      </c>
      <c r="H931" s="64" t="s">
        <v>255</v>
      </c>
      <c r="I931" s="64" t="s">
        <v>10</v>
      </c>
      <c r="J931" s="64" t="s">
        <v>201</v>
      </c>
      <c r="K931" s="66">
        <v>1.3</v>
      </c>
      <c r="L931" s="66">
        <f>K931*VLOOKUP(I931,dagsoorttabel1,2,FALSE)</f>
        <v>1.3</v>
      </c>
      <c r="M931" s="67">
        <f>prodnorm59</f>
        <v>0</v>
      </c>
      <c r="N931" s="68">
        <f>dagwerk59</f>
        <v>0</v>
      </c>
      <c r="O931" s="64" t="s">
        <v>38</v>
      </c>
      <c r="P931" s="69">
        <f>uurtarief59</f>
        <v>0</v>
      </c>
      <c r="Q931" s="66" t="e">
        <f>IF(ISBLANK(M931),0,L931/ROUND(M931,4))</f>
        <v>#DIV/0!</v>
      </c>
      <c r="R931" s="66" t="e">
        <f>IF(ISBLANK(M931),0,Q931*ROUND(N931,2))</f>
        <v>#DIV/0!</v>
      </c>
      <c r="S931" s="69" t="e">
        <f>ROUND(P931,2)*Q931</f>
        <v>#DIV/0!</v>
      </c>
      <c r="T931" s="66" t="e">
        <f>Q931*dagenperjaar1</f>
        <v>#DIV/0!</v>
      </c>
      <c r="U931" s="70" t="e">
        <f>T931*ROUND(P931,2)</f>
        <v>#DIV/0!</v>
      </c>
    </row>
    <row r="932" spans="1:21" x14ac:dyDescent="0.2">
      <c r="A932" s="63" t="s">
        <v>1414</v>
      </c>
      <c r="B932" s="64" t="s">
        <v>324</v>
      </c>
      <c r="C932" s="64" t="s">
        <v>345</v>
      </c>
      <c r="D932" s="64" t="s">
        <v>1542</v>
      </c>
      <c r="E932" s="64" t="s">
        <v>324</v>
      </c>
      <c r="F932" s="65" t="s">
        <v>641</v>
      </c>
      <c r="G932" s="64" t="s">
        <v>365</v>
      </c>
      <c r="H932" s="64" t="s">
        <v>255</v>
      </c>
      <c r="I932" s="64" t="s">
        <v>10</v>
      </c>
      <c r="J932" s="64" t="s">
        <v>201</v>
      </c>
      <c r="K932" s="66">
        <v>1.3</v>
      </c>
      <c r="L932" s="66">
        <f>K932*VLOOKUP(I932,dagsoorttabel1,2,FALSE)</f>
        <v>1.3</v>
      </c>
      <c r="M932" s="67">
        <f>prodnorm59</f>
        <v>0</v>
      </c>
      <c r="N932" s="68">
        <f>dagwerk59</f>
        <v>0</v>
      </c>
      <c r="O932" s="64" t="s">
        <v>38</v>
      </c>
      <c r="P932" s="69">
        <f>uurtarief59</f>
        <v>0</v>
      </c>
      <c r="Q932" s="66" t="e">
        <f>IF(ISBLANK(M932),0,L932/ROUND(M932,4))</f>
        <v>#DIV/0!</v>
      </c>
      <c r="R932" s="66" t="e">
        <f>IF(ISBLANK(M932),0,Q932*ROUND(N932,2))</f>
        <v>#DIV/0!</v>
      </c>
      <c r="S932" s="69" t="e">
        <f>ROUND(P932,2)*Q932</f>
        <v>#DIV/0!</v>
      </c>
      <c r="T932" s="66" t="e">
        <f>Q932*dagenperjaar1</f>
        <v>#DIV/0!</v>
      </c>
      <c r="U932" s="70" t="e">
        <f>T932*ROUND(P932,2)</f>
        <v>#DIV/0!</v>
      </c>
    </row>
    <row r="933" spans="1:21" x14ac:dyDescent="0.2">
      <c r="A933" s="63" t="s">
        <v>1414</v>
      </c>
      <c r="B933" s="64" t="s">
        <v>324</v>
      </c>
      <c r="C933" s="64" t="s">
        <v>345</v>
      </c>
      <c r="D933" s="64" t="s">
        <v>1543</v>
      </c>
      <c r="E933" s="64" t="s">
        <v>324</v>
      </c>
      <c r="F933" s="65" t="s">
        <v>638</v>
      </c>
      <c r="G933" s="64" t="s">
        <v>339</v>
      </c>
      <c r="H933" s="64" t="s">
        <v>263</v>
      </c>
      <c r="I933" s="64" t="s">
        <v>10</v>
      </c>
      <c r="J933" s="64" t="s">
        <v>201</v>
      </c>
      <c r="K933" s="66">
        <v>1.52</v>
      </c>
      <c r="L933" s="66">
        <f>K933*VLOOKUP(I933,dagsoorttabel1,2,FALSE)</f>
        <v>1.52</v>
      </c>
      <c r="M933" s="67">
        <f>prodnorm63</f>
        <v>0</v>
      </c>
      <c r="N933" s="68">
        <f>dagwerk63</f>
        <v>0</v>
      </c>
      <c r="O933" s="64" t="s">
        <v>38</v>
      </c>
      <c r="P933" s="69">
        <f>uurtarief63</f>
        <v>0</v>
      </c>
      <c r="Q933" s="66" t="e">
        <f>IF(ISBLANK(M933),0,L933/ROUND(M933,4))</f>
        <v>#DIV/0!</v>
      </c>
      <c r="R933" s="66" t="e">
        <f>IF(ISBLANK(M933),0,Q933*ROUND(N933,2))</f>
        <v>#DIV/0!</v>
      </c>
      <c r="S933" s="69" t="e">
        <f>ROUND(P933,2)*Q933</f>
        <v>#DIV/0!</v>
      </c>
      <c r="T933" s="66" t="e">
        <f>Q933*dagenperjaar1</f>
        <v>#DIV/0!</v>
      </c>
      <c r="U933" s="70" t="e">
        <f>T933*ROUND(P933,2)</f>
        <v>#DIV/0!</v>
      </c>
    </row>
    <row r="934" spans="1:21" x14ac:dyDescent="0.2">
      <c r="A934" s="63" t="s">
        <v>1414</v>
      </c>
      <c r="B934" s="64" t="s">
        <v>324</v>
      </c>
      <c r="C934" s="64" t="s">
        <v>345</v>
      </c>
      <c r="D934" s="64" t="s">
        <v>1544</v>
      </c>
      <c r="E934" s="64" t="s">
        <v>324</v>
      </c>
      <c r="F934" s="65" t="s">
        <v>638</v>
      </c>
      <c r="G934" s="64" t="s">
        <v>339</v>
      </c>
      <c r="H934" s="64" t="s">
        <v>263</v>
      </c>
      <c r="I934" s="64" t="s">
        <v>10</v>
      </c>
      <c r="J934" s="64" t="s">
        <v>201</v>
      </c>
      <c r="K934" s="66">
        <v>26.6</v>
      </c>
      <c r="L934" s="66">
        <f>K934*VLOOKUP(I934,dagsoorttabel1,2,FALSE)</f>
        <v>26.6</v>
      </c>
      <c r="M934" s="67">
        <f>prodnorm63</f>
        <v>0</v>
      </c>
      <c r="N934" s="68">
        <f>dagwerk63</f>
        <v>0</v>
      </c>
      <c r="O934" s="64" t="s">
        <v>38</v>
      </c>
      <c r="P934" s="69">
        <f>uurtarief63</f>
        <v>0</v>
      </c>
      <c r="Q934" s="66" t="e">
        <f>IF(ISBLANK(M934),0,L934/ROUND(M934,4))</f>
        <v>#DIV/0!</v>
      </c>
      <c r="R934" s="66" t="e">
        <f>IF(ISBLANK(M934),0,Q934*ROUND(N934,2))</f>
        <v>#DIV/0!</v>
      </c>
      <c r="S934" s="69" t="e">
        <f>ROUND(P934,2)*Q934</f>
        <v>#DIV/0!</v>
      </c>
      <c r="T934" s="66" t="e">
        <f>Q934*dagenperjaar1</f>
        <v>#DIV/0!</v>
      </c>
      <c r="U934" s="70" t="e">
        <f>T934*ROUND(P934,2)</f>
        <v>#DIV/0!</v>
      </c>
    </row>
    <row r="935" spans="1:21" x14ac:dyDescent="0.2">
      <c r="A935" s="63" t="s">
        <v>1414</v>
      </c>
      <c r="B935" s="64" t="s">
        <v>324</v>
      </c>
      <c r="C935" s="64" t="s">
        <v>345</v>
      </c>
      <c r="D935" s="64" t="s">
        <v>1545</v>
      </c>
      <c r="E935" s="64" t="s">
        <v>324</v>
      </c>
      <c r="F935" s="65" t="s">
        <v>638</v>
      </c>
      <c r="G935" s="64" t="s">
        <v>339</v>
      </c>
      <c r="H935" s="64" t="s">
        <v>263</v>
      </c>
      <c r="I935" s="64" t="s">
        <v>10</v>
      </c>
      <c r="J935" s="64" t="s">
        <v>201</v>
      </c>
      <c r="K935" s="66">
        <v>3.56</v>
      </c>
      <c r="L935" s="66">
        <f>K935*VLOOKUP(I935,dagsoorttabel1,2,FALSE)</f>
        <v>3.56</v>
      </c>
      <c r="M935" s="67">
        <f>prodnorm63</f>
        <v>0</v>
      </c>
      <c r="N935" s="68">
        <f>dagwerk63</f>
        <v>0</v>
      </c>
      <c r="O935" s="64" t="s">
        <v>38</v>
      </c>
      <c r="P935" s="69">
        <f>uurtarief63</f>
        <v>0</v>
      </c>
      <c r="Q935" s="66" t="e">
        <f>IF(ISBLANK(M935),0,L935/ROUND(M935,4))</f>
        <v>#DIV/0!</v>
      </c>
      <c r="R935" s="66" t="e">
        <f>IF(ISBLANK(M935),0,Q935*ROUND(N935,2))</f>
        <v>#DIV/0!</v>
      </c>
      <c r="S935" s="69" t="e">
        <f>ROUND(P935,2)*Q935</f>
        <v>#DIV/0!</v>
      </c>
      <c r="T935" s="66" t="e">
        <f>Q935*dagenperjaar1</f>
        <v>#DIV/0!</v>
      </c>
      <c r="U935" s="70" t="e">
        <f>T935*ROUND(P935,2)</f>
        <v>#DIV/0!</v>
      </c>
    </row>
    <row r="936" spans="1:21" x14ac:dyDescent="0.2">
      <c r="A936" s="63" t="s">
        <v>1414</v>
      </c>
      <c r="B936" s="64" t="s">
        <v>324</v>
      </c>
      <c r="C936" s="64" t="s">
        <v>345</v>
      </c>
      <c r="D936" s="64" t="s">
        <v>1546</v>
      </c>
      <c r="E936" s="64" t="s">
        <v>324</v>
      </c>
      <c r="F936" s="65" t="s">
        <v>638</v>
      </c>
      <c r="G936" s="64" t="s">
        <v>339</v>
      </c>
      <c r="H936" s="64" t="s">
        <v>263</v>
      </c>
      <c r="I936" s="64" t="s">
        <v>10</v>
      </c>
      <c r="J936" s="64" t="s">
        <v>201</v>
      </c>
      <c r="K936" s="66">
        <v>23.279999999999998</v>
      </c>
      <c r="L936" s="66">
        <f>K936*VLOOKUP(I936,dagsoorttabel1,2,FALSE)</f>
        <v>23.279999999999998</v>
      </c>
      <c r="M936" s="67">
        <f>prodnorm63</f>
        <v>0</v>
      </c>
      <c r="N936" s="68">
        <f>dagwerk63</f>
        <v>0</v>
      </c>
      <c r="O936" s="64" t="s">
        <v>38</v>
      </c>
      <c r="P936" s="69">
        <f>uurtarief63</f>
        <v>0</v>
      </c>
      <c r="Q936" s="66" t="e">
        <f>IF(ISBLANK(M936),0,L936/ROUND(M936,4))</f>
        <v>#DIV/0!</v>
      </c>
      <c r="R936" s="66" t="e">
        <f>IF(ISBLANK(M936),0,Q936*ROUND(N936,2))</f>
        <v>#DIV/0!</v>
      </c>
      <c r="S936" s="69" t="e">
        <f>ROUND(P936,2)*Q936</f>
        <v>#DIV/0!</v>
      </c>
      <c r="T936" s="66" t="e">
        <f>Q936*dagenperjaar1</f>
        <v>#DIV/0!</v>
      </c>
      <c r="U936" s="70" t="e">
        <f>T936*ROUND(P936,2)</f>
        <v>#DIV/0!</v>
      </c>
    </row>
    <row r="937" spans="1:21" x14ac:dyDescent="0.2">
      <c r="A937" s="63" t="s">
        <v>1414</v>
      </c>
      <c r="B937" s="64" t="s">
        <v>324</v>
      </c>
      <c r="C937" s="64" t="s">
        <v>323</v>
      </c>
      <c r="D937" s="64" t="s">
        <v>1547</v>
      </c>
      <c r="E937" s="64" t="s">
        <v>324</v>
      </c>
      <c r="F937" s="65" t="s">
        <v>1459</v>
      </c>
      <c r="G937" s="64" t="s">
        <v>365</v>
      </c>
      <c r="H937" s="64" t="s">
        <v>243</v>
      </c>
      <c r="I937" s="64" t="s">
        <v>10</v>
      </c>
      <c r="J937" s="64" t="s">
        <v>201</v>
      </c>
      <c r="K937" s="66">
        <v>94</v>
      </c>
      <c r="L937" s="66">
        <f>K937*VLOOKUP(I937,dagsoorttabel1,2,FALSE)</f>
        <v>94</v>
      </c>
      <c r="M937" s="67">
        <f>prodnorm52</f>
        <v>0</v>
      </c>
      <c r="N937" s="68">
        <f>dagwerk52</f>
        <v>0</v>
      </c>
      <c r="O937" s="64" t="s">
        <v>38</v>
      </c>
      <c r="P937" s="69">
        <f>uurtarief52</f>
        <v>0</v>
      </c>
      <c r="Q937" s="66" t="e">
        <f>IF(ISBLANK(M937),0,L937/ROUND(M937,4))</f>
        <v>#DIV/0!</v>
      </c>
      <c r="R937" s="66" t="e">
        <f>IF(ISBLANK(M937),0,Q937*ROUND(N937,2))</f>
        <v>#DIV/0!</v>
      </c>
      <c r="S937" s="69" t="e">
        <f>ROUND(P937,2)*Q937</f>
        <v>#DIV/0!</v>
      </c>
      <c r="T937" s="66" t="e">
        <f>Q937*dagenperjaar1</f>
        <v>#DIV/0!</v>
      </c>
      <c r="U937" s="70" t="e">
        <f>T937*ROUND(P937,2)</f>
        <v>#DIV/0!</v>
      </c>
    </row>
    <row r="938" spans="1:21" x14ac:dyDescent="0.2">
      <c r="A938" s="63" t="s">
        <v>1414</v>
      </c>
      <c r="B938" s="64" t="s">
        <v>324</v>
      </c>
      <c r="C938" s="64" t="s">
        <v>323</v>
      </c>
      <c r="D938" s="64" t="s">
        <v>1548</v>
      </c>
      <c r="E938" s="64" t="s">
        <v>324</v>
      </c>
      <c r="F938" s="65" t="s">
        <v>1393</v>
      </c>
      <c r="G938" s="64" t="s">
        <v>351</v>
      </c>
      <c r="H938" s="64" t="s">
        <v>231</v>
      </c>
      <c r="I938" s="64" t="s">
        <v>10</v>
      </c>
      <c r="J938" s="64" t="s">
        <v>201</v>
      </c>
      <c r="K938" s="66">
        <v>70</v>
      </c>
      <c r="L938" s="66">
        <f>K938*VLOOKUP(I938,dagsoorttabel1,2,FALSE)</f>
        <v>70</v>
      </c>
      <c r="M938" s="67">
        <f>prodnorm44</f>
        <v>0</v>
      </c>
      <c r="N938" s="68">
        <f>dagwerk44</f>
        <v>0</v>
      </c>
      <c r="O938" s="64" t="s">
        <v>38</v>
      </c>
      <c r="P938" s="69">
        <f>uurtarief44</f>
        <v>0</v>
      </c>
      <c r="Q938" s="66" t="e">
        <f>IF(ISBLANK(M938),0,L938/ROUND(M938,4))</f>
        <v>#DIV/0!</v>
      </c>
      <c r="R938" s="66" t="e">
        <f>IF(ISBLANK(M938),0,Q938*ROUND(N938,2))</f>
        <v>#DIV/0!</v>
      </c>
      <c r="S938" s="69" t="e">
        <f>ROUND(P938,2)*Q938</f>
        <v>#DIV/0!</v>
      </c>
      <c r="T938" s="66" t="e">
        <f>Q938*dagenperjaar1</f>
        <v>#DIV/0!</v>
      </c>
      <c r="U938" s="70" t="e">
        <f>T938*ROUND(P938,2)</f>
        <v>#DIV/0!</v>
      </c>
    </row>
    <row r="939" spans="1:21" x14ac:dyDescent="0.2">
      <c r="A939" s="63" t="s">
        <v>1414</v>
      </c>
      <c r="B939" s="64" t="s">
        <v>324</v>
      </c>
      <c r="C939" s="64" t="s">
        <v>323</v>
      </c>
      <c r="D939" s="64" t="s">
        <v>1549</v>
      </c>
      <c r="E939" s="64" t="s">
        <v>324</v>
      </c>
      <c r="F939" s="65" t="s">
        <v>1393</v>
      </c>
      <c r="G939" s="64" t="s">
        <v>351</v>
      </c>
      <c r="H939" s="64" t="s">
        <v>231</v>
      </c>
      <c r="I939" s="64" t="s">
        <v>10</v>
      </c>
      <c r="J939" s="64" t="s">
        <v>201</v>
      </c>
      <c r="K939" s="66">
        <v>70</v>
      </c>
      <c r="L939" s="66">
        <f>K939*VLOOKUP(I939,dagsoorttabel1,2,FALSE)</f>
        <v>70</v>
      </c>
      <c r="M939" s="67">
        <f>prodnorm44</f>
        <v>0</v>
      </c>
      <c r="N939" s="68">
        <f>dagwerk44</f>
        <v>0</v>
      </c>
      <c r="O939" s="64" t="s">
        <v>38</v>
      </c>
      <c r="P939" s="69">
        <f>uurtarief44</f>
        <v>0</v>
      </c>
      <c r="Q939" s="66" t="e">
        <f>IF(ISBLANK(M939),0,L939/ROUND(M939,4))</f>
        <v>#DIV/0!</v>
      </c>
      <c r="R939" s="66" t="e">
        <f>IF(ISBLANK(M939),0,Q939*ROUND(N939,2))</f>
        <v>#DIV/0!</v>
      </c>
      <c r="S939" s="69" t="e">
        <f>ROUND(P939,2)*Q939</f>
        <v>#DIV/0!</v>
      </c>
      <c r="T939" s="66" t="e">
        <f>Q939*dagenperjaar1</f>
        <v>#DIV/0!</v>
      </c>
      <c r="U939" s="70" t="e">
        <f>T939*ROUND(P939,2)</f>
        <v>#DIV/0!</v>
      </c>
    </row>
    <row r="940" spans="1:21" x14ac:dyDescent="0.2">
      <c r="A940" s="63" t="s">
        <v>1414</v>
      </c>
      <c r="B940" s="64" t="s">
        <v>324</v>
      </c>
      <c r="C940" s="64" t="s">
        <v>323</v>
      </c>
      <c r="D940" s="64" t="s">
        <v>1550</v>
      </c>
      <c r="E940" s="64" t="s">
        <v>324</v>
      </c>
      <c r="F940" s="65" t="s">
        <v>1393</v>
      </c>
      <c r="G940" s="64" t="s">
        <v>351</v>
      </c>
      <c r="H940" s="64" t="s">
        <v>231</v>
      </c>
      <c r="I940" s="64" t="s">
        <v>10</v>
      </c>
      <c r="J940" s="64" t="s">
        <v>201</v>
      </c>
      <c r="K940" s="66">
        <v>70</v>
      </c>
      <c r="L940" s="66">
        <f>K940*VLOOKUP(I940,dagsoorttabel1,2,FALSE)</f>
        <v>70</v>
      </c>
      <c r="M940" s="67">
        <f>prodnorm44</f>
        <v>0</v>
      </c>
      <c r="N940" s="68">
        <f>dagwerk44</f>
        <v>0</v>
      </c>
      <c r="O940" s="64" t="s">
        <v>38</v>
      </c>
      <c r="P940" s="69">
        <f>uurtarief44</f>
        <v>0</v>
      </c>
      <c r="Q940" s="66" t="e">
        <f>IF(ISBLANK(M940),0,L940/ROUND(M940,4))</f>
        <v>#DIV/0!</v>
      </c>
      <c r="R940" s="66" t="e">
        <f>IF(ISBLANK(M940),0,Q940*ROUND(N940,2))</f>
        <v>#DIV/0!</v>
      </c>
      <c r="S940" s="69" t="e">
        <f>ROUND(P940,2)*Q940</f>
        <v>#DIV/0!</v>
      </c>
      <c r="T940" s="66" t="e">
        <f>Q940*dagenperjaar1</f>
        <v>#DIV/0!</v>
      </c>
      <c r="U940" s="70" t="e">
        <f>T940*ROUND(P940,2)</f>
        <v>#DIV/0!</v>
      </c>
    </row>
    <row r="941" spans="1:21" x14ac:dyDescent="0.2">
      <c r="A941" s="63" t="s">
        <v>1414</v>
      </c>
      <c r="B941" s="64" t="s">
        <v>324</v>
      </c>
      <c r="C941" s="64" t="s">
        <v>323</v>
      </c>
      <c r="D941" s="64" t="s">
        <v>1551</v>
      </c>
      <c r="E941" s="64" t="s">
        <v>324</v>
      </c>
      <c r="F941" s="65" t="s">
        <v>1393</v>
      </c>
      <c r="G941" s="64" t="s">
        <v>351</v>
      </c>
      <c r="H941" s="64" t="s">
        <v>231</v>
      </c>
      <c r="I941" s="64" t="s">
        <v>10</v>
      </c>
      <c r="J941" s="64" t="s">
        <v>201</v>
      </c>
      <c r="K941" s="66">
        <v>70</v>
      </c>
      <c r="L941" s="66">
        <f>K941*VLOOKUP(I941,dagsoorttabel1,2,FALSE)</f>
        <v>70</v>
      </c>
      <c r="M941" s="67">
        <f>prodnorm44</f>
        <v>0</v>
      </c>
      <c r="N941" s="68">
        <f>dagwerk44</f>
        <v>0</v>
      </c>
      <c r="O941" s="64" t="s">
        <v>38</v>
      </c>
      <c r="P941" s="69">
        <f>uurtarief44</f>
        <v>0</v>
      </c>
      <c r="Q941" s="66" t="e">
        <f>IF(ISBLANK(M941),0,L941/ROUND(M941,4))</f>
        <v>#DIV/0!</v>
      </c>
      <c r="R941" s="66" t="e">
        <f>IF(ISBLANK(M941),0,Q941*ROUND(N941,2))</f>
        <v>#DIV/0!</v>
      </c>
      <c r="S941" s="69" t="e">
        <f>ROUND(P941,2)*Q941</f>
        <v>#DIV/0!</v>
      </c>
      <c r="T941" s="66" t="e">
        <f>Q941*dagenperjaar1</f>
        <v>#DIV/0!</v>
      </c>
      <c r="U941" s="70" t="e">
        <f>T941*ROUND(P941,2)</f>
        <v>#DIV/0!</v>
      </c>
    </row>
    <row r="942" spans="1:21" x14ac:dyDescent="0.2">
      <c r="A942" s="63" t="s">
        <v>1414</v>
      </c>
      <c r="B942" s="64" t="s">
        <v>324</v>
      </c>
      <c r="C942" s="64" t="s">
        <v>323</v>
      </c>
      <c r="D942" s="64" t="s">
        <v>1552</v>
      </c>
      <c r="E942" s="64" t="s">
        <v>324</v>
      </c>
      <c r="F942" s="65" t="s">
        <v>1393</v>
      </c>
      <c r="G942" s="64" t="s">
        <v>351</v>
      </c>
      <c r="H942" s="64" t="s">
        <v>231</v>
      </c>
      <c r="I942" s="64" t="s">
        <v>10</v>
      </c>
      <c r="J942" s="64" t="s">
        <v>201</v>
      </c>
      <c r="K942" s="66">
        <v>70</v>
      </c>
      <c r="L942" s="66">
        <f>K942*VLOOKUP(I942,dagsoorttabel1,2,FALSE)</f>
        <v>70</v>
      </c>
      <c r="M942" s="67">
        <f>prodnorm44</f>
        <v>0</v>
      </c>
      <c r="N942" s="68">
        <f>dagwerk44</f>
        <v>0</v>
      </c>
      <c r="O942" s="64" t="s">
        <v>38</v>
      </c>
      <c r="P942" s="69">
        <f>uurtarief44</f>
        <v>0</v>
      </c>
      <c r="Q942" s="66" t="e">
        <f>IF(ISBLANK(M942),0,L942/ROUND(M942,4))</f>
        <v>#DIV/0!</v>
      </c>
      <c r="R942" s="66" t="e">
        <f>IF(ISBLANK(M942),0,Q942*ROUND(N942,2))</f>
        <v>#DIV/0!</v>
      </c>
      <c r="S942" s="69" t="e">
        <f>ROUND(P942,2)*Q942</f>
        <v>#DIV/0!</v>
      </c>
      <c r="T942" s="66" t="e">
        <f>Q942*dagenperjaar1</f>
        <v>#DIV/0!</v>
      </c>
      <c r="U942" s="70" t="e">
        <f>T942*ROUND(P942,2)</f>
        <v>#DIV/0!</v>
      </c>
    </row>
    <row r="943" spans="1:21" x14ac:dyDescent="0.2">
      <c r="A943" s="63" t="s">
        <v>1414</v>
      </c>
      <c r="B943" s="64" t="s">
        <v>324</v>
      </c>
      <c r="C943" s="64" t="s">
        <v>323</v>
      </c>
      <c r="D943" s="64" t="s">
        <v>1553</v>
      </c>
      <c r="E943" s="64" t="s">
        <v>324</v>
      </c>
      <c r="F943" s="65" t="s">
        <v>1393</v>
      </c>
      <c r="G943" s="64" t="s">
        <v>351</v>
      </c>
      <c r="H943" s="64" t="s">
        <v>231</v>
      </c>
      <c r="I943" s="64" t="s">
        <v>10</v>
      </c>
      <c r="J943" s="64" t="s">
        <v>201</v>
      </c>
      <c r="K943" s="66">
        <v>70</v>
      </c>
      <c r="L943" s="66">
        <f>K943*VLOOKUP(I943,dagsoorttabel1,2,FALSE)</f>
        <v>70</v>
      </c>
      <c r="M943" s="67">
        <f>prodnorm44</f>
        <v>0</v>
      </c>
      <c r="N943" s="68">
        <f>dagwerk44</f>
        <v>0</v>
      </c>
      <c r="O943" s="64" t="s">
        <v>38</v>
      </c>
      <c r="P943" s="69">
        <f>uurtarief44</f>
        <v>0</v>
      </c>
      <c r="Q943" s="66" t="e">
        <f>IF(ISBLANK(M943),0,L943/ROUND(M943,4))</f>
        <v>#DIV/0!</v>
      </c>
      <c r="R943" s="66" t="e">
        <f>IF(ISBLANK(M943),0,Q943*ROUND(N943,2))</f>
        <v>#DIV/0!</v>
      </c>
      <c r="S943" s="69" t="e">
        <f>ROUND(P943,2)*Q943</f>
        <v>#DIV/0!</v>
      </c>
      <c r="T943" s="66" t="e">
        <f>Q943*dagenperjaar1</f>
        <v>#DIV/0!</v>
      </c>
      <c r="U943" s="70" t="e">
        <f>T943*ROUND(P943,2)</f>
        <v>#DIV/0!</v>
      </c>
    </row>
    <row r="944" spans="1:21" x14ac:dyDescent="0.2">
      <c r="A944" s="63" t="s">
        <v>1414</v>
      </c>
      <c r="B944" s="64" t="s">
        <v>324</v>
      </c>
      <c r="C944" s="64" t="s">
        <v>323</v>
      </c>
      <c r="D944" s="64" t="s">
        <v>1554</v>
      </c>
      <c r="E944" s="64" t="s">
        <v>324</v>
      </c>
      <c r="F944" s="65" t="s">
        <v>381</v>
      </c>
      <c r="G944" s="64" t="s">
        <v>351</v>
      </c>
      <c r="H944" s="64" t="s">
        <v>207</v>
      </c>
      <c r="I944" s="64" t="s">
        <v>16</v>
      </c>
      <c r="J944" s="64" t="s">
        <v>201</v>
      </c>
      <c r="K944" s="66">
        <v>23</v>
      </c>
      <c r="L944" s="66">
        <f>K944*VLOOKUP(I944,dagsoorttabel1,2,FALSE)</f>
        <v>4.6000000000000005</v>
      </c>
      <c r="M944" s="67">
        <f>prodnorm29</f>
        <v>0</v>
      </c>
      <c r="N944" s="68">
        <f>dagwerk29</f>
        <v>0</v>
      </c>
      <c r="O944" s="64" t="s">
        <v>38</v>
      </c>
      <c r="P944" s="69">
        <f>uurtarief29</f>
        <v>0</v>
      </c>
      <c r="Q944" s="66" t="e">
        <f>IF(ISBLANK(M944),0,L944/ROUND(M944,4))</f>
        <v>#DIV/0!</v>
      </c>
      <c r="R944" s="66" t="e">
        <f>IF(ISBLANK(M944),0,Q944*ROUND(N944,2))</f>
        <v>#DIV/0!</v>
      </c>
      <c r="S944" s="69" t="e">
        <f>ROUND(P944,2)*Q944</f>
        <v>#DIV/0!</v>
      </c>
      <c r="T944" s="66" t="e">
        <f>Q944*dagenperjaar1</f>
        <v>#DIV/0!</v>
      </c>
      <c r="U944" s="70" t="e">
        <f>T944*ROUND(P944,2)</f>
        <v>#DIV/0!</v>
      </c>
    </row>
    <row r="945" spans="1:21" x14ac:dyDescent="0.2">
      <c r="A945" s="63" t="s">
        <v>1414</v>
      </c>
      <c r="B945" s="64" t="s">
        <v>324</v>
      </c>
      <c r="C945" s="64" t="s">
        <v>323</v>
      </c>
      <c r="D945" s="64" t="s">
        <v>1555</v>
      </c>
      <c r="E945" s="64" t="s">
        <v>324</v>
      </c>
      <c r="F945" s="65" t="s">
        <v>381</v>
      </c>
      <c r="G945" s="64" t="s">
        <v>351</v>
      </c>
      <c r="H945" s="64" t="s">
        <v>207</v>
      </c>
      <c r="I945" s="64" t="s">
        <v>10</v>
      </c>
      <c r="J945" s="64" t="s">
        <v>201</v>
      </c>
      <c r="K945" s="66">
        <v>23</v>
      </c>
      <c r="L945" s="66">
        <f>K945*VLOOKUP(I945,dagsoorttabel1,2,FALSE)</f>
        <v>23</v>
      </c>
      <c r="M945" s="67">
        <f>prodnorm28</f>
        <v>0</v>
      </c>
      <c r="N945" s="68">
        <f>dagwerk28</f>
        <v>0</v>
      </c>
      <c r="O945" s="64" t="s">
        <v>38</v>
      </c>
      <c r="P945" s="69">
        <f>uurtarief28</f>
        <v>0</v>
      </c>
      <c r="Q945" s="66" t="e">
        <f>IF(ISBLANK(M945),0,L945/ROUND(M945,4))</f>
        <v>#DIV/0!</v>
      </c>
      <c r="R945" s="66" t="e">
        <f>IF(ISBLANK(M945),0,Q945*ROUND(N945,2))</f>
        <v>#DIV/0!</v>
      </c>
      <c r="S945" s="69" t="e">
        <f>ROUND(P945,2)*Q945</f>
        <v>#DIV/0!</v>
      </c>
      <c r="T945" s="66" t="e">
        <f>Q945*dagenperjaar1</f>
        <v>#DIV/0!</v>
      </c>
      <c r="U945" s="70" t="e">
        <f>T945*ROUND(P945,2)</f>
        <v>#DIV/0!</v>
      </c>
    </row>
    <row r="946" spans="1:21" x14ac:dyDescent="0.2">
      <c r="A946" s="63" t="s">
        <v>1414</v>
      </c>
      <c r="B946" s="64" t="s">
        <v>324</v>
      </c>
      <c r="C946" s="64" t="s">
        <v>323</v>
      </c>
      <c r="D946" s="64" t="s">
        <v>1556</v>
      </c>
      <c r="E946" s="64" t="s">
        <v>324</v>
      </c>
      <c r="F946" s="65" t="s">
        <v>381</v>
      </c>
      <c r="G946" s="64" t="s">
        <v>351</v>
      </c>
      <c r="H946" s="64" t="s">
        <v>207</v>
      </c>
      <c r="I946" s="64" t="s">
        <v>10</v>
      </c>
      <c r="J946" s="64" t="s">
        <v>201</v>
      </c>
      <c r="K946" s="66">
        <v>17</v>
      </c>
      <c r="L946" s="66">
        <f>K946*VLOOKUP(I946,dagsoorttabel1,2,FALSE)</f>
        <v>17</v>
      </c>
      <c r="M946" s="67">
        <f>prodnorm28</f>
        <v>0</v>
      </c>
      <c r="N946" s="68">
        <f>dagwerk28</f>
        <v>0</v>
      </c>
      <c r="O946" s="64" t="s">
        <v>38</v>
      </c>
      <c r="P946" s="69">
        <f>uurtarief28</f>
        <v>0</v>
      </c>
      <c r="Q946" s="66" t="e">
        <f>IF(ISBLANK(M946),0,L946/ROUND(M946,4))</f>
        <v>#DIV/0!</v>
      </c>
      <c r="R946" s="66" t="e">
        <f>IF(ISBLANK(M946),0,Q946*ROUND(N946,2))</f>
        <v>#DIV/0!</v>
      </c>
      <c r="S946" s="69" t="e">
        <f>ROUND(P946,2)*Q946</f>
        <v>#DIV/0!</v>
      </c>
      <c r="T946" s="66" t="e">
        <f>Q946*dagenperjaar1</f>
        <v>#DIV/0!</v>
      </c>
      <c r="U946" s="70" t="e">
        <f>T946*ROUND(P946,2)</f>
        <v>#DIV/0!</v>
      </c>
    </row>
    <row r="947" spans="1:21" x14ac:dyDescent="0.2">
      <c r="A947" s="63" t="s">
        <v>1414</v>
      </c>
      <c r="B947" s="64" t="s">
        <v>324</v>
      </c>
      <c r="C947" s="64" t="s">
        <v>323</v>
      </c>
      <c r="D947" s="64" t="s">
        <v>1557</v>
      </c>
      <c r="E947" s="64" t="s">
        <v>324</v>
      </c>
      <c r="F947" s="65" t="s">
        <v>671</v>
      </c>
      <c r="G947" s="64" t="s">
        <v>1421</v>
      </c>
      <c r="H947" s="64" t="s">
        <v>255</v>
      </c>
      <c r="I947" s="64" t="s">
        <v>10</v>
      </c>
      <c r="J947" s="64" t="s">
        <v>201</v>
      </c>
      <c r="K947" s="66">
        <v>5</v>
      </c>
      <c r="L947" s="66">
        <f>K947*VLOOKUP(I947,dagsoorttabel1,2,FALSE)</f>
        <v>5</v>
      </c>
      <c r="M947" s="67">
        <f>prodnorm59</f>
        <v>0</v>
      </c>
      <c r="N947" s="68">
        <f>dagwerk59</f>
        <v>0</v>
      </c>
      <c r="O947" s="64" t="s">
        <v>38</v>
      </c>
      <c r="P947" s="69">
        <f>uurtarief59</f>
        <v>0</v>
      </c>
      <c r="Q947" s="66" t="e">
        <f>IF(ISBLANK(M947),0,L947/ROUND(M947,4))</f>
        <v>#DIV/0!</v>
      </c>
      <c r="R947" s="66" t="e">
        <f>IF(ISBLANK(M947),0,Q947*ROUND(N947,2))</f>
        <v>#DIV/0!</v>
      </c>
      <c r="S947" s="69" t="e">
        <f>ROUND(P947,2)*Q947</f>
        <v>#DIV/0!</v>
      </c>
      <c r="T947" s="66" t="e">
        <f>Q947*dagenperjaar1</f>
        <v>#DIV/0!</v>
      </c>
      <c r="U947" s="70" t="e">
        <f>T947*ROUND(P947,2)</f>
        <v>#DIV/0!</v>
      </c>
    </row>
    <row r="948" spans="1:21" x14ac:dyDescent="0.2">
      <c r="A948" s="63" t="s">
        <v>1414</v>
      </c>
      <c r="B948" s="64" t="s">
        <v>324</v>
      </c>
      <c r="C948" s="64" t="s">
        <v>323</v>
      </c>
      <c r="D948" s="64" t="s">
        <v>1558</v>
      </c>
      <c r="E948" s="64" t="s">
        <v>324</v>
      </c>
      <c r="F948" s="65" t="s">
        <v>655</v>
      </c>
      <c r="G948" s="64" t="s">
        <v>351</v>
      </c>
      <c r="H948" s="64" t="s">
        <v>265</v>
      </c>
      <c r="I948" s="64" t="s">
        <v>10</v>
      </c>
      <c r="J948" s="64" t="s">
        <v>201</v>
      </c>
      <c r="K948" s="66">
        <v>50</v>
      </c>
      <c r="L948" s="66">
        <f>K948*VLOOKUP(I948,dagsoorttabel1,2,FALSE)</f>
        <v>50</v>
      </c>
      <c r="M948" s="67">
        <f>prodnorm64</f>
        <v>0</v>
      </c>
      <c r="N948" s="68">
        <f>dagwerk64</f>
        <v>0</v>
      </c>
      <c r="O948" s="64" t="s">
        <v>38</v>
      </c>
      <c r="P948" s="69">
        <f>uurtarief64</f>
        <v>0</v>
      </c>
      <c r="Q948" s="66" t="e">
        <f>IF(ISBLANK(M948),0,L948/ROUND(M948,4))</f>
        <v>#DIV/0!</v>
      </c>
      <c r="R948" s="66" t="e">
        <f>IF(ISBLANK(M948),0,Q948*ROUND(N948,2))</f>
        <v>#DIV/0!</v>
      </c>
      <c r="S948" s="69" t="e">
        <f>ROUND(P948,2)*Q948</f>
        <v>#DIV/0!</v>
      </c>
      <c r="T948" s="66" t="e">
        <f>Q948*dagenperjaar1</f>
        <v>#DIV/0!</v>
      </c>
      <c r="U948" s="70" t="e">
        <f>T948*ROUND(P948,2)</f>
        <v>#DIV/0!</v>
      </c>
    </row>
    <row r="949" spans="1:21" x14ac:dyDescent="0.2">
      <c r="A949" s="63" t="s">
        <v>1414</v>
      </c>
      <c r="B949" s="64" t="s">
        <v>324</v>
      </c>
      <c r="C949" s="64" t="s">
        <v>323</v>
      </c>
      <c r="D949" s="64" t="s">
        <v>1559</v>
      </c>
      <c r="E949" s="64" t="s">
        <v>324</v>
      </c>
      <c r="F949" s="65" t="s">
        <v>335</v>
      </c>
      <c r="G949" s="64" t="s">
        <v>1421</v>
      </c>
      <c r="H949" s="64" t="s">
        <v>267</v>
      </c>
      <c r="I949" s="64" t="s">
        <v>10</v>
      </c>
      <c r="J949" s="64" t="s">
        <v>201</v>
      </c>
      <c r="K949" s="66">
        <v>58</v>
      </c>
      <c r="L949" s="66">
        <f>K949*VLOOKUP(I949,dagsoorttabel1,2,FALSE)</f>
        <v>58</v>
      </c>
      <c r="M949" s="67">
        <f>prodnorm65</f>
        <v>0</v>
      </c>
      <c r="N949" s="68">
        <f>dagwerk65</f>
        <v>0</v>
      </c>
      <c r="O949" s="64" t="s">
        <v>38</v>
      </c>
      <c r="P949" s="69">
        <f>uurtarief65</f>
        <v>0</v>
      </c>
      <c r="Q949" s="66" t="e">
        <f>IF(ISBLANK(M949),0,L949/ROUND(M949,4))</f>
        <v>#DIV/0!</v>
      </c>
      <c r="R949" s="66" t="e">
        <f>IF(ISBLANK(M949),0,Q949*ROUND(N949,2))</f>
        <v>#DIV/0!</v>
      </c>
      <c r="S949" s="69" t="e">
        <f>ROUND(P949,2)*Q949</f>
        <v>#DIV/0!</v>
      </c>
      <c r="T949" s="66" t="e">
        <f>Q949*dagenperjaar1</f>
        <v>#DIV/0!</v>
      </c>
      <c r="U949" s="70" t="e">
        <f>T949*ROUND(P949,2)</f>
        <v>#DIV/0!</v>
      </c>
    </row>
    <row r="950" spans="1:21" x14ac:dyDescent="0.2">
      <c r="A950" s="63" t="s">
        <v>1414</v>
      </c>
      <c r="B950" s="64" t="s">
        <v>324</v>
      </c>
      <c r="C950" s="64" t="s">
        <v>323</v>
      </c>
      <c r="D950" s="64" t="s">
        <v>1560</v>
      </c>
      <c r="E950" s="64" t="s">
        <v>324</v>
      </c>
      <c r="F950" s="65" t="s">
        <v>335</v>
      </c>
      <c r="G950" s="64" t="s">
        <v>1421</v>
      </c>
      <c r="H950" s="64" t="s">
        <v>267</v>
      </c>
      <c r="I950" s="64" t="s">
        <v>10</v>
      </c>
      <c r="J950" s="64" t="s">
        <v>201</v>
      </c>
      <c r="K950" s="66">
        <v>50</v>
      </c>
      <c r="L950" s="66">
        <f>K950*VLOOKUP(I950,dagsoorttabel1,2,FALSE)</f>
        <v>50</v>
      </c>
      <c r="M950" s="67">
        <f>prodnorm65</f>
        <v>0</v>
      </c>
      <c r="N950" s="68">
        <f>dagwerk65</f>
        <v>0</v>
      </c>
      <c r="O950" s="64" t="s">
        <v>38</v>
      </c>
      <c r="P950" s="69">
        <f>uurtarief65</f>
        <v>0</v>
      </c>
      <c r="Q950" s="66" t="e">
        <f>IF(ISBLANK(M950),0,L950/ROUND(M950,4))</f>
        <v>#DIV/0!</v>
      </c>
      <c r="R950" s="66" t="e">
        <f>IF(ISBLANK(M950),0,Q950*ROUND(N950,2))</f>
        <v>#DIV/0!</v>
      </c>
      <c r="S950" s="69" t="e">
        <f>ROUND(P950,2)*Q950</f>
        <v>#DIV/0!</v>
      </c>
      <c r="T950" s="66" t="e">
        <f>Q950*dagenperjaar1</f>
        <v>#DIV/0!</v>
      </c>
      <c r="U950" s="70" t="e">
        <f>T950*ROUND(P950,2)</f>
        <v>#DIV/0!</v>
      </c>
    </row>
    <row r="951" spans="1:21" x14ac:dyDescent="0.2">
      <c r="A951" s="63" t="s">
        <v>1414</v>
      </c>
      <c r="B951" s="64" t="s">
        <v>324</v>
      </c>
      <c r="C951" s="64" t="s">
        <v>323</v>
      </c>
      <c r="D951" s="64" t="s">
        <v>1561</v>
      </c>
      <c r="E951" s="64" t="s">
        <v>324</v>
      </c>
      <c r="F951" s="65" t="s">
        <v>1562</v>
      </c>
      <c r="G951" s="64" t="s">
        <v>1421</v>
      </c>
      <c r="H951" s="64" t="s">
        <v>267</v>
      </c>
      <c r="I951" s="64" t="s">
        <v>10</v>
      </c>
      <c r="J951" s="64" t="s">
        <v>201</v>
      </c>
      <c r="K951" s="66">
        <v>40</v>
      </c>
      <c r="L951" s="66">
        <f>K951*VLOOKUP(I951,dagsoorttabel1,2,FALSE)</f>
        <v>40</v>
      </c>
      <c r="M951" s="67">
        <f>prodnorm65</f>
        <v>0</v>
      </c>
      <c r="N951" s="68">
        <f>dagwerk65</f>
        <v>0</v>
      </c>
      <c r="O951" s="64" t="s">
        <v>38</v>
      </c>
      <c r="P951" s="69">
        <f>uurtarief65</f>
        <v>0</v>
      </c>
      <c r="Q951" s="66" t="e">
        <f>IF(ISBLANK(M951),0,L951/ROUND(M951,4))</f>
        <v>#DIV/0!</v>
      </c>
      <c r="R951" s="66" t="e">
        <f>IF(ISBLANK(M951),0,Q951*ROUND(N951,2))</f>
        <v>#DIV/0!</v>
      </c>
      <c r="S951" s="69" t="e">
        <f>ROUND(P951,2)*Q951</f>
        <v>#DIV/0!</v>
      </c>
      <c r="T951" s="66" t="e">
        <f>Q951*dagenperjaar1</f>
        <v>#DIV/0!</v>
      </c>
      <c r="U951" s="70" t="e">
        <f>T951*ROUND(P951,2)</f>
        <v>#DIV/0!</v>
      </c>
    </row>
    <row r="952" spans="1:21" x14ac:dyDescent="0.2">
      <c r="A952" s="63" t="s">
        <v>1414</v>
      </c>
      <c r="B952" s="64" t="s">
        <v>324</v>
      </c>
      <c r="C952" s="64" t="s">
        <v>323</v>
      </c>
      <c r="D952" s="64" t="s">
        <v>1506</v>
      </c>
      <c r="E952" s="64" t="s">
        <v>324</v>
      </c>
      <c r="F952" s="65" t="s">
        <v>1563</v>
      </c>
      <c r="G952" s="64" t="s">
        <v>351</v>
      </c>
      <c r="H952" s="64" t="s">
        <v>207</v>
      </c>
      <c r="I952" s="64" t="s">
        <v>10</v>
      </c>
      <c r="J952" s="64" t="s">
        <v>201</v>
      </c>
      <c r="K952" s="66">
        <v>41.42</v>
      </c>
      <c r="L952" s="66">
        <f>K952*VLOOKUP(I952,dagsoorttabel1,2,FALSE)</f>
        <v>41.42</v>
      </c>
      <c r="M952" s="67">
        <f>prodnorm28</f>
        <v>0</v>
      </c>
      <c r="N952" s="68">
        <f>dagwerk28</f>
        <v>0</v>
      </c>
      <c r="O952" s="64" t="s">
        <v>38</v>
      </c>
      <c r="P952" s="69">
        <f>uurtarief28</f>
        <v>0</v>
      </c>
      <c r="Q952" s="66" t="e">
        <f>IF(ISBLANK(M952),0,L952/ROUND(M952,4))</f>
        <v>#DIV/0!</v>
      </c>
      <c r="R952" s="66" t="e">
        <f>IF(ISBLANK(M952),0,Q952*ROUND(N952,2))</f>
        <v>#DIV/0!</v>
      </c>
      <c r="S952" s="69" t="e">
        <f>ROUND(P952,2)*Q952</f>
        <v>#DIV/0!</v>
      </c>
      <c r="T952" s="66" t="e">
        <f>Q952*dagenperjaar1</f>
        <v>#DIV/0!</v>
      </c>
      <c r="U952" s="70" t="e">
        <f>T952*ROUND(P952,2)</f>
        <v>#DIV/0!</v>
      </c>
    </row>
    <row r="953" spans="1:21" x14ac:dyDescent="0.2">
      <c r="A953" s="63" t="s">
        <v>1414</v>
      </c>
      <c r="B953" s="64" t="s">
        <v>324</v>
      </c>
      <c r="C953" s="64" t="s">
        <v>323</v>
      </c>
      <c r="D953" s="64" t="s">
        <v>1564</v>
      </c>
      <c r="E953" s="64" t="s">
        <v>324</v>
      </c>
      <c r="F953" s="65" t="s">
        <v>852</v>
      </c>
      <c r="G953" s="64" t="s">
        <v>351</v>
      </c>
      <c r="H953" s="64" t="s">
        <v>231</v>
      </c>
      <c r="I953" s="64" t="s">
        <v>10</v>
      </c>
      <c r="J953" s="64" t="s">
        <v>201</v>
      </c>
      <c r="K953" s="66">
        <v>70.83</v>
      </c>
      <c r="L953" s="66">
        <f>K953*VLOOKUP(I953,dagsoorttabel1,2,FALSE)</f>
        <v>70.83</v>
      </c>
      <c r="M953" s="67">
        <f>prodnorm44</f>
        <v>0</v>
      </c>
      <c r="N953" s="68">
        <f>dagwerk44</f>
        <v>0</v>
      </c>
      <c r="O953" s="64" t="s">
        <v>38</v>
      </c>
      <c r="P953" s="69">
        <f>uurtarief44</f>
        <v>0</v>
      </c>
      <c r="Q953" s="66" t="e">
        <f>IF(ISBLANK(M953),0,L953/ROUND(M953,4))</f>
        <v>#DIV/0!</v>
      </c>
      <c r="R953" s="66" t="e">
        <f>IF(ISBLANK(M953),0,Q953*ROUND(N953,2))</f>
        <v>#DIV/0!</v>
      </c>
      <c r="S953" s="69" t="e">
        <f>ROUND(P953,2)*Q953</f>
        <v>#DIV/0!</v>
      </c>
      <c r="T953" s="66" t="e">
        <f>Q953*dagenperjaar1</f>
        <v>#DIV/0!</v>
      </c>
      <c r="U953" s="70" t="e">
        <f>T953*ROUND(P953,2)</f>
        <v>#DIV/0!</v>
      </c>
    </row>
    <row r="954" spans="1:21" x14ac:dyDescent="0.2">
      <c r="A954" s="63" t="s">
        <v>1414</v>
      </c>
      <c r="B954" s="64" t="s">
        <v>324</v>
      </c>
      <c r="C954" s="64" t="s">
        <v>323</v>
      </c>
      <c r="D954" s="64" t="s">
        <v>1565</v>
      </c>
      <c r="E954" s="64" t="s">
        <v>324</v>
      </c>
      <c r="F954" s="65" t="s">
        <v>1566</v>
      </c>
      <c r="G954" s="64" t="s">
        <v>351</v>
      </c>
      <c r="H954" s="64" t="s">
        <v>239</v>
      </c>
      <c r="I954" s="64" t="s">
        <v>10</v>
      </c>
      <c r="J954" s="64" t="s">
        <v>201</v>
      </c>
      <c r="K954" s="66">
        <v>131.4</v>
      </c>
      <c r="L954" s="66">
        <f>K954*VLOOKUP(I954,dagsoorttabel1,2,FALSE)</f>
        <v>131.4</v>
      </c>
      <c r="M954" s="67">
        <f>prodnorm50</f>
        <v>0</v>
      </c>
      <c r="N954" s="68">
        <f>dagwerk50</f>
        <v>0</v>
      </c>
      <c r="O954" s="64" t="s">
        <v>38</v>
      </c>
      <c r="P954" s="69">
        <f>uurtarief50</f>
        <v>0</v>
      </c>
      <c r="Q954" s="66" t="e">
        <f>IF(ISBLANK(M954),0,L954/ROUND(M954,4))</f>
        <v>#DIV/0!</v>
      </c>
      <c r="R954" s="66" t="e">
        <f>IF(ISBLANK(M954),0,Q954*ROUND(N954,2))</f>
        <v>#DIV/0!</v>
      </c>
      <c r="S954" s="69" t="e">
        <f>ROUND(P954,2)*Q954</f>
        <v>#DIV/0!</v>
      </c>
      <c r="T954" s="66" t="e">
        <f>Q954*dagenperjaar1</f>
        <v>#DIV/0!</v>
      </c>
      <c r="U954" s="70" t="e">
        <f>T954*ROUND(P954,2)</f>
        <v>#DIV/0!</v>
      </c>
    </row>
    <row r="955" spans="1:21" x14ac:dyDescent="0.2">
      <c r="A955" s="63" t="s">
        <v>1414</v>
      </c>
      <c r="B955" s="64" t="s">
        <v>324</v>
      </c>
      <c r="C955" s="64" t="s">
        <v>323</v>
      </c>
      <c r="D955" s="64" t="s">
        <v>1567</v>
      </c>
      <c r="E955" s="64" t="s">
        <v>324</v>
      </c>
      <c r="F955" s="65" t="s">
        <v>671</v>
      </c>
      <c r="G955" s="64" t="s">
        <v>1421</v>
      </c>
      <c r="H955" s="64" t="s">
        <v>255</v>
      </c>
      <c r="I955" s="64" t="s">
        <v>10</v>
      </c>
      <c r="J955" s="64" t="s">
        <v>201</v>
      </c>
      <c r="K955" s="66">
        <v>16</v>
      </c>
      <c r="L955" s="66">
        <f>K955*VLOOKUP(I955,dagsoorttabel1,2,FALSE)</f>
        <v>16</v>
      </c>
      <c r="M955" s="67">
        <f>prodnorm59</f>
        <v>0</v>
      </c>
      <c r="N955" s="68">
        <f>dagwerk59</f>
        <v>0</v>
      </c>
      <c r="O955" s="64" t="s">
        <v>38</v>
      </c>
      <c r="P955" s="69">
        <f>uurtarief59</f>
        <v>0</v>
      </c>
      <c r="Q955" s="66" t="e">
        <f>IF(ISBLANK(M955),0,L955/ROUND(M955,4))</f>
        <v>#DIV/0!</v>
      </c>
      <c r="R955" s="66" t="e">
        <f>IF(ISBLANK(M955),0,Q955*ROUND(N955,2))</f>
        <v>#DIV/0!</v>
      </c>
      <c r="S955" s="69" t="e">
        <f>ROUND(P955,2)*Q955</f>
        <v>#DIV/0!</v>
      </c>
      <c r="T955" s="66" t="e">
        <f>Q955*dagenperjaar1</f>
        <v>#DIV/0!</v>
      </c>
      <c r="U955" s="70" t="e">
        <f>T955*ROUND(P955,2)</f>
        <v>#DIV/0!</v>
      </c>
    </row>
    <row r="956" spans="1:21" x14ac:dyDescent="0.2">
      <c r="A956" s="63" t="s">
        <v>1414</v>
      </c>
      <c r="B956" s="64" t="s">
        <v>324</v>
      </c>
      <c r="C956" s="64" t="s">
        <v>323</v>
      </c>
      <c r="D956" s="64" t="s">
        <v>1568</v>
      </c>
      <c r="E956" s="64" t="s">
        <v>324</v>
      </c>
      <c r="F956" s="65" t="s">
        <v>1459</v>
      </c>
      <c r="G956" s="64" t="s">
        <v>328</v>
      </c>
      <c r="H956" s="64" t="s">
        <v>243</v>
      </c>
      <c r="I956" s="64" t="s">
        <v>10</v>
      </c>
      <c r="J956" s="64" t="s">
        <v>201</v>
      </c>
      <c r="K956" s="66">
        <v>161</v>
      </c>
      <c r="L956" s="66">
        <f>K956*VLOOKUP(I956,dagsoorttabel1,2,FALSE)</f>
        <v>161</v>
      </c>
      <c r="M956" s="67">
        <f>prodnorm52</f>
        <v>0</v>
      </c>
      <c r="N956" s="68">
        <f>dagwerk52</f>
        <v>0</v>
      </c>
      <c r="O956" s="64" t="s">
        <v>38</v>
      </c>
      <c r="P956" s="69">
        <f>uurtarief52</f>
        <v>0</v>
      </c>
      <c r="Q956" s="66" t="e">
        <f>IF(ISBLANK(M956),0,L956/ROUND(M956,4))</f>
        <v>#DIV/0!</v>
      </c>
      <c r="R956" s="66" t="e">
        <f>IF(ISBLANK(M956),0,Q956*ROUND(N956,2))</f>
        <v>#DIV/0!</v>
      </c>
      <c r="S956" s="69" t="e">
        <f>ROUND(P956,2)*Q956</f>
        <v>#DIV/0!</v>
      </c>
      <c r="T956" s="66" t="e">
        <f>Q956*dagenperjaar1</f>
        <v>#DIV/0!</v>
      </c>
      <c r="U956" s="70" t="e">
        <f>T956*ROUND(P956,2)</f>
        <v>#DIV/0!</v>
      </c>
    </row>
    <row r="957" spans="1:21" x14ac:dyDescent="0.2">
      <c r="A957" s="63" t="s">
        <v>1414</v>
      </c>
      <c r="B957" s="64" t="s">
        <v>324</v>
      </c>
      <c r="C957" s="64" t="s">
        <v>323</v>
      </c>
      <c r="D957" s="64" t="s">
        <v>1569</v>
      </c>
      <c r="E957" s="64" t="s">
        <v>324</v>
      </c>
      <c r="F957" s="65" t="s">
        <v>1393</v>
      </c>
      <c r="G957" s="64" t="s">
        <v>351</v>
      </c>
      <c r="H957" s="64" t="s">
        <v>231</v>
      </c>
      <c r="I957" s="64" t="s">
        <v>10</v>
      </c>
      <c r="J957" s="64" t="s">
        <v>201</v>
      </c>
      <c r="K957" s="66">
        <v>67</v>
      </c>
      <c r="L957" s="66">
        <f>K957*VLOOKUP(I957,dagsoorttabel1,2,FALSE)</f>
        <v>67</v>
      </c>
      <c r="M957" s="67">
        <f>prodnorm44</f>
        <v>0</v>
      </c>
      <c r="N957" s="68">
        <f>dagwerk44</f>
        <v>0</v>
      </c>
      <c r="O957" s="64" t="s">
        <v>38</v>
      </c>
      <c r="P957" s="69">
        <f>uurtarief44</f>
        <v>0</v>
      </c>
      <c r="Q957" s="66" t="e">
        <f>IF(ISBLANK(M957),0,L957/ROUND(M957,4))</f>
        <v>#DIV/0!</v>
      </c>
      <c r="R957" s="66" t="e">
        <f>IF(ISBLANK(M957),0,Q957*ROUND(N957,2))</f>
        <v>#DIV/0!</v>
      </c>
      <c r="S957" s="69" t="e">
        <f>ROUND(P957,2)*Q957</f>
        <v>#DIV/0!</v>
      </c>
      <c r="T957" s="66" t="e">
        <f>Q957*dagenperjaar1</f>
        <v>#DIV/0!</v>
      </c>
      <c r="U957" s="70" t="e">
        <f>T957*ROUND(P957,2)</f>
        <v>#DIV/0!</v>
      </c>
    </row>
    <row r="958" spans="1:21" x14ac:dyDescent="0.2">
      <c r="A958" s="63" t="s">
        <v>1414</v>
      </c>
      <c r="B958" s="64" t="s">
        <v>324</v>
      </c>
      <c r="C958" s="64" t="s">
        <v>323</v>
      </c>
      <c r="D958" s="64" t="s">
        <v>1570</v>
      </c>
      <c r="E958" s="64" t="s">
        <v>324</v>
      </c>
      <c r="F958" s="65" t="s">
        <v>1393</v>
      </c>
      <c r="G958" s="64" t="s">
        <v>351</v>
      </c>
      <c r="H958" s="64" t="s">
        <v>231</v>
      </c>
      <c r="I958" s="64" t="s">
        <v>10</v>
      </c>
      <c r="J958" s="64" t="s">
        <v>201</v>
      </c>
      <c r="K958" s="66">
        <v>60</v>
      </c>
      <c r="L958" s="66">
        <f>K958*VLOOKUP(I958,dagsoorttabel1,2,FALSE)</f>
        <v>60</v>
      </c>
      <c r="M958" s="67">
        <f>prodnorm44</f>
        <v>0</v>
      </c>
      <c r="N958" s="68">
        <f>dagwerk44</f>
        <v>0</v>
      </c>
      <c r="O958" s="64" t="s">
        <v>38</v>
      </c>
      <c r="P958" s="69">
        <f>uurtarief44</f>
        <v>0</v>
      </c>
      <c r="Q958" s="66" t="e">
        <f>IF(ISBLANK(M958),0,L958/ROUND(M958,4))</f>
        <v>#DIV/0!</v>
      </c>
      <c r="R958" s="66" t="e">
        <f>IF(ISBLANK(M958),0,Q958*ROUND(N958,2))</f>
        <v>#DIV/0!</v>
      </c>
      <c r="S958" s="69" t="e">
        <f>ROUND(P958,2)*Q958</f>
        <v>#DIV/0!</v>
      </c>
      <c r="T958" s="66" t="e">
        <f>Q958*dagenperjaar1</f>
        <v>#DIV/0!</v>
      </c>
      <c r="U958" s="70" t="e">
        <f>T958*ROUND(P958,2)</f>
        <v>#DIV/0!</v>
      </c>
    </row>
    <row r="959" spans="1:21" x14ac:dyDescent="0.2">
      <c r="A959" s="63" t="s">
        <v>1414</v>
      </c>
      <c r="B959" s="64" t="s">
        <v>324</v>
      </c>
      <c r="C959" s="64" t="s">
        <v>323</v>
      </c>
      <c r="D959" s="64" t="s">
        <v>1571</v>
      </c>
      <c r="E959" s="64" t="s">
        <v>324</v>
      </c>
      <c r="F959" s="65" t="s">
        <v>1393</v>
      </c>
      <c r="G959" s="64" t="s">
        <v>351</v>
      </c>
      <c r="H959" s="64" t="s">
        <v>231</v>
      </c>
      <c r="I959" s="64" t="s">
        <v>10</v>
      </c>
      <c r="J959" s="64" t="s">
        <v>201</v>
      </c>
      <c r="K959" s="66">
        <v>60</v>
      </c>
      <c r="L959" s="66">
        <f>K959*VLOOKUP(I959,dagsoorttabel1,2,FALSE)</f>
        <v>60</v>
      </c>
      <c r="M959" s="67">
        <f>prodnorm44</f>
        <v>0</v>
      </c>
      <c r="N959" s="68">
        <f>dagwerk44</f>
        <v>0</v>
      </c>
      <c r="O959" s="64" t="s">
        <v>38</v>
      </c>
      <c r="P959" s="69">
        <f>uurtarief44</f>
        <v>0</v>
      </c>
      <c r="Q959" s="66" t="e">
        <f>IF(ISBLANK(M959),0,L959/ROUND(M959,4))</f>
        <v>#DIV/0!</v>
      </c>
      <c r="R959" s="66" t="e">
        <f>IF(ISBLANK(M959),0,Q959*ROUND(N959,2))</f>
        <v>#DIV/0!</v>
      </c>
      <c r="S959" s="69" t="e">
        <f>ROUND(P959,2)*Q959</f>
        <v>#DIV/0!</v>
      </c>
      <c r="T959" s="66" t="e">
        <f>Q959*dagenperjaar1</f>
        <v>#DIV/0!</v>
      </c>
      <c r="U959" s="70" t="e">
        <f>T959*ROUND(P959,2)</f>
        <v>#DIV/0!</v>
      </c>
    </row>
    <row r="960" spans="1:21" x14ac:dyDescent="0.2">
      <c r="A960" s="63" t="s">
        <v>1414</v>
      </c>
      <c r="B960" s="64" t="s">
        <v>324</v>
      </c>
      <c r="C960" s="64" t="s">
        <v>323</v>
      </c>
      <c r="D960" s="64" t="s">
        <v>1572</v>
      </c>
      <c r="E960" s="64" t="s">
        <v>324</v>
      </c>
      <c r="F960" s="65" t="s">
        <v>1393</v>
      </c>
      <c r="G960" s="64" t="s">
        <v>328</v>
      </c>
      <c r="H960" s="64" t="s">
        <v>229</v>
      </c>
      <c r="I960" s="64" t="s">
        <v>10</v>
      </c>
      <c r="J960" s="64" t="s">
        <v>201</v>
      </c>
      <c r="K960" s="66">
        <v>75.75</v>
      </c>
      <c r="L960" s="66">
        <f>K960*VLOOKUP(I960,dagsoorttabel1,2,FALSE)</f>
        <v>75.75</v>
      </c>
      <c r="M960" s="67">
        <f>prodnorm43</f>
        <v>0</v>
      </c>
      <c r="N960" s="68">
        <f>dagwerk43</f>
        <v>0</v>
      </c>
      <c r="O960" s="64" t="s">
        <v>38</v>
      </c>
      <c r="P960" s="69">
        <f>uurtarief43</f>
        <v>0</v>
      </c>
      <c r="Q960" s="66" t="e">
        <f>IF(ISBLANK(M960),0,L960/ROUND(M960,4))</f>
        <v>#DIV/0!</v>
      </c>
      <c r="R960" s="66" t="e">
        <f>IF(ISBLANK(M960),0,Q960*ROUND(N960,2))</f>
        <v>#DIV/0!</v>
      </c>
      <c r="S960" s="69" t="e">
        <f>ROUND(P960,2)*Q960</f>
        <v>#DIV/0!</v>
      </c>
      <c r="T960" s="66" t="e">
        <f>Q960*dagenperjaar1</f>
        <v>#DIV/0!</v>
      </c>
      <c r="U960" s="70" t="e">
        <f>T960*ROUND(P960,2)</f>
        <v>#DIV/0!</v>
      </c>
    </row>
    <row r="961" spans="1:21" x14ac:dyDescent="0.2">
      <c r="A961" s="63" t="s">
        <v>1414</v>
      </c>
      <c r="B961" s="64" t="s">
        <v>324</v>
      </c>
      <c r="C961" s="64" t="s">
        <v>323</v>
      </c>
      <c r="D961" s="64" t="s">
        <v>1573</v>
      </c>
      <c r="E961" s="64" t="s">
        <v>324</v>
      </c>
      <c r="F961" s="65" t="s">
        <v>381</v>
      </c>
      <c r="G961" s="64" t="s">
        <v>351</v>
      </c>
      <c r="H961" s="64" t="s">
        <v>207</v>
      </c>
      <c r="I961" s="64" t="s">
        <v>16</v>
      </c>
      <c r="J961" s="64" t="s">
        <v>201</v>
      </c>
      <c r="K961" s="66">
        <v>22.5</v>
      </c>
      <c r="L961" s="66">
        <f>K961*VLOOKUP(I961,dagsoorttabel1,2,FALSE)</f>
        <v>4.5</v>
      </c>
      <c r="M961" s="67">
        <f>prodnorm29</f>
        <v>0</v>
      </c>
      <c r="N961" s="68">
        <f>dagwerk29</f>
        <v>0</v>
      </c>
      <c r="O961" s="64" t="s">
        <v>38</v>
      </c>
      <c r="P961" s="69">
        <f>uurtarief29</f>
        <v>0</v>
      </c>
      <c r="Q961" s="66" t="e">
        <f>IF(ISBLANK(M961),0,L961/ROUND(M961,4))</f>
        <v>#DIV/0!</v>
      </c>
      <c r="R961" s="66" t="e">
        <f>IF(ISBLANK(M961),0,Q961*ROUND(N961,2))</f>
        <v>#DIV/0!</v>
      </c>
      <c r="S961" s="69" t="e">
        <f>ROUND(P961,2)*Q961</f>
        <v>#DIV/0!</v>
      </c>
      <c r="T961" s="66" t="e">
        <f>Q961*dagenperjaar1</f>
        <v>#DIV/0!</v>
      </c>
      <c r="U961" s="70" t="e">
        <f>T961*ROUND(P961,2)</f>
        <v>#DIV/0!</v>
      </c>
    </row>
    <row r="962" spans="1:21" x14ac:dyDescent="0.2">
      <c r="A962" s="63" t="s">
        <v>1414</v>
      </c>
      <c r="B962" s="64" t="s">
        <v>324</v>
      </c>
      <c r="C962" s="64" t="s">
        <v>323</v>
      </c>
      <c r="D962" s="64" t="s">
        <v>1574</v>
      </c>
      <c r="E962" s="64" t="s">
        <v>324</v>
      </c>
      <c r="F962" s="65" t="s">
        <v>381</v>
      </c>
      <c r="G962" s="64" t="s">
        <v>351</v>
      </c>
      <c r="H962" s="64" t="s">
        <v>207</v>
      </c>
      <c r="I962" s="64" t="s">
        <v>16</v>
      </c>
      <c r="J962" s="64" t="s">
        <v>201</v>
      </c>
      <c r="K962" s="66">
        <v>12.75</v>
      </c>
      <c r="L962" s="66">
        <f>K962*VLOOKUP(I962,dagsoorttabel1,2,FALSE)</f>
        <v>2.5500000000000003</v>
      </c>
      <c r="M962" s="67">
        <f>prodnorm29</f>
        <v>0</v>
      </c>
      <c r="N962" s="68">
        <f>dagwerk29</f>
        <v>0</v>
      </c>
      <c r="O962" s="64" t="s">
        <v>38</v>
      </c>
      <c r="P962" s="69">
        <f>uurtarief29</f>
        <v>0</v>
      </c>
      <c r="Q962" s="66" t="e">
        <f>IF(ISBLANK(M962),0,L962/ROUND(M962,4))</f>
        <v>#DIV/0!</v>
      </c>
      <c r="R962" s="66" t="e">
        <f>IF(ISBLANK(M962),0,Q962*ROUND(N962,2))</f>
        <v>#DIV/0!</v>
      </c>
      <c r="S962" s="69" t="e">
        <f>ROUND(P962,2)*Q962</f>
        <v>#DIV/0!</v>
      </c>
      <c r="T962" s="66" t="e">
        <f>Q962*dagenperjaar1</f>
        <v>#DIV/0!</v>
      </c>
      <c r="U962" s="70" t="e">
        <f>T962*ROUND(P962,2)</f>
        <v>#DIV/0!</v>
      </c>
    </row>
    <row r="963" spans="1:21" x14ac:dyDescent="0.2">
      <c r="A963" s="63" t="s">
        <v>1414</v>
      </c>
      <c r="B963" s="64" t="s">
        <v>324</v>
      </c>
      <c r="C963" s="64" t="s">
        <v>323</v>
      </c>
      <c r="D963" s="64" t="s">
        <v>1575</v>
      </c>
      <c r="E963" s="64" t="s">
        <v>324</v>
      </c>
      <c r="F963" s="65" t="s">
        <v>381</v>
      </c>
      <c r="G963" s="64" t="s">
        <v>351</v>
      </c>
      <c r="H963" s="64" t="s">
        <v>207</v>
      </c>
      <c r="I963" s="64" t="s">
        <v>16</v>
      </c>
      <c r="J963" s="64" t="s">
        <v>201</v>
      </c>
      <c r="K963" s="66">
        <v>13.7</v>
      </c>
      <c r="L963" s="66">
        <f>K963*VLOOKUP(I963,dagsoorttabel1,2,FALSE)</f>
        <v>2.74</v>
      </c>
      <c r="M963" s="67">
        <f>prodnorm29</f>
        <v>0</v>
      </c>
      <c r="N963" s="68">
        <f>dagwerk29</f>
        <v>0</v>
      </c>
      <c r="O963" s="64" t="s">
        <v>38</v>
      </c>
      <c r="P963" s="69">
        <f>uurtarief29</f>
        <v>0</v>
      </c>
      <c r="Q963" s="66" t="e">
        <f>IF(ISBLANK(M963),0,L963/ROUND(M963,4))</f>
        <v>#DIV/0!</v>
      </c>
      <c r="R963" s="66" t="e">
        <f>IF(ISBLANK(M963),0,Q963*ROUND(N963,2))</f>
        <v>#DIV/0!</v>
      </c>
      <c r="S963" s="69" t="e">
        <f>ROUND(P963,2)*Q963</f>
        <v>#DIV/0!</v>
      </c>
      <c r="T963" s="66" t="e">
        <f>Q963*dagenperjaar1</f>
        <v>#DIV/0!</v>
      </c>
      <c r="U963" s="70" t="e">
        <f>T963*ROUND(P963,2)</f>
        <v>#DIV/0!</v>
      </c>
    </row>
    <row r="964" spans="1:21" x14ac:dyDescent="0.2">
      <c r="A964" s="71" t="s">
        <v>1414</v>
      </c>
      <c r="B964" s="72" t="s">
        <v>324</v>
      </c>
      <c r="C964" s="72" t="s">
        <v>323</v>
      </c>
      <c r="D964" s="72" t="s">
        <v>1576</v>
      </c>
      <c r="E964" s="72" t="s">
        <v>324</v>
      </c>
      <c r="F964" s="73" t="s">
        <v>638</v>
      </c>
      <c r="G964" s="72" t="s">
        <v>339</v>
      </c>
      <c r="H964" s="72" t="s">
        <v>263</v>
      </c>
      <c r="I964" s="72" t="s">
        <v>10</v>
      </c>
      <c r="J964" s="72" t="s">
        <v>201</v>
      </c>
      <c r="K964" s="74">
        <v>1.4</v>
      </c>
      <c r="L964" s="74">
        <f>K964*VLOOKUP(I964,dagsoorttabel1,2,FALSE)</f>
        <v>1.4</v>
      </c>
      <c r="M964" s="75">
        <f>prodnorm63</f>
        <v>0</v>
      </c>
      <c r="N964" s="76">
        <f>dagwerk63</f>
        <v>0</v>
      </c>
      <c r="O964" s="72" t="s">
        <v>38</v>
      </c>
      <c r="P964" s="77">
        <f>uurtarief63</f>
        <v>0</v>
      </c>
      <c r="Q964" s="74" t="e">
        <f>IF(ISBLANK(M964),0,L964/ROUND(M964,4))</f>
        <v>#DIV/0!</v>
      </c>
      <c r="R964" s="74" t="e">
        <f>IF(ISBLANK(M964),0,Q964*ROUND(N964,2))</f>
        <v>#DIV/0!</v>
      </c>
      <c r="S964" s="77" t="e">
        <f>ROUND(P964,2)*Q964</f>
        <v>#DIV/0!</v>
      </c>
      <c r="T964" s="74" t="e">
        <f>Q964*dagenperjaar1</f>
        <v>#DIV/0!</v>
      </c>
      <c r="U964" s="78" t="e">
        <f>T964*ROUND(P964,2)</f>
        <v>#DIV/0!</v>
      </c>
    </row>
    <row r="965" spans="1:21" x14ac:dyDescent="0.2">
      <c r="A965" s="79" t="s">
        <v>602</v>
      </c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6" t="e">
        <f>IF(_xlfn.SINGLE(object6_urenjaar1)&gt;0,_xlfn.SINGLE(object6_prijsjaar1)/_xlfn.SINGLE(object6_urenjaar1),0)</f>
        <v>#DIV/0!</v>
      </c>
      <c r="Q965" s="45" t="e">
        <f>SUM(Q837:Q964)</f>
        <v>#DIV/0!</v>
      </c>
      <c r="R965" s="45" t="e">
        <f>SUM(R837:R964)</f>
        <v>#DIV/0!</v>
      </c>
      <c r="S965" s="46" t="e">
        <f>SUM(S837:S964)</f>
        <v>#DIV/0!</v>
      </c>
      <c r="T965" s="45" t="e">
        <f>SUM(T837:T964)</f>
        <v>#DIV/0!</v>
      </c>
      <c r="U965" s="47" t="e">
        <f>SUM(U837:U964)</f>
        <v>#DIV/0!</v>
      </c>
    </row>
    <row r="966" spans="1:21" x14ac:dyDescent="0.2">
      <c r="A966" s="54" t="s">
        <v>1577</v>
      </c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42"/>
    </row>
    <row r="967" spans="1:21" x14ac:dyDescent="0.2">
      <c r="A967" s="55" t="s">
        <v>1578</v>
      </c>
      <c r="B967" s="56" t="s">
        <v>324</v>
      </c>
      <c r="C967" s="56" t="s">
        <v>345</v>
      </c>
      <c r="D967" s="56" t="s">
        <v>348</v>
      </c>
      <c r="E967" s="56" t="s">
        <v>324</v>
      </c>
      <c r="F967" s="57" t="s">
        <v>1579</v>
      </c>
      <c r="G967" s="56" t="s">
        <v>351</v>
      </c>
      <c r="H967" s="56" t="s">
        <v>217</v>
      </c>
      <c r="I967" s="56" t="s">
        <v>10</v>
      </c>
      <c r="J967" s="56" t="s">
        <v>201</v>
      </c>
      <c r="K967" s="58">
        <v>10</v>
      </c>
      <c r="L967" s="58">
        <f>K967*VLOOKUP(I967,dagsoorttabel1,2,FALSE)</f>
        <v>10</v>
      </c>
      <c r="M967" s="59">
        <f>prodnorm35</f>
        <v>0</v>
      </c>
      <c r="N967" s="60">
        <f>dagwerk35</f>
        <v>0</v>
      </c>
      <c r="O967" s="56" t="s">
        <v>38</v>
      </c>
      <c r="P967" s="61">
        <f>uurtarief35</f>
        <v>0</v>
      </c>
      <c r="Q967" s="58" t="e">
        <f>IF(ISBLANK(M967),0,L967/ROUND(M967,4))</f>
        <v>#DIV/0!</v>
      </c>
      <c r="R967" s="58" t="e">
        <f>IF(ISBLANK(M967),0,Q967*ROUND(N967,2))</f>
        <v>#DIV/0!</v>
      </c>
      <c r="S967" s="61" t="e">
        <f>ROUND(P967,2)*Q967</f>
        <v>#DIV/0!</v>
      </c>
      <c r="T967" s="58" t="e">
        <f>Q967*dagenperjaar1</f>
        <v>#DIV/0!</v>
      </c>
      <c r="U967" s="62" t="e">
        <f>T967*ROUND(P967,2)</f>
        <v>#DIV/0!</v>
      </c>
    </row>
    <row r="968" spans="1:21" x14ac:dyDescent="0.2">
      <c r="A968" s="63" t="s">
        <v>1578</v>
      </c>
      <c r="B968" s="64" t="s">
        <v>324</v>
      </c>
      <c r="C968" s="64" t="s">
        <v>345</v>
      </c>
      <c r="D968" s="64" t="s">
        <v>352</v>
      </c>
      <c r="E968" s="64" t="s">
        <v>324</v>
      </c>
      <c r="F968" s="65" t="s">
        <v>1466</v>
      </c>
      <c r="G968" s="64" t="s">
        <v>328</v>
      </c>
      <c r="H968" s="64" t="s">
        <v>200</v>
      </c>
      <c r="I968" s="64" t="s">
        <v>10</v>
      </c>
      <c r="J968" s="64" t="s">
        <v>201</v>
      </c>
      <c r="K968" s="66">
        <v>275</v>
      </c>
      <c r="L968" s="66">
        <f>K968*VLOOKUP(I968,dagsoorttabel1,2,FALSE)</f>
        <v>275</v>
      </c>
      <c r="M968" s="67">
        <f>prodnorm24</f>
        <v>0</v>
      </c>
      <c r="N968" s="68">
        <f>dagwerk24</f>
        <v>0</v>
      </c>
      <c r="O968" s="64" t="s">
        <v>38</v>
      </c>
      <c r="P968" s="69">
        <f>uurtarief24</f>
        <v>0</v>
      </c>
      <c r="Q968" s="66" t="e">
        <f>IF(ISBLANK(M968),0,L968/ROUND(M968,4))</f>
        <v>#DIV/0!</v>
      </c>
      <c r="R968" s="66" t="e">
        <f>IF(ISBLANK(M968),0,Q968*ROUND(N968,2))</f>
        <v>#DIV/0!</v>
      </c>
      <c r="S968" s="69" t="e">
        <f>ROUND(P968,2)*Q968</f>
        <v>#DIV/0!</v>
      </c>
      <c r="T968" s="66" t="e">
        <f>Q968*dagenperjaar1</f>
        <v>#DIV/0!</v>
      </c>
      <c r="U968" s="70" t="e">
        <f>T968*ROUND(P968,2)</f>
        <v>#DIV/0!</v>
      </c>
    </row>
    <row r="969" spans="1:21" x14ac:dyDescent="0.2">
      <c r="A969" s="63" t="s">
        <v>1578</v>
      </c>
      <c r="B969" s="64" t="s">
        <v>324</v>
      </c>
      <c r="C969" s="64" t="s">
        <v>345</v>
      </c>
      <c r="D969" s="64" t="s">
        <v>359</v>
      </c>
      <c r="E969" s="64" t="s">
        <v>324</v>
      </c>
      <c r="F969" s="65" t="s">
        <v>618</v>
      </c>
      <c r="G969" s="64" t="s">
        <v>328</v>
      </c>
      <c r="H969" s="64" t="s">
        <v>267</v>
      </c>
      <c r="I969" s="64" t="s">
        <v>10</v>
      </c>
      <c r="J969" s="64" t="s">
        <v>201</v>
      </c>
      <c r="K969" s="66">
        <v>35</v>
      </c>
      <c r="L969" s="66">
        <f>K969*VLOOKUP(I969,dagsoorttabel1,2,FALSE)</f>
        <v>35</v>
      </c>
      <c r="M969" s="67">
        <f>prodnorm65</f>
        <v>0</v>
      </c>
      <c r="N969" s="68">
        <f>dagwerk65</f>
        <v>0</v>
      </c>
      <c r="O969" s="64" t="s">
        <v>38</v>
      </c>
      <c r="P969" s="69">
        <f>uurtarief65</f>
        <v>0</v>
      </c>
      <c r="Q969" s="66" t="e">
        <f>IF(ISBLANK(M969),0,L969/ROUND(M969,4))</f>
        <v>#DIV/0!</v>
      </c>
      <c r="R969" s="66" t="e">
        <f>IF(ISBLANK(M969),0,Q969*ROUND(N969,2))</f>
        <v>#DIV/0!</v>
      </c>
      <c r="S969" s="69" t="e">
        <f>ROUND(P969,2)*Q969</f>
        <v>#DIV/0!</v>
      </c>
      <c r="T969" s="66" t="e">
        <f>Q969*dagenperjaar1</f>
        <v>#DIV/0!</v>
      </c>
      <c r="U969" s="70" t="e">
        <f>T969*ROUND(P969,2)</f>
        <v>#DIV/0!</v>
      </c>
    </row>
    <row r="970" spans="1:21" x14ac:dyDescent="0.2">
      <c r="A970" s="63" t="s">
        <v>1578</v>
      </c>
      <c r="B970" s="64" t="s">
        <v>324</v>
      </c>
      <c r="C970" s="64" t="s">
        <v>345</v>
      </c>
      <c r="D970" s="64" t="s">
        <v>853</v>
      </c>
      <c r="E970" s="64" t="s">
        <v>324</v>
      </c>
      <c r="F970" s="65" t="s">
        <v>1580</v>
      </c>
      <c r="G970" s="64" t="s">
        <v>328</v>
      </c>
      <c r="H970" s="64" t="s">
        <v>205</v>
      </c>
      <c r="I970" s="64" t="s">
        <v>16</v>
      </c>
      <c r="J970" s="64" t="s">
        <v>201</v>
      </c>
      <c r="K970" s="66">
        <v>40</v>
      </c>
      <c r="L970" s="66">
        <f>K970*VLOOKUP(I970,dagsoorttabel1,2,FALSE)</f>
        <v>8</v>
      </c>
      <c r="M970" s="67">
        <f>prodnorm27</f>
        <v>0</v>
      </c>
      <c r="N970" s="68">
        <f>dagwerk27</f>
        <v>0</v>
      </c>
      <c r="O970" s="64" t="s">
        <v>38</v>
      </c>
      <c r="P970" s="69">
        <f>uurtarief27</f>
        <v>0</v>
      </c>
      <c r="Q970" s="66" t="e">
        <f>IF(ISBLANK(M970),0,L970/ROUND(M970,4))</f>
        <v>#DIV/0!</v>
      </c>
      <c r="R970" s="66" t="e">
        <f>IF(ISBLANK(M970),0,Q970*ROUND(N970,2))</f>
        <v>#DIV/0!</v>
      </c>
      <c r="S970" s="69" t="e">
        <f>ROUND(P970,2)*Q970</f>
        <v>#DIV/0!</v>
      </c>
      <c r="T970" s="66" t="e">
        <f>Q970*dagenperjaar1</f>
        <v>#DIV/0!</v>
      </c>
      <c r="U970" s="70" t="e">
        <f>T970*ROUND(P970,2)</f>
        <v>#DIV/0!</v>
      </c>
    </row>
    <row r="971" spans="1:21" x14ac:dyDescent="0.2">
      <c r="A971" s="63" t="s">
        <v>1578</v>
      </c>
      <c r="B971" s="64" t="s">
        <v>324</v>
      </c>
      <c r="C971" s="64" t="s">
        <v>345</v>
      </c>
      <c r="D971" s="64" t="s">
        <v>362</v>
      </c>
      <c r="E971" s="64" t="s">
        <v>324</v>
      </c>
      <c r="F971" s="65" t="s">
        <v>327</v>
      </c>
      <c r="G971" s="64" t="s">
        <v>328</v>
      </c>
      <c r="H971" s="64" t="s">
        <v>223</v>
      </c>
      <c r="I971" s="64" t="s">
        <v>10</v>
      </c>
      <c r="J971" s="64" t="s">
        <v>201</v>
      </c>
      <c r="K971" s="66">
        <v>1</v>
      </c>
      <c r="L971" s="66">
        <f>K971*VLOOKUP(I971,dagsoorttabel1,2,FALSE)</f>
        <v>1</v>
      </c>
      <c r="M971" s="67">
        <f>prodnorm39</f>
        <v>0</v>
      </c>
      <c r="N971" s="68">
        <f>dagwerk39</f>
        <v>0</v>
      </c>
      <c r="O971" s="64" t="s">
        <v>38</v>
      </c>
      <c r="P971" s="69">
        <f>uurtarief39</f>
        <v>0</v>
      </c>
      <c r="Q971" s="66" t="e">
        <f>IF(ISBLANK(M971),0,L971/ROUND(M971,4))</f>
        <v>#DIV/0!</v>
      </c>
      <c r="R971" s="66" t="e">
        <f>IF(ISBLANK(M971),0,Q971*ROUND(N971,2))</f>
        <v>#DIV/0!</v>
      </c>
      <c r="S971" s="69" t="e">
        <f>ROUND(P971,2)*Q971</f>
        <v>#DIV/0!</v>
      </c>
      <c r="T971" s="66" t="e">
        <f>Q971*dagenperjaar1</f>
        <v>#DIV/0!</v>
      </c>
      <c r="U971" s="70" t="e">
        <f>T971*ROUND(P971,2)</f>
        <v>#DIV/0!</v>
      </c>
    </row>
    <row r="972" spans="1:21" x14ac:dyDescent="0.2">
      <c r="A972" s="63" t="s">
        <v>1578</v>
      </c>
      <c r="B972" s="64" t="s">
        <v>324</v>
      </c>
      <c r="C972" s="64" t="s">
        <v>345</v>
      </c>
      <c r="D972" s="64" t="s">
        <v>366</v>
      </c>
      <c r="E972" s="64" t="s">
        <v>324</v>
      </c>
      <c r="F972" s="65" t="s">
        <v>1581</v>
      </c>
      <c r="G972" s="64" t="s">
        <v>328</v>
      </c>
      <c r="H972" s="64" t="s">
        <v>267</v>
      </c>
      <c r="I972" s="64" t="s">
        <v>10</v>
      </c>
      <c r="J972" s="64" t="s">
        <v>201</v>
      </c>
      <c r="K972" s="66">
        <v>8</v>
      </c>
      <c r="L972" s="66">
        <f>K972*VLOOKUP(I972,dagsoorttabel1,2,FALSE)</f>
        <v>8</v>
      </c>
      <c r="M972" s="67">
        <f>prodnorm65</f>
        <v>0</v>
      </c>
      <c r="N972" s="68">
        <f>dagwerk65</f>
        <v>0</v>
      </c>
      <c r="O972" s="64" t="s">
        <v>38</v>
      </c>
      <c r="P972" s="69">
        <f>uurtarief65</f>
        <v>0</v>
      </c>
      <c r="Q972" s="66" t="e">
        <f>IF(ISBLANK(M972),0,L972/ROUND(M972,4))</f>
        <v>#DIV/0!</v>
      </c>
      <c r="R972" s="66" t="e">
        <f>IF(ISBLANK(M972),0,Q972*ROUND(N972,2))</f>
        <v>#DIV/0!</v>
      </c>
      <c r="S972" s="69" t="e">
        <f>ROUND(P972,2)*Q972</f>
        <v>#DIV/0!</v>
      </c>
      <c r="T972" s="66" t="e">
        <f>Q972*dagenperjaar1</f>
        <v>#DIV/0!</v>
      </c>
      <c r="U972" s="70" t="e">
        <f>T972*ROUND(P972,2)</f>
        <v>#DIV/0!</v>
      </c>
    </row>
    <row r="973" spans="1:21" x14ac:dyDescent="0.2">
      <c r="A973" s="63" t="s">
        <v>1578</v>
      </c>
      <c r="B973" s="64" t="s">
        <v>324</v>
      </c>
      <c r="C973" s="64" t="s">
        <v>345</v>
      </c>
      <c r="D973" s="64" t="s">
        <v>368</v>
      </c>
      <c r="E973" s="64" t="s">
        <v>324</v>
      </c>
      <c r="F973" s="65" t="s">
        <v>1582</v>
      </c>
      <c r="G973" s="64" t="s">
        <v>1583</v>
      </c>
      <c r="H973" s="64" t="s">
        <v>267</v>
      </c>
      <c r="I973" s="64" t="s">
        <v>10</v>
      </c>
      <c r="J973" s="64" t="s">
        <v>201</v>
      </c>
      <c r="K973" s="66">
        <v>15</v>
      </c>
      <c r="L973" s="66">
        <f>K973*VLOOKUP(I973,dagsoorttabel1,2,FALSE)</f>
        <v>15</v>
      </c>
      <c r="M973" s="67">
        <f>prodnorm65</f>
        <v>0</v>
      </c>
      <c r="N973" s="68">
        <f>dagwerk65</f>
        <v>0</v>
      </c>
      <c r="O973" s="64" t="s">
        <v>38</v>
      </c>
      <c r="P973" s="69">
        <f>uurtarief65</f>
        <v>0</v>
      </c>
      <c r="Q973" s="66" t="e">
        <f>IF(ISBLANK(M973),0,L973/ROUND(M973,4))</f>
        <v>#DIV/0!</v>
      </c>
      <c r="R973" s="66" t="e">
        <f>IF(ISBLANK(M973),0,Q973*ROUND(N973,2))</f>
        <v>#DIV/0!</v>
      </c>
      <c r="S973" s="69" t="e">
        <f>ROUND(P973,2)*Q973</f>
        <v>#DIV/0!</v>
      </c>
      <c r="T973" s="66" t="e">
        <f>Q973*dagenperjaar1</f>
        <v>#DIV/0!</v>
      </c>
      <c r="U973" s="70" t="e">
        <f>T973*ROUND(P973,2)</f>
        <v>#DIV/0!</v>
      </c>
    </row>
    <row r="974" spans="1:21" x14ac:dyDescent="0.2">
      <c r="A974" s="63" t="s">
        <v>1578</v>
      </c>
      <c r="B974" s="64" t="s">
        <v>324</v>
      </c>
      <c r="C974" s="64" t="s">
        <v>345</v>
      </c>
      <c r="D974" s="64" t="s">
        <v>371</v>
      </c>
      <c r="E974" s="64" t="s">
        <v>324</v>
      </c>
      <c r="F974" s="65" t="s">
        <v>1584</v>
      </c>
      <c r="G974" s="64" t="s">
        <v>1583</v>
      </c>
      <c r="H974" s="64" t="s">
        <v>267</v>
      </c>
      <c r="I974" s="64" t="s">
        <v>10</v>
      </c>
      <c r="J974" s="64" t="s">
        <v>201</v>
      </c>
      <c r="K974" s="66">
        <v>30</v>
      </c>
      <c r="L974" s="66">
        <f>K974*VLOOKUP(I974,dagsoorttabel1,2,FALSE)</f>
        <v>30</v>
      </c>
      <c r="M974" s="67">
        <f>prodnorm65</f>
        <v>0</v>
      </c>
      <c r="N974" s="68">
        <f>dagwerk65</f>
        <v>0</v>
      </c>
      <c r="O974" s="64" t="s">
        <v>38</v>
      </c>
      <c r="P974" s="69">
        <f>uurtarief65</f>
        <v>0</v>
      </c>
      <c r="Q974" s="66" t="e">
        <f>IF(ISBLANK(M974),0,L974/ROUND(M974,4))</f>
        <v>#DIV/0!</v>
      </c>
      <c r="R974" s="66" t="e">
        <f>IF(ISBLANK(M974),0,Q974*ROUND(N974,2))</f>
        <v>#DIV/0!</v>
      </c>
      <c r="S974" s="69" t="e">
        <f>ROUND(P974,2)*Q974</f>
        <v>#DIV/0!</v>
      </c>
      <c r="T974" s="66" t="e">
        <f>Q974*dagenperjaar1</f>
        <v>#DIV/0!</v>
      </c>
      <c r="U974" s="70" t="e">
        <f>T974*ROUND(P974,2)</f>
        <v>#DIV/0!</v>
      </c>
    </row>
    <row r="975" spans="1:21" x14ac:dyDescent="0.2">
      <c r="A975" s="63" t="s">
        <v>1578</v>
      </c>
      <c r="B975" s="64" t="s">
        <v>324</v>
      </c>
      <c r="C975" s="64" t="s">
        <v>345</v>
      </c>
      <c r="D975" s="64" t="s">
        <v>374</v>
      </c>
      <c r="E975" s="64" t="s">
        <v>324</v>
      </c>
      <c r="F975" s="65" t="s">
        <v>618</v>
      </c>
      <c r="G975" s="64" t="s">
        <v>328</v>
      </c>
      <c r="H975" s="64" t="s">
        <v>267</v>
      </c>
      <c r="I975" s="64" t="s">
        <v>10</v>
      </c>
      <c r="J975" s="64" t="s">
        <v>201</v>
      </c>
      <c r="K975" s="66">
        <v>18</v>
      </c>
      <c r="L975" s="66">
        <f>K975*VLOOKUP(I975,dagsoorttabel1,2,FALSE)</f>
        <v>18</v>
      </c>
      <c r="M975" s="67">
        <f>prodnorm65</f>
        <v>0</v>
      </c>
      <c r="N975" s="68">
        <f>dagwerk65</f>
        <v>0</v>
      </c>
      <c r="O975" s="64" t="s">
        <v>38</v>
      </c>
      <c r="P975" s="69">
        <f>uurtarief65</f>
        <v>0</v>
      </c>
      <c r="Q975" s="66" t="e">
        <f>IF(ISBLANK(M975),0,L975/ROUND(M975,4))</f>
        <v>#DIV/0!</v>
      </c>
      <c r="R975" s="66" t="e">
        <f>IF(ISBLANK(M975),0,Q975*ROUND(N975,2))</f>
        <v>#DIV/0!</v>
      </c>
      <c r="S975" s="69" t="e">
        <f>ROUND(P975,2)*Q975</f>
        <v>#DIV/0!</v>
      </c>
      <c r="T975" s="66" t="e">
        <f>Q975*dagenperjaar1</f>
        <v>#DIV/0!</v>
      </c>
      <c r="U975" s="70" t="e">
        <f>T975*ROUND(P975,2)</f>
        <v>#DIV/0!</v>
      </c>
    </row>
    <row r="976" spans="1:21" x14ac:dyDescent="0.2">
      <c r="A976" s="63" t="s">
        <v>1578</v>
      </c>
      <c r="B976" s="64" t="s">
        <v>324</v>
      </c>
      <c r="C976" s="64" t="s">
        <v>345</v>
      </c>
      <c r="D976" s="64" t="s">
        <v>377</v>
      </c>
      <c r="E976" s="64" t="s">
        <v>324</v>
      </c>
      <c r="F976" s="65" t="s">
        <v>638</v>
      </c>
      <c r="G976" s="64" t="s">
        <v>328</v>
      </c>
      <c r="H976" s="64" t="s">
        <v>263</v>
      </c>
      <c r="I976" s="64" t="s">
        <v>10</v>
      </c>
      <c r="J976" s="64" t="s">
        <v>201</v>
      </c>
      <c r="K976" s="66">
        <v>20</v>
      </c>
      <c r="L976" s="66">
        <f>K976*VLOOKUP(I976,dagsoorttabel1,2,FALSE)</f>
        <v>20</v>
      </c>
      <c r="M976" s="67">
        <f>prodnorm63</f>
        <v>0</v>
      </c>
      <c r="N976" s="68">
        <f>dagwerk63</f>
        <v>0</v>
      </c>
      <c r="O976" s="64" t="s">
        <v>38</v>
      </c>
      <c r="P976" s="69">
        <f>uurtarief63</f>
        <v>0</v>
      </c>
      <c r="Q976" s="66" t="e">
        <f>IF(ISBLANK(M976),0,L976/ROUND(M976,4))</f>
        <v>#DIV/0!</v>
      </c>
      <c r="R976" s="66" t="e">
        <f>IF(ISBLANK(M976),0,Q976*ROUND(N976,2))</f>
        <v>#DIV/0!</v>
      </c>
      <c r="S976" s="69" t="e">
        <f>ROUND(P976,2)*Q976</f>
        <v>#DIV/0!</v>
      </c>
      <c r="T976" s="66" t="e">
        <f>Q976*dagenperjaar1</f>
        <v>#DIV/0!</v>
      </c>
      <c r="U976" s="70" t="e">
        <f>T976*ROUND(P976,2)</f>
        <v>#DIV/0!</v>
      </c>
    </row>
    <row r="977" spans="1:21" x14ac:dyDescent="0.2">
      <c r="A977" s="63" t="s">
        <v>1578</v>
      </c>
      <c r="B977" s="64" t="s">
        <v>324</v>
      </c>
      <c r="C977" s="64" t="s">
        <v>345</v>
      </c>
      <c r="D977" s="64" t="s">
        <v>382</v>
      </c>
      <c r="E977" s="64" t="s">
        <v>324</v>
      </c>
      <c r="F977" s="65" t="s">
        <v>335</v>
      </c>
      <c r="G977" s="64" t="s">
        <v>1585</v>
      </c>
      <c r="H977" s="64" t="s">
        <v>267</v>
      </c>
      <c r="I977" s="64" t="s">
        <v>10</v>
      </c>
      <c r="J977" s="64" t="s">
        <v>201</v>
      </c>
      <c r="K977" s="66">
        <v>23</v>
      </c>
      <c r="L977" s="66">
        <f>K977*VLOOKUP(I977,dagsoorttabel1,2,FALSE)</f>
        <v>23</v>
      </c>
      <c r="M977" s="67">
        <f>prodnorm65</f>
        <v>0</v>
      </c>
      <c r="N977" s="68">
        <f>dagwerk65</f>
        <v>0</v>
      </c>
      <c r="O977" s="64" t="s">
        <v>38</v>
      </c>
      <c r="P977" s="69">
        <f>uurtarief65</f>
        <v>0</v>
      </c>
      <c r="Q977" s="66" t="e">
        <f>IF(ISBLANK(M977),0,L977/ROUND(M977,4))</f>
        <v>#DIV/0!</v>
      </c>
      <c r="R977" s="66" t="e">
        <f>IF(ISBLANK(M977),0,Q977*ROUND(N977,2))</f>
        <v>#DIV/0!</v>
      </c>
      <c r="S977" s="69" t="e">
        <f>ROUND(P977,2)*Q977</f>
        <v>#DIV/0!</v>
      </c>
      <c r="T977" s="66" t="e">
        <f>Q977*dagenperjaar1</f>
        <v>#DIV/0!</v>
      </c>
      <c r="U977" s="70" t="e">
        <f>T977*ROUND(P977,2)</f>
        <v>#DIV/0!</v>
      </c>
    </row>
    <row r="978" spans="1:21" x14ac:dyDescent="0.2">
      <c r="A978" s="63" t="s">
        <v>1578</v>
      </c>
      <c r="B978" s="64" t="s">
        <v>324</v>
      </c>
      <c r="C978" s="64" t="s">
        <v>345</v>
      </c>
      <c r="D978" s="64" t="s">
        <v>1317</v>
      </c>
      <c r="E978" s="64" t="s">
        <v>324</v>
      </c>
      <c r="F978" s="65" t="s">
        <v>1586</v>
      </c>
      <c r="G978" s="64" t="s">
        <v>1585</v>
      </c>
      <c r="H978" s="64" t="s">
        <v>251</v>
      </c>
      <c r="I978" s="64" t="s">
        <v>10</v>
      </c>
      <c r="J978" s="64" t="s">
        <v>201</v>
      </c>
      <c r="K978" s="66">
        <v>72.5</v>
      </c>
      <c r="L978" s="66">
        <f>K978*VLOOKUP(I978,dagsoorttabel1,2,FALSE)</f>
        <v>72.5</v>
      </c>
      <c r="M978" s="67">
        <f>prodnorm57</f>
        <v>0</v>
      </c>
      <c r="N978" s="68">
        <f>dagwerk57</f>
        <v>0</v>
      </c>
      <c r="O978" s="64" t="s">
        <v>38</v>
      </c>
      <c r="P978" s="69">
        <f>uurtarief57</f>
        <v>0</v>
      </c>
      <c r="Q978" s="66" t="e">
        <f>IF(ISBLANK(M978),0,L978/ROUND(M978,4))</f>
        <v>#DIV/0!</v>
      </c>
      <c r="R978" s="66" t="e">
        <f>IF(ISBLANK(M978),0,Q978*ROUND(N978,2))</f>
        <v>#DIV/0!</v>
      </c>
      <c r="S978" s="69" t="e">
        <f>ROUND(P978,2)*Q978</f>
        <v>#DIV/0!</v>
      </c>
      <c r="T978" s="66" t="e">
        <f>Q978*dagenperjaar1</f>
        <v>#DIV/0!</v>
      </c>
      <c r="U978" s="70" t="e">
        <f>T978*ROUND(P978,2)</f>
        <v>#DIV/0!</v>
      </c>
    </row>
    <row r="979" spans="1:21" x14ac:dyDescent="0.2">
      <c r="A979" s="63" t="s">
        <v>1578</v>
      </c>
      <c r="B979" s="64" t="s">
        <v>324</v>
      </c>
      <c r="C979" s="64" t="s">
        <v>345</v>
      </c>
      <c r="D979" s="64" t="s">
        <v>868</v>
      </c>
      <c r="E979" s="64" t="s">
        <v>324</v>
      </c>
      <c r="F979" s="65" t="s">
        <v>1483</v>
      </c>
      <c r="G979" s="64" t="s">
        <v>1585</v>
      </c>
      <c r="H979" s="64" t="s">
        <v>205</v>
      </c>
      <c r="I979" s="64" t="s">
        <v>10</v>
      </c>
      <c r="J979" s="64" t="s">
        <v>201</v>
      </c>
      <c r="K979" s="66">
        <v>111.5</v>
      </c>
      <c r="L979" s="66">
        <f>K979*VLOOKUP(I979,dagsoorttabel1,2,FALSE)</f>
        <v>111.5</v>
      </c>
      <c r="M979" s="67">
        <f>prodnorm26</f>
        <v>0</v>
      </c>
      <c r="N979" s="68">
        <f>dagwerk26</f>
        <v>0</v>
      </c>
      <c r="O979" s="64" t="s">
        <v>38</v>
      </c>
      <c r="P979" s="69">
        <f>uurtarief26</f>
        <v>0</v>
      </c>
      <c r="Q979" s="66" t="e">
        <f>IF(ISBLANK(M979),0,L979/ROUND(M979,4))</f>
        <v>#DIV/0!</v>
      </c>
      <c r="R979" s="66" t="e">
        <f>IF(ISBLANK(M979),0,Q979*ROUND(N979,2))</f>
        <v>#DIV/0!</v>
      </c>
      <c r="S979" s="69" t="e">
        <f>ROUND(P979,2)*Q979</f>
        <v>#DIV/0!</v>
      </c>
      <c r="T979" s="66" t="e">
        <f>Q979*dagenperjaar1</f>
        <v>#DIV/0!</v>
      </c>
      <c r="U979" s="70" t="e">
        <f>T979*ROUND(P979,2)</f>
        <v>#DIV/0!</v>
      </c>
    </row>
    <row r="980" spans="1:21" x14ac:dyDescent="0.2">
      <c r="A980" s="63" t="s">
        <v>1578</v>
      </c>
      <c r="B980" s="64" t="s">
        <v>324</v>
      </c>
      <c r="C980" s="64" t="s">
        <v>345</v>
      </c>
      <c r="D980" s="64" t="s">
        <v>387</v>
      </c>
      <c r="E980" s="64" t="s">
        <v>324</v>
      </c>
      <c r="F980" s="65" t="s">
        <v>1587</v>
      </c>
      <c r="G980" s="64" t="s">
        <v>328</v>
      </c>
      <c r="H980" s="64" t="s">
        <v>229</v>
      </c>
      <c r="I980" s="64" t="s">
        <v>10</v>
      </c>
      <c r="J980" s="64" t="s">
        <v>201</v>
      </c>
      <c r="K980" s="66">
        <v>45</v>
      </c>
      <c r="L980" s="66">
        <f>K980*VLOOKUP(I980,dagsoorttabel1,2,FALSE)</f>
        <v>45</v>
      </c>
      <c r="M980" s="67">
        <f>prodnorm43</f>
        <v>0</v>
      </c>
      <c r="N980" s="68">
        <f>dagwerk43</f>
        <v>0</v>
      </c>
      <c r="O980" s="64" t="s">
        <v>38</v>
      </c>
      <c r="P980" s="69">
        <f>uurtarief43</f>
        <v>0</v>
      </c>
      <c r="Q980" s="66" t="e">
        <f>IF(ISBLANK(M980),0,L980/ROUND(M980,4))</f>
        <v>#DIV/0!</v>
      </c>
      <c r="R980" s="66" t="e">
        <f>IF(ISBLANK(M980),0,Q980*ROUND(N980,2))</f>
        <v>#DIV/0!</v>
      </c>
      <c r="S980" s="69" t="e">
        <f>ROUND(P980,2)*Q980</f>
        <v>#DIV/0!</v>
      </c>
      <c r="T980" s="66" t="e">
        <f>Q980*dagenperjaar1</f>
        <v>#DIV/0!</v>
      </c>
      <c r="U980" s="70" t="e">
        <f>T980*ROUND(P980,2)</f>
        <v>#DIV/0!</v>
      </c>
    </row>
    <row r="981" spans="1:21" x14ac:dyDescent="0.2">
      <c r="A981" s="63" t="s">
        <v>1578</v>
      </c>
      <c r="B981" s="64" t="s">
        <v>324</v>
      </c>
      <c r="C981" s="64" t="s">
        <v>345</v>
      </c>
      <c r="D981" s="64" t="s">
        <v>869</v>
      </c>
      <c r="E981" s="64" t="s">
        <v>324</v>
      </c>
      <c r="F981" s="65" t="s">
        <v>1588</v>
      </c>
      <c r="G981" s="64" t="s">
        <v>328</v>
      </c>
      <c r="H981" s="64" t="s">
        <v>229</v>
      </c>
      <c r="I981" s="64" t="s">
        <v>10</v>
      </c>
      <c r="J981" s="64" t="s">
        <v>201</v>
      </c>
      <c r="K981" s="66">
        <v>45</v>
      </c>
      <c r="L981" s="66">
        <f>K981*VLOOKUP(I981,dagsoorttabel1,2,FALSE)</f>
        <v>45</v>
      </c>
      <c r="M981" s="67">
        <f>prodnorm43</f>
        <v>0</v>
      </c>
      <c r="N981" s="68">
        <f>dagwerk43</f>
        <v>0</v>
      </c>
      <c r="O981" s="64" t="s">
        <v>38</v>
      </c>
      <c r="P981" s="69">
        <f>uurtarief43</f>
        <v>0</v>
      </c>
      <c r="Q981" s="66" t="e">
        <f>IF(ISBLANK(M981),0,L981/ROUND(M981,4))</f>
        <v>#DIV/0!</v>
      </c>
      <c r="R981" s="66" t="e">
        <f>IF(ISBLANK(M981),0,Q981*ROUND(N981,2))</f>
        <v>#DIV/0!</v>
      </c>
      <c r="S981" s="69" t="e">
        <f>ROUND(P981,2)*Q981</f>
        <v>#DIV/0!</v>
      </c>
      <c r="T981" s="66" t="e">
        <f>Q981*dagenperjaar1</f>
        <v>#DIV/0!</v>
      </c>
      <c r="U981" s="70" t="e">
        <f>T981*ROUND(P981,2)</f>
        <v>#DIV/0!</v>
      </c>
    </row>
    <row r="982" spans="1:21" x14ac:dyDescent="0.2">
      <c r="A982" s="63" t="s">
        <v>1578</v>
      </c>
      <c r="B982" s="64" t="s">
        <v>324</v>
      </c>
      <c r="C982" s="64" t="s">
        <v>345</v>
      </c>
      <c r="D982" s="64" t="s">
        <v>400</v>
      </c>
      <c r="E982" s="64" t="s">
        <v>324</v>
      </c>
      <c r="F982" s="65" t="s">
        <v>1589</v>
      </c>
      <c r="G982" s="64" t="s">
        <v>328</v>
      </c>
      <c r="H982" s="64" t="s">
        <v>229</v>
      </c>
      <c r="I982" s="64" t="s">
        <v>10</v>
      </c>
      <c r="J982" s="64" t="s">
        <v>201</v>
      </c>
      <c r="K982" s="66">
        <v>45</v>
      </c>
      <c r="L982" s="66">
        <f>K982*VLOOKUP(I982,dagsoorttabel1,2,FALSE)</f>
        <v>45</v>
      </c>
      <c r="M982" s="67">
        <f>prodnorm43</f>
        <v>0</v>
      </c>
      <c r="N982" s="68">
        <f>dagwerk43</f>
        <v>0</v>
      </c>
      <c r="O982" s="64" t="s">
        <v>38</v>
      </c>
      <c r="P982" s="69">
        <f>uurtarief43</f>
        <v>0</v>
      </c>
      <c r="Q982" s="66" t="e">
        <f>IF(ISBLANK(M982),0,L982/ROUND(M982,4))</f>
        <v>#DIV/0!</v>
      </c>
      <c r="R982" s="66" t="e">
        <f>IF(ISBLANK(M982),0,Q982*ROUND(N982,2))</f>
        <v>#DIV/0!</v>
      </c>
      <c r="S982" s="69" t="e">
        <f>ROUND(P982,2)*Q982</f>
        <v>#DIV/0!</v>
      </c>
      <c r="T982" s="66" t="e">
        <f>Q982*dagenperjaar1</f>
        <v>#DIV/0!</v>
      </c>
      <c r="U982" s="70" t="e">
        <f>T982*ROUND(P982,2)</f>
        <v>#DIV/0!</v>
      </c>
    </row>
    <row r="983" spans="1:21" x14ac:dyDescent="0.2">
      <c r="A983" s="63" t="s">
        <v>1578</v>
      </c>
      <c r="B983" s="64" t="s">
        <v>324</v>
      </c>
      <c r="C983" s="64" t="s">
        <v>345</v>
      </c>
      <c r="D983" s="64" t="s">
        <v>402</v>
      </c>
      <c r="E983" s="64" t="s">
        <v>324</v>
      </c>
      <c r="F983" s="65" t="s">
        <v>1590</v>
      </c>
      <c r="G983" s="64" t="s">
        <v>328</v>
      </c>
      <c r="H983" s="64" t="s">
        <v>229</v>
      </c>
      <c r="I983" s="64" t="s">
        <v>10</v>
      </c>
      <c r="J983" s="64" t="s">
        <v>201</v>
      </c>
      <c r="K983" s="66">
        <v>45</v>
      </c>
      <c r="L983" s="66">
        <f>K983*VLOOKUP(I983,dagsoorttabel1,2,FALSE)</f>
        <v>45</v>
      </c>
      <c r="M983" s="67">
        <f>prodnorm43</f>
        <v>0</v>
      </c>
      <c r="N983" s="68">
        <f>dagwerk43</f>
        <v>0</v>
      </c>
      <c r="O983" s="64" t="s">
        <v>38</v>
      </c>
      <c r="P983" s="69">
        <f>uurtarief43</f>
        <v>0</v>
      </c>
      <c r="Q983" s="66" t="e">
        <f>IF(ISBLANK(M983),0,L983/ROUND(M983,4))</f>
        <v>#DIV/0!</v>
      </c>
      <c r="R983" s="66" t="e">
        <f>IF(ISBLANK(M983),0,Q983*ROUND(N983,2))</f>
        <v>#DIV/0!</v>
      </c>
      <c r="S983" s="69" t="e">
        <f>ROUND(P983,2)*Q983</f>
        <v>#DIV/0!</v>
      </c>
      <c r="T983" s="66" t="e">
        <f>Q983*dagenperjaar1</f>
        <v>#DIV/0!</v>
      </c>
      <c r="U983" s="70" t="e">
        <f>T983*ROUND(P983,2)</f>
        <v>#DIV/0!</v>
      </c>
    </row>
    <row r="984" spans="1:21" x14ac:dyDescent="0.2">
      <c r="A984" s="63" t="s">
        <v>1578</v>
      </c>
      <c r="B984" s="64" t="s">
        <v>324</v>
      </c>
      <c r="C984" s="64" t="s">
        <v>345</v>
      </c>
      <c r="D984" s="64" t="s">
        <v>1321</v>
      </c>
      <c r="E984" s="64" t="s">
        <v>324</v>
      </c>
      <c r="F984" s="65" t="s">
        <v>1587</v>
      </c>
      <c r="G984" s="64" t="s">
        <v>328</v>
      </c>
      <c r="H984" s="64" t="s">
        <v>229</v>
      </c>
      <c r="I984" s="64" t="s">
        <v>10</v>
      </c>
      <c r="J984" s="64" t="s">
        <v>201</v>
      </c>
      <c r="K984" s="66">
        <v>45</v>
      </c>
      <c r="L984" s="66">
        <f>K984*VLOOKUP(I984,dagsoorttabel1,2,FALSE)</f>
        <v>45</v>
      </c>
      <c r="M984" s="67">
        <f>prodnorm43</f>
        <v>0</v>
      </c>
      <c r="N984" s="68">
        <f>dagwerk43</f>
        <v>0</v>
      </c>
      <c r="O984" s="64" t="s">
        <v>38</v>
      </c>
      <c r="P984" s="69">
        <f>uurtarief43</f>
        <v>0</v>
      </c>
      <c r="Q984" s="66" t="e">
        <f>IF(ISBLANK(M984),0,L984/ROUND(M984,4))</f>
        <v>#DIV/0!</v>
      </c>
      <c r="R984" s="66" t="e">
        <f>IF(ISBLANK(M984),0,Q984*ROUND(N984,2))</f>
        <v>#DIV/0!</v>
      </c>
      <c r="S984" s="69" t="e">
        <f>ROUND(P984,2)*Q984</f>
        <v>#DIV/0!</v>
      </c>
      <c r="T984" s="66" t="e">
        <f>Q984*dagenperjaar1</f>
        <v>#DIV/0!</v>
      </c>
      <c r="U984" s="70" t="e">
        <f>T984*ROUND(P984,2)</f>
        <v>#DIV/0!</v>
      </c>
    </row>
    <row r="985" spans="1:21" x14ac:dyDescent="0.2">
      <c r="A985" s="63" t="s">
        <v>1578</v>
      </c>
      <c r="B985" s="64" t="s">
        <v>324</v>
      </c>
      <c r="C985" s="64" t="s">
        <v>345</v>
      </c>
      <c r="D985" s="64" t="s">
        <v>416</v>
      </c>
      <c r="E985" s="64" t="s">
        <v>324</v>
      </c>
      <c r="F985" s="65" t="s">
        <v>1591</v>
      </c>
      <c r="G985" s="64" t="s">
        <v>328</v>
      </c>
      <c r="H985" s="64" t="s">
        <v>229</v>
      </c>
      <c r="I985" s="64" t="s">
        <v>10</v>
      </c>
      <c r="J985" s="64" t="s">
        <v>201</v>
      </c>
      <c r="K985" s="66">
        <v>59</v>
      </c>
      <c r="L985" s="66">
        <f>K985*VLOOKUP(I985,dagsoorttabel1,2,FALSE)</f>
        <v>59</v>
      </c>
      <c r="M985" s="67">
        <f>prodnorm43</f>
        <v>0</v>
      </c>
      <c r="N985" s="68">
        <f>dagwerk43</f>
        <v>0</v>
      </c>
      <c r="O985" s="64" t="s">
        <v>38</v>
      </c>
      <c r="P985" s="69">
        <f>uurtarief43</f>
        <v>0</v>
      </c>
      <c r="Q985" s="66" t="e">
        <f>IF(ISBLANK(M985),0,L985/ROUND(M985,4))</f>
        <v>#DIV/0!</v>
      </c>
      <c r="R985" s="66" t="e">
        <f>IF(ISBLANK(M985),0,Q985*ROUND(N985,2))</f>
        <v>#DIV/0!</v>
      </c>
      <c r="S985" s="69" t="e">
        <f>ROUND(P985,2)*Q985</f>
        <v>#DIV/0!</v>
      </c>
      <c r="T985" s="66" t="e">
        <f>Q985*dagenperjaar1</f>
        <v>#DIV/0!</v>
      </c>
      <c r="U985" s="70" t="e">
        <f>T985*ROUND(P985,2)</f>
        <v>#DIV/0!</v>
      </c>
    </row>
    <row r="986" spans="1:21" x14ac:dyDescent="0.2">
      <c r="A986" s="63" t="s">
        <v>1578</v>
      </c>
      <c r="B986" s="64" t="s">
        <v>324</v>
      </c>
      <c r="C986" s="64" t="s">
        <v>345</v>
      </c>
      <c r="D986" s="64" t="s">
        <v>1592</v>
      </c>
      <c r="E986" s="64" t="s">
        <v>324</v>
      </c>
      <c r="F986" s="65" t="s">
        <v>919</v>
      </c>
      <c r="G986" s="64" t="s">
        <v>328</v>
      </c>
      <c r="H986" s="64" t="s">
        <v>229</v>
      </c>
      <c r="I986" s="64" t="s">
        <v>10</v>
      </c>
      <c r="J986" s="64" t="s">
        <v>201</v>
      </c>
      <c r="K986" s="66">
        <v>50</v>
      </c>
      <c r="L986" s="66">
        <f>K986*VLOOKUP(I986,dagsoorttabel1,2,FALSE)</f>
        <v>50</v>
      </c>
      <c r="M986" s="67">
        <f>prodnorm43</f>
        <v>0</v>
      </c>
      <c r="N986" s="68">
        <f>dagwerk43</f>
        <v>0</v>
      </c>
      <c r="O986" s="64" t="s">
        <v>38</v>
      </c>
      <c r="P986" s="69">
        <f>uurtarief43</f>
        <v>0</v>
      </c>
      <c r="Q986" s="66" t="e">
        <f>IF(ISBLANK(M986),0,L986/ROUND(M986,4))</f>
        <v>#DIV/0!</v>
      </c>
      <c r="R986" s="66" t="e">
        <f>IF(ISBLANK(M986),0,Q986*ROUND(N986,2))</f>
        <v>#DIV/0!</v>
      </c>
      <c r="S986" s="69" t="e">
        <f>ROUND(P986,2)*Q986</f>
        <v>#DIV/0!</v>
      </c>
      <c r="T986" s="66" t="e">
        <f>Q986*dagenperjaar1</f>
        <v>#DIV/0!</v>
      </c>
      <c r="U986" s="70" t="e">
        <f>T986*ROUND(P986,2)</f>
        <v>#DIV/0!</v>
      </c>
    </row>
    <row r="987" spans="1:21" x14ac:dyDescent="0.2">
      <c r="A987" s="63" t="s">
        <v>1578</v>
      </c>
      <c r="B987" s="64" t="s">
        <v>324</v>
      </c>
      <c r="C987" s="64" t="s">
        <v>345</v>
      </c>
      <c r="D987" s="64" t="s">
        <v>418</v>
      </c>
      <c r="E987" s="64" t="s">
        <v>324</v>
      </c>
      <c r="F987" s="65" t="s">
        <v>919</v>
      </c>
      <c r="G987" s="64" t="s">
        <v>328</v>
      </c>
      <c r="H987" s="64" t="s">
        <v>229</v>
      </c>
      <c r="I987" s="64" t="s">
        <v>10</v>
      </c>
      <c r="J987" s="64" t="s">
        <v>201</v>
      </c>
      <c r="K987" s="66">
        <v>50</v>
      </c>
      <c r="L987" s="66">
        <f>K987*VLOOKUP(I987,dagsoorttabel1,2,FALSE)</f>
        <v>50</v>
      </c>
      <c r="M987" s="67">
        <f>prodnorm43</f>
        <v>0</v>
      </c>
      <c r="N987" s="68">
        <f>dagwerk43</f>
        <v>0</v>
      </c>
      <c r="O987" s="64" t="s">
        <v>38</v>
      </c>
      <c r="P987" s="69">
        <f>uurtarief43</f>
        <v>0</v>
      </c>
      <c r="Q987" s="66" t="e">
        <f>IF(ISBLANK(M987),0,L987/ROUND(M987,4))</f>
        <v>#DIV/0!</v>
      </c>
      <c r="R987" s="66" t="e">
        <f>IF(ISBLANK(M987),0,Q987*ROUND(N987,2))</f>
        <v>#DIV/0!</v>
      </c>
      <c r="S987" s="69" t="e">
        <f>ROUND(P987,2)*Q987</f>
        <v>#DIV/0!</v>
      </c>
      <c r="T987" s="66" t="e">
        <f>Q987*dagenperjaar1</f>
        <v>#DIV/0!</v>
      </c>
      <c r="U987" s="70" t="e">
        <f>T987*ROUND(P987,2)</f>
        <v>#DIV/0!</v>
      </c>
    </row>
    <row r="988" spans="1:21" x14ac:dyDescent="0.2">
      <c r="A988" s="63" t="s">
        <v>1578</v>
      </c>
      <c r="B988" s="64" t="s">
        <v>324</v>
      </c>
      <c r="C988" s="64" t="s">
        <v>345</v>
      </c>
      <c r="D988" s="64" t="s">
        <v>423</v>
      </c>
      <c r="E988" s="64" t="s">
        <v>324</v>
      </c>
      <c r="F988" s="65" t="s">
        <v>1593</v>
      </c>
      <c r="G988" s="64" t="s">
        <v>328</v>
      </c>
      <c r="H988" s="64" t="s">
        <v>251</v>
      </c>
      <c r="I988" s="64" t="s">
        <v>10</v>
      </c>
      <c r="J988" s="64" t="s">
        <v>201</v>
      </c>
      <c r="K988" s="66">
        <v>63</v>
      </c>
      <c r="L988" s="66">
        <f>K988*VLOOKUP(I988,dagsoorttabel1,2,FALSE)</f>
        <v>63</v>
      </c>
      <c r="M988" s="67">
        <f>prodnorm57</f>
        <v>0</v>
      </c>
      <c r="N988" s="68">
        <f>dagwerk57</f>
        <v>0</v>
      </c>
      <c r="O988" s="64" t="s">
        <v>38</v>
      </c>
      <c r="P988" s="69">
        <f>uurtarief57</f>
        <v>0</v>
      </c>
      <c r="Q988" s="66" t="e">
        <f>IF(ISBLANK(M988),0,L988/ROUND(M988,4))</f>
        <v>#DIV/0!</v>
      </c>
      <c r="R988" s="66" t="e">
        <f>IF(ISBLANK(M988),0,Q988*ROUND(N988,2))</f>
        <v>#DIV/0!</v>
      </c>
      <c r="S988" s="69" t="e">
        <f>ROUND(P988,2)*Q988</f>
        <v>#DIV/0!</v>
      </c>
      <c r="T988" s="66" t="e">
        <f>Q988*dagenperjaar1</f>
        <v>#DIV/0!</v>
      </c>
      <c r="U988" s="70" t="e">
        <f>T988*ROUND(P988,2)</f>
        <v>#DIV/0!</v>
      </c>
    </row>
    <row r="989" spans="1:21" x14ac:dyDescent="0.2">
      <c r="A989" s="63" t="s">
        <v>1578</v>
      </c>
      <c r="B989" s="64" t="s">
        <v>324</v>
      </c>
      <c r="C989" s="64" t="s">
        <v>345</v>
      </c>
      <c r="D989" s="64" t="s">
        <v>1594</v>
      </c>
      <c r="E989" s="64" t="s">
        <v>324</v>
      </c>
      <c r="F989" s="65" t="s">
        <v>1595</v>
      </c>
      <c r="G989" s="64" t="s">
        <v>328</v>
      </c>
      <c r="H989" s="64" t="s">
        <v>205</v>
      </c>
      <c r="I989" s="64" t="s">
        <v>10</v>
      </c>
      <c r="J989" s="64" t="s">
        <v>201</v>
      </c>
      <c r="K989" s="66">
        <v>10</v>
      </c>
      <c r="L989" s="66">
        <f>K989*VLOOKUP(I989,dagsoorttabel1,2,FALSE)</f>
        <v>10</v>
      </c>
      <c r="M989" s="67">
        <f>prodnorm26</f>
        <v>0</v>
      </c>
      <c r="N989" s="68">
        <f>dagwerk26</f>
        <v>0</v>
      </c>
      <c r="O989" s="64" t="s">
        <v>38</v>
      </c>
      <c r="P989" s="69">
        <f>uurtarief26</f>
        <v>0</v>
      </c>
      <c r="Q989" s="66" t="e">
        <f>IF(ISBLANK(M989),0,L989/ROUND(M989,4))</f>
        <v>#DIV/0!</v>
      </c>
      <c r="R989" s="66" t="e">
        <f>IF(ISBLANK(M989),0,Q989*ROUND(N989,2))</f>
        <v>#DIV/0!</v>
      </c>
      <c r="S989" s="69" t="e">
        <f>ROUND(P989,2)*Q989</f>
        <v>#DIV/0!</v>
      </c>
      <c r="T989" s="66" t="e">
        <f>Q989*dagenperjaar1</f>
        <v>#DIV/0!</v>
      </c>
      <c r="U989" s="70" t="e">
        <f>T989*ROUND(P989,2)</f>
        <v>#DIV/0!</v>
      </c>
    </row>
    <row r="990" spans="1:21" x14ac:dyDescent="0.2">
      <c r="A990" s="63" t="s">
        <v>1578</v>
      </c>
      <c r="B990" s="64" t="s">
        <v>324</v>
      </c>
      <c r="C990" s="64" t="s">
        <v>345</v>
      </c>
      <c r="D990" s="64" t="s">
        <v>1596</v>
      </c>
      <c r="E990" s="64" t="s">
        <v>324</v>
      </c>
      <c r="F990" s="65" t="s">
        <v>1597</v>
      </c>
      <c r="G990" s="64" t="s">
        <v>328</v>
      </c>
      <c r="H990" s="64" t="s">
        <v>205</v>
      </c>
      <c r="I990" s="64" t="s">
        <v>16</v>
      </c>
      <c r="J990" s="64" t="s">
        <v>201</v>
      </c>
      <c r="K990" s="66">
        <v>15</v>
      </c>
      <c r="L990" s="66">
        <f>K990*VLOOKUP(I990,dagsoorttabel1,2,FALSE)</f>
        <v>3</v>
      </c>
      <c r="M990" s="67">
        <f>prodnorm27</f>
        <v>0</v>
      </c>
      <c r="N990" s="68">
        <f>dagwerk27</f>
        <v>0</v>
      </c>
      <c r="O990" s="64" t="s">
        <v>38</v>
      </c>
      <c r="P990" s="69">
        <f>uurtarief27</f>
        <v>0</v>
      </c>
      <c r="Q990" s="66" t="e">
        <f>IF(ISBLANK(M990),0,L990/ROUND(M990,4))</f>
        <v>#DIV/0!</v>
      </c>
      <c r="R990" s="66" t="e">
        <f>IF(ISBLANK(M990),0,Q990*ROUND(N990,2))</f>
        <v>#DIV/0!</v>
      </c>
      <c r="S990" s="69" t="e">
        <f>ROUND(P990,2)*Q990</f>
        <v>#DIV/0!</v>
      </c>
      <c r="T990" s="66" t="e">
        <f>Q990*dagenperjaar1</f>
        <v>#DIV/0!</v>
      </c>
      <c r="U990" s="70" t="e">
        <f>T990*ROUND(P990,2)</f>
        <v>#DIV/0!</v>
      </c>
    </row>
    <row r="991" spans="1:21" x14ac:dyDescent="0.2">
      <c r="A991" s="63" t="s">
        <v>1578</v>
      </c>
      <c r="B991" s="64" t="s">
        <v>324</v>
      </c>
      <c r="C991" s="64" t="s">
        <v>345</v>
      </c>
      <c r="D991" s="64" t="s">
        <v>873</v>
      </c>
      <c r="E991" s="64" t="s">
        <v>324</v>
      </c>
      <c r="F991" s="65" t="s">
        <v>1598</v>
      </c>
      <c r="G991" s="64" t="s">
        <v>328</v>
      </c>
      <c r="H991" s="64" t="s">
        <v>205</v>
      </c>
      <c r="I991" s="64" t="s">
        <v>16</v>
      </c>
      <c r="J991" s="64" t="s">
        <v>201</v>
      </c>
      <c r="K991" s="66">
        <v>15</v>
      </c>
      <c r="L991" s="66">
        <f>K991*VLOOKUP(I991,dagsoorttabel1,2,FALSE)</f>
        <v>3</v>
      </c>
      <c r="M991" s="67">
        <f>prodnorm27</f>
        <v>0</v>
      </c>
      <c r="N991" s="68">
        <f>dagwerk27</f>
        <v>0</v>
      </c>
      <c r="O991" s="64" t="s">
        <v>38</v>
      </c>
      <c r="P991" s="69">
        <f>uurtarief27</f>
        <v>0</v>
      </c>
      <c r="Q991" s="66" t="e">
        <f>IF(ISBLANK(M991),0,L991/ROUND(M991,4))</f>
        <v>#DIV/0!</v>
      </c>
      <c r="R991" s="66" t="e">
        <f>IF(ISBLANK(M991),0,Q991*ROUND(N991,2))</f>
        <v>#DIV/0!</v>
      </c>
      <c r="S991" s="69" t="e">
        <f>ROUND(P991,2)*Q991</f>
        <v>#DIV/0!</v>
      </c>
      <c r="T991" s="66" t="e">
        <f>Q991*dagenperjaar1</f>
        <v>#DIV/0!</v>
      </c>
      <c r="U991" s="70" t="e">
        <f>T991*ROUND(P991,2)</f>
        <v>#DIV/0!</v>
      </c>
    </row>
    <row r="992" spans="1:21" x14ac:dyDescent="0.2">
      <c r="A992" s="63" t="s">
        <v>1578</v>
      </c>
      <c r="B992" s="64" t="s">
        <v>324</v>
      </c>
      <c r="C992" s="64" t="s">
        <v>345</v>
      </c>
      <c r="D992" s="64" t="s">
        <v>874</v>
      </c>
      <c r="E992" s="64" t="s">
        <v>324</v>
      </c>
      <c r="F992" s="65" t="s">
        <v>1599</v>
      </c>
      <c r="G992" s="64" t="s">
        <v>328</v>
      </c>
      <c r="H992" s="64" t="s">
        <v>241</v>
      </c>
      <c r="I992" s="64" t="s">
        <v>10</v>
      </c>
      <c r="J992" s="64" t="s">
        <v>201</v>
      </c>
      <c r="K992" s="66">
        <v>16.399999999999999</v>
      </c>
      <c r="L992" s="66">
        <f>K992*VLOOKUP(I992,dagsoorttabel1,2,FALSE)</f>
        <v>16.399999999999999</v>
      </c>
      <c r="M992" s="67">
        <f>prodnorm51</f>
        <v>0</v>
      </c>
      <c r="N992" s="68">
        <f>dagwerk51</f>
        <v>0</v>
      </c>
      <c r="O992" s="64" t="s">
        <v>38</v>
      </c>
      <c r="P992" s="69">
        <f>uurtarief51</f>
        <v>0</v>
      </c>
      <c r="Q992" s="66" t="e">
        <f>IF(ISBLANK(M992),0,L992/ROUND(M992,4))</f>
        <v>#DIV/0!</v>
      </c>
      <c r="R992" s="66" t="e">
        <f>IF(ISBLANK(M992),0,Q992*ROUND(N992,2))</f>
        <v>#DIV/0!</v>
      </c>
      <c r="S992" s="69" t="e">
        <f>ROUND(P992,2)*Q992</f>
        <v>#DIV/0!</v>
      </c>
      <c r="T992" s="66" t="e">
        <f>Q992*dagenperjaar1</f>
        <v>#DIV/0!</v>
      </c>
      <c r="U992" s="70" t="e">
        <f>T992*ROUND(P992,2)</f>
        <v>#DIV/0!</v>
      </c>
    </row>
    <row r="993" spans="1:21" x14ac:dyDescent="0.2">
      <c r="A993" s="63" t="s">
        <v>1578</v>
      </c>
      <c r="B993" s="64" t="s">
        <v>324</v>
      </c>
      <c r="C993" s="64" t="s">
        <v>345</v>
      </c>
      <c r="D993" s="64" t="s">
        <v>875</v>
      </c>
      <c r="E993" s="64" t="s">
        <v>324</v>
      </c>
      <c r="F993" s="65" t="s">
        <v>364</v>
      </c>
      <c r="G993" s="64" t="s">
        <v>1583</v>
      </c>
      <c r="H993" s="64" t="s">
        <v>255</v>
      </c>
      <c r="I993" s="64" t="s">
        <v>10</v>
      </c>
      <c r="J993" s="64" t="s">
        <v>201</v>
      </c>
      <c r="K993" s="66">
        <v>7</v>
      </c>
      <c r="L993" s="66">
        <f>K993*VLOOKUP(I993,dagsoorttabel1,2,FALSE)</f>
        <v>7</v>
      </c>
      <c r="M993" s="67">
        <f>prodnorm59</f>
        <v>0</v>
      </c>
      <c r="N993" s="68">
        <f>dagwerk59</f>
        <v>0</v>
      </c>
      <c r="O993" s="64" t="s">
        <v>38</v>
      </c>
      <c r="P993" s="69">
        <f>uurtarief59</f>
        <v>0</v>
      </c>
      <c r="Q993" s="66" t="e">
        <f>IF(ISBLANK(M993),0,L993/ROUND(M993,4))</f>
        <v>#DIV/0!</v>
      </c>
      <c r="R993" s="66" t="e">
        <f>IF(ISBLANK(M993),0,Q993*ROUND(N993,2))</f>
        <v>#DIV/0!</v>
      </c>
      <c r="S993" s="69" t="e">
        <f>ROUND(P993,2)*Q993</f>
        <v>#DIV/0!</v>
      </c>
      <c r="T993" s="66" t="e">
        <f>Q993*dagenperjaar1</f>
        <v>#DIV/0!</v>
      </c>
      <c r="U993" s="70" t="e">
        <f>T993*ROUND(P993,2)</f>
        <v>#DIV/0!</v>
      </c>
    </row>
    <row r="994" spans="1:21" x14ac:dyDescent="0.2">
      <c r="A994" s="63" t="s">
        <v>1578</v>
      </c>
      <c r="B994" s="64" t="s">
        <v>324</v>
      </c>
      <c r="C994" s="64" t="s">
        <v>345</v>
      </c>
      <c r="D994" s="64" t="s">
        <v>1324</v>
      </c>
      <c r="E994" s="64" t="s">
        <v>324</v>
      </c>
      <c r="F994" s="65" t="s">
        <v>1600</v>
      </c>
      <c r="G994" s="64" t="s">
        <v>328</v>
      </c>
      <c r="H994" s="64" t="s">
        <v>267</v>
      </c>
      <c r="I994" s="64" t="s">
        <v>10</v>
      </c>
      <c r="J994" s="64" t="s">
        <v>201</v>
      </c>
      <c r="K994" s="66">
        <v>9.6</v>
      </c>
      <c r="L994" s="66">
        <f>K994*VLOOKUP(I994,dagsoorttabel1,2,FALSE)</f>
        <v>9.6</v>
      </c>
      <c r="M994" s="67">
        <f>prodnorm65</f>
        <v>0</v>
      </c>
      <c r="N994" s="68">
        <f>dagwerk65</f>
        <v>0</v>
      </c>
      <c r="O994" s="64" t="s">
        <v>38</v>
      </c>
      <c r="P994" s="69">
        <f>uurtarief65</f>
        <v>0</v>
      </c>
      <c r="Q994" s="66" t="e">
        <f>IF(ISBLANK(M994),0,L994/ROUND(M994,4))</f>
        <v>#DIV/0!</v>
      </c>
      <c r="R994" s="66" t="e">
        <f>IF(ISBLANK(M994),0,Q994*ROUND(N994,2))</f>
        <v>#DIV/0!</v>
      </c>
      <c r="S994" s="69" t="e">
        <f>ROUND(P994,2)*Q994</f>
        <v>#DIV/0!</v>
      </c>
      <c r="T994" s="66" t="e">
        <f>Q994*dagenperjaar1</f>
        <v>#DIV/0!</v>
      </c>
      <c r="U994" s="70" t="e">
        <f>T994*ROUND(P994,2)</f>
        <v>#DIV/0!</v>
      </c>
    </row>
    <row r="995" spans="1:21" x14ac:dyDescent="0.2">
      <c r="A995" s="63" t="s">
        <v>1578</v>
      </c>
      <c r="B995" s="64" t="s">
        <v>324</v>
      </c>
      <c r="C995" s="64" t="s">
        <v>345</v>
      </c>
      <c r="D995" s="64" t="s">
        <v>876</v>
      </c>
      <c r="E995" s="64" t="s">
        <v>324</v>
      </c>
      <c r="F995" s="65" t="s">
        <v>1601</v>
      </c>
      <c r="G995" s="64" t="s">
        <v>1583</v>
      </c>
      <c r="H995" s="64" t="s">
        <v>255</v>
      </c>
      <c r="I995" s="64" t="s">
        <v>10</v>
      </c>
      <c r="J995" s="64" t="s">
        <v>201</v>
      </c>
      <c r="K995" s="66">
        <v>10.8</v>
      </c>
      <c r="L995" s="66">
        <f>K995*VLOOKUP(I995,dagsoorttabel1,2,FALSE)</f>
        <v>10.8</v>
      </c>
      <c r="M995" s="67">
        <f>prodnorm59</f>
        <v>0</v>
      </c>
      <c r="N995" s="68">
        <f>dagwerk59</f>
        <v>0</v>
      </c>
      <c r="O995" s="64" t="s">
        <v>38</v>
      </c>
      <c r="P995" s="69">
        <f>uurtarief59</f>
        <v>0</v>
      </c>
      <c r="Q995" s="66" t="e">
        <f>IF(ISBLANK(M995),0,L995/ROUND(M995,4))</f>
        <v>#DIV/0!</v>
      </c>
      <c r="R995" s="66" t="e">
        <f>IF(ISBLANK(M995),0,Q995*ROUND(N995,2))</f>
        <v>#DIV/0!</v>
      </c>
      <c r="S995" s="69" t="e">
        <f>ROUND(P995,2)*Q995</f>
        <v>#DIV/0!</v>
      </c>
      <c r="T995" s="66" t="e">
        <f>Q995*dagenperjaar1</f>
        <v>#DIV/0!</v>
      </c>
      <c r="U995" s="70" t="e">
        <f>T995*ROUND(P995,2)</f>
        <v>#DIV/0!</v>
      </c>
    </row>
    <row r="996" spans="1:21" x14ac:dyDescent="0.2">
      <c r="A996" s="63" t="s">
        <v>1578</v>
      </c>
      <c r="B996" s="64" t="s">
        <v>324</v>
      </c>
      <c r="C996" s="64" t="s">
        <v>345</v>
      </c>
      <c r="D996" s="64" t="s">
        <v>877</v>
      </c>
      <c r="E996" s="64" t="s">
        <v>324</v>
      </c>
      <c r="F996" s="65" t="s">
        <v>1602</v>
      </c>
      <c r="G996" s="64" t="s">
        <v>1583</v>
      </c>
      <c r="H996" s="64" t="s">
        <v>255</v>
      </c>
      <c r="I996" s="64" t="s">
        <v>10</v>
      </c>
      <c r="J996" s="64" t="s">
        <v>201</v>
      </c>
      <c r="K996" s="66">
        <v>14.5</v>
      </c>
      <c r="L996" s="66">
        <f>K996*VLOOKUP(I996,dagsoorttabel1,2,FALSE)</f>
        <v>14.5</v>
      </c>
      <c r="M996" s="67">
        <f>prodnorm59</f>
        <v>0</v>
      </c>
      <c r="N996" s="68">
        <f>dagwerk59</f>
        <v>0</v>
      </c>
      <c r="O996" s="64" t="s">
        <v>38</v>
      </c>
      <c r="P996" s="69">
        <f>uurtarief59</f>
        <v>0</v>
      </c>
      <c r="Q996" s="66" t="e">
        <f>IF(ISBLANK(M996),0,L996/ROUND(M996,4))</f>
        <v>#DIV/0!</v>
      </c>
      <c r="R996" s="66" t="e">
        <f>IF(ISBLANK(M996),0,Q996*ROUND(N996,2))</f>
        <v>#DIV/0!</v>
      </c>
      <c r="S996" s="69" t="e">
        <f>ROUND(P996,2)*Q996</f>
        <v>#DIV/0!</v>
      </c>
      <c r="T996" s="66" t="e">
        <f>Q996*dagenperjaar1</f>
        <v>#DIV/0!</v>
      </c>
      <c r="U996" s="70" t="e">
        <f>T996*ROUND(P996,2)</f>
        <v>#DIV/0!</v>
      </c>
    </row>
    <row r="997" spans="1:21" x14ac:dyDescent="0.2">
      <c r="A997" s="63" t="s">
        <v>1578</v>
      </c>
      <c r="B997" s="64" t="s">
        <v>324</v>
      </c>
      <c r="C997" s="64" t="s">
        <v>323</v>
      </c>
      <c r="D997" s="64" t="s">
        <v>426</v>
      </c>
      <c r="E997" s="64" t="s">
        <v>324</v>
      </c>
      <c r="F997" s="65" t="s">
        <v>834</v>
      </c>
      <c r="G997" s="64" t="s">
        <v>328</v>
      </c>
      <c r="H997" s="64" t="s">
        <v>267</v>
      </c>
      <c r="I997" s="64" t="s">
        <v>10</v>
      </c>
      <c r="J997" s="64" t="s">
        <v>201</v>
      </c>
      <c r="K997" s="66">
        <v>80</v>
      </c>
      <c r="L997" s="66">
        <f>K997*VLOOKUP(I997,dagsoorttabel1,2,FALSE)</f>
        <v>80</v>
      </c>
      <c r="M997" s="67">
        <f>prodnorm65</f>
        <v>0</v>
      </c>
      <c r="N997" s="68">
        <f>dagwerk65</f>
        <v>0</v>
      </c>
      <c r="O997" s="64" t="s">
        <v>38</v>
      </c>
      <c r="P997" s="69">
        <f>uurtarief65</f>
        <v>0</v>
      </c>
      <c r="Q997" s="66" t="e">
        <f>IF(ISBLANK(M997),0,L997/ROUND(M997,4))</f>
        <v>#DIV/0!</v>
      </c>
      <c r="R997" s="66" t="e">
        <f>IF(ISBLANK(M997),0,Q997*ROUND(N997,2))</f>
        <v>#DIV/0!</v>
      </c>
      <c r="S997" s="69" t="e">
        <f>ROUND(P997,2)*Q997</f>
        <v>#DIV/0!</v>
      </c>
      <c r="T997" s="66" t="e">
        <f>Q997*dagenperjaar1</f>
        <v>#DIV/0!</v>
      </c>
      <c r="U997" s="70" t="e">
        <f>T997*ROUND(P997,2)</f>
        <v>#DIV/0!</v>
      </c>
    </row>
    <row r="998" spans="1:21" x14ac:dyDescent="0.2">
      <c r="A998" s="63" t="s">
        <v>1578</v>
      </c>
      <c r="B998" s="64" t="s">
        <v>324</v>
      </c>
      <c r="C998" s="64" t="s">
        <v>323</v>
      </c>
      <c r="D998" s="64" t="s">
        <v>438</v>
      </c>
      <c r="E998" s="64" t="s">
        <v>324</v>
      </c>
      <c r="F998" s="65" t="s">
        <v>1603</v>
      </c>
      <c r="G998" s="64" t="s">
        <v>328</v>
      </c>
      <c r="H998" s="64" t="s">
        <v>267</v>
      </c>
      <c r="I998" s="64" t="s">
        <v>10</v>
      </c>
      <c r="J998" s="64" t="s">
        <v>201</v>
      </c>
      <c r="K998" s="66">
        <v>40</v>
      </c>
      <c r="L998" s="66">
        <f>K998*VLOOKUP(I998,dagsoorttabel1,2,FALSE)</f>
        <v>40</v>
      </c>
      <c r="M998" s="67">
        <f>prodnorm65</f>
        <v>0</v>
      </c>
      <c r="N998" s="68">
        <f>dagwerk65</f>
        <v>0</v>
      </c>
      <c r="O998" s="64" t="s">
        <v>38</v>
      </c>
      <c r="P998" s="69">
        <f>uurtarief65</f>
        <v>0</v>
      </c>
      <c r="Q998" s="66" t="e">
        <f>IF(ISBLANK(M998),0,L998/ROUND(M998,4))</f>
        <v>#DIV/0!</v>
      </c>
      <c r="R998" s="66" t="e">
        <f>IF(ISBLANK(M998),0,Q998*ROUND(N998,2))</f>
        <v>#DIV/0!</v>
      </c>
      <c r="S998" s="69" t="e">
        <f>ROUND(P998,2)*Q998</f>
        <v>#DIV/0!</v>
      </c>
      <c r="T998" s="66" t="e">
        <f>Q998*dagenperjaar1</f>
        <v>#DIV/0!</v>
      </c>
      <c r="U998" s="70" t="e">
        <f>T998*ROUND(P998,2)</f>
        <v>#DIV/0!</v>
      </c>
    </row>
    <row r="999" spans="1:21" x14ac:dyDescent="0.2">
      <c r="A999" s="63" t="s">
        <v>1578</v>
      </c>
      <c r="B999" s="64" t="s">
        <v>324</v>
      </c>
      <c r="C999" s="64" t="s">
        <v>323</v>
      </c>
      <c r="D999" s="64" t="s">
        <v>441</v>
      </c>
      <c r="E999" s="64" t="s">
        <v>324</v>
      </c>
      <c r="F999" s="65" t="s">
        <v>1604</v>
      </c>
      <c r="G999" s="64" t="s">
        <v>328</v>
      </c>
      <c r="H999" s="64" t="s">
        <v>267</v>
      </c>
      <c r="I999" s="64" t="s">
        <v>10</v>
      </c>
      <c r="J999" s="64" t="s">
        <v>201</v>
      </c>
      <c r="K999" s="66">
        <v>35</v>
      </c>
      <c r="L999" s="66">
        <f>K999*VLOOKUP(I999,dagsoorttabel1,2,FALSE)</f>
        <v>35</v>
      </c>
      <c r="M999" s="67">
        <f>prodnorm65</f>
        <v>0</v>
      </c>
      <c r="N999" s="68">
        <f>dagwerk65</f>
        <v>0</v>
      </c>
      <c r="O999" s="64" t="s">
        <v>38</v>
      </c>
      <c r="P999" s="69">
        <f>uurtarief65</f>
        <v>0</v>
      </c>
      <c r="Q999" s="66" t="e">
        <f>IF(ISBLANK(M999),0,L999/ROUND(M999,4))</f>
        <v>#DIV/0!</v>
      </c>
      <c r="R999" s="66" t="e">
        <f>IF(ISBLANK(M999),0,Q999*ROUND(N999,2))</f>
        <v>#DIV/0!</v>
      </c>
      <c r="S999" s="69" t="e">
        <f>ROUND(P999,2)*Q999</f>
        <v>#DIV/0!</v>
      </c>
      <c r="T999" s="66" t="e">
        <f>Q999*dagenperjaar1</f>
        <v>#DIV/0!</v>
      </c>
      <c r="U999" s="70" t="e">
        <f>T999*ROUND(P999,2)</f>
        <v>#DIV/0!</v>
      </c>
    </row>
    <row r="1000" spans="1:21" x14ac:dyDescent="0.2">
      <c r="A1000" s="63" t="s">
        <v>1578</v>
      </c>
      <c r="B1000" s="64" t="s">
        <v>324</v>
      </c>
      <c r="C1000" s="64" t="s">
        <v>323</v>
      </c>
      <c r="D1000" s="64" t="s">
        <v>1343</v>
      </c>
      <c r="E1000" s="64" t="s">
        <v>324</v>
      </c>
      <c r="F1000" s="65" t="s">
        <v>1591</v>
      </c>
      <c r="G1000" s="64" t="s">
        <v>328</v>
      </c>
      <c r="H1000" s="64" t="s">
        <v>229</v>
      </c>
      <c r="I1000" s="64" t="s">
        <v>10</v>
      </c>
      <c r="J1000" s="64" t="s">
        <v>201</v>
      </c>
      <c r="K1000" s="66">
        <v>51</v>
      </c>
      <c r="L1000" s="66">
        <f>K1000*VLOOKUP(I1000,dagsoorttabel1,2,FALSE)</f>
        <v>51</v>
      </c>
      <c r="M1000" s="67">
        <f>prodnorm43</f>
        <v>0</v>
      </c>
      <c r="N1000" s="68">
        <f>dagwerk43</f>
        <v>0</v>
      </c>
      <c r="O1000" s="64" t="s">
        <v>38</v>
      </c>
      <c r="P1000" s="69">
        <f>uurtarief43</f>
        <v>0</v>
      </c>
      <c r="Q1000" s="66" t="e">
        <f>IF(ISBLANK(M1000),0,L1000/ROUND(M1000,4))</f>
        <v>#DIV/0!</v>
      </c>
      <c r="R1000" s="66" t="e">
        <f>IF(ISBLANK(M1000),0,Q1000*ROUND(N1000,2))</f>
        <v>#DIV/0!</v>
      </c>
      <c r="S1000" s="69" t="e">
        <f>ROUND(P1000,2)*Q1000</f>
        <v>#DIV/0!</v>
      </c>
      <c r="T1000" s="66" t="e">
        <f>Q1000*dagenperjaar1</f>
        <v>#DIV/0!</v>
      </c>
      <c r="U1000" s="70" t="e">
        <f>T1000*ROUND(P1000,2)</f>
        <v>#DIV/0!</v>
      </c>
    </row>
    <row r="1001" spans="1:21" x14ac:dyDescent="0.2">
      <c r="A1001" s="63" t="s">
        <v>1578</v>
      </c>
      <c r="B1001" s="64" t="s">
        <v>324</v>
      </c>
      <c r="C1001" s="64" t="s">
        <v>323</v>
      </c>
      <c r="D1001" s="64" t="s">
        <v>442</v>
      </c>
      <c r="E1001" s="64" t="s">
        <v>324</v>
      </c>
      <c r="F1001" s="65" t="s">
        <v>1605</v>
      </c>
      <c r="G1001" s="64" t="s">
        <v>328</v>
      </c>
      <c r="H1001" s="64" t="s">
        <v>243</v>
      </c>
      <c r="I1001" s="64" t="s">
        <v>10</v>
      </c>
      <c r="J1001" s="64" t="s">
        <v>201</v>
      </c>
      <c r="K1001" s="66">
        <v>67</v>
      </c>
      <c r="L1001" s="66">
        <f>K1001*VLOOKUP(I1001,dagsoorttabel1,2,FALSE)</f>
        <v>67</v>
      </c>
      <c r="M1001" s="67">
        <f>prodnorm52</f>
        <v>0</v>
      </c>
      <c r="N1001" s="68">
        <f>dagwerk52</f>
        <v>0</v>
      </c>
      <c r="O1001" s="64" t="s">
        <v>38</v>
      </c>
      <c r="P1001" s="69">
        <f>uurtarief52</f>
        <v>0</v>
      </c>
      <c r="Q1001" s="66" t="e">
        <f>IF(ISBLANK(M1001),0,L1001/ROUND(M1001,4))</f>
        <v>#DIV/0!</v>
      </c>
      <c r="R1001" s="66" t="e">
        <f>IF(ISBLANK(M1001),0,Q1001*ROUND(N1001,2))</f>
        <v>#DIV/0!</v>
      </c>
      <c r="S1001" s="69" t="e">
        <f>ROUND(P1001,2)*Q1001</f>
        <v>#DIV/0!</v>
      </c>
      <c r="T1001" s="66" t="e">
        <f>Q1001*dagenperjaar1</f>
        <v>#DIV/0!</v>
      </c>
      <c r="U1001" s="70" t="e">
        <f>T1001*ROUND(P1001,2)</f>
        <v>#DIV/0!</v>
      </c>
    </row>
    <row r="1002" spans="1:21" x14ac:dyDescent="0.2">
      <c r="A1002" s="63" t="s">
        <v>1578</v>
      </c>
      <c r="B1002" s="64" t="s">
        <v>324</v>
      </c>
      <c r="C1002" s="64" t="s">
        <v>323</v>
      </c>
      <c r="D1002" s="64" t="s">
        <v>918</v>
      </c>
      <c r="E1002" s="64" t="s">
        <v>324</v>
      </c>
      <c r="F1002" s="65" t="s">
        <v>1605</v>
      </c>
      <c r="G1002" s="64" t="s">
        <v>1585</v>
      </c>
      <c r="H1002" s="64" t="s">
        <v>243</v>
      </c>
      <c r="I1002" s="64" t="s">
        <v>10</v>
      </c>
      <c r="J1002" s="64" t="s">
        <v>201</v>
      </c>
      <c r="K1002" s="66">
        <v>119</v>
      </c>
      <c r="L1002" s="66">
        <f>K1002*VLOOKUP(I1002,dagsoorttabel1,2,FALSE)</f>
        <v>119</v>
      </c>
      <c r="M1002" s="67">
        <f>prodnorm52</f>
        <v>0</v>
      </c>
      <c r="N1002" s="68">
        <f>dagwerk52</f>
        <v>0</v>
      </c>
      <c r="O1002" s="64" t="s">
        <v>38</v>
      </c>
      <c r="P1002" s="69">
        <f>uurtarief52</f>
        <v>0</v>
      </c>
      <c r="Q1002" s="66" t="e">
        <f>IF(ISBLANK(M1002),0,L1002/ROUND(M1002,4))</f>
        <v>#DIV/0!</v>
      </c>
      <c r="R1002" s="66" t="e">
        <f>IF(ISBLANK(M1002),0,Q1002*ROUND(N1002,2))</f>
        <v>#DIV/0!</v>
      </c>
      <c r="S1002" s="69" t="e">
        <f>ROUND(P1002,2)*Q1002</f>
        <v>#DIV/0!</v>
      </c>
      <c r="T1002" s="66" t="e">
        <f>Q1002*dagenperjaar1</f>
        <v>#DIV/0!</v>
      </c>
      <c r="U1002" s="70" t="e">
        <f>T1002*ROUND(P1002,2)</f>
        <v>#DIV/0!</v>
      </c>
    </row>
    <row r="1003" spans="1:21" x14ac:dyDescent="0.2">
      <c r="A1003" s="63" t="s">
        <v>1578</v>
      </c>
      <c r="B1003" s="64" t="s">
        <v>324</v>
      </c>
      <c r="C1003" s="64" t="s">
        <v>323</v>
      </c>
      <c r="D1003" s="64" t="s">
        <v>444</v>
      </c>
      <c r="E1003" s="64" t="s">
        <v>324</v>
      </c>
      <c r="F1003" s="65" t="s">
        <v>1606</v>
      </c>
      <c r="G1003" s="64" t="s">
        <v>328</v>
      </c>
      <c r="H1003" s="64" t="s">
        <v>229</v>
      </c>
      <c r="I1003" s="64" t="s">
        <v>10</v>
      </c>
      <c r="J1003" s="64" t="s">
        <v>201</v>
      </c>
      <c r="K1003" s="66">
        <v>60</v>
      </c>
      <c r="L1003" s="66">
        <f>K1003*VLOOKUP(I1003,dagsoorttabel1,2,FALSE)</f>
        <v>60</v>
      </c>
      <c r="M1003" s="67">
        <f>prodnorm43</f>
        <v>0</v>
      </c>
      <c r="N1003" s="68">
        <f>dagwerk43</f>
        <v>0</v>
      </c>
      <c r="O1003" s="64" t="s">
        <v>38</v>
      </c>
      <c r="P1003" s="69">
        <f>uurtarief43</f>
        <v>0</v>
      </c>
      <c r="Q1003" s="66" t="e">
        <f>IF(ISBLANK(M1003),0,L1003/ROUND(M1003,4))</f>
        <v>#DIV/0!</v>
      </c>
      <c r="R1003" s="66" t="e">
        <f>IF(ISBLANK(M1003),0,Q1003*ROUND(N1003,2))</f>
        <v>#DIV/0!</v>
      </c>
      <c r="S1003" s="69" t="e">
        <f>ROUND(P1003,2)*Q1003</f>
        <v>#DIV/0!</v>
      </c>
      <c r="T1003" s="66" t="e">
        <f>Q1003*dagenperjaar1</f>
        <v>#DIV/0!</v>
      </c>
      <c r="U1003" s="70" t="e">
        <f>T1003*ROUND(P1003,2)</f>
        <v>#DIV/0!</v>
      </c>
    </row>
    <row r="1004" spans="1:21" x14ac:dyDescent="0.2">
      <c r="A1004" s="63" t="s">
        <v>1578</v>
      </c>
      <c r="B1004" s="64" t="s">
        <v>324</v>
      </c>
      <c r="C1004" s="64" t="s">
        <v>323</v>
      </c>
      <c r="D1004" s="64" t="s">
        <v>446</v>
      </c>
      <c r="E1004" s="64" t="s">
        <v>324</v>
      </c>
      <c r="F1004" s="65" t="s">
        <v>1607</v>
      </c>
      <c r="G1004" s="64" t="s">
        <v>328</v>
      </c>
      <c r="H1004" s="64" t="s">
        <v>229</v>
      </c>
      <c r="I1004" s="64" t="s">
        <v>10</v>
      </c>
      <c r="J1004" s="64" t="s">
        <v>201</v>
      </c>
      <c r="K1004" s="66">
        <v>56</v>
      </c>
      <c r="L1004" s="66">
        <f>K1004*VLOOKUP(I1004,dagsoorttabel1,2,FALSE)</f>
        <v>56</v>
      </c>
      <c r="M1004" s="67">
        <f>prodnorm43</f>
        <v>0</v>
      </c>
      <c r="N1004" s="68">
        <f>dagwerk43</f>
        <v>0</v>
      </c>
      <c r="O1004" s="64" t="s">
        <v>38</v>
      </c>
      <c r="P1004" s="69">
        <f>uurtarief43</f>
        <v>0</v>
      </c>
      <c r="Q1004" s="66" t="e">
        <f>IF(ISBLANK(M1004),0,L1004/ROUND(M1004,4))</f>
        <v>#DIV/0!</v>
      </c>
      <c r="R1004" s="66" t="e">
        <f>IF(ISBLANK(M1004),0,Q1004*ROUND(N1004,2))</f>
        <v>#DIV/0!</v>
      </c>
      <c r="S1004" s="69" t="e">
        <f>ROUND(P1004,2)*Q1004</f>
        <v>#DIV/0!</v>
      </c>
      <c r="T1004" s="66" t="e">
        <f>Q1004*dagenperjaar1</f>
        <v>#DIV/0!</v>
      </c>
      <c r="U1004" s="70" t="e">
        <f>T1004*ROUND(P1004,2)</f>
        <v>#DIV/0!</v>
      </c>
    </row>
    <row r="1005" spans="1:21" x14ac:dyDescent="0.2">
      <c r="A1005" s="63" t="s">
        <v>1578</v>
      </c>
      <c r="B1005" s="64" t="s">
        <v>324</v>
      </c>
      <c r="C1005" s="64" t="s">
        <v>323</v>
      </c>
      <c r="D1005" s="64" t="s">
        <v>921</v>
      </c>
      <c r="E1005" s="64" t="s">
        <v>324</v>
      </c>
      <c r="F1005" s="65" t="s">
        <v>1608</v>
      </c>
      <c r="G1005" s="64" t="s">
        <v>328</v>
      </c>
      <c r="H1005" s="64" t="s">
        <v>229</v>
      </c>
      <c r="I1005" s="64" t="s">
        <v>10</v>
      </c>
      <c r="J1005" s="64" t="s">
        <v>201</v>
      </c>
      <c r="K1005" s="66">
        <v>60</v>
      </c>
      <c r="L1005" s="66">
        <f>K1005*VLOOKUP(I1005,dagsoorttabel1,2,FALSE)</f>
        <v>60</v>
      </c>
      <c r="M1005" s="67">
        <f>prodnorm43</f>
        <v>0</v>
      </c>
      <c r="N1005" s="68">
        <f>dagwerk43</f>
        <v>0</v>
      </c>
      <c r="O1005" s="64" t="s">
        <v>38</v>
      </c>
      <c r="P1005" s="69">
        <f>uurtarief43</f>
        <v>0</v>
      </c>
      <c r="Q1005" s="66" t="e">
        <f>IF(ISBLANK(M1005),0,L1005/ROUND(M1005,4))</f>
        <v>#DIV/0!</v>
      </c>
      <c r="R1005" s="66" t="e">
        <f>IF(ISBLANK(M1005),0,Q1005*ROUND(N1005,2))</f>
        <v>#DIV/0!</v>
      </c>
      <c r="S1005" s="69" t="e">
        <f>ROUND(P1005,2)*Q1005</f>
        <v>#DIV/0!</v>
      </c>
      <c r="T1005" s="66" t="e">
        <f>Q1005*dagenperjaar1</f>
        <v>#DIV/0!</v>
      </c>
      <c r="U1005" s="70" t="e">
        <f>T1005*ROUND(P1005,2)</f>
        <v>#DIV/0!</v>
      </c>
    </row>
    <row r="1006" spans="1:21" x14ac:dyDescent="0.2">
      <c r="A1006" s="63" t="s">
        <v>1578</v>
      </c>
      <c r="B1006" s="64" t="s">
        <v>324</v>
      </c>
      <c r="C1006" s="64" t="s">
        <v>323</v>
      </c>
      <c r="D1006" s="64" t="s">
        <v>448</v>
      </c>
      <c r="E1006" s="64" t="s">
        <v>324</v>
      </c>
      <c r="F1006" s="65" t="s">
        <v>1609</v>
      </c>
      <c r="G1006" s="64" t="s">
        <v>328</v>
      </c>
      <c r="H1006" s="64" t="s">
        <v>229</v>
      </c>
      <c r="I1006" s="64" t="s">
        <v>10</v>
      </c>
      <c r="J1006" s="64" t="s">
        <v>201</v>
      </c>
      <c r="K1006" s="66">
        <v>60</v>
      </c>
      <c r="L1006" s="66">
        <f>K1006*VLOOKUP(I1006,dagsoorttabel1,2,FALSE)</f>
        <v>60</v>
      </c>
      <c r="M1006" s="67">
        <f>prodnorm43</f>
        <v>0</v>
      </c>
      <c r="N1006" s="68">
        <f>dagwerk43</f>
        <v>0</v>
      </c>
      <c r="O1006" s="64" t="s">
        <v>38</v>
      </c>
      <c r="P1006" s="69">
        <f>uurtarief43</f>
        <v>0</v>
      </c>
      <c r="Q1006" s="66" t="e">
        <f>IF(ISBLANK(M1006),0,L1006/ROUND(M1006,4))</f>
        <v>#DIV/0!</v>
      </c>
      <c r="R1006" s="66" t="e">
        <f>IF(ISBLANK(M1006),0,Q1006*ROUND(N1006,2))</f>
        <v>#DIV/0!</v>
      </c>
      <c r="S1006" s="69" t="e">
        <f>ROUND(P1006,2)*Q1006</f>
        <v>#DIV/0!</v>
      </c>
      <c r="T1006" s="66" t="e">
        <f>Q1006*dagenperjaar1</f>
        <v>#DIV/0!</v>
      </c>
      <c r="U1006" s="70" t="e">
        <f>T1006*ROUND(P1006,2)</f>
        <v>#DIV/0!</v>
      </c>
    </row>
    <row r="1007" spans="1:21" x14ac:dyDescent="0.2">
      <c r="A1007" s="63" t="s">
        <v>1578</v>
      </c>
      <c r="B1007" s="64" t="s">
        <v>324</v>
      </c>
      <c r="C1007" s="64" t="s">
        <v>323</v>
      </c>
      <c r="D1007" s="64" t="s">
        <v>451</v>
      </c>
      <c r="E1007" s="64" t="s">
        <v>324</v>
      </c>
      <c r="F1007" s="65" t="s">
        <v>1591</v>
      </c>
      <c r="G1007" s="64" t="s">
        <v>328</v>
      </c>
      <c r="H1007" s="64" t="s">
        <v>229</v>
      </c>
      <c r="I1007" s="64" t="s">
        <v>10</v>
      </c>
      <c r="J1007" s="64" t="s">
        <v>201</v>
      </c>
      <c r="K1007" s="66">
        <v>51</v>
      </c>
      <c r="L1007" s="66">
        <f>K1007*VLOOKUP(I1007,dagsoorttabel1,2,FALSE)</f>
        <v>51</v>
      </c>
      <c r="M1007" s="67">
        <f>prodnorm43</f>
        <v>0</v>
      </c>
      <c r="N1007" s="68">
        <f>dagwerk43</f>
        <v>0</v>
      </c>
      <c r="O1007" s="64" t="s">
        <v>38</v>
      </c>
      <c r="P1007" s="69">
        <f>uurtarief43</f>
        <v>0</v>
      </c>
      <c r="Q1007" s="66" t="e">
        <f>IF(ISBLANK(M1007),0,L1007/ROUND(M1007,4))</f>
        <v>#DIV/0!</v>
      </c>
      <c r="R1007" s="66" t="e">
        <f>IF(ISBLANK(M1007),0,Q1007*ROUND(N1007,2))</f>
        <v>#DIV/0!</v>
      </c>
      <c r="S1007" s="69" t="e">
        <f>ROUND(P1007,2)*Q1007</f>
        <v>#DIV/0!</v>
      </c>
      <c r="T1007" s="66" t="e">
        <f>Q1007*dagenperjaar1</f>
        <v>#DIV/0!</v>
      </c>
      <c r="U1007" s="70" t="e">
        <f>T1007*ROUND(P1007,2)</f>
        <v>#DIV/0!</v>
      </c>
    </row>
    <row r="1008" spans="1:21" x14ac:dyDescent="0.2">
      <c r="A1008" s="63" t="s">
        <v>1578</v>
      </c>
      <c r="B1008" s="64" t="s">
        <v>324</v>
      </c>
      <c r="C1008" s="64" t="s">
        <v>323</v>
      </c>
      <c r="D1008" s="64" t="s">
        <v>453</v>
      </c>
      <c r="E1008" s="64" t="s">
        <v>324</v>
      </c>
      <c r="F1008" s="65" t="s">
        <v>381</v>
      </c>
      <c r="G1008" s="64" t="s">
        <v>328</v>
      </c>
      <c r="H1008" s="64" t="s">
        <v>205</v>
      </c>
      <c r="I1008" s="64" t="s">
        <v>10</v>
      </c>
      <c r="J1008" s="64" t="s">
        <v>201</v>
      </c>
      <c r="K1008" s="66">
        <v>44</v>
      </c>
      <c r="L1008" s="66">
        <f>K1008*VLOOKUP(I1008,dagsoorttabel1,2,FALSE)</f>
        <v>44</v>
      </c>
      <c r="M1008" s="67">
        <f>prodnorm26</f>
        <v>0</v>
      </c>
      <c r="N1008" s="68">
        <f>dagwerk26</f>
        <v>0</v>
      </c>
      <c r="O1008" s="64" t="s">
        <v>38</v>
      </c>
      <c r="P1008" s="69">
        <f>uurtarief26</f>
        <v>0</v>
      </c>
      <c r="Q1008" s="66" t="e">
        <f>IF(ISBLANK(M1008),0,L1008/ROUND(M1008,4))</f>
        <v>#DIV/0!</v>
      </c>
      <c r="R1008" s="66" t="e">
        <f>IF(ISBLANK(M1008),0,Q1008*ROUND(N1008,2))</f>
        <v>#DIV/0!</v>
      </c>
      <c r="S1008" s="69" t="e">
        <f>ROUND(P1008,2)*Q1008</f>
        <v>#DIV/0!</v>
      </c>
      <c r="T1008" s="66" t="e">
        <f>Q1008*dagenperjaar1</f>
        <v>#DIV/0!</v>
      </c>
      <c r="U1008" s="70" t="e">
        <f>T1008*ROUND(P1008,2)</f>
        <v>#DIV/0!</v>
      </c>
    </row>
    <row r="1009" spans="1:21" x14ac:dyDescent="0.2">
      <c r="A1009" s="63" t="s">
        <v>1578</v>
      </c>
      <c r="B1009" s="64" t="s">
        <v>324</v>
      </c>
      <c r="C1009" s="64" t="s">
        <v>323</v>
      </c>
      <c r="D1009" s="64" t="s">
        <v>455</v>
      </c>
      <c r="E1009" s="64" t="s">
        <v>324</v>
      </c>
      <c r="F1009" s="65" t="s">
        <v>595</v>
      </c>
      <c r="G1009" s="64" t="s">
        <v>328</v>
      </c>
      <c r="H1009" s="64" t="s">
        <v>205</v>
      </c>
      <c r="I1009" s="64" t="s">
        <v>16</v>
      </c>
      <c r="J1009" s="64" t="s">
        <v>201</v>
      </c>
      <c r="K1009" s="66">
        <v>13</v>
      </c>
      <c r="L1009" s="66">
        <f>K1009*VLOOKUP(I1009,dagsoorttabel1,2,FALSE)</f>
        <v>2.6</v>
      </c>
      <c r="M1009" s="67">
        <f>prodnorm27</f>
        <v>0</v>
      </c>
      <c r="N1009" s="68">
        <f>dagwerk27</f>
        <v>0</v>
      </c>
      <c r="O1009" s="64" t="s">
        <v>38</v>
      </c>
      <c r="P1009" s="69">
        <f>uurtarief27</f>
        <v>0</v>
      </c>
      <c r="Q1009" s="66" t="e">
        <f>IF(ISBLANK(M1009),0,L1009/ROUND(M1009,4))</f>
        <v>#DIV/0!</v>
      </c>
      <c r="R1009" s="66" t="e">
        <f>IF(ISBLANK(M1009),0,Q1009*ROUND(N1009,2))</f>
        <v>#DIV/0!</v>
      </c>
      <c r="S1009" s="69" t="e">
        <f>ROUND(P1009,2)*Q1009</f>
        <v>#DIV/0!</v>
      </c>
      <c r="T1009" s="66" t="e">
        <f>Q1009*dagenperjaar1</f>
        <v>#DIV/0!</v>
      </c>
      <c r="U1009" s="70" t="e">
        <f>T1009*ROUND(P1009,2)</f>
        <v>#DIV/0!</v>
      </c>
    </row>
    <row r="1010" spans="1:21" x14ac:dyDescent="0.2">
      <c r="A1010" s="63" t="s">
        <v>1578</v>
      </c>
      <c r="B1010" s="64" t="s">
        <v>324</v>
      </c>
      <c r="C1010" s="64" t="s">
        <v>323</v>
      </c>
      <c r="D1010" s="64" t="s">
        <v>459</v>
      </c>
      <c r="E1010" s="64" t="s">
        <v>324</v>
      </c>
      <c r="F1010" s="65" t="s">
        <v>595</v>
      </c>
      <c r="G1010" s="64" t="s">
        <v>328</v>
      </c>
      <c r="H1010" s="64" t="s">
        <v>205</v>
      </c>
      <c r="I1010" s="64" t="s">
        <v>16</v>
      </c>
      <c r="J1010" s="64" t="s">
        <v>201</v>
      </c>
      <c r="K1010" s="66">
        <v>13</v>
      </c>
      <c r="L1010" s="66">
        <f>K1010*VLOOKUP(I1010,dagsoorttabel1,2,FALSE)</f>
        <v>2.6</v>
      </c>
      <c r="M1010" s="67">
        <f>prodnorm27</f>
        <v>0</v>
      </c>
      <c r="N1010" s="68">
        <f>dagwerk27</f>
        <v>0</v>
      </c>
      <c r="O1010" s="64" t="s">
        <v>38</v>
      </c>
      <c r="P1010" s="69">
        <f>uurtarief27</f>
        <v>0</v>
      </c>
      <c r="Q1010" s="66" t="e">
        <f>IF(ISBLANK(M1010),0,L1010/ROUND(M1010,4))</f>
        <v>#DIV/0!</v>
      </c>
      <c r="R1010" s="66" t="e">
        <f>IF(ISBLANK(M1010),0,Q1010*ROUND(N1010,2))</f>
        <v>#DIV/0!</v>
      </c>
      <c r="S1010" s="69" t="e">
        <f>ROUND(P1010,2)*Q1010</f>
        <v>#DIV/0!</v>
      </c>
      <c r="T1010" s="66" t="e">
        <f>Q1010*dagenperjaar1</f>
        <v>#DIV/0!</v>
      </c>
      <c r="U1010" s="70" t="e">
        <f>T1010*ROUND(P1010,2)</f>
        <v>#DIV/0!</v>
      </c>
    </row>
    <row r="1011" spans="1:21" x14ac:dyDescent="0.2">
      <c r="A1011" s="63" t="s">
        <v>1578</v>
      </c>
      <c r="B1011" s="64" t="s">
        <v>324</v>
      </c>
      <c r="C1011" s="64" t="s">
        <v>323</v>
      </c>
      <c r="D1011" s="64" t="s">
        <v>463</v>
      </c>
      <c r="E1011" s="64" t="s">
        <v>324</v>
      </c>
      <c r="F1011" s="65" t="s">
        <v>1610</v>
      </c>
      <c r="G1011" s="64" t="s">
        <v>328</v>
      </c>
      <c r="H1011" s="64" t="s">
        <v>205</v>
      </c>
      <c r="I1011" s="64" t="s">
        <v>16</v>
      </c>
      <c r="J1011" s="64" t="s">
        <v>201</v>
      </c>
      <c r="K1011" s="66">
        <v>26</v>
      </c>
      <c r="L1011" s="66">
        <f>K1011*VLOOKUP(I1011,dagsoorttabel1,2,FALSE)</f>
        <v>5.2</v>
      </c>
      <c r="M1011" s="67">
        <f>prodnorm27</f>
        <v>0</v>
      </c>
      <c r="N1011" s="68">
        <f>dagwerk27</f>
        <v>0</v>
      </c>
      <c r="O1011" s="64" t="s">
        <v>38</v>
      </c>
      <c r="P1011" s="69">
        <f>uurtarief27</f>
        <v>0</v>
      </c>
      <c r="Q1011" s="66" t="e">
        <f>IF(ISBLANK(M1011),0,L1011/ROUND(M1011,4))</f>
        <v>#DIV/0!</v>
      </c>
      <c r="R1011" s="66" t="e">
        <f>IF(ISBLANK(M1011),0,Q1011*ROUND(N1011,2))</f>
        <v>#DIV/0!</v>
      </c>
      <c r="S1011" s="69" t="e">
        <f>ROUND(P1011,2)*Q1011</f>
        <v>#DIV/0!</v>
      </c>
      <c r="T1011" s="66" t="e">
        <f>Q1011*dagenperjaar1</f>
        <v>#DIV/0!</v>
      </c>
      <c r="U1011" s="70" t="e">
        <f>T1011*ROUND(P1011,2)</f>
        <v>#DIV/0!</v>
      </c>
    </row>
    <row r="1012" spans="1:21" x14ac:dyDescent="0.2">
      <c r="A1012" s="63" t="s">
        <v>1578</v>
      </c>
      <c r="B1012" s="64" t="s">
        <v>324</v>
      </c>
      <c r="C1012" s="64" t="s">
        <v>323</v>
      </c>
      <c r="D1012" s="64" t="s">
        <v>926</v>
      </c>
      <c r="E1012" s="64" t="s">
        <v>324</v>
      </c>
      <c r="F1012" s="65" t="s">
        <v>1611</v>
      </c>
      <c r="G1012" s="64" t="s">
        <v>328</v>
      </c>
      <c r="H1012" s="64" t="s">
        <v>267</v>
      </c>
      <c r="I1012" s="64" t="s">
        <v>10</v>
      </c>
      <c r="J1012" s="64" t="s">
        <v>201</v>
      </c>
      <c r="K1012" s="66">
        <v>10</v>
      </c>
      <c r="L1012" s="66">
        <f>K1012*VLOOKUP(I1012,dagsoorttabel1,2,FALSE)</f>
        <v>10</v>
      </c>
      <c r="M1012" s="67">
        <f>prodnorm65</f>
        <v>0</v>
      </c>
      <c r="N1012" s="68">
        <f>dagwerk65</f>
        <v>0</v>
      </c>
      <c r="O1012" s="64" t="s">
        <v>38</v>
      </c>
      <c r="P1012" s="69">
        <f>uurtarief65</f>
        <v>0</v>
      </c>
      <c r="Q1012" s="66" t="e">
        <f>IF(ISBLANK(M1012),0,L1012/ROUND(M1012,4))</f>
        <v>#DIV/0!</v>
      </c>
      <c r="R1012" s="66" t="e">
        <f>IF(ISBLANK(M1012),0,Q1012*ROUND(N1012,2))</f>
        <v>#DIV/0!</v>
      </c>
      <c r="S1012" s="69" t="e">
        <f>ROUND(P1012,2)*Q1012</f>
        <v>#DIV/0!</v>
      </c>
      <c r="T1012" s="66" t="e">
        <f>Q1012*dagenperjaar1</f>
        <v>#DIV/0!</v>
      </c>
      <c r="U1012" s="70" t="e">
        <f>T1012*ROUND(P1012,2)</f>
        <v>#DIV/0!</v>
      </c>
    </row>
    <row r="1013" spans="1:21" x14ac:dyDescent="0.2">
      <c r="A1013" s="63" t="s">
        <v>1578</v>
      </c>
      <c r="B1013" s="64" t="s">
        <v>324</v>
      </c>
      <c r="C1013" s="64" t="s">
        <v>323</v>
      </c>
      <c r="D1013" s="64" t="s">
        <v>927</v>
      </c>
      <c r="E1013" s="64" t="s">
        <v>324</v>
      </c>
      <c r="F1013" s="65" t="s">
        <v>1602</v>
      </c>
      <c r="G1013" s="64" t="s">
        <v>1583</v>
      </c>
      <c r="H1013" s="64" t="s">
        <v>255</v>
      </c>
      <c r="I1013" s="64" t="s">
        <v>10</v>
      </c>
      <c r="J1013" s="64" t="s">
        <v>201</v>
      </c>
      <c r="K1013" s="66">
        <v>5</v>
      </c>
      <c r="L1013" s="66">
        <f>K1013*VLOOKUP(I1013,dagsoorttabel1,2,FALSE)</f>
        <v>5</v>
      </c>
      <c r="M1013" s="67">
        <f>prodnorm59</f>
        <v>0</v>
      </c>
      <c r="N1013" s="68">
        <f>dagwerk59</f>
        <v>0</v>
      </c>
      <c r="O1013" s="64" t="s">
        <v>38</v>
      </c>
      <c r="P1013" s="69">
        <f>uurtarief59</f>
        <v>0</v>
      </c>
      <c r="Q1013" s="66" t="e">
        <f>IF(ISBLANK(M1013),0,L1013/ROUND(M1013,4))</f>
        <v>#DIV/0!</v>
      </c>
      <c r="R1013" s="66" t="e">
        <f>IF(ISBLANK(M1013),0,Q1013*ROUND(N1013,2))</f>
        <v>#DIV/0!</v>
      </c>
      <c r="S1013" s="69" t="e">
        <f>ROUND(P1013,2)*Q1013</f>
        <v>#DIV/0!</v>
      </c>
      <c r="T1013" s="66" t="e">
        <f>Q1013*dagenperjaar1</f>
        <v>#DIV/0!</v>
      </c>
      <c r="U1013" s="70" t="e">
        <f>T1013*ROUND(P1013,2)</f>
        <v>#DIV/0!</v>
      </c>
    </row>
    <row r="1014" spans="1:21" x14ac:dyDescent="0.2">
      <c r="A1014" s="63" t="s">
        <v>1578</v>
      </c>
      <c r="B1014" s="64" t="s">
        <v>324</v>
      </c>
      <c r="C1014" s="64" t="s">
        <v>323</v>
      </c>
      <c r="D1014" s="64" t="s">
        <v>928</v>
      </c>
      <c r="E1014" s="64" t="s">
        <v>324</v>
      </c>
      <c r="F1014" s="65" t="s">
        <v>1601</v>
      </c>
      <c r="G1014" s="64" t="s">
        <v>1583</v>
      </c>
      <c r="H1014" s="64" t="s">
        <v>255</v>
      </c>
      <c r="I1014" s="64" t="s">
        <v>10</v>
      </c>
      <c r="J1014" s="64" t="s">
        <v>201</v>
      </c>
      <c r="K1014" s="66">
        <v>5</v>
      </c>
      <c r="L1014" s="66">
        <f>K1014*VLOOKUP(I1014,dagsoorttabel1,2,FALSE)</f>
        <v>5</v>
      </c>
      <c r="M1014" s="67">
        <f>prodnorm59</f>
        <v>0</v>
      </c>
      <c r="N1014" s="68">
        <f>dagwerk59</f>
        <v>0</v>
      </c>
      <c r="O1014" s="64" t="s">
        <v>38</v>
      </c>
      <c r="P1014" s="69">
        <f>uurtarief59</f>
        <v>0</v>
      </c>
      <c r="Q1014" s="66" t="e">
        <f>IF(ISBLANK(M1014),0,L1014/ROUND(M1014,4))</f>
        <v>#DIV/0!</v>
      </c>
      <c r="R1014" s="66" t="e">
        <f>IF(ISBLANK(M1014),0,Q1014*ROUND(N1014,2))</f>
        <v>#DIV/0!</v>
      </c>
      <c r="S1014" s="69" t="e">
        <f>ROUND(P1014,2)*Q1014</f>
        <v>#DIV/0!</v>
      </c>
      <c r="T1014" s="66" t="e">
        <f>Q1014*dagenperjaar1</f>
        <v>#DIV/0!</v>
      </c>
      <c r="U1014" s="70" t="e">
        <f>T1014*ROUND(P1014,2)</f>
        <v>#DIV/0!</v>
      </c>
    </row>
    <row r="1015" spans="1:21" x14ac:dyDescent="0.2">
      <c r="A1015" s="71" t="s">
        <v>1578</v>
      </c>
      <c r="B1015" s="72" t="s">
        <v>324</v>
      </c>
      <c r="C1015" s="72" t="s">
        <v>323</v>
      </c>
      <c r="D1015" s="72" t="s">
        <v>929</v>
      </c>
      <c r="E1015" s="72" t="s">
        <v>324</v>
      </c>
      <c r="F1015" s="73" t="s">
        <v>376</v>
      </c>
      <c r="G1015" s="72" t="s">
        <v>328</v>
      </c>
      <c r="H1015" s="72" t="s">
        <v>255</v>
      </c>
      <c r="I1015" s="72" t="s">
        <v>10</v>
      </c>
      <c r="J1015" s="72" t="s">
        <v>201</v>
      </c>
      <c r="K1015" s="74">
        <v>4</v>
      </c>
      <c r="L1015" s="74">
        <f>K1015*VLOOKUP(I1015,dagsoorttabel1,2,FALSE)</f>
        <v>4</v>
      </c>
      <c r="M1015" s="75">
        <f>prodnorm59</f>
        <v>0</v>
      </c>
      <c r="N1015" s="76">
        <f>dagwerk59</f>
        <v>0</v>
      </c>
      <c r="O1015" s="72" t="s">
        <v>38</v>
      </c>
      <c r="P1015" s="77">
        <f>uurtarief59</f>
        <v>0</v>
      </c>
      <c r="Q1015" s="74" t="e">
        <f>IF(ISBLANK(M1015),0,L1015/ROUND(M1015,4))</f>
        <v>#DIV/0!</v>
      </c>
      <c r="R1015" s="74" t="e">
        <f>IF(ISBLANK(M1015),0,Q1015*ROUND(N1015,2))</f>
        <v>#DIV/0!</v>
      </c>
      <c r="S1015" s="77" t="e">
        <f>ROUND(P1015,2)*Q1015</f>
        <v>#DIV/0!</v>
      </c>
      <c r="T1015" s="74" t="e">
        <f>Q1015*dagenperjaar1</f>
        <v>#DIV/0!</v>
      </c>
      <c r="U1015" s="78" t="e">
        <f>T1015*ROUND(P1015,2)</f>
        <v>#DIV/0!</v>
      </c>
    </row>
    <row r="1016" spans="1:21" x14ac:dyDescent="0.2">
      <c r="A1016" s="79" t="s">
        <v>602</v>
      </c>
      <c r="B1016" s="44"/>
      <c r="C1016" s="44"/>
      <c r="D1016" s="44"/>
      <c r="E1016" s="44"/>
      <c r="F1016" s="44"/>
      <c r="G1016" s="44"/>
      <c r="H1016" s="44"/>
      <c r="I1016" s="44"/>
      <c r="J1016" s="44"/>
      <c r="K1016" s="44"/>
      <c r="L1016" s="44"/>
      <c r="M1016" s="44"/>
      <c r="N1016" s="44"/>
      <c r="O1016" s="44"/>
      <c r="P1016" s="46" t="e">
        <f>IF(_xlfn.SINGLE(object7_urenjaar1)&gt;0,_xlfn.SINGLE(object7_prijsjaar1)/_xlfn.SINGLE(object7_urenjaar1),0)</f>
        <v>#DIV/0!</v>
      </c>
      <c r="Q1016" s="45" t="e">
        <f>SUM(Q967:Q1015)</f>
        <v>#DIV/0!</v>
      </c>
      <c r="R1016" s="45" t="e">
        <f>SUM(R967:R1015)</f>
        <v>#DIV/0!</v>
      </c>
      <c r="S1016" s="46" t="e">
        <f>SUM(S967:S1015)</f>
        <v>#DIV/0!</v>
      </c>
      <c r="T1016" s="45" t="e">
        <f>SUM(T967:T1015)</f>
        <v>#DIV/0!</v>
      </c>
      <c r="U1016" s="47" t="e">
        <f>SUM(U967:U1015)</f>
        <v>#DIV/0!</v>
      </c>
    </row>
    <row r="1017" spans="1:21" x14ac:dyDescent="0.2">
      <c r="A1017" s="54" t="s">
        <v>1612</v>
      </c>
      <c r="B1017" s="13"/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42"/>
    </row>
    <row r="1018" spans="1:21" ht="25.5" x14ac:dyDescent="0.2">
      <c r="A1018" s="55" t="s">
        <v>1613</v>
      </c>
      <c r="B1018" s="56" t="s">
        <v>324</v>
      </c>
      <c r="C1018" s="56" t="s">
        <v>345</v>
      </c>
      <c r="D1018" s="56" t="s">
        <v>1614</v>
      </c>
      <c r="E1018" s="56" t="s">
        <v>324</v>
      </c>
      <c r="F1018" s="57" t="s">
        <v>1615</v>
      </c>
      <c r="G1018" s="56" t="s">
        <v>1616</v>
      </c>
      <c r="H1018" s="56" t="s">
        <v>243</v>
      </c>
      <c r="I1018" s="56" t="s">
        <v>10</v>
      </c>
      <c r="J1018" s="56" t="s">
        <v>201</v>
      </c>
      <c r="K1018" s="58">
        <v>70.7</v>
      </c>
      <c r="L1018" s="58">
        <f>K1018*VLOOKUP(I1018,dagsoorttabel1,2,FALSE)</f>
        <v>70.7</v>
      </c>
      <c r="M1018" s="59">
        <f>prodnorm52</f>
        <v>0</v>
      </c>
      <c r="N1018" s="60">
        <f>dagwerk52</f>
        <v>0</v>
      </c>
      <c r="O1018" s="56" t="s">
        <v>38</v>
      </c>
      <c r="P1018" s="61">
        <f>uurtarief52</f>
        <v>0</v>
      </c>
      <c r="Q1018" s="58" t="e">
        <f>IF(ISBLANK(M1018),0,L1018/ROUND(M1018,4))</f>
        <v>#DIV/0!</v>
      </c>
      <c r="R1018" s="58" t="e">
        <f>IF(ISBLANK(M1018),0,Q1018*ROUND(N1018,2))</f>
        <v>#DIV/0!</v>
      </c>
      <c r="S1018" s="61" t="e">
        <f>ROUND(P1018,2)*Q1018</f>
        <v>#DIV/0!</v>
      </c>
      <c r="T1018" s="58" t="e">
        <f>Q1018*dagenperjaar1</f>
        <v>#DIV/0!</v>
      </c>
      <c r="U1018" s="62" t="e">
        <f>T1018*ROUND(P1018,2)</f>
        <v>#DIV/0!</v>
      </c>
    </row>
    <row r="1019" spans="1:21" x14ac:dyDescent="0.2">
      <c r="A1019" s="63" t="s">
        <v>1613</v>
      </c>
      <c r="B1019" s="64" t="s">
        <v>324</v>
      </c>
      <c r="C1019" s="64" t="s">
        <v>345</v>
      </c>
      <c r="D1019" s="64" t="s">
        <v>1617</v>
      </c>
      <c r="E1019" s="64" t="s">
        <v>324</v>
      </c>
      <c r="F1019" s="65" t="s">
        <v>1618</v>
      </c>
      <c r="G1019" s="64" t="s">
        <v>1616</v>
      </c>
      <c r="H1019" s="64" t="s">
        <v>243</v>
      </c>
      <c r="I1019" s="64" t="s">
        <v>10</v>
      </c>
      <c r="J1019" s="64" t="s">
        <v>201</v>
      </c>
      <c r="K1019" s="66">
        <v>59.5</v>
      </c>
      <c r="L1019" s="66">
        <f>K1019*VLOOKUP(I1019,dagsoorttabel1,2,FALSE)</f>
        <v>59.5</v>
      </c>
      <c r="M1019" s="67">
        <f>prodnorm52</f>
        <v>0</v>
      </c>
      <c r="N1019" s="68">
        <f>dagwerk52</f>
        <v>0</v>
      </c>
      <c r="O1019" s="64" t="s">
        <v>38</v>
      </c>
      <c r="P1019" s="69">
        <f>uurtarief52</f>
        <v>0</v>
      </c>
      <c r="Q1019" s="66" t="e">
        <f>IF(ISBLANK(M1019),0,L1019/ROUND(M1019,4))</f>
        <v>#DIV/0!</v>
      </c>
      <c r="R1019" s="66" t="e">
        <f>IF(ISBLANK(M1019),0,Q1019*ROUND(N1019,2))</f>
        <v>#DIV/0!</v>
      </c>
      <c r="S1019" s="69" t="e">
        <f>ROUND(P1019,2)*Q1019</f>
        <v>#DIV/0!</v>
      </c>
      <c r="T1019" s="66" t="e">
        <f>Q1019*dagenperjaar1</f>
        <v>#DIV/0!</v>
      </c>
      <c r="U1019" s="70" t="e">
        <f>T1019*ROUND(P1019,2)</f>
        <v>#DIV/0!</v>
      </c>
    </row>
    <row r="1020" spans="1:21" x14ac:dyDescent="0.2">
      <c r="A1020" s="63" t="s">
        <v>1613</v>
      </c>
      <c r="B1020" s="64" t="s">
        <v>324</v>
      </c>
      <c r="C1020" s="64" t="s">
        <v>345</v>
      </c>
      <c r="D1020" s="64" t="s">
        <v>1619</v>
      </c>
      <c r="E1020" s="64" t="s">
        <v>324</v>
      </c>
      <c r="F1020" s="65" t="s">
        <v>1620</v>
      </c>
      <c r="G1020" s="64" t="s">
        <v>328</v>
      </c>
      <c r="H1020" s="64" t="s">
        <v>249</v>
      </c>
      <c r="I1020" s="64" t="s">
        <v>10</v>
      </c>
      <c r="J1020" s="64" t="s">
        <v>201</v>
      </c>
      <c r="K1020" s="66">
        <v>70.099999999999994</v>
      </c>
      <c r="L1020" s="66">
        <f>K1020*VLOOKUP(I1020,dagsoorttabel1,2,FALSE)</f>
        <v>70.099999999999994</v>
      </c>
      <c r="M1020" s="67">
        <f>prodnorm56</f>
        <v>0</v>
      </c>
      <c r="N1020" s="68">
        <f>dagwerk56</f>
        <v>0</v>
      </c>
      <c r="O1020" s="64" t="s">
        <v>38</v>
      </c>
      <c r="P1020" s="69">
        <f>uurtarief56</f>
        <v>0</v>
      </c>
      <c r="Q1020" s="66" t="e">
        <f>IF(ISBLANK(M1020),0,L1020/ROUND(M1020,4))</f>
        <v>#DIV/0!</v>
      </c>
      <c r="R1020" s="66" t="e">
        <f>IF(ISBLANK(M1020),0,Q1020*ROUND(N1020,2))</f>
        <v>#DIV/0!</v>
      </c>
      <c r="S1020" s="69" t="e">
        <f>ROUND(P1020,2)*Q1020</f>
        <v>#DIV/0!</v>
      </c>
      <c r="T1020" s="66" t="e">
        <f>Q1020*dagenperjaar1</f>
        <v>#DIV/0!</v>
      </c>
      <c r="U1020" s="70" t="e">
        <f>T1020*ROUND(P1020,2)</f>
        <v>#DIV/0!</v>
      </c>
    </row>
    <row r="1021" spans="1:21" x14ac:dyDescent="0.2">
      <c r="A1021" s="63" t="s">
        <v>1613</v>
      </c>
      <c r="B1021" s="64" t="s">
        <v>324</v>
      </c>
      <c r="C1021" s="64" t="s">
        <v>345</v>
      </c>
      <c r="D1021" s="64" t="s">
        <v>1621</v>
      </c>
      <c r="E1021" s="64" t="s">
        <v>324</v>
      </c>
      <c r="F1021" s="65" t="s">
        <v>1622</v>
      </c>
      <c r="G1021" s="64" t="s">
        <v>1623</v>
      </c>
      <c r="H1021" s="64" t="s">
        <v>249</v>
      </c>
      <c r="I1021" s="64" t="s">
        <v>10</v>
      </c>
      <c r="J1021" s="64" t="s">
        <v>201</v>
      </c>
      <c r="K1021" s="66">
        <v>44.7</v>
      </c>
      <c r="L1021" s="66">
        <f>K1021*VLOOKUP(I1021,dagsoorttabel1,2,FALSE)</f>
        <v>44.7</v>
      </c>
      <c r="M1021" s="67">
        <f>prodnorm56</f>
        <v>0</v>
      </c>
      <c r="N1021" s="68">
        <f>dagwerk56</f>
        <v>0</v>
      </c>
      <c r="O1021" s="64" t="s">
        <v>38</v>
      </c>
      <c r="P1021" s="69">
        <f>uurtarief56</f>
        <v>0</v>
      </c>
      <c r="Q1021" s="66" t="e">
        <f>IF(ISBLANK(M1021),0,L1021/ROUND(M1021,4))</f>
        <v>#DIV/0!</v>
      </c>
      <c r="R1021" s="66" t="e">
        <f>IF(ISBLANK(M1021),0,Q1021*ROUND(N1021,2))</f>
        <v>#DIV/0!</v>
      </c>
      <c r="S1021" s="69" t="e">
        <f>ROUND(P1021,2)*Q1021</f>
        <v>#DIV/0!</v>
      </c>
      <c r="T1021" s="66" t="e">
        <f>Q1021*dagenperjaar1</f>
        <v>#DIV/0!</v>
      </c>
      <c r="U1021" s="70" t="e">
        <f>T1021*ROUND(P1021,2)</f>
        <v>#DIV/0!</v>
      </c>
    </row>
    <row r="1022" spans="1:21" x14ac:dyDescent="0.2">
      <c r="A1022" s="63" t="s">
        <v>1613</v>
      </c>
      <c r="B1022" s="64" t="s">
        <v>324</v>
      </c>
      <c r="C1022" s="64" t="s">
        <v>345</v>
      </c>
      <c r="D1022" s="64" t="s">
        <v>1624</v>
      </c>
      <c r="E1022" s="64" t="s">
        <v>324</v>
      </c>
      <c r="F1022" s="65" t="s">
        <v>1625</v>
      </c>
      <c r="G1022" s="64" t="s">
        <v>1623</v>
      </c>
      <c r="H1022" s="64" t="s">
        <v>249</v>
      </c>
      <c r="I1022" s="64" t="s">
        <v>10</v>
      </c>
      <c r="J1022" s="64" t="s">
        <v>201</v>
      </c>
      <c r="K1022" s="66">
        <v>66.900000000000006</v>
      </c>
      <c r="L1022" s="66">
        <f>K1022*VLOOKUP(I1022,dagsoorttabel1,2,FALSE)</f>
        <v>66.900000000000006</v>
      </c>
      <c r="M1022" s="67">
        <f>prodnorm56</f>
        <v>0</v>
      </c>
      <c r="N1022" s="68">
        <f>dagwerk56</f>
        <v>0</v>
      </c>
      <c r="O1022" s="64" t="s">
        <v>38</v>
      </c>
      <c r="P1022" s="69">
        <f>uurtarief56</f>
        <v>0</v>
      </c>
      <c r="Q1022" s="66" t="e">
        <f>IF(ISBLANK(M1022),0,L1022/ROUND(M1022,4))</f>
        <v>#DIV/0!</v>
      </c>
      <c r="R1022" s="66" t="e">
        <f>IF(ISBLANK(M1022),0,Q1022*ROUND(N1022,2))</f>
        <v>#DIV/0!</v>
      </c>
      <c r="S1022" s="69" t="e">
        <f>ROUND(P1022,2)*Q1022</f>
        <v>#DIV/0!</v>
      </c>
      <c r="T1022" s="66" t="e">
        <f>Q1022*dagenperjaar1</f>
        <v>#DIV/0!</v>
      </c>
      <c r="U1022" s="70" t="e">
        <f>T1022*ROUND(P1022,2)</f>
        <v>#DIV/0!</v>
      </c>
    </row>
    <row r="1023" spans="1:21" x14ac:dyDescent="0.2">
      <c r="A1023" s="63" t="s">
        <v>1613</v>
      </c>
      <c r="B1023" s="64" t="s">
        <v>324</v>
      </c>
      <c r="C1023" s="64" t="s">
        <v>345</v>
      </c>
      <c r="D1023" s="64" t="s">
        <v>1626</v>
      </c>
      <c r="E1023" s="64" t="s">
        <v>324</v>
      </c>
      <c r="F1023" s="65" t="s">
        <v>1627</v>
      </c>
      <c r="G1023" s="64" t="s">
        <v>328</v>
      </c>
      <c r="H1023" s="64" t="s">
        <v>243</v>
      </c>
      <c r="I1023" s="64" t="s">
        <v>10</v>
      </c>
      <c r="J1023" s="64" t="s">
        <v>201</v>
      </c>
      <c r="K1023" s="66">
        <v>33.799999999999997</v>
      </c>
      <c r="L1023" s="66">
        <f>K1023*VLOOKUP(I1023,dagsoorttabel1,2,FALSE)</f>
        <v>33.799999999999997</v>
      </c>
      <c r="M1023" s="67">
        <f>prodnorm52</f>
        <v>0</v>
      </c>
      <c r="N1023" s="68">
        <f>dagwerk52</f>
        <v>0</v>
      </c>
      <c r="O1023" s="64" t="s">
        <v>38</v>
      </c>
      <c r="P1023" s="69">
        <f>uurtarief52</f>
        <v>0</v>
      </c>
      <c r="Q1023" s="66" t="e">
        <f>IF(ISBLANK(M1023),0,L1023/ROUND(M1023,4))</f>
        <v>#DIV/0!</v>
      </c>
      <c r="R1023" s="66" t="e">
        <f>IF(ISBLANK(M1023),0,Q1023*ROUND(N1023,2))</f>
        <v>#DIV/0!</v>
      </c>
      <c r="S1023" s="69" t="e">
        <f>ROUND(P1023,2)*Q1023</f>
        <v>#DIV/0!</v>
      </c>
      <c r="T1023" s="66" t="e">
        <f>Q1023*dagenperjaar1</f>
        <v>#DIV/0!</v>
      </c>
      <c r="U1023" s="70" t="e">
        <f>T1023*ROUND(P1023,2)</f>
        <v>#DIV/0!</v>
      </c>
    </row>
    <row r="1024" spans="1:21" x14ac:dyDescent="0.2">
      <c r="A1024" s="63" t="s">
        <v>1613</v>
      </c>
      <c r="B1024" s="64" t="s">
        <v>324</v>
      </c>
      <c r="C1024" s="64" t="s">
        <v>345</v>
      </c>
      <c r="D1024" s="64" t="s">
        <v>1628</v>
      </c>
      <c r="E1024" s="64" t="s">
        <v>324</v>
      </c>
      <c r="F1024" s="65" t="s">
        <v>1627</v>
      </c>
      <c r="G1024" s="64" t="s">
        <v>328</v>
      </c>
      <c r="H1024" s="64" t="s">
        <v>243</v>
      </c>
      <c r="I1024" s="64" t="s">
        <v>10</v>
      </c>
      <c r="J1024" s="64" t="s">
        <v>201</v>
      </c>
      <c r="K1024" s="66">
        <v>11.76</v>
      </c>
      <c r="L1024" s="66">
        <f>K1024*VLOOKUP(I1024,dagsoorttabel1,2,FALSE)</f>
        <v>11.76</v>
      </c>
      <c r="M1024" s="67">
        <f>prodnorm52</f>
        <v>0</v>
      </c>
      <c r="N1024" s="68">
        <f>dagwerk52</f>
        <v>0</v>
      </c>
      <c r="O1024" s="64" t="s">
        <v>38</v>
      </c>
      <c r="P1024" s="69">
        <f>uurtarief52</f>
        <v>0</v>
      </c>
      <c r="Q1024" s="66" t="e">
        <f>IF(ISBLANK(M1024),0,L1024/ROUND(M1024,4))</f>
        <v>#DIV/0!</v>
      </c>
      <c r="R1024" s="66" t="e">
        <f>IF(ISBLANK(M1024),0,Q1024*ROUND(N1024,2))</f>
        <v>#DIV/0!</v>
      </c>
      <c r="S1024" s="69" t="e">
        <f>ROUND(P1024,2)*Q1024</f>
        <v>#DIV/0!</v>
      </c>
      <c r="T1024" s="66" t="e">
        <f>Q1024*dagenperjaar1</f>
        <v>#DIV/0!</v>
      </c>
      <c r="U1024" s="70" t="e">
        <f>T1024*ROUND(P1024,2)</f>
        <v>#DIV/0!</v>
      </c>
    </row>
    <row r="1025" spans="1:21" x14ac:dyDescent="0.2">
      <c r="A1025" s="63" t="s">
        <v>1613</v>
      </c>
      <c r="B1025" s="64" t="s">
        <v>324</v>
      </c>
      <c r="C1025" s="64" t="s">
        <v>345</v>
      </c>
      <c r="D1025" s="64" t="s">
        <v>1629</v>
      </c>
      <c r="E1025" s="64" t="s">
        <v>324</v>
      </c>
      <c r="F1025" s="65" t="s">
        <v>1630</v>
      </c>
      <c r="G1025" s="64" t="s">
        <v>1616</v>
      </c>
      <c r="H1025" s="64" t="s">
        <v>247</v>
      </c>
      <c r="I1025" s="64" t="s">
        <v>10</v>
      </c>
      <c r="J1025" s="64" t="s">
        <v>201</v>
      </c>
      <c r="K1025" s="66">
        <v>52.2</v>
      </c>
      <c r="L1025" s="66">
        <f>K1025*VLOOKUP(I1025,dagsoorttabel1,2,FALSE)</f>
        <v>52.2</v>
      </c>
      <c r="M1025" s="67">
        <f>prodnorm55</f>
        <v>0</v>
      </c>
      <c r="N1025" s="68">
        <f>dagwerk55</f>
        <v>0</v>
      </c>
      <c r="O1025" s="64" t="s">
        <v>38</v>
      </c>
      <c r="P1025" s="69">
        <f>uurtarief55</f>
        <v>0</v>
      </c>
      <c r="Q1025" s="66" t="e">
        <f>IF(ISBLANK(M1025),0,L1025/ROUND(M1025,4))</f>
        <v>#DIV/0!</v>
      </c>
      <c r="R1025" s="66" t="e">
        <f>IF(ISBLANK(M1025),0,Q1025*ROUND(N1025,2))</f>
        <v>#DIV/0!</v>
      </c>
      <c r="S1025" s="69" t="e">
        <f>ROUND(P1025,2)*Q1025</f>
        <v>#DIV/0!</v>
      </c>
      <c r="T1025" s="66" t="e">
        <f>Q1025*dagenperjaar1</f>
        <v>#DIV/0!</v>
      </c>
      <c r="U1025" s="70" t="e">
        <f>T1025*ROUND(P1025,2)</f>
        <v>#DIV/0!</v>
      </c>
    </row>
    <row r="1026" spans="1:21" x14ac:dyDescent="0.2">
      <c r="A1026" s="63" t="s">
        <v>1613</v>
      </c>
      <c r="B1026" s="64" t="s">
        <v>324</v>
      </c>
      <c r="C1026" s="64" t="s">
        <v>345</v>
      </c>
      <c r="D1026" s="64" t="s">
        <v>1631</v>
      </c>
      <c r="E1026" s="64" t="s">
        <v>324</v>
      </c>
      <c r="F1026" s="65" t="s">
        <v>1630</v>
      </c>
      <c r="G1026" s="64" t="s">
        <v>328</v>
      </c>
      <c r="H1026" s="64" t="s">
        <v>247</v>
      </c>
      <c r="I1026" s="64" t="s">
        <v>10</v>
      </c>
      <c r="J1026" s="64" t="s">
        <v>201</v>
      </c>
      <c r="K1026" s="66">
        <v>34.799999999999997</v>
      </c>
      <c r="L1026" s="66">
        <f>K1026*VLOOKUP(I1026,dagsoorttabel1,2,FALSE)</f>
        <v>34.799999999999997</v>
      </c>
      <c r="M1026" s="67">
        <f>prodnorm55</f>
        <v>0</v>
      </c>
      <c r="N1026" s="68">
        <f>dagwerk55</f>
        <v>0</v>
      </c>
      <c r="O1026" s="64" t="s">
        <v>38</v>
      </c>
      <c r="P1026" s="69">
        <f>uurtarief55</f>
        <v>0</v>
      </c>
      <c r="Q1026" s="66" t="e">
        <f>IF(ISBLANK(M1026),0,L1026/ROUND(M1026,4))</f>
        <v>#DIV/0!</v>
      </c>
      <c r="R1026" s="66" t="e">
        <f>IF(ISBLANK(M1026),0,Q1026*ROUND(N1026,2))</f>
        <v>#DIV/0!</v>
      </c>
      <c r="S1026" s="69" t="e">
        <f>ROUND(P1026,2)*Q1026</f>
        <v>#DIV/0!</v>
      </c>
      <c r="T1026" s="66" t="e">
        <f>Q1026*dagenperjaar1</f>
        <v>#DIV/0!</v>
      </c>
      <c r="U1026" s="70" t="e">
        <f>T1026*ROUND(P1026,2)</f>
        <v>#DIV/0!</v>
      </c>
    </row>
    <row r="1027" spans="1:21" x14ac:dyDescent="0.2">
      <c r="A1027" s="63" t="s">
        <v>1613</v>
      </c>
      <c r="B1027" s="64" t="s">
        <v>324</v>
      </c>
      <c r="C1027" s="64" t="s">
        <v>345</v>
      </c>
      <c r="D1027" s="64" t="s">
        <v>1632</v>
      </c>
      <c r="E1027" s="64" t="s">
        <v>324</v>
      </c>
      <c r="F1027" s="65" t="s">
        <v>1393</v>
      </c>
      <c r="G1027" s="64" t="s">
        <v>624</v>
      </c>
      <c r="H1027" s="64" t="s">
        <v>229</v>
      </c>
      <c r="I1027" s="64" t="s">
        <v>10</v>
      </c>
      <c r="J1027" s="64" t="s">
        <v>201</v>
      </c>
      <c r="K1027" s="66">
        <v>48.1</v>
      </c>
      <c r="L1027" s="66">
        <f>K1027*VLOOKUP(I1027,dagsoorttabel1,2,FALSE)</f>
        <v>48.1</v>
      </c>
      <c r="M1027" s="67">
        <f>prodnorm43</f>
        <v>0</v>
      </c>
      <c r="N1027" s="68">
        <f>dagwerk43</f>
        <v>0</v>
      </c>
      <c r="O1027" s="64" t="s">
        <v>38</v>
      </c>
      <c r="P1027" s="69">
        <f>uurtarief43</f>
        <v>0</v>
      </c>
      <c r="Q1027" s="66" t="e">
        <f>IF(ISBLANK(M1027),0,L1027/ROUND(M1027,4))</f>
        <v>#DIV/0!</v>
      </c>
      <c r="R1027" s="66" t="e">
        <f>IF(ISBLANK(M1027),0,Q1027*ROUND(N1027,2))</f>
        <v>#DIV/0!</v>
      </c>
      <c r="S1027" s="69" t="e">
        <f>ROUND(P1027,2)*Q1027</f>
        <v>#DIV/0!</v>
      </c>
      <c r="T1027" s="66" t="e">
        <f>Q1027*dagenperjaar1</f>
        <v>#DIV/0!</v>
      </c>
      <c r="U1027" s="70" t="e">
        <f>T1027*ROUND(P1027,2)</f>
        <v>#DIV/0!</v>
      </c>
    </row>
    <row r="1028" spans="1:21" x14ac:dyDescent="0.2">
      <c r="A1028" s="63" t="s">
        <v>1613</v>
      </c>
      <c r="B1028" s="64" t="s">
        <v>324</v>
      </c>
      <c r="C1028" s="64" t="s">
        <v>345</v>
      </c>
      <c r="D1028" s="64" t="s">
        <v>1633</v>
      </c>
      <c r="E1028" s="64" t="s">
        <v>324</v>
      </c>
      <c r="F1028" s="65" t="s">
        <v>967</v>
      </c>
      <c r="G1028" s="64" t="s">
        <v>624</v>
      </c>
      <c r="H1028" s="64" t="s">
        <v>239</v>
      </c>
      <c r="I1028" s="64" t="s">
        <v>10</v>
      </c>
      <c r="J1028" s="64" t="s">
        <v>201</v>
      </c>
      <c r="K1028" s="66">
        <v>38.799999999999997</v>
      </c>
      <c r="L1028" s="66">
        <f>K1028*VLOOKUP(I1028,dagsoorttabel1,2,FALSE)</f>
        <v>38.799999999999997</v>
      </c>
      <c r="M1028" s="67">
        <f>prodnorm50</f>
        <v>0</v>
      </c>
      <c r="N1028" s="68">
        <f>dagwerk50</f>
        <v>0</v>
      </c>
      <c r="O1028" s="64" t="s">
        <v>38</v>
      </c>
      <c r="P1028" s="69">
        <f>uurtarief50</f>
        <v>0</v>
      </c>
      <c r="Q1028" s="66" t="e">
        <f>IF(ISBLANK(M1028),0,L1028/ROUND(M1028,4))</f>
        <v>#DIV/0!</v>
      </c>
      <c r="R1028" s="66" t="e">
        <f>IF(ISBLANK(M1028),0,Q1028*ROUND(N1028,2))</f>
        <v>#DIV/0!</v>
      </c>
      <c r="S1028" s="69" t="e">
        <f>ROUND(P1028,2)*Q1028</f>
        <v>#DIV/0!</v>
      </c>
      <c r="T1028" s="66" t="e">
        <f>Q1028*dagenperjaar1</f>
        <v>#DIV/0!</v>
      </c>
      <c r="U1028" s="70" t="e">
        <f>T1028*ROUND(P1028,2)</f>
        <v>#DIV/0!</v>
      </c>
    </row>
    <row r="1029" spans="1:21" x14ac:dyDescent="0.2">
      <c r="A1029" s="63" t="s">
        <v>1613</v>
      </c>
      <c r="B1029" s="64" t="s">
        <v>324</v>
      </c>
      <c r="C1029" s="64" t="s">
        <v>345</v>
      </c>
      <c r="D1029" s="64" t="s">
        <v>1634</v>
      </c>
      <c r="E1029" s="64" t="s">
        <v>324</v>
      </c>
      <c r="F1029" s="65" t="s">
        <v>1393</v>
      </c>
      <c r="G1029" s="64" t="s">
        <v>328</v>
      </c>
      <c r="H1029" s="64" t="s">
        <v>229</v>
      </c>
      <c r="I1029" s="64" t="s">
        <v>10</v>
      </c>
      <c r="J1029" s="64" t="s">
        <v>201</v>
      </c>
      <c r="K1029" s="66">
        <v>46</v>
      </c>
      <c r="L1029" s="66">
        <f>K1029*VLOOKUP(I1029,dagsoorttabel1,2,FALSE)</f>
        <v>46</v>
      </c>
      <c r="M1029" s="67">
        <f>prodnorm43</f>
        <v>0</v>
      </c>
      <c r="N1029" s="68">
        <f>dagwerk43</f>
        <v>0</v>
      </c>
      <c r="O1029" s="64" t="s">
        <v>38</v>
      </c>
      <c r="P1029" s="69">
        <f>uurtarief43</f>
        <v>0</v>
      </c>
      <c r="Q1029" s="66" t="e">
        <f>IF(ISBLANK(M1029),0,L1029/ROUND(M1029,4))</f>
        <v>#DIV/0!</v>
      </c>
      <c r="R1029" s="66" t="e">
        <f>IF(ISBLANK(M1029),0,Q1029*ROUND(N1029,2))</f>
        <v>#DIV/0!</v>
      </c>
      <c r="S1029" s="69" t="e">
        <f>ROUND(P1029,2)*Q1029</f>
        <v>#DIV/0!</v>
      </c>
      <c r="T1029" s="66" t="e">
        <f>Q1029*dagenperjaar1</f>
        <v>#DIV/0!</v>
      </c>
      <c r="U1029" s="70" t="e">
        <f>T1029*ROUND(P1029,2)</f>
        <v>#DIV/0!</v>
      </c>
    </row>
    <row r="1030" spans="1:21" x14ac:dyDescent="0.2">
      <c r="A1030" s="63" t="s">
        <v>1613</v>
      </c>
      <c r="B1030" s="64" t="s">
        <v>324</v>
      </c>
      <c r="C1030" s="64" t="s">
        <v>345</v>
      </c>
      <c r="D1030" s="64" t="s">
        <v>1635</v>
      </c>
      <c r="E1030" s="64" t="s">
        <v>324</v>
      </c>
      <c r="F1030" s="65" t="s">
        <v>1636</v>
      </c>
      <c r="G1030" s="64" t="s">
        <v>1616</v>
      </c>
      <c r="H1030" s="64" t="s">
        <v>243</v>
      </c>
      <c r="I1030" s="64" t="s">
        <v>10</v>
      </c>
      <c r="J1030" s="64" t="s">
        <v>201</v>
      </c>
      <c r="K1030" s="66">
        <v>77.400000000000006</v>
      </c>
      <c r="L1030" s="66">
        <f>K1030*VLOOKUP(I1030,dagsoorttabel1,2,FALSE)</f>
        <v>77.400000000000006</v>
      </c>
      <c r="M1030" s="67">
        <f>prodnorm52</f>
        <v>0</v>
      </c>
      <c r="N1030" s="68">
        <f>dagwerk52</f>
        <v>0</v>
      </c>
      <c r="O1030" s="64" t="s">
        <v>38</v>
      </c>
      <c r="P1030" s="69">
        <f>uurtarief52</f>
        <v>0</v>
      </c>
      <c r="Q1030" s="66" t="e">
        <f>IF(ISBLANK(M1030),0,L1030/ROUND(M1030,4))</f>
        <v>#DIV/0!</v>
      </c>
      <c r="R1030" s="66" t="e">
        <f>IF(ISBLANK(M1030),0,Q1030*ROUND(N1030,2))</f>
        <v>#DIV/0!</v>
      </c>
      <c r="S1030" s="69" t="e">
        <f>ROUND(P1030,2)*Q1030</f>
        <v>#DIV/0!</v>
      </c>
      <c r="T1030" s="66" t="e">
        <f>Q1030*dagenperjaar1</f>
        <v>#DIV/0!</v>
      </c>
      <c r="U1030" s="70" t="e">
        <f>T1030*ROUND(P1030,2)</f>
        <v>#DIV/0!</v>
      </c>
    </row>
    <row r="1031" spans="1:21" x14ac:dyDescent="0.2">
      <c r="A1031" s="63" t="s">
        <v>1613</v>
      </c>
      <c r="B1031" s="64" t="s">
        <v>324</v>
      </c>
      <c r="C1031" s="64" t="s">
        <v>345</v>
      </c>
      <c r="D1031" s="64" t="s">
        <v>1637</v>
      </c>
      <c r="E1031" s="64" t="s">
        <v>324</v>
      </c>
      <c r="F1031" s="65" t="s">
        <v>1638</v>
      </c>
      <c r="G1031" s="64" t="s">
        <v>328</v>
      </c>
      <c r="H1031" s="64" t="s">
        <v>200</v>
      </c>
      <c r="I1031" s="64" t="s">
        <v>10</v>
      </c>
      <c r="J1031" s="64" t="s">
        <v>201</v>
      </c>
      <c r="K1031" s="66">
        <v>504.2</v>
      </c>
      <c r="L1031" s="66">
        <f>K1031*VLOOKUP(I1031,dagsoorttabel1,2,FALSE)</f>
        <v>504.2</v>
      </c>
      <c r="M1031" s="67">
        <f>prodnorm24</f>
        <v>0</v>
      </c>
      <c r="N1031" s="68">
        <f>dagwerk24</f>
        <v>0</v>
      </c>
      <c r="O1031" s="64" t="s">
        <v>38</v>
      </c>
      <c r="P1031" s="69">
        <f>uurtarief24</f>
        <v>0</v>
      </c>
      <c r="Q1031" s="66" t="e">
        <f>IF(ISBLANK(M1031),0,L1031/ROUND(M1031,4))</f>
        <v>#DIV/0!</v>
      </c>
      <c r="R1031" s="66" t="e">
        <f>IF(ISBLANK(M1031),0,Q1031*ROUND(N1031,2))</f>
        <v>#DIV/0!</v>
      </c>
      <c r="S1031" s="69" t="e">
        <f>ROUND(P1031,2)*Q1031</f>
        <v>#DIV/0!</v>
      </c>
      <c r="T1031" s="66" t="e">
        <f>Q1031*dagenperjaar1</f>
        <v>#DIV/0!</v>
      </c>
      <c r="U1031" s="70" t="e">
        <f>T1031*ROUND(P1031,2)</f>
        <v>#DIV/0!</v>
      </c>
    </row>
    <row r="1032" spans="1:21" x14ac:dyDescent="0.2">
      <c r="A1032" s="63" t="s">
        <v>1613</v>
      </c>
      <c r="B1032" s="64" t="s">
        <v>324</v>
      </c>
      <c r="C1032" s="64" t="s">
        <v>345</v>
      </c>
      <c r="D1032" s="64" t="s">
        <v>1639</v>
      </c>
      <c r="E1032" s="64" t="s">
        <v>324</v>
      </c>
      <c r="F1032" s="65" t="s">
        <v>1638</v>
      </c>
      <c r="G1032" s="64" t="s">
        <v>339</v>
      </c>
      <c r="H1032" s="64" t="s">
        <v>200</v>
      </c>
      <c r="I1032" s="64" t="s">
        <v>10</v>
      </c>
      <c r="J1032" s="64" t="s">
        <v>201</v>
      </c>
      <c r="K1032" s="66">
        <v>20</v>
      </c>
      <c r="L1032" s="66">
        <f>K1032*VLOOKUP(I1032,dagsoorttabel1,2,FALSE)</f>
        <v>20</v>
      </c>
      <c r="M1032" s="67">
        <f>prodnorm24</f>
        <v>0</v>
      </c>
      <c r="N1032" s="68">
        <f>dagwerk24</f>
        <v>0</v>
      </c>
      <c r="O1032" s="64" t="s">
        <v>38</v>
      </c>
      <c r="P1032" s="69">
        <f>uurtarief24</f>
        <v>0</v>
      </c>
      <c r="Q1032" s="66" t="e">
        <f>IF(ISBLANK(M1032),0,L1032/ROUND(M1032,4))</f>
        <v>#DIV/0!</v>
      </c>
      <c r="R1032" s="66" t="e">
        <f>IF(ISBLANK(M1032),0,Q1032*ROUND(N1032,2))</f>
        <v>#DIV/0!</v>
      </c>
      <c r="S1032" s="69" t="e">
        <f>ROUND(P1032,2)*Q1032</f>
        <v>#DIV/0!</v>
      </c>
      <c r="T1032" s="66" t="e">
        <f>Q1032*dagenperjaar1</f>
        <v>#DIV/0!</v>
      </c>
      <c r="U1032" s="70" t="e">
        <f>T1032*ROUND(P1032,2)</f>
        <v>#DIV/0!</v>
      </c>
    </row>
    <row r="1033" spans="1:21" x14ac:dyDescent="0.2">
      <c r="A1033" s="63" t="s">
        <v>1613</v>
      </c>
      <c r="B1033" s="64" t="s">
        <v>324</v>
      </c>
      <c r="C1033" s="64" t="s">
        <v>345</v>
      </c>
      <c r="D1033" s="64" t="s">
        <v>1640</v>
      </c>
      <c r="E1033" s="64" t="s">
        <v>324</v>
      </c>
      <c r="F1033" s="65" t="s">
        <v>1641</v>
      </c>
      <c r="G1033" s="64" t="s">
        <v>1616</v>
      </c>
      <c r="H1033" s="64" t="s">
        <v>267</v>
      </c>
      <c r="I1033" s="64" t="s">
        <v>10</v>
      </c>
      <c r="J1033" s="64" t="s">
        <v>201</v>
      </c>
      <c r="K1033" s="66">
        <v>212.5</v>
      </c>
      <c r="L1033" s="66">
        <f>K1033*VLOOKUP(I1033,dagsoorttabel1,2,FALSE)</f>
        <v>212.5</v>
      </c>
      <c r="M1033" s="67">
        <f>prodnorm65</f>
        <v>0</v>
      </c>
      <c r="N1033" s="68">
        <f>dagwerk65</f>
        <v>0</v>
      </c>
      <c r="O1033" s="64" t="s">
        <v>38</v>
      </c>
      <c r="P1033" s="69">
        <f>uurtarief65</f>
        <v>0</v>
      </c>
      <c r="Q1033" s="66" t="e">
        <f>IF(ISBLANK(M1033),0,L1033/ROUND(M1033,4))</f>
        <v>#DIV/0!</v>
      </c>
      <c r="R1033" s="66" t="e">
        <f>IF(ISBLANK(M1033),0,Q1033*ROUND(N1033,2))</f>
        <v>#DIV/0!</v>
      </c>
      <c r="S1033" s="69" t="e">
        <f>ROUND(P1033,2)*Q1033</f>
        <v>#DIV/0!</v>
      </c>
      <c r="T1033" s="66" t="e">
        <f>Q1033*dagenperjaar1</f>
        <v>#DIV/0!</v>
      </c>
      <c r="U1033" s="70" t="e">
        <f>T1033*ROUND(P1033,2)</f>
        <v>#DIV/0!</v>
      </c>
    </row>
    <row r="1034" spans="1:21" x14ac:dyDescent="0.2">
      <c r="A1034" s="63" t="s">
        <v>1613</v>
      </c>
      <c r="B1034" s="64" t="s">
        <v>324</v>
      </c>
      <c r="C1034" s="64" t="s">
        <v>345</v>
      </c>
      <c r="D1034" s="64" t="s">
        <v>1642</v>
      </c>
      <c r="E1034" s="64" t="s">
        <v>324</v>
      </c>
      <c r="F1034" s="65" t="s">
        <v>335</v>
      </c>
      <c r="G1034" s="64" t="s">
        <v>328</v>
      </c>
      <c r="H1034" s="64" t="s">
        <v>267</v>
      </c>
      <c r="I1034" s="64" t="s">
        <v>10</v>
      </c>
      <c r="J1034" s="64" t="s">
        <v>201</v>
      </c>
      <c r="K1034" s="66">
        <v>62</v>
      </c>
      <c r="L1034" s="66">
        <f>K1034*VLOOKUP(I1034,dagsoorttabel1,2,FALSE)</f>
        <v>62</v>
      </c>
      <c r="M1034" s="67">
        <f>prodnorm65</f>
        <v>0</v>
      </c>
      <c r="N1034" s="68">
        <f>dagwerk65</f>
        <v>0</v>
      </c>
      <c r="O1034" s="64" t="s">
        <v>38</v>
      </c>
      <c r="P1034" s="69">
        <f>uurtarief65</f>
        <v>0</v>
      </c>
      <c r="Q1034" s="66" t="e">
        <f>IF(ISBLANK(M1034),0,L1034/ROUND(M1034,4))</f>
        <v>#DIV/0!</v>
      </c>
      <c r="R1034" s="66" t="e">
        <f>IF(ISBLANK(M1034),0,Q1034*ROUND(N1034,2))</f>
        <v>#DIV/0!</v>
      </c>
      <c r="S1034" s="69" t="e">
        <f>ROUND(P1034,2)*Q1034</f>
        <v>#DIV/0!</v>
      </c>
      <c r="T1034" s="66" t="e">
        <f>Q1034*dagenperjaar1</f>
        <v>#DIV/0!</v>
      </c>
      <c r="U1034" s="70" t="e">
        <f>T1034*ROUND(P1034,2)</f>
        <v>#DIV/0!</v>
      </c>
    </row>
    <row r="1035" spans="1:21" x14ac:dyDescent="0.2">
      <c r="A1035" s="63" t="s">
        <v>1613</v>
      </c>
      <c r="B1035" s="64" t="s">
        <v>324</v>
      </c>
      <c r="C1035" s="64" t="s">
        <v>345</v>
      </c>
      <c r="D1035" s="64" t="s">
        <v>1643</v>
      </c>
      <c r="E1035" s="64" t="s">
        <v>324</v>
      </c>
      <c r="F1035" s="65" t="s">
        <v>638</v>
      </c>
      <c r="G1035" s="64" t="s">
        <v>1644</v>
      </c>
      <c r="H1035" s="64" t="s">
        <v>263</v>
      </c>
      <c r="I1035" s="64" t="s">
        <v>10</v>
      </c>
      <c r="J1035" s="64" t="s">
        <v>201</v>
      </c>
      <c r="K1035" s="66">
        <v>15</v>
      </c>
      <c r="L1035" s="66">
        <f>K1035*VLOOKUP(I1035,dagsoorttabel1,2,FALSE)</f>
        <v>15</v>
      </c>
      <c r="M1035" s="67">
        <f>prodnorm63</f>
        <v>0</v>
      </c>
      <c r="N1035" s="68">
        <f>dagwerk63</f>
        <v>0</v>
      </c>
      <c r="O1035" s="64" t="s">
        <v>38</v>
      </c>
      <c r="P1035" s="69">
        <f>uurtarief63</f>
        <v>0</v>
      </c>
      <c r="Q1035" s="66" t="e">
        <f>IF(ISBLANK(M1035),0,L1035/ROUND(M1035,4))</f>
        <v>#DIV/0!</v>
      </c>
      <c r="R1035" s="66" t="e">
        <f>IF(ISBLANK(M1035),0,Q1035*ROUND(N1035,2))</f>
        <v>#DIV/0!</v>
      </c>
      <c r="S1035" s="69" t="e">
        <f>ROUND(P1035,2)*Q1035</f>
        <v>#DIV/0!</v>
      </c>
      <c r="T1035" s="66" t="e">
        <f>Q1035*dagenperjaar1</f>
        <v>#DIV/0!</v>
      </c>
      <c r="U1035" s="70" t="e">
        <f>T1035*ROUND(P1035,2)</f>
        <v>#DIV/0!</v>
      </c>
    </row>
    <row r="1036" spans="1:21" x14ac:dyDescent="0.2">
      <c r="A1036" s="63" t="s">
        <v>1613</v>
      </c>
      <c r="B1036" s="64" t="s">
        <v>324</v>
      </c>
      <c r="C1036" s="64" t="s">
        <v>345</v>
      </c>
      <c r="D1036" s="64" t="s">
        <v>1645</v>
      </c>
      <c r="E1036" s="64" t="s">
        <v>324</v>
      </c>
      <c r="F1036" s="65" t="s">
        <v>335</v>
      </c>
      <c r="G1036" s="64" t="s">
        <v>328</v>
      </c>
      <c r="H1036" s="64" t="s">
        <v>267</v>
      </c>
      <c r="I1036" s="64" t="s">
        <v>10</v>
      </c>
      <c r="J1036" s="64" t="s">
        <v>201</v>
      </c>
      <c r="K1036" s="66">
        <v>27.3</v>
      </c>
      <c r="L1036" s="66">
        <f>K1036*VLOOKUP(I1036,dagsoorttabel1,2,FALSE)</f>
        <v>27.3</v>
      </c>
      <c r="M1036" s="67">
        <f>prodnorm65</f>
        <v>0</v>
      </c>
      <c r="N1036" s="68">
        <f>dagwerk65</f>
        <v>0</v>
      </c>
      <c r="O1036" s="64" t="s">
        <v>38</v>
      </c>
      <c r="P1036" s="69">
        <f>uurtarief65</f>
        <v>0</v>
      </c>
      <c r="Q1036" s="66" t="e">
        <f>IF(ISBLANK(M1036),0,L1036/ROUND(M1036,4))</f>
        <v>#DIV/0!</v>
      </c>
      <c r="R1036" s="66" t="e">
        <f>IF(ISBLANK(M1036),0,Q1036*ROUND(N1036,2))</f>
        <v>#DIV/0!</v>
      </c>
      <c r="S1036" s="69" t="e">
        <f>ROUND(P1036,2)*Q1036</f>
        <v>#DIV/0!</v>
      </c>
      <c r="T1036" s="66" t="e">
        <f>Q1036*dagenperjaar1</f>
        <v>#DIV/0!</v>
      </c>
      <c r="U1036" s="70" t="e">
        <f>T1036*ROUND(P1036,2)</f>
        <v>#DIV/0!</v>
      </c>
    </row>
    <row r="1037" spans="1:21" x14ac:dyDescent="0.2">
      <c r="A1037" s="63" t="s">
        <v>1613</v>
      </c>
      <c r="B1037" s="64" t="s">
        <v>324</v>
      </c>
      <c r="C1037" s="64" t="s">
        <v>345</v>
      </c>
      <c r="D1037" s="64" t="s">
        <v>1646</v>
      </c>
      <c r="E1037" s="64" t="s">
        <v>324</v>
      </c>
      <c r="F1037" s="65" t="s">
        <v>335</v>
      </c>
      <c r="G1037" s="64" t="s">
        <v>328</v>
      </c>
      <c r="H1037" s="64" t="s">
        <v>267</v>
      </c>
      <c r="I1037" s="64" t="s">
        <v>10</v>
      </c>
      <c r="J1037" s="64" t="s">
        <v>201</v>
      </c>
      <c r="K1037" s="66">
        <v>16.399999999999999</v>
      </c>
      <c r="L1037" s="66">
        <f>K1037*VLOOKUP(I1037,dagsoorttabel1,2,FALSE)</f>
        <v>16.399999999999999</v>
      </c>
      <c r="M1037" s="67">
        <f>prodnorm65</f>
        <v>0</v>
      </c>
      <c r="N1037" s="68">
        <f>dagwerk65</f>
        <v>0</v>
      </c>
      <c r="O1037" s="64" t="s">
        <v>38</v>
      </c>
      <c r="P1037" s="69">
        <f>uurtarief65</f>
        <v>0</v>
      </c>
      <c r="Q1037" s="66" t="e">
        <f>IF(ISBLANK(M1037),0,L1037/ROUND(M1037,4))</f>
        <v>#DIV/0!</v>
      </c>
      <c r="R1037" s="66" t="e">
        <f>IF(ISBLANK(M1037),0,Q1037*ROUND(N1037,2))</f>
        <v>#DIV/0!</v>
      </c>
      <c r="S1037" s="69" t="e">
        <f>ROUND(P1037,2)*Q1037</f>
        <v>#DIV/0!</v>
      </c>
      <c r="T1037" s="66" t="e">
        <f>Q1037*dagenperjaar1</f>
        <v>#DIV/0!</v>
      </c>
      <c r="U1037" s="70" t="e">
        <f>T1037*ROUND(P1037,2)</f>
        <v>#DIV/0!</v>
      </c>
    </row>
    <row r="1038" spans="1:21" x14ac:dyDescent="0.2">
      <c r="A1038" s="63" t="s">
        <v>1613</v>
      </c>
      <c r="B1038" s="64" t="s">
        <v>324</v>
      </c>
      <c r="C1038" s="64" t="s">
        <v>345</v>
      </c>
      <c r="D1038" s="64" t="s">
        <v>1647</v>
      </c>
      <c r="E1038" s="64" t="s">
        <v>324</v>
      </c>
      <c r="F1038" s="65" t="s">
        <v>335</v>
      </c>
      <c r="G1038" s="64" t="s">
        <v>328</v>
      </c>
      <c r="H1038" s="64" t="s">
        <v>267</v>
      </c>
      <c r="I1038" s="64" t="s">
        <v>10</v>
      </c>
      <c r="J1038" s="64" t="s">
        <v>201</v>
      </c>
      <c r="K1038" s="66">
        <v>7.5</v>
      </c>
      <c r="L1038" s="66">
        <f>K1038*VLOOKUP(I1038,dagsoorttabel1,2,FALSE)</f>
        <v>7.5</v>
      </c>
      <c r="M1038" s="67">
        <f>prodnorm65</f>
        <v>0</v>
      </c>
      <c r="N1038" s="68">
        <f>dagwerk65</f>
        <v>0</v>
      </c>
      <c r="O1038" s="64" t="s">
        <v>38</v>
      </c>
      <c r="P1038" s="69">
        <f>uurtarief65</f>
        <v>0</v>
      </c>
      <c r="Q1038" s="66" t="e">
        <f>IF(ISBLANK(M1038),0,L1038/ROUND(M1038,4))</f>
        <v>#DIV/0!</v>
      </c>
      <c r="R1038" s="66" t="e">
        <f>IF(ISBLANK(M1038),0,Q1038*ROUND(N1038,2))</f>
        <v>#DIV/0!</v>
      </c>
      <c r="S1038" s="69" t="e">
        <f>ROUND(P1038,2)*Q1038</f>
        <v>#DIV/0!</v>
      </c>
      <c r="T1038" s="66" t="e">
        <f>Q1038*dagenperjaar1</f>
        <v>#DIV/0!</v>
      </c>
      <c r="U1038" s="70" t="e">
        <f>T1038*ROUND(P1038,2)</f>
        <v>#DIV/0!</v>
      </c>
    </row>
    <row r="1039" spans="1:21" x14ac:dyDescent="0.2">
      <c r="A1039" s="63" t="s">
        <v>1613</v>
      </c>
      <c r="B1039" s="64" t="s">
        <v>324</v>
      </c>
      <c r="C1039" s="64" t="s">
        <v>345</v>
      </c>
      <c r="D1039" s="64" t="s">
        <v>1648</v>
      </c>
      <c r="E1039" s="64" t="s">
        <v>324</v>
      </c>
      <c r="F1039" s="65" t="s">
        <v>655</v>
      </c>
      <c r="G1039" s="64" t="s">
        <v>328</v>
      </c>
      <c r="H1039" s="64" t="s">
        <v>263</v>
      </c>
      <c r="I1039" s="64" t="s">
        <v>10</v>
      </c>
      <c r="J1039" s="64" t="s">
        <v>201</v>
      </c>
      <c r="K1039" s="66">
        <v>16</v>
      </c>
      <c r="L1039" s="66">
        <f>K1039*VLOOKUP(I1039,dagsoorttabel1,2,FALSE)</f>
        <v>16</v>
      </c>
      <c r="M1039" s="67">
        <f>prodnorm63</f>
        <v>0</v>
      </c>
      <c r="N1039" s="68">
        <f>dagwerk63</f>
        <v>0</v>
      </c>
      <c r="O1039" s="64" t="s">
        <v>38</v>
      </c>
      <c r="P1039" s="69">
        <f>uurtarief63</f>
        <v>0</v>
      </c>
      <c r="Q1039" s="66" t="e">
        <f>IF(ISBLANK(M1039),0,L1039/ROUND(M1039,4))</f>
        <v>#DIV/0!</v>
      </c>
      <c r="R1039" s="66" t="e">
        <f>IF(ISBLANK(M1039),0,Q1039*ROUND(N1039,2))</f>
        <v>#DIV/0!</v>
      </c>
      <c r="S1039" s="69" t="e">
        <f>ROUND(P1039,2)*Q1039</f>
        <v>#DIV/0!</v>
      </c>
      <c r="T1039" s="66" t="e">
        <f>Q1039*dagenperjaar1</f>
        <v>#DIV/0!</v>
      </c>
      <c r="U1039" s="70" t="e">
        <f>T1039*ROUND(P1039,2)</f>
        <v>#DIV/0!</v>
      </c>
    </row>
    <row r="1040" spans="1:21" x14ac:dyDescent="0.2">
      <c r="A1040" s="63" t="s">
        <v>1613</v>
      </c>
      <c r="B1040" s="64" t="s">
        <v>324</v>
      </c>
      <c r="C1040" s="64" t="s">
        <v>345</v>
      </c>
      <c r="D1040" s="64" t="s">
        <v>1649</v>
      </c>
      <c r="E1040" s="64" t="s">
        <v>324</v>
      </c>
      <c r="F1040" s="65" t="s">
        <v>655</v>
      </c>
      <c r="G1040" s="64" t="s">
        <v>328</v>
      </c>
      <c r="H1040" s="64" t="s">
        <v>263</v>
      </c>
      <c r="I1040" s="64" t="s">
        <v>10</v>
      </c>
      <c r="J1040" s="64" t="s">
        <v>201</v>
      </c>
      <c r="K1040" s="66">
        <v>16</v>
      </c>
      <c r="L1040" s="66">
        <f>K1040*VLOOKUP(I1040,dagsoorttabel1,2,FALSE)</f>
        <v>16</v>
      </c>
      <c r="M1040" s="67">
        <f>prodnorm63</f>
        <v>0</v>
      </c>
      <c r="N1040" s="68">
        <f>dagwerk63</f>
        <v>0</v>
      </c>
      <c r="O1040" s="64" t="s">
        <v>38</v>
      </c>
      <c r="P1040" s="69">
        <f>uurtarief63</f>
        <v>0</v>
      </c>
      <c r="Q1040" s="66" t="e">
        <f>IF(ISBLANK(M1040),0,L1040/ROUND(M1040,4))</f>
        <v>#DIV/0!</v>
      </c>
      <c r="R1040" s="66" t="e">
        <f>IF(ISBLANK(M1040),0,Q1040*ROUND(N1040,2))</f>
        <v>#DIV/0!</v>
      </c>
      <c r="S1040" s="69" t="e">
        <f>ROUND(P1040,2)*Q1040</f>
        <v>#DIV/0!</v>
      </c>
      <c r="T1040" s="66" t="e">
        <f>Q1040*dagenperjaar1</f>
        <v>#DIV/0!</v>
      </c>
      <c r="U1040" s="70" t="e">
        <f>T1040*ROUND(P1040,2)</f>
        <v>#DIV/0!</v>
      </c>
    </row>
    <row r="1041" spans="1:21" x14ac:dyDescent="0.2">
      <c r="A1041" s="63" t="s">
        <v>1613</v>
      </c>
      <c r="B1041" s="64" t="s">
        <v>324</v>
      </c>
      <c r="C1041" s="64" t="s">
        <v>345</v>
      </c>
      <c r="D1041" s="64" t="s">
        <v>1650</v>
      </c>
      <c r="E1041" s="64" t="s">
        <v>324</v>
      </c>
      <c r="F1041" s="65" t="s">
        <v>655</v>
      </c>
      <c r="G1041" s="64" t="s">
        <v>1651</v>
      </c>
      <c r="H1041" s="64" t="s">
        <v>263</v>
      </c>
      <c r="I1041" s="64" t="s">
        <v>10</v>
      </c>
      <c r="J1041" s="64" t="s">
        <v>201</v>
      </c>
      <c r="K1041" s="66">
        <v>19</v>
      </c>
      <c r="L1041" s="66">
        <f>K1041*VLOOKUP(I1041,dagsoorttabel1,2,FALSE)</f>
        <v>19</v>
      </c>
      <c r="M1041" s="67">
        <f>prodnorm63</f>
        <v>0</v>
      </c>
      <c r="N1041" s="68">
        <f>dagwerk63</f>
        <v>0</v>
      </c>
      <c r="O1041" s="64" t="s">
        <v>38</v>
      </c>
      <c r="P1041" s="69">
        <f>uurtarief63</f>
        <v>0</v>
      </c>
      <c r="Q1041" s="66" t="e">
        <f>IF(ISBLANK(M1041),0,L1041/ROUND(M1041,4))</f>
        <v>#DIV/0!</v>
      </c>
      <c r="R1041" s="66" t="e">
        <f>IF(ISBLANK(M1041),0,Q1041*ROUND(N1041,2))</f>
        <v>#DIV/0!</v>
      </c>
      <c r="S1041" s="69" t="e">
        <f>ROUND(P1041,2)*Q1041</f>
        <v>#DIV/0!</v>
      </c>
      <c r="T1041" s="66" t="e">
        <f>Q1041*dagenperjaar1</f>
        <v>#DIV/0!</v>
      </c>
      <c r="U1041" s="70" t="e">
        <f>T1041*ROUND(P1041,2)</f>
        <v>#DIV/0!</v>
      </c>
    </row>
    <row r="1042" spans="1:21" x14ac:dyDescent="0.2">
      <c r="A1042" s="63" t="s">
        <v>1613</v>
      </c>
      <c r="B1042" s="64" t="s">
        <v>324</v>
      </c>
      <c r="C1042" s="64" t="s">
        <v>345</v>
      </c>
      <c r="D1042" s="64" t="s">
        <v>1652</v>
      </c>
      <c r="E1042" s="64" t="s">
        <v>324</v>
      </c>
      <c r="F1042" s="65" t="s">
        <v>655</v>
      </c>
      <c r="G1042" s="64" t="s">
        <v>328</v>
      </c>
      <c r="H1042" s="64" t="s">
        <v>263</v>
      </c>
      <c r="I1042" s="64" t="s">
        <v>10</v>
      </c>
      <c r="J1042" s="64" t="s">
        <v>201</v>
      </c>
      <c r="K1042" s="66">
        <v>20.100000000000001</v>
      </c>
      <c r="L1042" s="66">
        <f>K1042*VLOOKUP(I1042,dagsoorttabel1,2,FALSE)</f>
        <v>20.100000000000001</v>
      </c>
      <c r="M1042" s="67">
        <f>prodnorm63</f>
        <v>0</v>
      </c>
      <c r="N1042" s="68">
        <f>dagwerk63</f>
        <v>0</v>
      </c>
      <c r="O1042" s="64" t="s">
        <v>38</v>
      </c>
      <c r="P1042" s="69">
        <f>uurtarief63</f>
        <v>0</v>
      </c>
      <c r="Q1042" s="66" t="e">
        <f>IF(ISBLANK(M1042),0,L1042/ROUND(M1042,4))</f>
        <v>#DIV/0!</v>
      </c>
      <c r="R1042" s="66" t="e">
        <f>IF(ISBLANK(M1042),0,Q1042*ROUND(N1042,2))</f>
        <v>#DIV/0!</v>
      </c>
      <c r="S1042" s="69" t="e">
        <f>ROUND(P1042,2)*Q1042</f>
        <v>#DIV/0!</v>
      </c>
      <c r="T1042" s="66" t="e">
        <f>Q1042*dagenperjaar1</f>
        <v>#DIV/0!</v>
      </c>
      <c r="U1042" s="70" t="e">
        <f>T1042*ROUND(P1042,2)</f>
        <v>#DIV/0!</v>
      </c>
    </row>
    <row r="1043" spans="1:21" x14ac:dyDescent="0.2">
      <c r="A1043" s="63" t="s">
        <v>1613</v>
      </c>
      <c r="B1043" s="64" t="s">
        <v>324</v>
      </c>
      <c r="C1043" s="64" t="s">
        <v>345</v>
      </c>
      <c r="D1043" s="64" t="s">
        <v>1653</v>
      </c>
      <c r="E1043" s="64" t="s">
        <v>324</v>
      </c>
      <c r="F1043" s="65" t="s">
        <v>327</v>
      </c>
      <c r="G1043" s="64" t="s">
        <v>328</v>
      </c>
      <c r="H1043" s="64" t="s">
        <v>223</v>
      </c>
      <c r="I1043" s="64" t="s">
        <v>10</v>
      </c>
      <c r="J1043" s="64" t="s">
        <v>201</v>
      </c>
      <c r="K1043" s="66">
        <v>3.5</v>
      </c>
      <c r="L1043" s="66">
        <f>K1043*VLOOKUP(I1043,dagsoorttabel1,2,FALSE)</f>
        <v>3.5</v>
      </c>
      <c r="M1043" s="67">
        <f>prodnorm39</f>
        <v>0</v>
      </c>
      <c r="N1043" s="68">
        <f>dagwerk39</f>
        <v>0</v>
      </c>
      <c r="O1043" s="64" t="s">
        <v>38</v>
      </c>
      <c r="P1043" s="69">
        <f>uurtarief39</f>
        <v>0</v>
      </c>
      <c r="Q1043" s="66" t="e">
        <f>IF(ISBLANK(M1043),0,L1043/ROUND(M1043,4))</f>
        <v>#DIV/0!</v>
      </c>
      <c r="R1043" s="66" t="e">
        <f>IF(ISBLANK(M1043),0,Q1043*ROUND(N1043,2))</f>
        <v>#DIV/0!</v>
      </c>
      <c r="S1043" s="69" t="e">
        <f>ROUND(P1043,2)*Q1043</f>
        <v>#DIV/0!</v>
      </c>
      <c r="T1043" s="66" t="e">
        <f>Q1043*dagenperjaar1</f>
        <v>#DIV/0!</v>
      </c>
      <c r="U1043" s="70" t="e">
        <f>T1043*ROUND(P1043,2)</f>
        <v>#DIV/0!</v>
      </c>
    </row>
    <row r="1044" spans="1:21" x14ac:dyDescent="0.2">
      <c r="A1044" s="63" t="s">
        <v>1613</v>
      </c>
      <c r="B1044" s="64" t="s">
        <v>324</v>
      </c>
      <c r="C1044" s="64" t="s">
        <v>345</v>
      </c>
      <c r="D1044" s="64" t="s">
        <v>1654</v>
      </c>
      <c r="E1044" s="64" t="s">
        <v>324</v>
      </c>
      <c r="F1044" s="65" t="s">
        <v>641</v>
      </c>
      <c r="G1044" s="64" t="s">
        <v>365</v>
      </c>
      <c r="H1044" s="64" t="s">
        <v>255</v>
      </c>
      <c r="I1044" s="64" t="s">
        <v>10</v>
      </c>
      <c r="J1044" s="64" t="s">
        <v>201</v>
      </c>
      <c r="K1044" s="66">
        <v>2.4</v>
      </c>
      <c r="L1044" s="66">
        <f>K1044*VLOOKUP(I1044,dagsoorttabel1,2,FALSE)</f>
        <v>2.4</v>
      </c>
      <c r="M1044" s="67">
        <f>prodnorm59</f>
        <v>0</v>
      </c>
      <c r="N1044" s="68">
        <f>dagwerk59</f>
        <v>0</v>
      </c>
      <c r="O1044" s="64" t="s">
        <v>38</v>
      </c>
      <c r="P1044" s="69">
        <f>uurtarief59</f>
        <v>0</v>
      </c>
      <c r="Q1044" s="66" t="e">
        <f>IF(ISBLANK(M1044),0,L1044/ROUND(M1044,4))</f>
        <v>#DIV/0!</v>
      </c>
      <c r="R1044" s="66" t="e">
        <f>IF(ISBLANK(M1044),0,Q1044*ROUND(N1044,2))</f>
        <v>#DIV/0!</v>
      </c>
      <c r="S1044" s="69" t="e">
        <f>ROUND(P1044,2)*Q1044</f>
        <v>#DIV/0!</v>
      </c>
      <c r="T1044" s="66" t="e">
        <f>Q1044*dagenperjaar1</f>
        <v>#DIV/0!</v>
      </c>
      <c r="U1044" s="70" t="e">
        <f>T1044*ROUND(P1044,2)</f>
        <v>#DIV/0!</v>
      </c>
    </row>
    <row r="1045" spans="1:21" x14ac:dyDescent="0.2">
      <c r="A1045" s="63" t="s">
        <v>1613</v>
      </c>
      <c r="B1045" s="64" t="s">
        <v>324</v>
      </c>
      <c r="C1045" s="64" t="s">
        <v>345</v>
      </c>
      <c r="D1045" s="64" t="s">
        <v>1655</v>
      </c>
      <c r="E1045" s="64" t="s">
        <v>324</v>
      </c>
      <c r="F1045" s="65" t="s">
        <v>641</v>
      </c>
      <c r="G1045" s="64" t="s">
        <v>365</v>
      </c>
      <c r="H1045" s="64" t="s">
        <v>255</v>
      </c>
      <c r="I1045" s="64" t="s">
        <v>10</v>
      </c>
      <c r="J1045" s="64" t="s">
        <v>201</v>
      </c>
      <c r="K1045" s="66">
        <v>2.2999999999999998</v>
      </c>
      <c r="L1045" s="66">
        <f>K1045*VLOOKUP(I1045,dagsoorttabel1,2,FALSE)</f>
        <v>2.2999999999999998</v>
      </c>
      <c r="M1045" s="67">
        <f>prodnorm59</f>
        <v>0</v>
      </c>
      <c r="N1045" s="68">
        <f>dagwerk59</f>
        <v>0</v>
      </c>
      <c r="O1045" s="64" t="s">
        <v>38</v>
      </c>
      <c r="P1045" s="69">
        <f>uurtarief59</f>
        <v>0</v>
      </c>
      <c r="Q1045" s="66" t="e">
        <f>IF(ISBLANK(M1045),0,L1045/ROUND(M1045,4))</f>
        <v>#DIV/0!</v>
      </c>
      <c r="R1045" s="66" t="e">
        <f>IF(ISBLANK(M1045),0,Q1045*ROUND(N1045,2))</f>
        <v>#DIV/0!</v>
      </c>
      <c r="S1045" s="69" t="e">
        <f>ROUND(P1045,2)*Q1045</f>
        <v>#DIV/0!</v>
      </c>
      <c r="T1045" s="66" t="e">
        <f>Q1045*dagenperjaar1</f>
        <v>#DIV/0!</v>
      </c>
      <c r="U1045" s="70" t="e">
        <f>T1045*ROUND(P1045,2)</f>
        <v>#DIV/0!</v>
      </c>
    </row>
    <row r="1046" spans="1:21" x14ac:dyDescent="0.2">
      <c r="A1046" s="63" t="s">
        <v>1613</v>
      </c>
      <c r="B1046" s="64" t="s">
        <v>324</v>
      </c>
      <c r="C1046" s="64" t="s">
        <v>345</v>
      </c>
      <c r="D1046" s="64" t="s">
        <v>1656</v>
      </c>
      <c r="E1046" s="64" t="s">
        <v>324</v>
      </c>
      <c r="F1046" s="65" t="s">
        <v>641</v>
      </c>
      <c r="G1046" s="64" t="s">
        <v>365</v>
      </c>
      <c r="H1046" s="64" t="s">
        <v>255</v>
      </c>
      <c r="I1046" s="64" t="s">
        <v>10</v>
      </c>
      <c r="J1046" s="64" t="s">
        <v>201</v>
      </c>
      <c r="K1046" s="66">
        <v>7.6</v>
      </c>
      <c r="L1046" s="66">
        <f>K1046*VLOOKUP(I1046,dagsoorttabel1,2,FALSE)</f>
        <v>7.6</v>
      </c>
      <c r="M1046" s="67">
        <f>prodnorm59</f>
        <v>0</v>
      </c>
      <c r="N1046" s="68">
        <f>dagwerk59</f>
        <v>0</v>
      </c>
      <c r="O1046" s="64" t="s">
        <v>38</v>
      </c>
      <c r="P1046" s="69">
        <f>uurtarief59</f>
        <v>0</v>
      </c>
      <c r="Q1046" s="66" t="e">
        <f>IF(ISBLANK(M1046),0,L1046/ROUND(M1046,4))</f>
        <v>#DIV/0!</v>
      </c>
      <c r="R1046" s="66" t="e">
        <f>IF(ISBLANK(M1046),0,Q1046*ROUND(N1046,2))</f>
        <v>#DIV/0!</v>
      </c>
      <c r="S1046" s="69" t="e">
        <f>ROUND(P1046,2)*Q1046</f>
        <v>#DIV/0!</v>
      </c>
      <c r="T1046" s="66" t="e">
        <f>Q1046*dagenperjaar1</f>
        <v>#DIV/0!</v>
      </c>
      <c r="U1046" s="70" t="e">
        <f>T1046*ROUND(P1046,2)</f>
        <v>#DIV/0!</v>
      </c>
    </row>
    <row r="1047" spans="1:21" x14ac:dyDescent="0.2">
      <c r="A1047" s="63" t="s">
        <v>1613</v>
      </c>
      <c r="B1047" s="64" t="s">
        <v>324</v>
      </c>
      <c r="C1047" s="64" t="s">
        <v>345</v>
      </c>
      <c r="D1047" s="64" t="s">
        <v>1657</v>
      </c>
      <c r="E1047" s="64" t="s">
        <v>324</v>
      </c>
      <c r="F1047" s="65" t="s">
        <v>641</v>
      </c>
      <c r="G1047" s="64" t="s">
        <v>365</v>
      </c>
      <c r="H1047" s="64" t="s">
        <v>255</v>
      </c>
      <c r="I1047" s="64" t="s">
        <v>10</v>
      </c>
      <c r="J1047" s="64" t="s">
        <v>201</v>
      </c>
      <c r="K1047" s="66">
        <v>7.6</v>
      </c>
      <c r="L1047" s="66">
        <f>K1047*VLOOKUP(I1047,dagsoorttabel1,2,FALSE)</f>
        <v>7.6</v>
      </c>
      <c r="M1047" s="67">
        <f>prodnorm59</f>
        <v>0</v>
      </c>
      <c r="N1047" s="68">
        <f>dagwerk59</f>
        <v>0</v>
      </c>
      <c r="O1047" s="64" t="s">
        <v>38</v>
      </c>
      <c r="P1047" s="69">
        <f>uurtarief59</f>
        <v>0</v>
      </c>
      <c r="Q1047" s="66" t="e">
        <f>IF(ISBLANK(M1047),0,L1047/ROUND(M1047,4))</f>
        <v>#DIV/0!</v>
      </c>
      <c r="R1047" s="66" t="e">
        <f>IF(ISBLANK(M1047),0,Q1047*ROUND(N1047,2))</f>
        <v>#DIV/0!</v>
      </c>
      <c r="S1047" s="69" t="e">
        <f>ROUND(P1047,2)*Q1047</f>
        <v>#DIV/0!</v>
      </c>
      <c r="T1047" s="66" t="e">
        <f>Q1047*dagenperjaar1</f>
        <v>#DIV/0!</v>
      </c>
      <c r="U1047" s="70" t="e">
        <f>T1047*ROUND(P1047,2)</f>
        <v>#DIV/0!</v>
      </c>
    </row>
    <row r="1048" spans="1:21" x14ac:dyDescent="0.2">
      <c r="A1048" s="63" t="s">
        <v>1613</v>
      </c>
      <c r="B1048" s="64" t="s">
        <v>324</v>
      </c>
      <c r="C1048" s="64" t="s">
        <v>345</v>
      </c>
      <c r="D1048" s="64" t="s">
        <v>1658</v>
      </c>
      <c r="E1048" s="64" t="s">
        <v>324</v>
      </c>
      <c r="F1048" s="65" t="s">
        <v>641</v>
      </c>
      <c r="G1048" s="64" t="s">
        <v>365</v>
      </c>
      <c r="H1048" s="64" t="s">
        <v>255</v>
      </c>
      <c r="I1048" s="64" t="s">
        <v>10</v>
      </c>
      <c r="J1048" s="64" t="s">
        <v>201</v>
      </c>
      <c r="K1048" s="66">
        <v>6.8</v>
      </c>
      <c r="L1048" s="66">
        <f>K1048*VLOOKUP(I1048,dagsoorttabel1,2,FALSE)</f>
        <v>6.8</v>
      </c>
      <c r="M1048" s="67">
        <f>prodnorm59</f>
        <v>0</v>
      </c>
      <c r="N1048" s="68">
        <f>dagwerk59</f>
        <v>0</v>
      </c>
      <c r="O1048" s="64" t="s">
        <v>38</v>
      </c>
      <c r="P1048" s="69">
        <f>uurtarief59</f>
        <v>0</v>
      </c>
      <c r="Q1048" s="66" t="e">
        <f>IF(ISBLANK(M1048),0,L1048/ROUND(M1048,4))</f>
        <v>#DIV/0!</v>
      </c>
      <c r="R1048" s="66" t="e">
        <f>IF(ISBLANK(M1048),0,Q1048*ROUND(N1048,2))</f>
        <v>#DIV/0!</v>
      </c>
      <c r="S1048" s="69" t="e">
        <f>ROUND(P1048,2)*Q1048</f>
        <v>#DIV/0!</v>
      </c>
      <c r="T1048" s="66" t="e">
        <f>Q1048*dagenperjaar1</f>
        <v>#DIV/0!</v>
      </c>
      <c r="U1048" s="70" t="e">
        <f>T1048*ROUND(P1048,2)</f>
        <v>#DIV/0!</v>
      </c>
    </row>
    <row r="1049" spans="1:21" x14ac:dyDescent="0.2">
      <c r="A1049" s="63" t="s">
        <v>1613</v>
      </c>
      <c r="B1049" s="64" t="s">
        <v>324</v>
      </c>
      <c r="C1049" s="64" t="s">
        <v>345</v>
      </c>
      <c r="D1049" s="64" t="s">
        <v>1659</v>
      </c>
      <c r="E1049" s="64" t="s">
        <v>324</v>
      </c>
      <c r="F1049" s="65" t="s">
        <v>641</v>
      </c>
      <c r="G1049" s="64" t="s">
        <v>365</v>
      </c>
      <c r="H1049" s="64" t="s">
        <v>255</v>
      </c>
      <c r="I1049" s="64" t="s">
        <v>10</v>
      </c>
      <c r="J1049" s="64" t="s">
        <v>201</v>
      </c>
      <c r="K1049" s="66">
        <v>6.9</v>
      </c>
      <c r="L1049" s="66">
        <f>K1049*VLOOKUP(I1049,dagsoorttabel1,2,FALSE)</f>
        <v>6.9</v>
      </c>
      <c r="M1049" s="67">
        <f>prodnorm59</f>
        <v>0</v>
      </c>
      <c r="N1049" s="68">
        <f>dagwerk59</f>
        <v>0</v>
      </c>
      <c r="O1049" s="64" t="s">
        <v>38</v>
      </c>
      <c r="P1049" s="69">
        <f>uurtarief59</f>
        <v>0</v>
      </c>
      <c r="Q1049" s="66" t="e">
        <f>IF(ISBLANK(M1049),0,L1049/ROUND(M1049,4))</f>
        <v>#DIV/0!</v>
      </c>
      <c r="R1049" s="66" t="e">
        <f>IF(ISBLANK(M1049),0,Q1049*ROUND(N1049,2))</f>
        <v>#DIV/0!</v>
      </c>
      <c r="S1049" s="69" t="e">
        <f>ROUND(P1049,2)*Q1049</f>
        <v>#DIV/0!</v>
      </c>
      <c r="T1049" s="66" t="e">
        <f>Q1049*dagenperjaar1</f>
        <v>#DIV/0!</v>
      </c>
      <c r="U1049" s="70" t="e">
        <f>T1049*ROUND(P1049,2)</f>
        <v>#DIV/0!</v>
      </c>
    </row>
    <row r="1050" spans="1:21" x14ac:dyDescent="0.2">
      <c r="A1050" s="63" t="s">
        <v>1613</v>
      </c>
      <c r="B1050" s="64" t="s">
        <v>324</v>
      </c>
      <c r="C1050" s="64" t="s">
        <v>345</v>
      </c>
      <c r="D1050" s="64" t="s">
        <v>1660</v>
      </c>
      <c r="E1050" s="64" t="s">
        <v>324</v>
      </c>
      <c r="F1050" s="65" t="s">
        <v>364</v>
      </c>
      <c r="G1050" s="64" t="s">
        <v>365</v>
      </c>
      <c r="H1050" s="64" t="s">
        <v>255</v>
      </c>
      <c r="I1050" s="64" t="s">
        <v>10</v>
      </c>
      <c r="J1050" s="64" t="s">
        <v>201</v>
      </c>
      <c r="K1050" s="66">
        <v>3.9</v>
      </c>
      <c r="L1050" s="66">
        <f>K1050*VLOOKUP(I1050,dagsoorttabel1,2,FALSE)</f>
        <v>3.9</v>
      </c>
      <c r="M1050" s="67">
        <f>prodnorm59</f>
        <v>0</v>
      </c>
      <c r="N1050" s="68">
        <f>dagwerk59</f>
        <v>0</v>
      </c>
      <c r="O1050" s="64" t="s">
        <v>38</v>
      </c>
      <c r="P1050" s="69">
        <f>uurtarief59</f>
        <v>0</v>
      </c>
      <c r="Q1050" s="66" t="e">
        <f>IF(ISBLANK(M1050),0,L1050/ROUND(M1050,4))</f>
        <v>#DIV/0!</v>
      </c>
      <c r="R1050" s="66" t="e">
        <f>IF(ISBLANK(M1050),0,Q1050*ROUND(N1050,2))</f>
        <v>#DIV/0!</v>
      </c>
      <c r="S1050" s="69" t="e">
        <f>ROUND(P1050,2)*Q1050</f>
        <v>#DIV/0!</v>
      </c>
      <c r="T1050" s="66" t="e">
        <f>Q1050*dagenperjaar1</f>
        <v>#DIV/0!</v>
      </c>
      <c r="U1050" s="70" t="e">
        <f>T1050*ROUND(P1050,2)</f>
        <v>#DIV/0!</v>
      </c>
    </row>
    <row r="1051" spans="1:21" x14ac:dyDescent="0.2">
      <c r="A1051" s="63" t="s">
        <v>1613</v>
      </c>
      <c r="B1051" s="64" t="s">
        <v>324</v>
      </c>
      <c r="C1051" s="64" t="s">
        <v>345</v>
      </c>
      <c r="D1051" s="64" t="s">
        <v>1661</v>
      </c>
      <c r="E1051" s="64" t="s">
        <v>324</v>
      </c>
      <c r="F1051" s="65" t="s">
        <v>335</v>
      </c>
      <c r="G1051" s="64" t="s">
        <v>328</v>
      </c>
      <c r="H1051" s="64" t="s">
        <v>267</v>
      </c>
      <c r="I1051" s="64" t="s">
        <v>10</v>
      </c>
      <c r="J1051" s="64" t="s">
        <v>201</v>
      </c>
      <c r="K1051" s="66">
        <v>24.4</v>
      </c>
      <c r="L1051" s="66">
        <f>K1051*VLOOKUP(I1051,dagsoorttabel1,2,FALSE)</f>
        <v>24.4</v>
      </c>
      <c r="M1051" s="67">
        <f>prodnorm65</f>
        <v>0</v>
      </c>
      <c r="N1051" s="68">
        <f>dagwerk65</f>
        <v>0</v>
      </c>
      <c r="O1051" s="64" t="s">
        <v>38</v>
      </c>
      <c r="P1051" s="69">
        <f>uurtarief65</f>
        <v>0</v>
      </c>
      <c r="Q1051" s="66" t="e">
        <f>IF(ISBLANK(M1051),0,L1051/ROUND(M1051,4))</f>
        <v>#DIV/0!</v>
      </c>
      <c r="R1051" s="66" t="e">
        <f>IF(ISBLANK(M1051),0,Q1051*ROUND(N1051,2))</f>
        <v>#DIV/0!</v>
      </c>
      <c r="S1051" s="69" t="e">
        <f>ROUND(P1051,2)*Q1051</f>
        <v>#DIV/0!</v>
      </c>
      <c r="T1051" s="66" t="e">
        <f>Q1051*dagenperjaar1</f>
        <v>#DIV/0!</v>
      </c>
      <c r="U1051" s="70" t="e">
        <f>T1051*ROUND(P1051,2)</f>
        <v>#DIV/0!</v>
      </c>
    </row>
    <row r="1052" spans="1:21" x14ac:dyDescent="0.2">
      <c r="A1052" s="63" t="s">
        <v>1613</v>
      </c>
      <c r="B1052" s="64" t="s">
        <v>324</v>
      </c>
      <c r="C1052" s="64" t="s">
        <v>345</v>
      </c>
      <c r="D1052" s="64" t="s">
        <v>1662</v>
      </c>
      <c r="E1052" s="64" t="s">
        <v>324</v>
      </c>
      <c r="F1052" s="65" t="s">
        <v>1636</v>
      </c>
      <c r="G1052" s="64" t="s">
        <v>328</v>
      </c>
      <c r="H1052" s="64" t="s">
        <v>243</v>
      </c>
      <c r="I1052" s="64" t="s">
        <v>10</v>
      </c>
      <c r="J1052" s="64" t="s">
        <v>201</v>
      </c>
      <c r="K1052" s="66">
        <v>87.7</v>
      </c>
      <c r="L1052" s="66">
        <f>K1052*VLOOKUP(I1052,dagsoorttabel1,2,FALSE)</f>
        <v>87.7</v>
      </c>
      <c r="M1052" s="67">
        <f>prodnorm52</f>
        <v>0</v>
      </c>
      <c r="N1052" s="68">
        <f>dagwerk52</f>
        <v>0</v>
      </c>
      <c r="O1052" s="64" t="s">
        <v>38</v>
      </c>
      <c r="P1052" s="69">
        <f>uurtarief52</f>
        <v>0</v>
      </c>
      <c r="Q1052" s="66" t="e">
        <f>IF(ISBLANK(M1052),0,L1052/ROUND(M1052,4))</f>
        <v>#DIV/0!</v>
      </c>
      <c r="R1052" s="66" t="e">
        <f>IF(ISBLANK(M1052),0,Q1052*ROUND(N1052,2))</f>
        <v>#DIV/0!</v>
      </c>
      <c r="S1052" s="69" t="e">
        <f>ROUND(P1052,2)*Q1052</f>
        <v>#DIV/0!</v>
      </c>
      <c r="T1052" s="66" t="e">
        <f>Q1052*dagenperjaar1</f>
        <v>#DIV/0!</v>
      </c>
      <c r="U1052" s="70" t="e">
        <f>T1052*ROUND(P1052,2)</f>
        <v>#DIV/0!</v>
      </c>
    </row>
    <row r="1053" spans="1:21" x14ac:dyDescent="0.2">
      <c r="A1053" s="63" t="s">
        <v>1613</v>
      </c>
      <c r="B1053" s="64" t="s">
        <v>324</v>
      </c>
      <c r="C1053" s="64" t="s">
        <v>345</v>
      </c>
      <c r="D1053" s="64" t="s">
        <v>1663</v>
      </c>
      <c r="E1053" s="64" t="s">
        <v>324</v>
      </c>
      <c r="F1053" s="65" t="s">
        <v>1393</v>
      </c>
      <c r="G1053" s="64" t="s">
        <v>328</v>
      </c>
      <c r="H1053" s="64" t="s">
        <v>229</v>
      </c>
      <c r="I1053" s="64" t="s">
        <v>10</v>
      </c>
      <c r="J1053" s="64" t="s">
        <v>201</v>
      </c>
      <c r="K1053" s="66">
        <v>50.4</v>
      </c>
      <c r="L1053" s="66">
        <f>K1053*VLOOKUP(I1053,dagsoorttabel1,2,FALSE)</f>
        <v>50.4</v>
      </c>
      <c r="M1053" s="67">
        <f>prodnorm43</f>
        <v>0</v>
      </c>
      <c r="N1053" s="68">
        <f>dagwerk43</f>
        <v>0</v>
      </c>
      <c r="O1053" s="64" t="s">
        <v>38</v>
      </c>
      <c r="P1053" s="69">
        <f>uurtarief43</f>
        <v>0</v>
      </c>
      <c r="Q1053" s="66" t="e">
        <f>IF(ISBLANK(M1053),0,L1053/ROUND(M1053,4))</f>
        <v>#DIV/0!</v>
      </c>
      <c r="R1053" s="66" t="e">
        <f>IF(ISBLANK(M1053),0,Q1053*ROUND(N1053,2))</f>
        <v>#DIV/0!</v>
      </c>
      <c r="S1053" s="69" t="e">
        <f>ROUND(P1053,2)*Q1053</f>
        <v>#DIV/0!</v>
      </c>
      <c r="T1053" s="66" t="e">
        <f>Q1053*dagenperjaar1</f>
        <v>#DIV/0!</v>
      </c>
      <c r="U1053" s="70" t="e">
        <f>T1053*ROUND(P1053,2)</f>
        <v>#DIV/0!</v>
      </c>
    </row>
    <row r="1054" spans="1:21" x14ac:dyDescent="0.2">
      <c r="A1054" s="63" t="s">
        <v>1613</v>
      </c>
      <c r="B1054" s="64" t="s">
        <v>324</v>
      </c>
      <c r="C1054" s="64" t="s">
        <v>345</v>
      </c>
      <c r="D1054" s="64" t="s">
        <v>1664</v>
      </c>
      <c r="E1054" s="64" t="s">
        <v>324</v>
      </c>
      <c r="F1054" s="65" t="s">
        <v>1393</v>
      </c>
      <c r="G1054" s="64" t="s">
        <v>328</v>
      </c>
      <c r="H1054" s="64" t="s">
        <v>229</v>
      </c>
      <c r="I1054" s="64" t="s">
        <v>10</v>
      </c>
      <c r="J1054" s="64" t="s">
        <v>201</v>
      </c>
      <c r="K1054" s="66">
        <v>50.4</v>
      </c>
      <c r="L1054" s="66">
        <f>K1054*VLOOKUP(I1054,dagsoorttabel1,2,FALSE)</f>
        <v>50.4</v>
      </c>
      <c r="M1054" s="67">
        <f>prodnorm43</f>
        <v>0</v>
      </c>
      <c r="N1054" s="68">
        <f>dagwerk43</f>
        <v>0</v>
      </c>
      <c r="O1054" s="64" t="s">
        <v>38</v>
      </c>
      <c r="P1054" s="69">
        <f>uurtarief43</f>
        <v>0</v>
      </c>
      <c r="Q1054" s="66" t="e">
        <f>IF(ISBLANK(M1054),0,L1054/ROUND(M1054,4))</f>
        <v>#DIV/0!</v>
      </c>
      <c r="R1054" s="66" t="e">
        <f>IF(ISBLANK(M1054),0,Q1054*ROUND(N1054,2))</f>
        <v>#DIV/0!</v>
      </c>
      <c r="S1054" s="69" t="e">
        <f>ROUND(P1054,2)*Q1054</f>
        <v>#DIV/0!</v>
      </c>
      <c r="T1054" s="66" t="e">
        <f>Q1054*dagenperjaar1</f>
        <v>#DIV/0!</v>
      </c>
      <c r="U1054" s="70" t="e">
        <f>T1054*ROUND(P1054,2)</f>
        <v>#DIV/0!</v>
      </c>
    </row>
    <row r="1055" spans="1:21" x14ac:dyDescent="0.2">
      <c r="A1055" s="63" t="s">
        <v>1613</v>
      </c>
      <c r="B1055" s="64" t="s">
        <v>324</v>
      </c>
      <c r="C1055" s="64" t="s">
        <v>323</v>
      </c>
      <c r="D1055" s="64" t="s">
        <v>1665</v>
      </c>
      <c r="E1055" s="64" t="s">
        <v>324</v>
      </c>
      <c r="F1055" s="65" t="s">
        <v>1393</v>
      </c>
      <c r="G1055" s="64" t="s">
        <v>1666</v>
      </c>
      <c r="H1055" s="64" t="s">
        <v>229</v>
      </c>
      <c r="I1055" s="64" t="s">
        <v>10</v>
      </c>
      <c r="J1055" s="64" t="s">
        <v>201</v>
      </c>
      <c r="K1055" s="66">
        <v>51.7</v>
      </c>
      <c r="L1055" s="66">
        <f>K1055*VLOOKUP(I1055,dagsoorttabel1,2,FALSE)</f>
        <v>51.7</v>
      </c>
      <c r="M1055" s="67">
        <f>prodnorm43</f>
        <v>0</v>
      </c>
      <c r="N1055" s="68">
        <f>dagwerk43</f>
        <v>0</v>
      </c>
      <c r="O1055" s="64" t="s">
        <v>38</v>
      </c>
      <c r="P1055" s="69">
        <f>uurtarief43</f>
        <v>0</v>
      </c>
      <c r="Q1055" s="66" t="e">
        <f>IF(ISBLANK(M1055),0,L1055/ROUND(M1055,4))</f>
        <v>#DIV/0!</v>
      </c>
      <c r="R1055" s="66" t="e">
        <f>IF(ISBLANK(M1055),0,Q1055*ROUND(N1055,2))</f>
        <v>#DIV/0!</v>
      </c>
      <c r="S1055" s="69" t="e">
        <f>ROUND(P1055,2)*Q1055</f>
        <v>#DIV/0!</v>
      </c>
      <c r="T1055" s="66" t="e">
        <f>Q1055*dagenperjaar1</f>
        <v>#DIV/0!</v>
      </c>
      <c r="U1055" s="70" t="e">
        <f>T1055*ROUND(P1055,2)</f>
        <v>#DIV/0!</v>
      </c>
    </row>
    <row r="1056" spans="1:21" x14ac:dyDescent="0.2">
      <c r="A1056" s="63" t="s">
        <v>1613</v>
      </c>
      <c r="B1056" s="64" t="s">
        <v>324</v>
      </c>
      <c r="C1056" s="64" t="s">
        <v>323</v>
      </c>
      <c r="D1056" s="64" t="s">
        <v>1667</v>
      </c>
      <c r="E1056" s="64" t="s">
        <v>324</v>
      </c>
      <c r="F1056" s="65" t="s">
        <v>1393</v>
      </c>
      <c r="G1056" s="64" t="s">
        <v>328</v>
      </c>
      <c r="H1056" s="64" t="s">
        <v>229</v>
      </c>
      <c r="I1056" s="64" t="s">
        <v>10</v>
      </c>
      <c r="J1056" s="64" t="s">
        <v>201</v>
      </c>
      <c r="K1056" s="66">
        <v>51.7</v>
      </c>
      <c r="L1056" s="66">
        <f>K1056*VLOOKUP(I1056,dagsoorttabel1,2,FALSE)</f>
        <v>51.7</v>
      </c>
      <c r="M1056" s="67">
        <f>prodnorm43</f>
        <v>0</v>
      </c>
      <c r="N1056" s="68">
        <f>dagwerk43</f>
        <v>0</v>
      </c>
      <c r="O1056" s="64" t="s">
        <v>38</v>
      </c>
      <c r="P1056" s="69">
        <f>uurtarief43</f>
        <v>0</v>
      </c>
      <c r="Q1056" s="66" t="e">
        <f>IF(ISBLANK(M1056),0,L1056/ROUND(M1056,4))</f>
        <v>#DIV/0!</v>
      </c>
      <c r="R1056" s="66" t="e">
        <f>IF(ISBLANK(M1056),0,Q1056*ROUND(N1056,2))</f>
        <v>#DIV/0!</v>
      </c>
      <c r="S1056" s="69" t="e">
        <f>ROUND(P1056,2)*Q1056</f>
        <v>#DIV/0!</v>
      </c>
      <c r="T1056" s="66" t="e">
        <f>Q1056*dagenperjaar1</f>
        <v>#DIV/0!</v>
      </c>
      <c r="U1056" s="70" t="e">
        <f>T1056*ROUND(P1056,2)</f>
        <v>#DIV/0!</v>
      </c>
    </row>
    <row r="1057" spans="1:21" x14ac:dyDescent="0.2">
      <c r="A1057" s="63" t="s">
        <v>1613</v>
      </c>
      <c r="B1057" s="64" t="s">
        <v>324</v>
      </c>
      <c r="C1057" s="64" t="s">
        <v>323</v>
      </c>
      <c r="D1057" s="64" t="s">
        <v>1668</v>
      </c>
      <c r="E1057" s="64" t="s">
        <v>324</v>
      </c>
      <c r="F1057" s="65" t="s">
        <v>1393</v>
      </c>
      <c r="G1057" s="64" t="s">
        <v>328</v>
      </c>
      <c r="H1057" s="64" t="s">
        <v>229</v>
      </c>
      <c r="I1057" s="64" t="s">
        <v>10</v>
      </c>
      <c r="J1057" s="64" t="s">
        <v>201</v>
      </c>
      <c r="K1057" s="66">
        <v>51.5</v>
      </c>
      <c r="L1057" s="66">
        <f>K1057*VLOOKUP(I1057,dagsoorttabel1,2,FALSE)</f>
        <v>51.5</v>
      </c>
      <c r="M1057" s="67">
        <f>prodnorm43</f>
        <v>0</v>
      </c>
      <c r="N1057" s="68">
        <f>dagwerk43</f>
        <v>0</v>
      </c>
      <c r="O1057" s="64" t="s">
        <v>38</v>
      </c>
      <c r="P1057" s="69">
        <f>uurtarief43</f>
        <v>0</v>
      </c>
      <c r="Q1057" s="66" t="e">
        <f>IF(ISBLANK(M1057),0,L1057/ROUND(M1057,4))</f>
        <v>#DIV/0!</v>
      </c>
      <c r="R1057" s="66" t="e">
        <f>IF(ISBLANK(M1057),0,Q1057*ROUND(N1057,2))</f>
        <v>#DIV/0!</v>
      </c>
      <c r="S1057" s="69" t="e">
        <f>ROUND(P1057,2)*Q1057</f>
        <v>#DIV/0!</v>
      </c>
      <c r="T1057" s="66" t="e">
        <f>Q1057*dagenperjaar1</f>
        <v>#DIV/0!</v>
      </c>
      <c r="U1057" s="70" t="e">
        <f>T1057*ROUND(P1057,2)</f>
        <v>#DIV/0!</v>
      </c>
    </row>
    <row r="1058" spans="1:21" x14ac:dyDescent="0.2">
      <c r="A1058" s="63" t="s">
        <v>1613</v>
      </c>
      <c r="B1058" s="64" t="s">
        <v>324</v>
      </c>
      <c r="C1058" s="64" t="s">
        <v>323</v>
      </c>
      <c r="D1058" s="64" t="s">
        <v>1669</v>
      </c>
      <c r="E1058" s="64" t="s">
        <v>324</v>
      </c>
      <c r="F1058" s="65" t="s">
        <v>1393</v>
      </c>
      <c r="G1058" s="64" t="s">
        <v>328</v>
      </c>
      <c r="H1058" s="64" t="s">
        <v>229</v>
      </c>
      <c r="I1058" s="64" t="s">
        <v>10</v>
      </c>
      <c r="J1058" s="64" t="s">
        <v>201</v>
      </c>
      <c r="K1058" s="66">
        <v>51.2</v>
      </c>
      <c r="L1058" s="66">
        <f>K1058*VLOOKUP(I1058,dagsoorttabel1,2,FALSE)</f>
        <v>51.2</v>
      </c>
      <c r="M1058" s="67">
        <f>prodnorm43</f>
        <v>0</v>
      </c>
      <c r="N1058" s="68">
        <f>dagwerk43</f>
        <v>0</v>
      </c>
      <c r="O1058" s="64" t="s">
        <v>38</v>
      </c>
      <c r="P1058" s="69">
        <f>uurtarief43</f>
        <v>0</v>
      </c>
      <c r="Q1058" s="66" t="e">
        <f>IF(ISBLANK(M1058),0,L1058/ROUND(M1058,4))</f>
        <v>#DIV/0!</v>
      </c>
      <c r="R1058" s="66" t="e">
        <f>IF(ISBLANK(M1058),0,Q1058*ROUND(N1058,2))</f>
        <v>#DIV/0!</v>
      </c>
      <c r="S1058" s="69" t="e">
        <f>ROUND(P1058,2)*Q1058</f>
        <v>#DIV/0!</v>
      </c>
      <c r="T1058" s="66" t="e">
        <f>Q1058*dagenperjaar1</f>
        <v>#DIV/0!</v>
      </c>
      <c r="U1058" s="70" t="e">
        <f>T1058*ROUND(P1058,2)</f>
        <v>#DIV/0!</v>
      </c>
    </row>
    <row r="1059" spans="1:21" x14ac:dyDescent="0.2">
      <c r="A1059" s="63" t="s">
        <v>1613</v>
      </c>
      <c r="B1059" s="64" t="s">
        <v>324</v>
      </c>
      <c r="C1059" s="64" t="s">
        <v>323</v>
      </c>
      <c r="D1059" s="64" t="s">
        <v>1670</v>
      </c>
      <c r="E1059" s="64" t="s">
        <v>324</v>
      </c>
      <c r="F1059" s="65" t="s">
        <v>1393</v>
      </c>
      <c r="G1059" s="64" t="s">
        <v>328</v>
      </c>
      <c r="H1059" s="64" t="s">
        <v>229</v>
      </c>
      <c r="I1059" s="64" t="s">
        <v>10</v>
      </c>
      <c r="J1059" s="64" t="s">
        <v>201</v>
      </c>
      <c r="K1059" s="66">
        <v>51.2</v>
      </c>
      <c r="L1059" s="66">
        <f>K1059*VLOOKUP(I1059,dagsoorttabel1,2,FALSE)</f>
        <v>51.2</v>
      </c>
      <c r="M1059" s="67">
        <f>prodnorm43</f>
        <v>0</v>
      </c>
      <c r="N1059" s="68">
        <f>dagwerk43</f>
        <v>0</v>
      </c>
      <c r="O1059" s="64" t="s">
        <v>38</v>
      </c>
      <c r="P1059" s="69">
        <f>uurtarief43</f>
        <v>0</v>
      </c>
      <c r="Q1059" s="66" t="e">
        <f>IF(ISBLANK(M1059),0,L1059/ROUND(M1059,4))</f>
        <v>#DIV/0!</v>
      </c>
      <c r="R1059" s="66" t="e">
        <f>IF(ISBLANK(M1059),0,Q1059*ROUND(N1059,2))</f>
        <v>#DIV/0!</v>
      </c>
      <c r="S1059" s="69" t="e">
        <f>ROUND(P1059,2)*Q1059</f>
        <v>#DIV/0!</v>
      </c>
      <c r="T1059" s="66" t="e">
        <f>Q1059*dagenperjaar1</f>
        <v>#DIV/0!</v>
      </c>
      <c r="U1059" s="70" t="e">
        <f>T1059*ROUND(P1059,2)</f>
        <v>#DIV/0!</v>
      </c>
    </row>
    <row r="1060" spans="1:21" x14ac:dyDescent="0.2">
      <c r="A1060" s="63" t="s">
        <v>1613</v>
      </c>
      <c r="B1060" s="64" t="s">
        <v>324</v>
      </c>
      <c r="C1060" s="64" t="s">
        <v>323</v>
      </c>
      <c r="D1060" s="64" t="s">
        <v>1671</v>
      </c>
      <c r="E1060" s="64" t="s">
        <v>324</v>
      </c>
      <c r="F1060" s="65" t="s">
        <v>1393</v>
      </c>
      <c r="G1060" s="64" t="s">
        <v>328</v>
      </c>
      <c r="H1060" s="64" t="s">
        <v>229</v>
      </c>
      <c r="I1060" s="64" t="s">
        <v>10</v>
      </c>
      <c r="J1060" s="64" t="s">
        <v>201</v>
      </c>
      <c r="K1060" s="66">
        <v>50.6</v>
      </c>
      <c r="L1060" s="66">
        <f>K1060*VLOOKUP(I1060,dagsoorttabel1,2,FALSE)</f>
        <v>50.6</v>
      </c>
      <c r="M1060" s="67">
        <f>prodnorm43</f>
        <v>0</v>
      </c>
      <c r="N1060" s="68">
        <f>dagwerk43</f>
        <v>0</v>
      </c>
      <c r="O1060" s="64" t="s">
        <v>38</v>
      </c>
      <c r="P1060" s="69">
        <f>uurtarief43</f>
        <v>0</v>
      </c>
      <c r="Q1060" s="66" t="e">
        <f>IF(ISBLANK(M1060),0,L1060/ROUND(M1060,4))</f>
        <v>#DIV/0!</v>
      </c>
      <c r="R1060" s="66" t="e">
        <f>IF(ISBLANK(M1060),0,Q1060*ROUND(N1060,2))</f>
        <v>#DIV/0!</v>
      </c>
      <c r="S1060" s="69" t="e">
        <f>ROUND(P1060,2)*Q1060</f>
        <v>#DIV/0!</v>
      </c>
      <c r="T1060" s="66" t="e">
        <f>Q1060*dagenperjaar1</f>
        <v>#DIV/0!</v>
      </c>
      <c r="U1060" s="70" t="e">
        <f>T1060*ROUND(P1060,2)</f>
        <v>#DIV/0!</v>
      </c>
    </row>
    <row r="1061" spans="1:21" x14ac:dyDescent="0.2">
      <c r="A1061" s="63" t="s">
        <v>1613</v>
      </c>
      <c r="B1061" s="64" t="s">
        <v>324</v>
      </c>
      <c r="C1061" s="64" t="s">
        <v>323</v>
      </c>
      <c r="D1061" s="64" t="s">
        <v>1672</v>
      </c>
      <c r="E1061" s="64" t="s">
        <v>324</v>
      </c>
      <c r="F1061" s="65" t="s">
        <v>1393</v>
      </c>
      <c r="G1061" s="64" t="s">
        <v>328</v>
      </c>
      <c r="H1061" s="64" t="s">
        <v>229</v>
      </c>
      <c r="I1061" s="64" t="s">
        <v>10</v>
      </c>
      <c r="J1061" s="64" t="s">
        <v>201</v>
      </c>
      <c r="K1061" s="66">
        <v>51.8</v>
      </c>
      <c r="L1061" s="66">
        <f>K1061*VLOOKUP(I1061,dagsoorttabel1,2,FALSE)</f>
        <v>51.8</v>
      </c>
      <c r="M1061" s="67">
        <f>prodnorm43</f>
        <v>0</v>
      </c>
      <c r="N1061" s="68">
        <f>dagwerk43</f>
        <v>0</v>
      </c>
      <c r="O1061" s="64" t="s">
        <v>38</v>
      </c>
      <c r="P1061" s="69">
        <f>uurtarief43</f>
        <v>0</v>
      </c>
      <c r="Q1061" s="66" t="e">
        <f>IF(ISBLANK(M1061),0,L1061/ROUND(M1061,4))</f>
        <v>#DIV/0!</v>
      </c>
      <c r="R1061" s="66" t="e">
        <f>IF(ISBLANK(M1061),0,Q1061*ROUND(N1061,2))</f>
        <v>#DIV/0!</v>
      </c>
      <c r="S1061" s="69" t="e">
        <f>ROUND(P1061,2)*Q1061</f>
        <v>#DIV/0!</v>
      </c>
      <c r="T1061" s="66" t="e">
        <f>Q1061*dagenperjaar1</f>
        <v>#DIV/0!</v>
      </c>
      <c r="U1061" s="70" t="e">
        <f>T1061*ROUND(P1061,2)</f>
        <v>#DIV/0!</v>
      </c>
    </row>
    <row r="1062" spans="1:21" x14ac:dyDescent="0.2">
      <c r="A1062" s="63" t="s">
        <v>1613</v>
      </c>
      <c r="B1062" s="64" t="s">
        <v>324</v>
      </c>
      <c r="C1062" s="64" t="s">
        <v>323</v>
      </c>
      <c r="D1062" s="64" t="s">
        <v>1673</v>
      </c>
      <c r="E1062" s="64" t="s">
        <v>324</v>
      </c>
      <c r="F1062" s="65" t="s">
        <v>1393</v>
      </c>
      <c r="G1062" s="64" t="s">
        <v>328</v>
      </c>
      <c r="H1062" s="64" t="s">
        <v>229</v>
      </c>
      <c r="I1062" s="64" t="s">
        <v>10</v>
      </c>
      <c r="J1062" s="64" t="s">
        <v>201</v>
      </c>
      <c r="K1062" s="66">
        <v>51.4</v>
      </c>
      <c r="L1062" s="66">
        <f>K1062*VLOOKUP(I1062,dagsoorttabel1,2,FALSE)</f>
        <v>51.4</v>
      </c>
      <c r="M1062" s="67">
        <f>prodnorm43</f>
        <v>0</v>
      </c>
      <c r="N1062" s="68">
        <f>dagwerk43</f>
        <v>0</v>
      </c>
      <c r="O1062" s="64" t="s">
        <v>38</v>
      </c>
      <c r="P1062" s="69">
        <f>uurtarief43</f>
        <v>0</v>
      </c>
      <c r="Q1062" s="66" t="e">
        <f>IF(ISBLANK(M1062),0,L1062/ROUND(M1062,4))</f>
        <v>#DIV/0!</v>
      </c>
      <c r="R1062" s="66" t="e">
        <f>IF(ISBLANK(M1062),0,Q1062*ROUND(N1062,2))</f>
        <v>#DIV/0!</v>
      </c>
      <c r="S1062" s="69" t="e">
        <f>ROUND(P1062,2)*Q1062</f>
        <v>#DIV/0!</v>
      </c>
      <c r="T1062" s="66" t="e">
        <f>Q1062*dagenperjaar1</f>
        <v>#DIV/0!</v>
      </c>
      <c r="U1062" s="70" t="e">
        <f>T1062*ROUND(P1062,2)</f>
        <v>#DIV/0!</v>
      </c>
    </row>
    <row r="1063" spans="1:21" x14ac:dyDescent="0.2">
      <c r="A1063" s="63" t="s">
        <v>1613</v>
      </c>
      <c r="B1063" s="64" t="s">
        <v>324</v>
      </c>
      <c r="C1063" s="64" t="s">
        <v>323</v>
      </c>
      <c r="D1063" s="64" t="s">
        <v>1674</v>
      </c>
      <c r="E1063" s="64" t="s">
        <v>324</v>
      </c>
      <c r="F1063" s="65" t="s">
        <v>1675</v>
      </c>
      <c r="G1063" s="64" t="s">
        <v>328</v>
      </c>
      <c r="H1063" s="64" t="s">
        <v>205</v>
      </c>
      <c r="I1063" s="64" t="s">
        <v>10</v>
      </c>
      <c r="J1063" s="64" t="s">
        <v>201</v>
      </c>
      <c r="K1063" s="66">
        <v>168.7</v>
      </c>
      <c r="L1063" s="66">
        <f>K1063*VLOOKUP(I1063,dagsoorttabel1,2,FALSE)</f>
        <v>168.7</v>
      </c>
      <c r="M1063" s="67">
        <f>prodnorm26</f>
        <v>0</v>
      </c>
      <c r="N1063" s="68">
        <f>dagwerk26</f>
        <v>0</v>
      </c>
      <c r="O1063" s="64" t="s">
        <v>38</v>
      </c>
      <c r="P1063" s="69">
        <f>uurtarief26</f>
        <v>0</v>
      </c>
      <c r="Q1063" s="66" t="e">
        <f>IF(ISBLANK(M1063),0,L1063/ROUND(M1063,4))</f>
        <v>#DIV/0!</v>
      </c>
      <c r="R1063" s="66" t="e">
        <f>IF(ISBLANK(M1063),0,Q1063*ROUND(N1063,2))</f>
        <v>#DIV/0!</v>
      </c>
      <c r="S1063" s="69" t="e">
        <f>ROUND(P1063,2)*Q1063</f>
        <v>#DIV/0!</v>
      </c>
      <c r="T1063" s="66" t="e">
        <f>Q1063*dagenperjaar1</f>
        <v>#DIV/0!</v>
      </c>
      <c r="U1063" s="70" t="e">
        <f>T1063*ROUND(P1063,2)</f>
        <v>#DIV/0!</v>
      </c>
    </row>
    <row r="1064" spans="1:21" x14ac:dyDescent="0.2">
      <c r="A1064" s="63" t="s">
        <v>1613</v>
      </c>
      <c r="B1064" s="64" t="s">
        <v>324</v>
      </c>
      <c r="C1064" s="64" t="s">
        <v>323</v>
      </c>
      <c r="D1064" s="64" t="s">
        <v>1676</v>
      </c>
      <c r="E1064" s="64" t="s">
        <v>324</v>
      </c>
      <c r="F1064" s="65" t="s">
        <v>1393</v>
      </c>
      <c r="G1064" s="64" t="s">
        <v>1666</v>
      </c>
      <c r="H1064" s="64" t="s">
        <v>229</v>
      </c>
      <c r="I1064" s="64" t="s">
        <v>10</v>
      </c>
      <c r="J1064" s="64" t="s">
        <v>201</v>
      </c>
      <c r="K1064" s="66">
        <v>52.5</v>
      </c>
      <c r="L1064" s="66">
        <f>K1064*VLOOKUP(I1064,dagsoorttabel1,2,FALSE)</f>
        <v>52.5</v>
      </c>
      <c r="M1064" s="67">
        <f>prodnorm43</f>
        <v>0</v>
      </c>
      <c r="N1064" s="68">
        <f>dagwerk43</f>
        <v>0</v>
      </c>
      <c r="O1064" s="64" t="s">
        <v>38</v>
      </c>
      <c r="P1064" s="69">
        <f>uurtarief43</f>
        <v>0</v>
      </c>
      <c r="Q1064" s="66" t="e">
        <f>IF(ISBLANK(M1064),0,L1064/ROUND(M1064,4))</f>
        <v>#DIV/0!</v>
      </c>
      <c r="R1064" s="66" t="e">
        <f>IF(ISBLANK(M1064),0,Q1064*ROUND(N1064,2))</f>
        <v>#DIV/0!</v>
      </c>
      <c r="S1064" s="69" t="e">
        <f>ROUND(P1064,2)*Q1064</f>
        <v>#DIV/0!</v>
      </c>
      <c r="T1064" s="66" t="e">
        <f>Q1064*dagenperjaar1</f>
        <v>#DIV/0!</v>
      </c>
      <c r="U1064" s="70" t="e">
        <f>T1064*ROUND(P1064,2)</f>
        <v>#DIV/0!</v>
      </c>
    </row>
    <row r="1065" spans="1:21" x14ac:dyDescent="0.2">
      <c r="A1065" s="63" t="s">
        <v>1613</v>
      </c>
      <c r="B1065" s="64" t="s">
        <v>324</v>
      </c>
      <c r="C1065" s="64" t="s">
        <v>323</v>
      </c>
      <c r="D1065" s="64" t="s">
        <v>1677</v>
      </c>
      <c r="E1065" s="64" t="s">
        <v>324</v>
      </c>
      <c r="F1065" s="65" t="s">
        <v>1393</v>
      </c>
      <c r="G1065" s="64" t="s">
        <v>328</v>
      </c>
      <c r="H1065" s="64" t="s">
        <v>229</v>
      </c>
      <c r="I1065" s="64" t="s">
        <v>10</v>
      </c>
      <c r="J1065" s="64" t="s">
        <v>201</v>
      </c>
      <c r="K1065" s="66">
        <v>65.3</v>
      </c>
      <c r="L1065" s="66">
        <f>K1065*VLOOKUP(I1065,dagsoorttabel1,2,FALSE)</f>
        <v>65.3</v>
      </c>
      <c r="M1065" s="67">
        <f>prodnorm43</f>
        <v>0</v>
      </c>
      <c r="N1065" s="68">
        <f>dagwerk43</f>
        <v>0</v>
      </c>
      <c r="O1065" s="64" t="s">
        <v>38</v>
      </c>
      <c r="P1065" s="69">
        <f>uurtarief43</f>
        <v>0</v>
      </c>
      <c r="Q1065" s="66" t="e">
        <f>IF(ISBLANK(M1065),0,L1065/ROUND(M1065,4))</f>
        <v>#DIV/0!</v>
      </c>
      <c r="R1065" s="66" t="e">
        <f>IF(ISBLANK(M1065),0,Q1065*ROUND(N1065,2))</f>
        <v>#DIV/0!</v>
      </c>
      <c r="S1065" s="69" t="e">
        <f>ROUND(P1065,2)*Q1065</f>
        <v>#DIV/0!</v>
      </c>
      <c r="T1065" s="66" t="e">
        <f>Q1065*dagenperjaar1</f>
        <v>#DIV/0!</v>
      </c>
      <c r="U1065" s="70" t="e">
        <f>T1065*ROUND(P1065,2)</f>
        <v>#DIV/0!</v>
      </c>
    </row>
    <row r="1066" spans="1:21" x14ac:dyDescent="0.2">
      <c r="A1066" s="63" t="s">
        <v>1613</v>
      </c>
      <c r="B1066" s="64" t="s">
        <v>324</v>
      </c>
      <c r="C1066" s="64" t="s">
        <v>323</v>
      </c>
      <c r="D1066" s="64" t="s">
        <v>1678</v>
      </c>
      <c r="E1066" s="64" t="s">
        <v>324</v>
      </c>
      <c r="F1066" s="65" t="s">
        <v>1393</v>
      </c>
      <c r="G1066" s="64" t="s">
        <v>1666</v>
      </c>
      <c r="H1066" s="64" t="s">
        <v>229</v>
      </c>
      <c r="I1066" s="64" t="s">
        <v>10</v>
      </c>
      <c r="J1066" s="64" t="s">
        <v>201</v>
      </c>
      <c r="K1066" s="66">
        <v>48.4</v>
      </c>
      <c r="L1066" s="66">
        <f>K1066*VLOOKUP(I1066,dagsoorttabel1,2,FALSE)</f>
        <v>48.4</v>
      </c>
      <c r="M1066" s="67">
        <f>prodnorm43</f>
        <v>0</v>
      </c>
      <c r="N1066" s="68">
        <f>dagwerk43</f>
        <v>0</v>
      </c>
      <c r="O1066" s="64" t="s">
        <v>38</v>
      </c>
      <c r="P1066" s="69">
        <f>uurtarief43</f>
        <v>0</v>
      </c>
      <c r="Q1066" s="66" t="e">
        <f>IF(ISBLANK(M1066),0,L1066/ROUND(M1066,4))</f>
        <v>#DIV/0!</v>
      </c>
      <c r="R1066" s="66" t="e">
        <f>IF(ISBLANK(M1066),0,Q1066*ROUND(N1066,2))</f>
        <v>#DIV/0!</v>
      </c>
      <c r="S1066" s="69" t="e">
        <f>ROUND(P1066,2)*Q1066</f>
        <v>#DIV/0!</v>
      </c>
      <c r="T1066" s="66" t="e">
        <f>Q1066*dagenperjaar1</f>
        <v>#DIV/0!</v>
      </c>
      <c r="U1066" s="70" t="e">
        <f>T1066*ROUND(P1066,2)</f>
        <v>#DIV/0!</v>
      </c>
    </row>
    <row r="1067" spans="1:21" x14ac:dyDescent="0.2">
      <c r="A1067" s="63" t="s">
        <v>1613</v>
      </c>
      <c r="B1067" s="64" t="s">
        <v>324</v>
      </c>
      <c r="C1067" s="64" t="s">
        <v>323</v>
      </c>
      <c r="D1067" s="64" t="s">
        <v>1679</v>
      </c>
      <c r="E1067" s="64" t="s">
        <v>324</v>
      </c>
      <c r="F1067" s="65" t="s">
        <v>1393</v>
      </c>
      <c r="G1067" s="64" t="s">
        <v>328</v>
      </c>
      <c r="H1067" s="64" t="s">
        <v>229</v>
      </c>
      <c r="I1067" s="64" t="s">
        <v>10</v>
      </c>
      <c r="J1067" s="64" t="s">
        <v>201</v>
      </c>
      <c r="K1067" s="66">
        <v>66</v>
      </c>
      <c r="L1067" s="66">
        <f>K1067*VLOOKUP(I1067,dagsoorttabel1,2,FALSE)</f>
        <v>66</v>
      </c>
      <c r="M1067" s="67">
        <f>prodnorm43</f>
        <v>0</v>
      </c>
      <c r="N1067" s="68">
        <f>dagwerk43</f>
        <v>0</v>
      </c>
      <c r="O1067" s="64" t="s">
        <v>38</v>
      </c>
      <c r="P1067" s="69">
        <f>uurtarief43</f>
        <v>0</v>
      </c>
      <c r="Q1067" s="66" t="e">
        <f>IF(ISBLANK(M1067),0,L1067/ROUND(M1067,4))</f>
        <v>#DIV/0!</v>
      </c>
      <c r="R1067" s="66" t="e">
        <f>IF(ISBLANK(M1067),0,Q1067*ROUND(N1067,2))</f>
        <v>#DIV/0!</v>
      </c>
      <c r="S1067" s="69" t="e">
        <f>ROUND(P1067,2)*Q1067</f>
        <v>#DIV/0!</v>
      </c>
      <c r="T1067" s="66" t="e">
        <f>Q1067*dagenperjaar1</f>
        <v>#DIV/0!</v>
      </c>
      <c r="U1067" s="70" t="e">
        <f>T1067*ROUND(P1067,2)</f>
        <v>#DIV/0!</v>
      </c>
    </row>
    <row r="1068" spans="1:21" x14ac:dyDescent="0.2">
      <c r="A1068" s="63" t="s">
        <v>1613</v>
      </c>
      <c r="B1068" s="64" t="s">
        <v>324</v>
      </c>
      <c r="C1068" s="64" t="s">
        <v>323</v>
      </c>
      <c r="D1068" s="64" t="s">
        <v>1680</v>
      </c>
      <c r="E1068" s="64" t="s">
        <v>324</v>
      </c>
      <c r="F1068" s="65" t="s">
        <v>1393</v>
      </c>
      <c r="G1068" s="64" t="s">
        <v>1666</v>
      </c>
      <c r="H1068" s="64" t="s">
        <v>229</v>
      </c>
      <c r="I1068" s="64" t="s">
        <v>10</v>
      </c>
      <c r="J1068" s="64" t="s">
        <v>201</v>
      </c>
      <c r="K1068" s="66">
        <v>52.7</v>
      </c>
      <c r="L1068" s="66">
        <f>K1068*VLOOKUP(I1068,dagsoorttabel1,2,FALSE)</f>
        <v>52.7</v>
      </c>
      <c r="M1068" s="67">
        <f>prodnorm43</f>
        <v>0</v>
      </c>
      <c r="N1068" s="68">
        <f>dagwerk43</f>
        <v>0</v>
      </c>
      <c r="O1068" s="64" t="s">
        <v>38</v>
      </c>
      <c r="P1068" s="69">
        <f>uurtarief43</f>
        <v>0</v>
      </c>
      <c r="Q1068" s="66" t="e">
        <f>IF(ISBLANK(M1068),0,L1068/ROUND(M1068,4))</f>
        <v>#DIV/0!</v>
      </c>
      <c r="R1068" s="66" t="e">
        <f>IF(ISBLANK(M1068),0,Q1068*ROUND(N1068,2))</f>
        <v>#DIV/0!</v>
      </c>
      <c r="S1068" s="69" t="e">
        <f>ROUND(P1068,2)*Q1068</f>
        <v>#DIV/0!</v>
      </c>
      <c r="T1068" s="66" t="e">
        <f>Q1068*dagenperjaar1</f>
        <v>#DIV/0!</v>
      </c>
      <c r="U1068" s="70" t="e">
        <f>T1068*ROUND(P1068,2)</f>
        <v>#DIV/0!</v>
      </c>
    </row>
    <row r="1069" spans="1:21" x14ac:dyDescent="0.2">
      <c r="A1069" s="63" t="s">
        <v>1613</v>
      </c>
      <c r="B1069" s="64" t="s">
        <v>324</v>
      </c>
      <c r="C1069" s="64" t="s">
        <v>323</v>
      </c>
      <c r="D1069" s="64" t="s">
        <v>1681</v>
      </c>
      <c r="E1069" s="64" t="s">
        <v>324</v>
      </c>
      <c r="F1069" s="65" t="s">
        <v>638</v>
      </c>
      <c r="G1069" s="64" t="s">
        <v>1644</v>
      </c>
      <c r="H1069" s="64" t="s">
        <v>263</v>
      </c>
      <c r="I1069" s="64" t="s">
        <v>10</v>
      </c>
      <c r="J1069" s="64" t="s">
        <v>201</v>
      </c>
      <c r="K1069" s="66">
        <v>12</v>
      </c>
      <c r="L1069" s="66">
        <f>K1069*VLOOKUP(I1069,dagsoorttabel1,2,FALSE)</f>
        <v>12</v>
      </c>
      <c r="M1069" s="67">
        <f>prodnorm63</f>
        <v>0</v>
      </c>
      <c r="N1069" s="68">
        <f>dagwerk63</f>
        <v>0</v>
      </c>
      <c r="O1069" s="64" t="s">
        <v>38</v>
      </c>
      <c r="P1069" s="69">
        <f>uurtarief63</f>
        <v>0</v>
      </c>
      <c r="Q1069" s="66" t="e">
        <f>IF(ISBLANK(M1069),0,L1069/ROUND(M1069,4))</f>
        <v>#DIV/0!</v>
      </c>
      <c r="R1069" s="66" t="e">
        <f>IF(ISBLANK(M1069),0,Q1069*ROUND(N1069,2))</f>
        <v>#DIV/0!</v>
      </c>
      <c r="S1069" s="69" t="e">
        <f>ROUND(P1069,2)*Q1069</f>
        <v>#DIV/0!</v>
      </c>
      <c r="T1069" s="66" t="e">
        <f>Q1069*dagenperjaar1</f>
        <v>#DIV/0!</v>
      </c>
      <c r="U1069" s="70" t="e">
        <f>T1069*ROUND(P1069,2)</f>
        <v>#DIV/0!</v>
      </c>
    </row>
    <row r="1070" spans="1:21" x14ac:dyDescent="0.2">
      <c r="A1070" s="63" t="s">
        <v>1613</v>
      </c>
      <c r="B1070" s="64" t="s">
        <v>324</v>
      </c>
      <c r="C1070" s="64" t="s">
        <v>323</v>
      </c>
      <c r="D1070" s="64" t="s">
        <v>1682</v>
      </c>
      <c r="E1070" s="64" t="s">
        <v>324</v>
      </c>
      <c r="F1070" s="65" t="s">
        <v>638</v>
      </c>
      <c r="G1070" s="64" t="s">
        <v>339</v>
      </c>
      <c r="H1070" s="64" t="s">
        <v>263</v>
      </c>
      <c r="I1070" s="64" t="s">
        <v>10</v>
      </c>
      <c r="J1070" s="64" t="s">
        <v>201</v>
      </c>
      <c r="K1070" s="66">
        <v>15</v>
      </c>
      <c r="L1070" s="66">
        <f>K1070*VLOOKUP(I1070,dagsoorttabel1,2,FALSE)</f>
        <v>15</v>
      </c>
      <c r="M1070" s="67">
        <f>prodnorm63</f>
        <v>0</v>
      </c>
      <c r="N1070" s="68">
        <f>dagwerk63</f>
        <v>0</v>
      </c>
      <c r="O1070" s="64" t="s">
        <v>38</v>
      </c>
      <c r="P1070" s="69">
        <f>uurtarief63</f>
        <v>0</v>
      </c>
      <c r="Q1070" s="66" t="e">
        <f>IF(ISBLANK(M1070),0,L1070/ROUND(M1070,4))</f>
        <v>#DIV/0!</v>
      </c>
      <c r="R1070" s="66" t="e">
        <f>IF(ISBLANK(M1070),0,Q1070*ROUND(N1070,2))</f>
        <v>#DIV/0!</v>
      </c>
      <c r="S1070" s="69" t="e">
        <f>ROUND(P1070,2)*Q1070</f>
        <v>#DIV/0!</v>
      </c>
      <c r="T1070" s="66" t="e">
        <f>Q1070*dagenperjaar1</f>
        <v>#DIV/0!</v>
      </c>
      <c r="U1070" s="70" t="e">
        <f>T1070*ROUND(P1070,2)</f>
        <v>#DIV/0!</v>
      </c>
    </row>
    <row r="1071" spans="1:21" x14ac:dyDescent="0.2">
      <c r="A1071" s="63" t="s">
        <v>1613</v>
      </c>
      <c r="B1071" s="64" t="s">
        <v>324</v>
      </c>
      <c r="C1071" s="64" t="s">
        <v>323</v>
      </c>
      <c r="D1071" s="64" t="s">
        <v>1683</v>
      </c>
      <c r="E1071" s="64" t="s">
        <v>324</v>
      </c>
      <c r="F1071" s="65" t="s">
        <v>335</v>
      </c>
      <c r="G1071" s="64" t="s">
        <v>1666</v>
      </c>
      <c r="H1071" s="64" t="s">
        <v>267</v>
      </c>
      <c r="I1071" s="64" t="s">
        <v>10</v>
      </c>
      <c r="J1071" s="64" t="s">
        <v>201</v>
      </c>
      <c r="K1071" s="66">
        <v>112.9</v>
      </c>
      <c r="L1071" s="66">
        <f>K1071*VLOOKUP(I1071,dagsoorttabel1,2,FALSE)</f>
        <v>112.9</v>
      </c>
      <c r="M1071" s="67">
        <f>prodnorm65</f>
        <v>0</v>
      </c>
      <c r="N1071" s="68">
        <f>dagwerk65</f>
        <v>0</v>
      </c>
      <c r="O1071" s="64" t="s">
        <v>38</v>
      </c>
      <c r="P1071" s="69">
        <f>uurtarief65</f>
        <v>0</v>
      </c>
      <c r="Q1071" s="66" t="e">
        <f>IF(ISBLANK(M1071),0,L1071/ROUND(M1071,4))</f>
        <v>#DIV/0!</v>
      </c>
      <c r="R1071" s="66" t="e">
        <f>IF(ISBLANK(M1071),0,Q1071*ROUND(N1071,2))</f>
        <v>#DIV/0!</v>
      </c>
      <c r="S1071" s="69" t="e">
        <f>ROUND(P1071,2)*Q1071</f>
        <v>#DIV/0!</v>
      </c>
      <c r="T1071" s="66" t="e">
        <f>Q1071*dagenperjaar1</f>
        <v>#DIV/0!</v>
      </c>
      <c r="U1071" s="70" t="e">
        <f>T1071*ROUND(P1071,2)</f>
        <v>#DIV/0!</v>
      </c>
    </row>
    <row r="1072" spans="1:21" x14ac:dyDescent="0.2">
      <c r="A1072" s="63" t="s">
        <v>1613</v>
      </c>
      <c r="B1072" s="64" t="s">
        <v>324</v>
      </c>
      <c r="C1072" s="64" t="s">
        <v>323</v>
      </c>
      <c r="D1072" s="64" t="s">
        <v>1684</v>
      </c>
      <c r="E1072" s="64" t="s">
        <v>324</v>
      </c>
      <c r="F1072" s="65" t="s">
        <v>335</v>
      </c>
      <c r="G1072" s="64" t="s">
        <v>328</v>
      </c>
      <c r="H1072" s="64" t="s">
        <v>267</v>
      </c>
      <c r="I1072" s="64" t="s">
        <v>10</v>
      </c>
      <c r="J1072" s="64" t="s">
        <v>201</v>
      </c>
      <c r="K1072" s="66">
        <v>60.5</v>
      </c>
      <c r="L1072" s="66">
        <f>K1072*VLOOKUP(I1072,dagsoorttabel1,2,FALSE)</f>
        <v>60.5</v>
      </c>
      <c r="M1072" s="67">
        <f>prodnorm65</f>
        <v>0</v>
      </c>
      <c r="N1072" s="68">
        <f>dagwerk65</f>
        <v>0</v>
      </c>
      <c r="O1072" s="64" t="s">
        <v>38</v>
      </c>
      <c r="P1072" s="69">
        <f>uurtarief65</f>
        <v>0</v>
      </c>
      <c r="Q1072" s="66" t="e">
        <f>IF(ISBLANK(M1072),0,L1072/ROUND(M1072,4))</f>
        <v>#DIV/0!</v>
      </c>
      <c r="R1072" s="66" t="e">
        <f>IF(ISBLANK(M1072),0,Q1072*ROUND(N1072,2))</f>
        <v>#DIV/0!</v>
      </c>
      <c r="S1072" s="69" t="e">
        <f>ROUND(P1072,2)*Q1072</f>
        <v>#DIV/0!</v>
      </c>
      <c r="T1072" s="66" t="e">
        <f>Q1072*dagenperjaar1</f>
        <v>#DIV/0!</v>
      </c>
      <c r="U1072" s="70" t="e">
        <f>T1072*ROUND(P1072,2)</f>
        <v>#DIV/0!</v>
      </c>
    </row>
    <row r="1073" spans="1:21" x14ac:dyDescent="0.2">
      <c r="A1073" s="63" t="s">
        <v>1613</v>
      </c>
      <c r="B1073" s="64" t="s">
        <v>324</v>
      </c>
      <c r="C1073" s="64" t="s">
        <v>323</v>
      </c>
      <c r="D1073" s="64" t="s">
        <v>1685</v>
      </c>
      <c r="E1073" s="64" t="s">
        <v>324</v>
      </c>
      <c r="F1073" s="65" t="s">
        <v>335</v>
      </c>
      <c r="G1073" s="64" t="s">
        <v>1666</v>
      </c>
      <c r="H1073" s="64" t="s">
        <v>267</v>
      </c>
      <c r="I1073" s="64" t="s">
        <v>10</v>
      </c>
      <c r="J1073" s="64" t="s">
        <v>201</v>
      </c>
      <c r="K1073" s="66">
        <v>43.7</v>
      </c>
      <c r="L1073" s="66">
        <f>K1073*VLOOKUP(I1073,dagsoorttabel1,2,FALSE)</f>
        <v>43.7</v>
      </c>
      <c r="M1073" s="67">
        <f>prodnorm65</f>
        <v>0</v>
      </c>
      <c r="N1073" s="68">
        <f>dagwerk65</f>
        <v>0</v>
      </c>
      <c r="O1073" s="64" t="s">
        <v>38</v>
      </c>
      <c r="P1073" s="69">
        <f>uurtarief65</f>
        <v>0</v>
      </c>
      <c r="Q1073" s="66" t="e">
        <f>IF(ISBLANK(M1073),0,L1073/ROUND(M1073,4))</f>
        <v>#DIV/0!</v>
      </c>
      <c r="R1073" s="66" t="e">
        <f>IF(ISBLANK(M1073),0,Q1073*ROUND(N1073,2))</f>
        <v>#DIV/0!</v>
      </c>
      <c r="S1073" s="69" t="e">
        <f>ROUND(P1073,2)*Q1073</f>
        <v>#DIV/0!</v>
      </c>
      <c r="T1073" s="66" t="e">
        <f>Q1073*dagenperjaar1</f>
        <v>#DIV/0!</v>
      </c>
      <c r="U1073" s="70" t="e">
        <f>T1073*ROUND(P1073,2)</f>
        <v>#DIV/0!</v>
      </c>
    </row>
    <row r="1074" spans="1:21" x14ac:dyDescent="0.2">
      <c r="A1074" s="63" t="s">
        <v>1613</v>
      </c>
      <c r="B1074" s="64" t="s">
        <v>324</v>
      </c>
      <c r="C1074" s="64" t="s">
        <v>323</v>
      </c>
      <c r="D1074" s="64" t="s">
        <v>1686</v>
      </c>
      <c r="E1074" s="64" t="s">
        <v>324</v>
      </c>
      <c r="F1074" s="65" t="s">
        <v>335</v>
      </c>
      <c r="G1074" s="64" t="s">
        <v>1666</v>
      </c>
      <c r="H1074" s="64" t="s">
        <v>267</v>
      </c>
      <c r="I1074" s="64" t="s">
        <v>10</v>
      </c>
      <c r="J1074" s="64" t="s">
        <v>201</v>
      </c>
      <c r="K1074" s="66">
        <v>41.3</v>
      </c>
      <c r="L1074" s="66">
        <f>K1074*VLOOKUP(I1074,dagsoorttabel1,2,FALSE)</f>
        <v>41.3</v>
      </c>
      <c r="M1074" s="67">
        <f>prodnorm65</f>
        <v>0</v>
      </c>
      <c r="N1074" s="68">
        <f>dagwerk65</f>
        <v>0</v>
      </c>
      <c r="O1074" s="64" t="s">
        <v>38</v>
      </c>
      <c r="P1074" s="69">
        <f>uurtarief65</f>
        <v>0</v>
      </c>
      <c r="Q1074" s="66" t="e">
        <f>IF(ISBLANK(M1074),0,L1074/ROUND(M1074,4))</f>
        <v>#DIV/0!</v>
      </c>
      <c r="R1074" s="66" t="e">
        <f>IF(ISBLANK(M1074),0,Q1074*ROUND(N1074,2))</f>
        <v>#DIV/0!</v>
      </c>
      <c r="S1074" s="69" t="e">
        <f>ROUND(P1074,2)*Q1074</f>
        <v>#DIV/0!</v>
      </c>
      <c r="T1074" s="66" t="e">
        <f>Q1074*dagenperjaar1</f>
        <v>#DIV/0!</v>
      </c>
      <c r="U1074" s="70" t="e">
        <f>T1074*ROUND(P1074,2)</f>
        <v>#DIV/0!</v>
      </c>
    </row>
    <row r="1075" spans="1:21" x14ac:dyDescent="0.2">
      <c r="A1075" s="63" t="s">
        <v>1613</v>
      </c>
      <c r="B1075" s="64" t="s">
        <v>324</v>
      </c>
      <c r="C1075" s="64" t="s">
        <v>323</v>
      </c>
      <c r="D1075" s="64" t="s">
        <v>1687</v>
      </c>
      <c r="E1075" s="64" t="s">
        <v>324</v>
      </c>
      <c r="F1075" s="65" t="s">
        <v>335</v>
      </c>
      <c r="G1075" s="64" t="s">
        <v>1666</v>
      </c>
      <c r="H1075" s="64" t="s">
        <v>267</v>
      </c>
      <c r="I1075" s="64" t="s">
        <v>10</v>
      </c>
      <c r="J1075" s="64" t="s">
        <v>201</v>
      </c>
      <c r="K1075" s="66">
        <v>128</v>
      </c>
      <c r="L1075" s="66">
        <f>K1075*VLOOKUP(I1075,dagsoorttabel1,2,FALSE)</f>
        <v>128</v>
      </c>
      <c r="M1075" s="67">
        <f>prodnorm65</f>
        <v>0</v>
      </c>
      <c r="N1075" s="68">
        <f>dagwerk65</f>
        <v>0</v>
      </c>
      <c r="O1075" s="64" t="s">
        <v>38</v>
      </c>
      <c r="P1075" s="69">
        <f>uurtarief65</f>
        <v>0</v>
      </c>
      <c r="Q1075" s="66" t="e">
        <f>IF(ISBLANK(M1075),0,L1075/ROUND(M1075,4))</f>
        <v>#DIV/0!</v>
      </c>
      <c r="R1075" s="66" t="e">
        <f>IF(ISBLANK(M1075),0,Q1075*ROUND(N1075,2))</f>
        <v>#DIV/0!</v>
      </c>
      <c r="S1075" s="69" t="e">
        <f>ROUND(P1075,2)*Q1075</f>
        <v>#DIV/0!</v>
      </c>
      <c r="T1075" s="66" t="e">
        <f>Q1075*dagenperjaar1</f>
        <v>#DIV/0!</v>
      </c>
      <c r="U1075" s="70" t="e">
        <f>T1075*ROUND(P1075,2)</f>
        <v>#DIV/0!</v>
      </c>
    </row>
    <row r="1076" spans="1:21" x14ac:dyDescent="0.2">
      <c r="A1076" s="63" t="s">
        <v>1613</v>
      </c>
      <c r="B1076" s="64" t="s">
        <v>324</v>
      </c>
      <c r="C1076" s="64" t="s">
        <v>323</v>
      </c>
      <c r="D1076" s="64" t="s">
        <v>1688</v>
      </c>
      <c r="E1076" s="64" t="s">
        <v>324</v>
      </c>
      <c r="F1076" s="65" t="s">
        <v>655</v>
      </c>
      <c r="G1076" s="64" t="s">
        <v>328</v>
      </c>
      <c r="H1076" s="64" t="s">
        <v>263</v>
      </c>
      <c r="I1076" s="64" t="s">
        <v>10</v>
      </c>
      <c r="J1076" s="64" t="s">
        <v>201</v>
      </c>
      <c r="K1076" s="66">
        <v>16.600000000000001</v>
      </c>
      <c r="L1076" s="66">
        <f>K1076*VLOOKUP(I1076,dagsoorttabel1,2,FALSE)</f>
        <v>16.600000000000001</v>
      </c>
      <c r="M1076" s="67">
        <f>prodnorm63</f>
        <v>0</v>
      </c>
      <c r="N1076" s="68">
        <f>dagwerk63</f>
        <v>0</v>
      </c>
      <c r="O1076" s="64" t="s">
        <v>38</v>
      </c>
      <c r="P1076" s="69">
        <f>uurtarief63</f>
        <v>0</v>
      </c>
      <c r="Q1076" s="66" t="e">
        <f>IF(ISBLANK(M1076),0,L1076/ROUND(M1076,4))</f>
        <v>#DIV/0!</v>
      </c>
      <c r="R1076" s="66" t="e">
        <f>IF(ISBLANK(M1076),0,Q1076*ROUND(N1076,2))</f>
        <v>#DIV/0!</v>
      </c>
      <c r="S1076" s="69" t="e">
        <f>ROUND(P1076,2)*Q1076</f>
        <v>#DIV/0!</v>
      </c>
      <c r="T1076" s="66" t="e">
        <f>Q1076*dagenperjaar1</f>
        <v>#DIV/0!</v>
      </c>
      <c r="U1076" s="70" t="e">
        <f>T1076*ROUND(P1076,2)</f>
        <v>#DIV/0!</v>
      </c>
    </row>
    <row r="1077" spans="1:21" x14ac:dyDescent="0.2">
      <c r="A1077" s="63" t="s">
        <v>1613</v>
      </c>
      <c r="B1077" s="64" t="s">
        <v>324</v>
      </c>
      <c r="C1077" s="64" t="s">
        <v>323</v>
      </c>
      <c r="D1077" s="64" t="s">
        <v>1689</v>
      </c>
      <c r="E1077" s="64" t="s">
        <v>324</v>
      </c>
      <c r="F1077" s="65" t="s">
        <v>655</v>
      </c>
      <c r="G1077" s="64" t="s">
        <v>328</v>
      </c>
      <c r="H1077" s="64" t="s">
        <v>263</v>
      </c>
      <c r="I1077" s="64" t="s">
        <v>10</v>
      </c>
      <c r="J1077" s="64" t="s">
        <v>201</v>
      </c>
      <c r="K1077" s="66">
        <v>16.600000000000001</v>
      </c>
      <c r="L1077" s="66">
        <f>K1077*VLOOKUP(I1077,dagsoorttabel1,2,FALSE)</f>
        <v>16.600000000000001</v>
      </c>
      <c r="M1077" s="67">
        <f>prodnorm63</f>
        <v>0</v>
      </c>
      <c r="N1077" s="68">
        <f>dagwerk63</f>
        <v>0</v>
      </c>
      <c r="O1077" s="64" t="s">
        <v>38</v>
      </c>
      <c r="P1077" s="69">
        <f>uurtarief63</f>
        <v>0</v>
      </c>
      <c r="Q1077" s="66" t="e">
        <f>IF(ISBLANK(M1077),0,L1077/ROUND(M1077,4))</f>
        <v>#DIV/0!</v>
      </c>
      <c r="R1077" s="66" t="e">
        <f>IF(ISBLANK(M1077),0,Q1077*ROUND(N1077,2))</f>
        <v>#DIV/0!</v>
      </c>
      <c r="S1077" s="69" t="e">
        <f>ROUND(P1077,2)*Q1077</f>
        <v>#DIV/0!</v>
      </c>
      <c r="T1077" s="66" t="e">
        <f>Q1077*dagenperjaar1</f>
        <v>#DIV/0!</v>
      </c>
      <c r="U1077" s="70" t="e">
        <f>T1077*ROUND(P1077,2)</f>
        <v>#DIV/0!</v>
      </c>
    </row>
    <row r="1078" spans="1:21" x14ac:dyDescent="0.2">
      <c r="A1078" s="63" t="s">
        <v>1613</v>
      </c>
      <c r="B1078" s="64" t="s">
        <v>324</v>
      </c>
      <c r="C1078" s="64" t="s">
        <v>323</v>
      </c>
      <c r="D1078" s="64" t="s">
        <v>1690</v>
      </c>
      <c r="E1078" s="64" t="s">
        <v>324</v>
      </c>
      <c r="F1078" s="65" t="s">
        <v>655</v>
      </c>
      <c r="G1078" s="64" t="s">
        <v>339</v>
      </c>
      <c r="H1078" s="64" t="s">
        <v>263</v>
      </c>
      <c r="I1078" s="64" t="s">
        <v>10</v>
      </c>
      <c r="J1078" s="64" t="s">
        <v>201</v>
      </c>
      <c r="K1078" s="66">
        <v>17.100000000000001</v>
      </c>
      <c r="L1078" s="66">
        <f>K1078*VLOOKUP(I1078,dagsoorttabel1,2,FALSE)</f>
        <v>17.100000000000001</v>
      </c>
      <c r="M1078" s="67">
        <f>prodnorm63</f>
        <v>0</v>
      </c>
      <c r="N1078" s="68">
        <f>dagwerk63</f>
        <v>0</v>
      </c>
      <c r="O1078" s="64" t="s">
        <v>38</v>
      </c>
      <c r="P1078" s="69">
        <f>uurtarief63</f>
        <v>0</v>
      </c>
      <c r="Q1078" s="66" t="e">
        <f>IF(ISBLANK(M1078),0,L1078/ROUND(M1078,4))</f>
        <v>#DIV/0!</v>
      </c>
      <c r="R1078" s="66" t="e">
        <f>IF(ISBLANK(M1078),0,Q1078*ROUND(N1078,2))</f>
        <v>#DIV/0!</v>
      </c>
      <c r="S1078" s="69" t="e">
        <f>ROUND(P1078,2)*Q1078</f>
        <v>#DIV/0!</v>
      </c>
      <c r="T1078" s="66" t="e">
        <f>Q1078*dagenperjaar1</f>
        <v>#DIV/0!</v>
      </c>
      <c r="U1078" s="70" t="e">
        <f>T1078*ROUND(P1078,2)</f>
        <v>#DIV/0!</v>
      </c>
    </row>
    <row r="1079" spans="1:21" x14ac:dyDescent="0.2">
      <c r="A1079" s="63" t="s">
        <v>1613</v>
      </c>
      <c r="B1079" s="64" t="s">
        <v>324</v>
      </c>
      <c r="C1079" s="64" t="s">
        <v>323</v>
      </c>
      <c r="D1079" s="64" t="s">
        <v>1691</v>
      </c>
      <c r="E1079" s="64" t="s">
        <v>324</v>
      </c>
      <c r="F1079" s="65" t="s">
        <v>655</v>
      </c>
      <c r="G1079" s="64" t="s">
        <v>339</v>
      </c>
      <c r="H1079" s="64" t="s">
        <v>263</v>
      </c>
      <c r="I1079" s="64" t="s">
        <v>10</v>
      </c>
      <c r="J1079" s="64" t="s">
        <v>201</v>
      </c>
      <c r="K1079" s="66">
        <v>17.100000000000001</v>
      </c>
      <c r="L1079" s="66">
        <f>K1079*VLOOKUP(I1079,dagsoorttabel1,2,FALSE)</f>
        <v>17.100000000000001</v>
      </c>
      <c r="M1079" s="67">
        <f>prodnorm63</f>
        <v>0</v>
      </c>
      <c r="N1079" s="68">
        <f>dagwerk63</f>
        <v>0</v>
      </c>
      <c r="O1079" s="64" t="s">
        <v>38</v>
      </c>
      <c r="P1079" s="69">
        <f>uurtarief63</f>
        <v>0</v>
      </c>
      <c r="Q1079" s="66" t="e">
        <f>IF(ISBLANK(M1079),0,L1079/ROUND(M1079,4))</f>
        <v>#DIV/0!</v>
      </c>
      <c r="R1079" s="66" t="e">
        <f>IF(ISBLANK(M1079),0,Q1079*ROUND(N1079,2))</f>
        <v>#DIV/0!</v>
      </c>
      <c r="S1079" s="69" t="e">
        <f>ROUND(P1079,2)*Q1079</f>
        <v>#DIV/0!</v>
      </c>
      <c r="T1079" s="66" t="e">
        <f>Q1079*dagenperjaar1</f>
        <v>#DIV/0!</v>
      </c>
      <c r="U1079" s="70" t="e">
        <f>T1079*ROUND(P1079,2)</f>
        <v>#DIV/0!</v>
      </c>
    </row>
    <row r="1080" spans="1:21" x14ac:dyDescent="0.2">
      <c r="A1080" s="63" t="s">
        <v>1613</v>
      </c>
      <c r="B1080" s="64" t="s">
        <v>324</v>
      </c>
      <c r="C1080" s="64" t="s">
        <v>323</v>
      </c>
      <c r="D1080" s="64" t="s">
        <v>1692</v>
      </c>
      <c r="E1080" s="64" t="s">
        <v>324</v>
      </c>
      <c r="F1080" s="65" t="s">
        <v>1693</v>
      </c>
      <c r="G1080" s="64" t="s">
        <v>365</v>
      </c>
      <c r="H1080" s="64" t="s">
        <v>255</v>
      </c>
      <c r="I1080" s="64" t="s">
        <v>10</v>
      </c>
      <c r="J1080" s="64" t="s">
        <v>201</v>
      </c>
      <c r="K1080" s="66">
        <v>2</v>
      </c>
      <c r="L1080" s="66">
        <f>K1080*VLOOKUP(I1080,dagsoorttabel1,2,FALSE)</f>
        <v>2</v>
      </c>
      <c r="M1080" s="67">
        <f>prodnorm59</f>
        <v>0</v>
      </c>
      <c r="N1080" s="68">
        <f>dagwerk59</f>
        <v>0</v>
      </c>
      <c r="O1080" s="64" t="s">
        <v>38</v>
      </c>
      <c r="P1080" s="69">
        <f>uurtarief59</f>
        <v>0</v>
      </c>
      <c r="Q1080" s="66" t="e">
        <f>IF(ISBLANK(M1080),0,L1080/ROUND(M1080,4))</f>
        <v>#DIV/0!</v>
      </c>
      <c r="R1080" s="66" t="e">
        <f>IF(ISBLANK(M1080),0,Q1080*ROUND(N1080,2))</f>
        <v>#DIV/0!</v>
      </c>
      <c r="S1080" s="69" t="e">
        <f>ROUND(P1080,2)*Q1080</f>
        <v>#DIV/0!</v>
      </c>
      <c r="T1080" s="66" t="e">
        <f>Q1080*dagenperjaar1</f>
        <v>#DIV/0!</v>
      </c>
      <c r="U1080" s="70" t="e">
        <f>T1080*ROUND(P1080,2)</f>
        <v>#DIV/0!</v>
      </c>
    </row>
    <row r="1081" spans="1:21" x14ac:dyDescent="0.2">
      <c r="A1081" s="63" t="s">
        <v>1613</v>
      </c>
      <c r="B1081" s="64" t="s">
        <v>324</v>
      </c>
      <c r="C1081" s="64" t="s">
        <v>323</v>
      </c>
      <c r="D1081" s="64" t="s">
        <v>1694</v>
      </c>
      <c r="E1081" s="64" t="s">
        <v>324</v>
      </c>
      <c r="F1081" s="65" t="s">
        <v>641</v>
      </c>
      <c r="G1081" s="64" t="s">
        <v>1421</v>
      </c>
      <c r="H1081" s="64" t="s">
        <v>255</v>
      </c>
      <c r="I1081" s="64" t="s">
        <v>10</v>
      </c>
      <c r="J1081" s="64" t="s">
        <v>201</v>
      </c>
      <c r="K1081" s="66">
        <v>13.3</v>
      </c>
      <c r="L1081" s="66">
        <f>K1081*VLOOKUP(I1081,dagsoorttabel1,2,FALSE)</f>
        <v>13.3</v>
      </c>
      <c r="M1081" s="67">
        <f>prodnorm59</f>
        <v>0</v>
      </c>
      <c r="N1081" s="68">
        <f>dagwerk59</f>
        <v>0</v>
      </c>
      <c r="O1081" s="64" t="s">
        <v>38</v>
      </c>
      <c r="P1081" s="69">
        <f>uurtarief59</f>
        <v>0</v>
      </c>
      <c r="Q1081" s="66" t="e">
        <f>IF(ISBLANK(M1081),0,L1081/ROUND(M1081,4))</f>
        <v>#DIV/0!</v>
      </c>
      <c r="R1081" s="66" t="e">
        <f>IF(ISBLANK(M1081),0,Q1081*ROUND(N1081,2))</f>
        <v>#DIV/0!</v>
      </c>
      <c r="S1081" s="69" t="e">
        <f>ROUND(P1081,2)*Q1081</f>
        <v>#DIV/0!</v>
      </c>
      <c r="T1081" s="66" t="e">
        <f>Q1081*dagenperjaar1</f>
        <v>#DIV/0!</v>
      </c>
      <c r="U1081" s="70" t="e">
        <f>T1081*ROUND(P1081,2)</f>
        <v>#DIV/0!</v>
      </c>
    </row>
    <row r="1082" spans="1:21" x14ac:dyDescent="0.2">
      <c r="A1082" s="63" t="s">
        <v>1613</v>
      </c>
      <c r="B1082" s="64" t="s">
        <v>324</v>
      </c>
      <c r="C1082" s="64" t="s">
        <v>323</v>
      </c>
      <c r="D1082" s="64" t="s">
        <v>1695</v>
      </c>
      <c r="E1082" s="64" t="s">
        <v>324</v>
      </c>
      <c r="F1082" s="65" t="s">
        <v>641</v>
      </c>
      <c r="G1082" s="64" t="s">
        <v>1421</v>
      </c>
      <c r="H1082" s="64" t="s">
        <v>255</v>
      </c>
      <c r="I1082" s="64" t="s">
        <v>10</v>
      </c>
      <c r="J1082" s="64" t="s">
        <v>201</v>
      </c>
      <c r="K1082" s="66">
        <v>13.3</v>
      </c>
      <c r="L1082" s="66">
        <f>K1082*VLOOKUP(I1082,dagsoorttabel1,2,FALSE)</f>
        <v>13.3</v>
      </c>
      <c r="M1082" s="67">
        <f>prodnorm59</f>
        <v>0</v>
      </c>
      <c r="N1082" s="68">
        <f>dagwerk59</f>
        <v>0</v>
      </c>
      <c r="O1082" s="64" t="s">
        <v>38</v>
      </c>
      <c r="P1082" s="69">
        <f>uurtarief59</f>
        <v>0</v>
      </c>
      <c r="Q1082" s="66" t="e">
        <f>IF(ISBLANK(M1082),0,L1082/ROUND(M1082,4))</f>
        <v>#DIV/0!</v>
      </c>
      <c r="R1082" s="66" t="e">
        <f>IF(ISBLANK(M1082),0,Q1082*ROUND(N1082,2))</f>
        <v>#DIV/0!</v>
      </c>
      <c r="S1082" s="69" t="e">
        <f>ROUND(P1082,2)*Q1082</f>
        <v>#DIV/0!</v>
      </c>
      <c r="T1082" s="66" t="e">
        <f>Q1082*dagenperjaar1</f>
        <v>#DIV/0!</v>
      </c>
      <c r="U1082" s="70" t="e">
        <f>T1082*ROUND(P1082,2)</f>
        <v>#DIV/0!</v>
      </c>
    </row>
    <row r="1083" spans="1:21" x14ac:dyDescent="0.2">
      <c r="A1083" s="63" t="s">
        <v>1613</v>
      </c>
      <c r="B1083" s="64" t="s">
        <v>324</v>
      </c>
      <c r="C1083" s="64" t="s">
        <v>323</v>
      </c>
      <c r="D1083" s="64" t="s">
        <v>1696</v>
      </c>
      <c r="E1083" s="64" t="s">
        <v>324</v>
      </c>
      <c r="F1083" s="65" t="s">
        <v>641</v>
      </c>
      <c r="G1083" s="64" t="s">
        <v>365</v>
      </c>
      <c r="H1083" s="64" t="s">
        <v>255</v>
      </c>
      <c r="I1083" s="64" t="s">
        <v>10</v>
      </c>
      <c r="J1083" s="64" t="s">
        <v>201</v>
      </c>
      <c r="K1083" s="66">
        <v>7.2</v>
      </c>
      <c r="L1083" s="66">
        <f>K1083*VLOOKUP(I1083,dagsoorttabel1,2,FALSE)</f>
        <v>7.2</v>
      </c>
      <c r="M1083" s="67">
        <f>prodnorm59</f>
        <v>0</v>
      </c>
      <c r="N1083" s="68">
        <f>dagwerk59</f>
        <v>0</v>
      </c>
      <c r="O1083" s="64" t="s">
        <v>38</v>
      </c>
      <c r="P1083" s="69">
        <f>uurtarief59</f>
        <v>0</v>
      </c>
      <c r="Q1083" s="66" t="e">
        <f>IF(ISBLANK(M1083),0,L1083/ROUND(M1083,4))</f>
        <v>#DIV/0!</v>
      </c>
      <c r="R1083" s="66" t="e">
        <f>IF(ISBLANK(M1083),0,Q1083*ROUND(N1083,2))</f>
        <v>#DIV/0!</v>
      </c>
      <c r="S1083" s="69" t="e">
        <f>ROUND(P1083,2)*Q1083</f>
        <v>#DIV/0!</v>
      </c>
      <c r="T1083" s="66" t="e">
        <f>Q1083*dagenperjaar1</f>
        <v>#DIV/0!</v>
      </c>
      <c r="U1083" s="70" t="e">
        <f>T1083*ROUND(P1083,2)</f>
        <v>#DIV/0!</v>
      </c>
    </row>
    <row r="1084" spans="1:21" x14ac:dyDescent="0.2">
      <c r="A1084" s="63" t="s">
        <v>1613</v>
      </c>
      <c r="B1084" s="64" t="s">
        <v>324</v>
      </c>
      <c r="C1084" s="64" t="s">
        <v>323</v>
      </c>
      <c r="D1084" s="64" t="s">
        <v>1697</v>
      </c>
      <c r="E1084" s="64" t="s">
        <v>324</v>
      </c>
      <c r="F1084" s="65" t="s">
        <v>641</v>
      </c>
      <c r="G1084" s="64" t="s">
        <v>365</v>
      </c>
      <c r="H1084" s="64" t="s">
        <v>255</v>
      </c>
      <c r="I1084" s="64" t="s">
        <v>10</v>
      </c>
      <c r="J1084" s="64" t="s">
        <v>201</v>
      </c>
      <c r="K1084" s="66">
        <v>7.4</v>
      </c>
      <c r="L1084" s="66">
        <f>K1084*VLOOKUP(I1084,dagsoorttabel1,2,FALSE)</f>
        <v>7.4</v>
      </c>
      <c r="M1084" s="67">
        <f>prodnorm59</f>
        <v>0</v>
      </c>
      <c r="N1084" s="68">
        <f>dagwerk59</f>
        <v>0</v>
      </c>
      <c r="O1084" s="64" t="s">
        <v>38</v>
      </c>
      <c r="P1084" s="69">
        <f>uurtarief59</f>
        <v>0</v>
      </c>
      <c r="Q1084" s="66" t="e">
        <f>IF(ISBLANK(M1084),0,L1084/ROUND(M1084,4))</f>
        <v>#DIV/0!</v>
      </c>
      <c r="R1084" s="66" t="e">
        <f>IF(ISBLANK(M1084),0,Q1084*ROUND(N1084,2))</f>
        <v>#DIV/0!</v>
      </c>
      <c r="S1084" s="69" t="e">
        <f>ROUND(P1084,2)*Q1084</f>
        <v>#DIV/0!</v>
      </c>
      <c r="T1084" s="66" t="e">
        <f>Q1084*dagenperjaar1</f>
        <v>#DIV/0!</v>
      </c>
      <c r="U1084" s="70" t="e">
        <f>T1084*ROUND(P1084,2)</f>
        <v>#DIV/0!</v>
      </c>
    </row>
    <row r="1085" spans="1:21" x14ac:dyDescent="0.2">
      <c r="A1085" s="63" t="s">
        <v>1613</v>
      </c>
      <c r="B1085" s="64" t="s">
        <v>324</v>
      </c>
      <c r="C1085" s="64" t="s">
        <v>472</v>
      </c>
      <c r="D1085" s="64" t="s">
        <v>1698</v>
      </c>
      <c r="E1085" s="64" t="s">
        <v>324</v>
      </c>
      <c r="F1085" s="65" t="s">
        <v>1393</v>
      </c>
      <c r="G1085" s="64" t="s">
        <v>1666</v>
      </c>
      <c r="H1085" s="64" t="s">
        <v>229</v>
      </c>
      <c r="I1085" s="64" t="s">
        <v>10</v>
      </c>
      <c r="J1085" s="64" t="s">
        <v>201</v>
      </c>
      <c r="K1085" s="66">
        <v>50.4</v>
      </c>
      <c r="L1085" s="66">
        <f>K1085*VLOOKUP(I1085,dagsoorttabel1,2,FALSE)</f>
        <v>50.4</v>
      </c>
      <c r="M1085" s="67">
        <f>prodnorm43</f>
        <v>0</v>
      </c>
      <c r="N1085" s="68">
        <f>dagwerk43</f>
        <v>0</v>
      </c>
      <c r="O1085" s="64" t="s">
        <v>38</v>
      </c>
      <c r="P1085" s="69">
        <f>uurtarief43</f>
        <v>0</v>
      </c>
      <c r="Q1085" s="66" t="e">
        <f>IF(ISBLANK(M1085),0,L1085/ROUND(M1085,4))</f>
        <v>#DIV/0!</v>
      </c>
      <c r="R1085" s="66" t="e">
        <f>IF(ISBLANK(M1085),0,Q1085*ROUND(N1085,2))</f>
        <v>#DIV/0!</v>
      </c>
      <c r="S1085" s="69" t="e">
        <f>ROUND(P1085,2)*Q1085</f>
        <v>#DIV/0!</v>
      </c>
      <c r="T1085" s="66" t="e">
        <f>Q1085*dagenperjaar1</f>
        <v>#DIV/0!</v>
      </c>
      <c r="U1085" s="70" t="e">
        <f>T1085*ROUND(P1085,2)</f>
        <v>#DIV/0!</v>
      </c>
    </row>
    <row r="1086" spans="1:21" x14ac:dyDescent="0.2">
      <c r="A1086" s="63" t="s">
        <v>1613</v>
      </c>
      <c r="B1086" s="64" t="s">
        <v>324</v>
      </c>
      <c r="C1086" s="64" t="s">
        <v>472</v>
      </c>
      <c r="D1086" s="64" t="s">
        <v>1699</v>
      </c>
      <c r="E1086" s="64" t="s">
        <v>324</v>
      </c>
      <c r="F1086" s="65" t="s">
        <v>1393</v>
      </c>
      <c r="G1086" s="64" t="s">
        <v>328</v>
      </c>
      <c r="H1086" s="64" t="s">
        <v>229</v>
      </c>
      <c r="I1086" s="64" t="s">
        <v>10</v>
      </c>
      <c r="J1086" s="64" t="s">
        <v>201</v>
      </c>
      <c r="K1086" s="66">
        <v>50.4</v>
      </c>
      <c r="L1086" s="66">
        <f>K1086*VLOOKUP(I1086,dagsoorttabel1,2,FALSE)</f>
        <v>50.4</v>
      </c>
      <c r="M1086" s="67">
        <f>prodnorm43</f>
        <v>0</v>
      </c>
      <c r="N1086" s="68">
        <f>dagwerk43</f>
        <v>0</v>
      </c>
      <c r="O1086" s="64" t="s">
        <v>38</v>
      </c>
      <c r="P1086" s="69">
        <f>uurtarief43</f>
        <v>0</v>
      </c>
      <c r="Q1086" s="66" t="e">
        <f>IF(ISBLANK(M1086),0,L1086/ROUND(M1086,4))</f>
        <v>#DIV/0!</v>
      </c>
      <c r="R1086" s="66" t="e">
        <f>IF(ISBLANK(M1086),0,Q1086*ROUND(N1086,2))</f>
        <v>#DIV/0!</v>
      </c>
      <c r="S1086" s="69" t="e">
        <f>ROUND(P1086,2)*Q1086</f>
        <v>#DIV/0!</v>
      </c>
      <c r="T1086" s="66" t="e">
        <f>Q1086*dagenperjaar1</f>
        <v>#DIV/0!</v>
      </c>
      <c r="U1086" s="70" t="e">
        <f>T1086*ROUND(P1086,2)</f>
        <v>#DIV/0!</v>
      </c>
    </row>
    <row r="1087" spans="1:21" x14ac:dyDescent="0.2">
      <c r="A1087" s="63" t="s">
        <v>1613</v>
      </c>
      <c r="B1087" s="64" t="s">
        <v>324</v>
      </c>
      <c r="C1087" s="64" t="s">
        <v>472</v>
      </c>
      <c r="D1087" s="64" t="s">
        <v>1700</v>
      </c>
      <c r="E1087" s="64" t="s">
        <v>324</v>
      </c>
      <c r="F1087" s="65" t="s">
        <v>1701</v>
      </c>
      <c r="G1087" s="64" t="s">
        <v>328</v>
      </c>
      <c r="H1087" s="64" t="s">
        <v>243</v>
      </c>
      <c r="I1087" s="64" t="s">
        <v>10</v>
      </c>
      <c r="J1087" s="64" t="s">
        <v>201</v>
      </c>
      <c r="K1087" s="66">
        <v>61.8</v>
      </c>
      <c r="L1087" s="66">
        <f>K1087*VLOOKUP(I1087,dagsoorttabel1,2,FALSE)</f>
        <v>61.8</v>
      </c>
      <c r="M1087" s="67">
        <f>prodnorm52</f>
        <v>0</v>
      </c>
      <c r="N1087" s="68">
        <f>dagwerk52</f>
        <v>0</v>
      </c>
      <c r="O1087" s="64" t="s">
        <v>38</v>
      </c>
      <c r="P1087" s="69">
        <f>uurtarief52</f>
        <v>0</v>
      </c>
      <c r="Q1087" s="66" t="e">
        <f>IF(ISBLANK(M1087),0,L1087/ROUND(M1087,4))</f>
        <v>#DIV/0!</v>
      </c>
      <c r="R1087" s="66" t="e">
        <f>IF(ISBLANK(M1087),0,Q1087*ROUND(N1087,2))</f>
        <v>#DIV/0!</v>
      </c>
      <c r="S1087" s="69" t="e">
        <f>ROUND(P1087,2)*Q1087</f>
        <v>#DIV/0!</v>
      </c>
      <c r="T1087" s="66" t="e">
        <f>Q1087*dagenperjaar1</f>
        <v>#DIV/0!</v>
      </c>
      <c r="U1087" s="70" t="e">
        <f>T1087*ROUND(P1087,2)</f>
        <v>#DIV/0!</v>
      </c>
    </row>
    <row r="1088" spans="1:21" x14ac:dyDescent="0.2">
      <c r="A1088" s="63" t="s">
        <v>1613</v>
      </c>
      <c r="B1088" s="64" t="s">
        <v>324</v>
      </c>
      <c r="C1088" s="64" t="s">
        <v>472</v>
      </c>
      <c r="D1088" s="64" t="s">
        <v>1702</v>
      </c>
      <c r="E1088" s="64" t="s">
        <v>324</v>
      </c>
      <c r="F1088" s="65" t="s">
        <v>1393</v>
      </c>
      <c r="G1088" s="64" t="s">
        <v>328</v>
      </c>
      <c r="H1088" s="64" t="s">
        <v>229</v>
      </c>
      <c r="I1088" s="64" t="s">
        <v>10</v>
      </c>
      <c r="J1088" s="64" t="s">
        <v>201</v>
      </c>
      <c r="K1088" s="66">
        <v>50.2</v>
      </c>
      <c r="L1088" s="66">
        <f>K1088*VLOOKUP(I1088,dagsoorttabel1,2,FALSE)</f>
        <v>50.2</v>
      </c>
      <c r="M1088" s="67">
        <f>prodnorm43</f>
        <v>0</v>
      </c>
      <c r="N1088" s="68">
        <f>dagwerk43</f>
        <v>0</v>
      </c>
      <c r="O1088" s="64" t="s">
        <v>38</v>
      </c>
      <c r="P1088" s="69">
        <f>uurtarief43</f>
        <v>0</v>
      </c>
      <c r="Q1088" s="66" t="e">
        <f>IF(ISBLANK(M1088),0,L1088/ROUND(M1088,4))</f>
        <v>#DIV/0!</v>
      </c>
      <c r="R1088" s="66" t="e">
        <f>IF(ISBLANK(M1088),0,Q1088*ROUND(N1088,2))</f>
        <v>#DIV/0!</v>
      </c>
      <c r="S1088" s="69" t="e">
        <f>ROUND(P1088,2)*Q1088</f>
        <v>#DIV/0!</v>
      </c>
      <c r="T1088" s="66" t="e">
        <f>Q1088*dagenperjaar1</f>
        <v>#DIV/0!</v>
      </c>
      <c r="U1088" s="70" t="e">
        <f>T1088*ROUND(P1088,2)</f>
        <v>#DIV/0!</v>
      </c>
    </row>
    <row r="1089" spans="1:21" x14ac:dyDescent="0.2">
      <c r="A1089" s="63" t="s">
        <v>1613</v>
      </c>
      <c r="B1089" s="64" t="s">
        <v>324</v>
      </c>
      <c r="C1089" s="64" t="s">
        <v>472</v>
      </c>
      <c r="D1089" s="64" t="s">
        <v>1703</v>
      </c>
      <c r="E1089" s="64" t="s">
        <v>324</v>
      </c>
      <c r="F1089" s="65" t="s">
        <v>1393</v>
      </c>
      <c r="G1089" s="64" t="s">
        <v>328</v>
      </c>
      <c r="H1089" s="64" t="s">
        <v>229</v>
      </c>
      <c r="I1089" s="64" t="s">
        <v>10</v>
      </c>
      <c r="J1089" s="64" t="s">
        <v>201</v>
      </c>
      <c r="K1089" s="66">
        <v>50.5</v>
      </c>
      <c r="L1089" s="66">
        <f>K1089*VLOOKUP(I1089,dagsoorttabel1,2,FALSE)</f>
        <v>50.5</v>
      </c>
      <c r="M1089" s="67">
        <f>prodnorm43</f>
        <v>0</v>
      </c>
      <c r="N1089" s="68">
        <f>dagwerk43</f>
        <v>0</v>
      </c>
      <c r="O1089" s="64" t="s">
        <v>38</v>
      </c>
      <c r="P1089" s="69">
        <f>uurtarief43</f>
        <v>0</v>
      </c>
      <c r="Q1089" s="66" t="e">
        <f>IF(ISBLANK(M1089),0,L1089/ROUND(M1089,4))</f>
        <v>#DIV/0!</v>
      </c>
      <c r="R1089" s="66" t="e">
        <f>IF(ISBLANK(M1089),0,Q1089*ROUND(N1089,2))</f>
        <v>#DIV/0!</v>
      </c>
      <c r="S1089" s="69" t="e">
        <f>ROUND(P1089,2)*Q1089</f>
        <v>#DIV/0!</v>
      </c>
      <c r="T1089" s="66" t="e">
        <f>Q1089*dagenperjaar1</f>
        <v>#DIV/0!</v>
      </c>
      <c r="U1089" s="70" t="e">
        <f>T1089*ROUND(P1089,2)</f>
        <v>#DIV/0!</v>
      </c>
    </row>
    <row r="1090" spans="1:21" x14ac:dyDescent="0.2">
      <c r="A1090" s="63" t="s">
        <v>1613</v>
      </c>
      <c r="B1090" s="64" t="s">
        <v>324</v>
      </c>
      <c r="C1090" s="64" t="s">
        <v>472</v>
      </c>
      <c r="D1090" s="64" t="s">
        <v>1704</v>
      </c>
      <c r="E1090" s="64" t="s">
        <v>324</v>
      </c>
      <c r="F1090" s="65" t="s">
        <v>1393</v>
      </c>
      <c r="G1090" s="64" t="s">
        <v>328</v>
      </c>
      <c r="H1090" s="64" t="s">
        <v>229</v>
      </c>
      <c r="I1090" s="64" t="s">
        <v>10</v>
      </c>
      <c r="J1090" s="64" t="s">
        <v>201</v>
      </c>
      <c r="K1090" s="66">
        <v>50.6</v>
      </c>
      <c r="L1090" s="66">
        <f>K1090*VLOOKUP(I1090,dagsoorttabel1,2,FALSE)</f>
        <v>50.6</v>
      </c>
      <c r="M1090" s="67">
        <f>prodnorm43</f>
        <v>0</v>
      </c>
      <c r="N1090" s="68">
        <f>dagwerk43</f>
        <v>0</v>
      </c>
      <c r="O1090" s="64" t="s">
        <v>38</v>
      </c>
      <c r="P1090" s="69">
        <f>uurtarief43</f>
        <v>0</v>
      </c>
      <c r="Q1090" s="66" t="e">
        <f>IF(ISBLANK(M1090),0,L1090/ROUND(M1090,4))</f>
        <v>#DIV/0!</v>
      </c>
      <c r="R1090" s="66" t="e">
        <f>IF(ISBLANK(M1090),0,Q1090*ROUND(N1090,2))</f>
        <v>#DIV/0!</v>
      </c>
      <c r="S1090" s="69" t="e">
        <f>ROUND(P1090,2)*Q1090</f>
        <v>#DIV/0!</v>
      </c>
      <c r="T1090" s="66" t="e">
        <f>Q1090*dagenperjaar1</f>
        <v>#DIV/0!</v>
      </c>
      <c r="U1090" s="70" t="e">
        <f>T1090*ROUND(P1090,2)</f>
        <v>#DIV/0!</v>
      </c>
    </row>
    <row r="1091" spans="1:21" x14ac:dyDescent="0.2">
      <c r="A1091" s="63" t="s">
        <v>1613</v>
      </c>
      <c r="B1091" s="64" t="s">
        <v>324</v>
      </c>
      <c r="C1091" s="64" t="s">
        <v>472</v>
      </c>
      <c r="D1091" s="64" t="s">
        <v>1705</v>
      </c>
      <c r="E1091" s="64" t="s">
        <v>324</v>
      </c>
      <c r="F1091" s="65" t="s">
        <v>1393</v>
      </c>
      <c r="G1091" s="64" t="s">
        <v>328</v>
      </c>
      <c r="H1091" s="64" t="s">
        <v>229</v>
      </c>
      <c r="I1091" s="64" t="s">
        <v>10</v>
      </c>
      <c r="J1091" s="64" t="s">
        <v>201</v>
      </c>
      <c r="K1091" s="66">
        <v>50.3</v>
      </c>
      <c r="L1091" s="66">
        <f>K1091*VLOOKUP(I1091,dagsoorttabel1,2,FALSE)</f>
        <v>50.3</v>
      </c>
      <c r="M1091" s="67">
        <f>prodnorm43</f>
        <v>0</v>
      </c>
      <c r="N1091" s="68">
        <f>dagwerk43</f>
        <v>0</v>
      </c>
      <c r="O1091" s="64" t="s">
        <v>38</v>
      </c>
      <c r="P1091" s="69">
        <f>uurtarief43</f>
        <v>0</v>
      </c>
      <c r="Q1091" s="66" t="e">
        <f>IF(ISBLANK(M1091),0,L1091/ROUND(M1091,4))</f>
        <v>#DIV/0!</v>
      </c>
      <c r="R1091" s="66" t="e">
        <f>IF(ISBLANK(M1091),0,Q1091*ROUND(N1091,2))</f>
        <v>#DIV/0!</v>
      </c>
      <c r="S1091" s="69" t="e">
        <f>ROUND(P1091,2)*Q1091</f>
        <v>#DIV/0!</v>
      </c>
      <c r="T1091" s="66" t="e">
        <f>Q1091*dagenperjaar1</f>
        <v>#DIV/0!</v>
      </c>
      <c r="U1091" s="70" t="e">
        <f>T1091*ROUND(P1091,2)</f>
        <v>#DIV/0!</v>
      </c>
    </row>
    <row r="1092" spans="1:21" x14ac:dyDescent="0.2">
      <c r="A1092" s="63" t="s">
        <v>1613</v>
      </c>
      <c r="B1092" s="64" t="s">
        <v>324</v>
      </c>
      <c r="C1092" s="64" t="s">
        <v>472</v>
      </c>
      <c r="D1092" s="64" t="s">
        <v>1706</v>
      </c>
      <c r="E1092" s="64" t="s">
        <v>324</v>
      </c>
      <c r="F1092" s="65" t="s">
        <v>1393</v>
      </c>
      <c r="G1092" s="64" t="s">
        <v>328</v>
      </c>
      <c r="H1092" s="64" t="s">
        <v>229</v>
      </c>
      <c r="I1092" s="64" t="s">
        <v>10</v>
      </c>
      <c r="J1092" s="64" t="s">
        <v>201</v>
      </c>
      <c r="K1092" s="66">
        <v>50.6</v>
      </c>
      <c r="L1092" s="66">
        <f>K1092*VLOOKUP(I1092,dagsoorttabel1,2,FALSE)</f>
        <v>50.6</v>
      </c>
      <c r="M1092" s="67">
        <f>prodnorm43</f>
        <v>0</v>
      </c>
      <c r="N1092" s="68">
        <f>dagwerk43</f>
        <v>0</v>
      </c>
      <c r="O1092" s="64" t="s">
        <v>38</v>
      </c>
      <c r="P1092" s="69">
        <f>uurtarief43</f>
        <v>0</v>
      </c>
      <c r="Q1092" s="66" t="e">
        <f>IF(ISBLANK(M1092),0,L1092/ROUND(M1092,4))</f>
        <v>#DIV/0!</v>
      </c>
      <c r="R1092" s="66" t="e">
        <f>IF(ISBLANK(M1092),0,Q1092*ROUND(N1092,2))</f>
        <v>#DIV/0!</v>
      </c>
      <c r="S1092" s="69" t="e">
        <f>ROUND(P1092,2)*Q1092</f>
        <v>#DIV/0!</v>
      </c>
      <c r="T1092" s="66" t="e">
        <f>Q1092*dagenperjaar1</f>
        <v>#DIV/0!</v>
      </c>
      <c r="U1092" s="70" t="e">
        <f>T1092*ROUND(P1092,2)</f>
        <v>#DIV/0!</v>
      </c>
    </row>
    <row r="1093" spans="1:21" x14ac:dyDescent="0.2">
      <c r="A1093" s="63" t="s">
        <v>1613</v>
      </c>
      <c r="B1093" s="64" t="s">
        <v>324</v>
      </c>
      <c r="C1093" s="64" t="s">
        <v>472</v>
      </c>
      <c r="D1093" s="64" t="s">
        <v>1707</v>
      </c>
      <c r="E1093" s="64" t="s">
        <v>324</v>
      </c>
      <c r="F1093" s="65" t="s">
        <v>1708</v>
      </c>
      <c r="G1093" s="64" t="s">
        <v>365</v>
      </c>
      <c r="H1093" s="64" t="s">
        <v>243</v>
      </c>
      <c r="I1093" s="64" t="s">
        <v>10</v>
      </c>
      <c r="J1093" s="64" t="s">
        <v>201</v>
      </c>
      <c r="K1093" s="66">
        <v>88.9</v>
      </c>
      <c r="L1093" s="66">
        <f>K1093*VLOOKUP(I1093,dagsoorttabel1,2,FALSE)</f>
        <v>88.9</v>
      </c>
      <c r="M1093" s="67">
        <f>prodnorm52</f>
        <v>0</v>
      </c>
      <c r="N1093" s="68">
        <f>dagwerk52</f>
        <v>0</v>
      </c>
      <c r="O1093" s="64" t="s">
        <v>38</v>
      </c>
      <c r="P1093" s="69">
        <f>uurtarief52</f>
        <v>0</v>
      </c>
      <c r="Q1093" s="66" t="e">
        <f>IF(ISBLANK(M1093),0,L1093/ROUND(M1093,4))</f>
        <v>#DIV/0!</v>
      </c>
      <c r="R1093" s="66" t="e">
        <f>IF(ISBLANK(M1093),0,Q1093*ROUND(N1093,2))</f>
        <v>#DIV/0!</v>
      </c>
      <c r="S1093" s="69" t="e">
        <f>ROUND(P1093,2)*Q1093</f>
        <v>#DIV/0!</v>
      </c>
      <c r="T1093" s="66" t="e">
        <f>Q1093*dagenperjaar1</f>
        <v>#DIV/0!</v>
      </c>
      <c r="U1093" s="70" t="e">
        <f>T1093*ROUND(P1093,2)</f>
        <v>#DIV/0!</v>
      </c>
    </row>
    <row r="1094" spans="1:21" x14ac:dyDescent="0.2">
      <c r="A1094" s="63" t="s">
        <v>1613</v>
      </c>
      <c r="B1094" s="64" t="s">
        <v>324</v>
      </c>
      <c r="C1094" s="64" t="s">
        <v>472</v>
      </c>
      <c r="D1094" s="64" t="s">
        <v>1709</v>
      </c>
      <c r="E1094" s="64" t="s">
        <v>324</v>
      </c>
      <c r="F1094" s="65" t="s">
        <v>1393</v>
      </c>
      <c r="G1094" s="64" t="s">
        <v>1666</v>
      </c>
      <c r="H1094" s="64" t="s">
        <v>229</v>
      </c>
      <c r="I1094" s="64" t="s">
        <v>10</v>
      </c>
      <c r="J1094" s="64" t="s">
        <v>201</v>
      </c>
      <c r="K1094" s="66">
        <v>50.6</v>
      </c>
      <c r="L1094" s="66">
        <f>K1094*VLOOKUP(I1094,dagsoorttabel1,2,FALSE)</f>
        <v>50.6</v>
      </c>
      <c r="M1094" s="67">
        <f>prodnorm43</f>
        <v>0</v>
      </c>
      <c r="N1094" s="68">
        <f>dagwerk43</f>
        <v>0</v>
      </c>
      <c r="O1094" s="64" t="s">
        <v>38</v>
      </c>
      <c r="P1094" s="69">
        <f>uurtarief43</f>
        <v>0</v>
      </c>
      <c r="Q1094" s="66" t="e">
        <f>IF(ISBLANK(M1094),0,L1094/ROUND(M1094,4))</f>
        <v>#DIV/0!</v>
      </c>
      <c r="R1094" s="66" t="e">
        <f>IF(ISBLANK(M1094),0,Q1094*ROUND(N1094,2))</f>
        <v>#DIV/0!</v>
      </c>
      <c r="S1094" s="69" t="e">
        <f>ROUND(P1094,2)*Q1094</f>
        <v>#DIV/0!</v>
      </c>
      <c r="T1094" s="66" t="e">
        <f>Q1094*dagenperjaar1</f>
        <v>#DIV/0!</v>
      </c>
      <c r="U1094" s="70" t="e">
        <f>T1094*ROUND(P1094,2)</f>
        <v>#DIV/0!</v>
      </c>
    </row>
    <row r="1095" spans="1:21" x14ac:dyDescent="0.2">
      <c r="A1095" s="63" t="s">
        <v>1613</v>
      </c>
      <c r="B1095" s="64" t="s">
        <v>324</v>
      </c>
      <c r="C1095" s="64" t="s">
        <v>472</v>
      </c>
      <c r="D1095" s="64" t="s">
        <v>1710</v>
      </c>
      <c r="E1095" s="64" t="s">
        <v>324</v>
      </c>
      <c r="F1095" s="65" t="s">
        <v>1393</v>
      </c>
      <c r="G1095" s="64" t="s">
        <v>1666</v>
      </c>
      <c r="H1095" s="64" t="s">
        <v>229</v>
      </c>
      <c r="I1095" s="64" t="s">
        <v>10</v>
      </c>
      <c r="J1095" s="64" t="s">
        <v>201</v>
      </c>
      <c r="K1095" s="66">
        <v>86.1</v>
      </c>
      <c r="L1095" s="66">
        <f>K1095*VLOOKUP(I1095,dagsoorttabel1,2,FALSE)</f>
        <v>86.1</v>
      </c>
      <c r="M1095" s="67">
        <f>prodnorm43</f>
        <v>0</v>
      </c>
      <c r="N1095" s="68">
        <f>dagwerk43</f>
        <v>0</v>
      </c>
      <c r="O1095" s="64" t="s">
        <v>38</v>
      </c>
      <c r="P1095" s="69">
        <f>uurtarief43</f>
        <v>0</v>
      </c>
      <c r="Q1095" s="66" t="e">
        <f>IF(ISBLANK(M1095),0,L1095/ROUND(M1095,4))</f>
        <v>#DIV/0!</v>
      </c>
      <c r="R1095" s="66" t="e">
        <f>IF(ISBLANK(M1095),0,Q1095*ROUND(N1095,2))</f>
        <v>#DIV/0!</v>
      </c>
      <c r="S1095" s="69" t="e">
        <f>ROUND(P1095,2)*Q1095</f>
        <v>#DIV/0!</v>
      </c>
      <c r="T1095" s="66" t="e">
        <f>Q1095*dagenperjaar1</f>
        <v>#DIV/0!</v>
      </c>
      <c r="U1095" s="70" t="e">
        <f>T1095*ROUND(P1095,2)</f>
        <v>#DIV/0!</v>
      </c>
    </row>
    <row r="1096" spans="1:21" x14ac:dyDescent="0.2">
      <c r="A1096" s="63" t="s">
        <v>1613</v>
      </c>
      <c r="B1096" s="64" t="s">
        <v>324</v>
      </c>
      <c r="C1096" s="64" t="s">
        <v>472</v>
      </c>
      <c r="D1096" s="64" t="s">
        <v>1711</v>
      </c>
      <c r="E1096" s="64" t="s">
        <v>324</v>
      </c>
      <c r="F1096" s="65" t="s">
        <v>1393</v>
      </c>
      <c r="G1096" s="64" t="s">
        <v>328</v>
      </c>
      <c r="H1096" s="64" t="s">
        <v>229</v>
      </c>
      <c r="I1096" s="64" t="s">
        <v>10</v>
      </c>
      <c r="J1096" s="64" t="s">
        <v>201</v>
      </c>
      <c r="K1096" s="66">
        <v>65.3</v>
      </c>
      <c r="L1096" s="66">
        <f>K1096*VLOOKUP(I1096,dagsoorttabel1,2,FALSE)</f>
        <v>65.3</v>
      </c>
      <c r="M1096" s="67">
        <f>prodnorm43</f>
        <v>0</v>
      </c>
      <c r="N1096" s="68">
        <f>dagwerk43</f>
        <v>0</v>
      </c>
      <c r="O1096" s="64" t="s">
        <v>38</v>
      </c>
      <c r="P1096" s="69">
        <f>uurtarief43</f>
        <v>0</v>
      </c>
      <c r="Q1096" s="66" t="e">
        <f>IF(ISBLANK(M1096),0,L1096/ROUND(M1096,4))</f>
        <v>#DIV/0!</v>
      </c>
      <c r="R1096" s="66" t="e">
        <f>IF(ISBLANK(M1096),0,Q1096*ROUND(N1096,2))</f>
        <v>#DIV/0!</v>
      </c>
      <c r="S1096" s="69" t="e">
        <f>ROUND(P1096,2)*Q1096</f>
        <v>#DIV/0!</v>
      </c>
      <c r="T1096" s="66" t="e">
        <f>Q1096*dagenperjaar1</f>
        <v>#DIV/0!</v>
      </c>
      <c r="U1096" s="70" t="e">
        <f>T1096*ROUND(P1096,2)</f>
        <v>#DIV/0!</v>
      </c>
    </row>
    <row r="1097" spans="1:21" x14ac:dyDescent="0.2">
      <c r="A1097" s="63" t="s">
        <v>1613</v>
      </c>
      <c r="B1097" s="64" t="s">
        <v>324</v>
      </c>
      <c r="C1097" s="64" t="s">
        <v>472</v>
      </c>
      <c r="D1097" s="64" t="s">
        <v>1712</v>
      </c>
      <c r="E1097" s="64" t="s">
        <v>324</v>
      </c>
      <c r="F1097" s="65" t="s">
        <v>1393</v>
      </c>
      <c r="G1097" s="64" t="s">
        <v>1666</v>
      </c>
      <c r="H1097" s="64" t="s">
        <v>229</v>
      </c>
      <c r="I1097" s="64" t="s">
        <v>10</v>
      </c>
      <c r="J1097" s="64" t="s">
        <v>201</v>
      </c>
      <c r="K1097" s="66">
        <v>47.4</v>
      </c>
      <c r="L1097" s="66">
        <f>K1097*VLOOKUP(I1097,dagsoorttabel1,2,FALSE)</f>
        <v>47.4</v>
      </c>
      <c r="M1097" s="67">
        <f>prodnorm43</f>
        <v>0</v>
      </c>
      <c r="N1097" s="68">
        <f>dagwerk43</f>
        <v>0</v>
      </c>
      <c r="O1097" s="64" t="s">
        <v>38</v>
      </c>
      <c r="P1097" s="69">
        <f>uurtarief43</f>
        <v>0</v>
      </c>
      <c r="Q1097" s="66" t="e">
        <f>IF(ISBLANK(M1097),0,L1097/ROUND(M1097,4))</f>
        <v>#DIV/0!</v>
      </c>
      <c r="R1097" s="66" t="e">
        <f>IF(ISBLANK(M1097),0,Q1097*ROUND(N1097,2))</f>
        <v>#DIV/0!</v>
      </c>
      <c r="S1097" s="69" t="e">
        <f>ROUND(P1097,2)*Q1097</f>
        <v>#DIV/0!</v>
      </c>
      <c r="T1097" s="66" t="e">
        <f>Q1097*dagenperjaar1</f>
        <v>#DIV/0!</v>
      </c>
      <c r="U1097" s="70" t="e">
        <f>T1097*ROUND(P1097,2)</f>
        <v>#DIV/0!</v>
      </c>
    </row>
    <row r="1098" spans="1:21" x14ac:dyDescent="0.2">
      <c r="A1098" s="63" t="s">
        <v>1613</v>
      </c>
      <c r="B1098" s="64" t="s">
        <v>324</v>
      </c>
      <c r="C1098" s="64" t="s">
        <v>472</v>
      </c>
      <c r="D1098" s="64" t="s">
        <v>1713</v>
      </c>
      <c r="E1098" s="64" t="s">
        <v>324</v>
      </c>
      <c r="F1098" s="65" t="s">
        <v>1393</v>
      </c>
      <c r="G1098" s="64" t="s">
        <v>1666</v>
      </c>
      <c r="H1098" s="64" t="s">
        <v>229</v>
      </c>
      <c r="I1098" s="64" t="s">
        <v>10</v>
      </c>
      <c r="J1098" s="64" t="s">
        <v>201</v>
      </c>
      <c r="K1098" s="66">
        <v>47.4</v>
      </c>
      <c r="L1098" s="66">
        <f>K1098*VLOOKUP(I1098,dagsoorttabel1,2,FALSE)</f>
        <v>47.4</v>
      </c>
      <c r="M1098" s="67">
        <f>prodnorm43</f>
        <v>0</v>
      </c>
      <c r="N1098" s="68">
        <f>dagwerk43</f>
        <v>0</v>
      </c>
      <c r="O1098" s="64" t="s">
        <v>38</v>
      </c>
      <c r="P1098" s="69">
        <f>uurtarief43</f>
        <v>0</v>
      </c>
      <c r="Q1098" s="66" t="e">
        <f>IF(ISBLANK(M1098),0,L1098/ROUND(M1098,4))</f>
        <v>#DIV/0!</v>
      </c>
      <c r="R1098" s="66" t="e">
        <f>IF(ISBLANK(M1098),0,Q1098*ROUND(N1098,2))</f>
        <v>#DIV/0!</v>
      </c>
      <c r="S1098" s="69" t="e">
        <f>ROUND(P1098,2)*Q1098</f>
        <v>#DIV/0!</v>
      </c>
      <c r="T1098" s="66" t="e">
        <f>Q1098*dagenperjaar1</f>
        <v>#DIV/0!</v>
      </c>
      <c r="U1098" s="70" t="e">
        <f>T1098*ROUND(P1098,2)</f>
        <v>#DIV/0!</v>
      </c>
    </row>
    <row r="1099" spans="1:21" x14ac:dyDescent="0.2">
      <c r="A1099" s="63" t="s">
        <v>1613</v>
      </c>
      <c r="B1099" s="64" t="s">
        <v>324</v>
      </c>
      <c r="C1099" s="64" t="s">
        <v>472</v>
      </c>
      <c r="D1099" s="64" t="s">
        <v>1714</v>
      </c>
      <c r="E1099" s="64" t="s">
        <v>324</v>
      </c>
      <c r="F1099" s="65" t="s">
        <v>1393</v>
      </c>
      <c r="G1099" s="64" t="s">
        <v>328</v>
      </c>
      <c r="H1099" s="64" t="s">
        <v>229</v>
      </c>
      <c r="I1099" s="64" t="s">
        <v>10</v>
      </c>
      <c r="J1099" s="64" t="s">
        <v>201</v>
      </c>
      <c r="K1099" s="66">
        <v>65.5</v>
      </c>
      <c r="L1099" s="66">
        <f>K1099*VLOOKUP(I1099,dagsoorttabel1,2,FALSE)</f>
        <v>65.5</v>
      </c>
      <c r="M1099" s="67">
        <f>prodnorm43</f>
        <v>0</v>
      </c>
      <c r="N1099" s="68">
        <f>dagwerk43</f>
        <v>0</v>
      </c>
      <c r="O1099" s="64" t="s">
        <v>38</v>
      </c>
      <c r="P1099" s="69">
        <f>uurtarief43</f>
        <v>0</v>
      </c>
      <c r="Q1099" s="66" t="e">
        <f>IF(ISBLANK(M1099),0,L1099/ROUND(M1099,4))</f>
        <v>#DIV/0!</v>
      </c>
      <c r="R1099" s="66" t="e">
        <f>IF(ISBLANK(M1099),0,Q1099*ROUND(N1099,2))</f>
        <v>#DIV/0!</v>
      </c>
      <c r="S1099" s="69" t="e">
        <f>ROUND(P1099,2)*Q1099</f>
        <v>#DIV/0!</v>
      </c>
      <c r="T1099" s="66" t="e">
        <f>Q1099*dagenperjaar1</f>
        <v>#DIV/0!</v>
      </c>
      <c r="U1099" s="70" t="e">
        <f>T1099*ROUND(P1099,2)</f>
        <v>#DIV/0!</v>
      </c>
    </row>
    <row r="1100" spans="1:21" x14ac:dyDescent="0.2">
      <c r="A1100" s="63" t="s">
        <v>1613</v>
      </c>
      <c r="B1100" s="64" t="s">
        <v>324</v>
      </c>
      <c r="C1100" s="64" t="s">
        <v>472</v>
      </c>
      <c r="D1100" s="64" t="s">
        <v>1715</v>
      </c>
      <c r="E1100" s="64" t="s">
        <v>324</v>
      </c>
      <c r="F1100" s="65" t="s">
        <v>1393</v>
      </c>
      <c r="G1100" s="64" t="s">
        <v>1666</v>
      </c>
      <c r="H1100" s="64" t="s">
        <v>229</v>
      </c>
      <c r="I1100" s="64" t="s">
        <v>10</v>
      </c>
      <c r="J1100" s="64" t="s">
        <v>201</v>
      </c>
      <c r="K1100" s="66">
        <v>85.7</v>
      </c>
      <c r="L1100" s="66">
        <f>K1100*VLOOKUP(I1100,dagsoorttabel1,2,FALSE)</f>
        <v>85.7</v>
      </c>
      <c r="M1100" s="67">
        <f>prodnorm43</f>
        <v>0</v>
      </c>
      <c r="N1100" s="68">
        <f>dagwerk43</f>
        <v>0</v>
      </c>
      <c r="O1100" s="64" t="s">
        <v>38</v>
      </c>
      <c r="P1100" s="69">
        <f>uurtarief43</f>
        <v>0</v>
      </c>
      <c r="Q1100" s="66" t="e">
        <f>IF(ISBLANK(M1100),0,L1100/ROUND(M1100,4))</f>
        <v>#DIV/0!</v>
      </c>
      <c r="R1100" s="66" t="e">
        <f>IF(ISBLANK(M1100),0,Q1100*ROUND(N1100,2))</f>
        <v>#DIV/0!</v>
      </c>
      <c r="S1100" s="69" t="e">
        <f>ROUND(P1100,2)*Q1100</f>
        <v>#DIV/0!</v>
      </c>
      <c r="T1100" s="66" t="e">
        <f>Q1100*dagenperjaar1</f>
        <v>#DIV/0!</v>
      </c>
      <c r="U1100" s="70" t="e">
        <f>T1100*ROUND(P1100,2)</f>
        <v>#DIV/0!</v>
      </c>
    </row>
    <row r="1101" spans="1:21" x14ac:dyDescent="0.2">
      <c r="A1101" s="63" t="s">
        <v>1613</v>
      </c>
      <c r="B1101" s="64" t="s">
        <v>324</v>
      </c>
      <c r="C1101" s="64" t="s">
        <v>472</v>
      </c>
      <c r="D1101" s="64" t="s">
        <v>1716</v>
      </c>
      <c r="E1101" s="64" t="s">
        <v>324</v>
      </c>
      <c r="F1101" s="65" t="s">
        <v>335</v>
      </c>
      <c r="G1101" s="64" t="s">
        <v>1666</v>
      </c>
      <c r="H1101" s="64" t="s">
        <v>267</v>
      </c>
      <c r="I1101" s="64" t="s">
        <v>10</v>
      </c>
      <c r="J1101" s="64" t="s">
        <v>201</v>
      </c>
      <c r="K1101" s="66">
        <v>115.6</v>
      </c>
      <c r="L1101" s="66">
        <f>K1101*VLOOKUP(I1101,dagsoorttabel1,2,FALSE)</f>
        <v>115.6</v>
      </c>
      <c r="M1101" s="67">
        <f>prodnorm65</f>
        <v>0</v>
      </c>
      <c r="N1101" s="68">
        <f>dagwerk65</f>
        <v>0</v>
      </c>
      <c r="O1101" s="64" t="s">
        <v>38</v>
      </c>
      <c r="P1101" s="69">
        <f>uurtarief65</f>
        <v>0</v>
      </c>
      <c r="Q1101" s="66" t="e">
        <f>IF(ISBLANK(M1101),0,L1101/ROUND(M1101,4))</f>
        <v>#DIV/0!</v>
      </c>
      <c r="R1101" s="66" t="e">
        <f>IF(ISBLANK(M1101),0,Q1101*ROUND(N1101,2))</f>
        <v>#DIV/0!</v>
      </c>
      <c r="S1101" s="69" t="e">
        <f>ROUND(P1101,2)*Q1101</f>
        <v>#DIV/0!</v>
      </c>
      <c r="T1101" s="66" t="e">
        <f>Q1101*dagenperjaar1</f>
        <v>#DIV/0!</v>
      </c>
      <c r="U1101" s="70" t="e">
        <f>T1101*ROUND(P1101,2)</f>
        <v>#DIV/0!</v>
      </c>
    </row>
    <row r="1102" spans="1:21" x14ac:dyDescent="0.2">
      <c r="A1102" s="63" t="s">
        <v>1613</v>
      </c>
      <c r="B1102" s="64" t="s">
        <v>324</v>
      </c>
      <c r="C1102" s="64" t="s">
        <v>472</v>
      </c>
      <c r="D1102" s="64" t="s">
        <v>1717</v>
      </c>
      <c r="E1102" s="64" t="s">
        <v>324</v>
      </c>
      <c r="F1102" s="65" t="s">
        <v>335</v>
      </c>
      <c r="G1102" s="64" t="s">
        <v>328</v>
      </c>
      <c r="H1102" s="64" t="s">
        <v>267</v>
      </c>
      <c r="I1102" s="64" t="s">
        <v>10</v>
      </c>
      <c r="J1102" s="64" t="s">
        <v>201</v>
      </c>
      <c r="K1102" s="66">
        <v>48.7</v>
      </c>
      <c r="L1102" s="66">
        <f>K1102*VLOOKUP(I1102,dagsoorttabel1,2,FALSE)</f>
        <v>48.7</v>
      </c>
      <c r="M1102" s="67">
        <f>prodnorm65</f>
        <v>0</v>
      </c>
      <c r="N1102" s="68">
        <f>dagwerk65</f>
        <v>0</v>
      </c>
      <c r="O1102" s="64" t="s">
        <v>38</v>
      </c>
      <c r="P1102" s="69">
        <f>uurtarief65</f>
        <v>0</v>
      </c>
      <c r="Q1102" s="66" t="e">
        <f>IF(ISBLANK(M1102),0,L1102/ROUND(M1102,4))</f>
        <v>#DIV/0!</v>
      </c>
      <c r="R1102" s="66" t="e">
        <f>IF(ISBLANK(M1102),0,Q1102*ROUND(N1102,2))</f>
        <v>#DIV/0!</v>
      </c>
      <c r="S1102" s="69" t="e">
        <f>ROUND(P1102,2)*Q1102</f>
        <v>#DIV/0!</v>
      </c>
      <c r="T1102" s="66" t="e">
        <f>Q1102*dagenperjaar1</f>
        <v>#DIV/0!</v>
      </c>
      <c r="U1102" s="70" t="e">
        <f>T1102*ROUND(P1102,2)</f>
        <v>#DIV/0!</v>
      </c>
    </row>
    <row r="1103" spans="1:21" x14ac:dyDescent="0.2">
      <c r="A1103" s="63" t="s">
        <v>1613</v>
      </c>
      <c r="B1103" s="64" t="s">
        <v>324</v>
      </c>
      <c r="C1103" s="64" t="s">
        <v>472</v>
      </c>
      <c r="D1103" s="64" t="s">
        <v>1718</v>
      </c>
      <c r="E1103" s="64" t="s">
        <v>324</v>
      </c>
      <c r="F1103" s="65" t="s">
        <v>335</v>
      </c>
      <c r="G1103" s="64" t="s">
        <v>1666</v>
      </c>
      <c r="H1103" s="64" t="s">
        <v>267</v>
      </c>
      <c r="I1103" s="64" t="s">
        <v>10</v>
      </c>
      <c r="J1103" s="64" t="s">
        <v>201</v>
      </c>
      <c r="K1103" s="66">
        <v>36.4</v>
      </c>
      <c r="L1103" s="66">
        <f>K1103*VLOOKUP(I1103,dagsoorttabel1,2,FALSE)</f>
        <v>36.4</v>
      </c>
      <c r="M1103" s="67">
        <f>prodnorm65</f>
        <v>0</v>
      </c>
      <c r="N1103" s="68">
        <f>dagwerk65</f>
        <v>0</v>
      </c>
      <c r="O1103" s="64" t="s">
        <v>38</v>
      </c>
      <c r="P1103" s="69">
        <f>uurtarief65</f>
        <v>0</v>
      </c>
      <c r="Q1103" s="66" t="e">
        <f>IF(ISBLANK(M1103),0,L1103/ROUND(M1103,4))</f>
        <v>#DIV/0!</v>
      </c>
      <c r="R1103" s="66" t="e">
        <f>IF(ISBLANK(M1103),0,Q1103*ROUND(N1103,2))</f>
        <v>#DIV/0!</v>
      </c>
      <c r="S1103" s="69" t="e">
        <f>ROUND(P1103,2)*Q1103</f>
        <v>#DIV/0!</v>
      </c>
      <c r="T1103" s="66" t="e">
        <f>Q1103*dagenperjaar1</f>
        <v>#DIV/0!</v>
      </c>
      <c r="U1103" s="70" t="e">
        <f>T1103*ROUND(P1103,2)</f>
        <v>#DIV/0!</v>
      </c>
    </row>
    <row r="1104" spans="1:21" x14ac:dyDescent="0.2">
      <c r="A1104" s="63" t="s">
        <v>1613</v>
      </c>
      <c r="B1104" s="64" t="s">
        <v>324</v>
      </c>
      <c r="C1104" s="64" t="s">
        <v>472</v>
      </c>
      <c r="D1104" s="64" t="s">
        <v>1719</v>
      </c>
      <c r="E1104" s="64" t="s">
        <v>324</v>
      </c>
      <c r="F1104" s="65" t="s">
        <v>335</v>
      </c>
      <c r="G1104" s="64" t="s">
        <v>1666</v>
      </c>
      <c r="H1104" s="64" t="s">
        <v>267</v>
      </c>
      <c r="I1104" s="64" t="s">
        <v>10</v>
      </c>
      <c r="J1104" s="64" t="s">
        <v>201</v>
      </c>
      <c r="K1104" s="66">
        <v>37.700000000000003</v>
      </c>
      <c r="L1104" s="66">
        <f>K1104*VLOOKUP(I1104,dagsoorttabel1,2,FALSE)</f>
        <v>37.700000000000003</v>
      </c>
      <c r="M1104" s="67">
        <f>prodnorm65</f>
        <v>0</v>
      </c>
      <c r="N1104" s="68">
        <f>dagwerk65</f>
        <v>0</v>
      </c>
      <c r="O1104" s="64" t="s">
        <v>38</v>
      </c>
      <c r="P1104" s="69">
        <f>uurtarief65</f>
        <v>0</v>
      </c>
      <c r="Q1104" s="66" t="e">
        <f>IF(ISBLANK(M1104),0,L1104/ROUND(M1104,4))</f>
        <v>#DIV/0!</v>
      </c>
      <c r="R1104" s="66" t="e">
        <f>IF(ISBLANK(M1104),0,Q1104*ROUND(N1104,2))</f>
        <v>#DIV/0!</v>
      </c>
      <c r="S1104" s="69" t="e">
        <f>ROUND(P1104,2)*Q1104</f>
        <v>#DIV/0!</v>
      </c>
      <c r="T1104" s="66" t="e">
        <f>Q1104*dagenperjaar1</f>
        <v>#DIV/0!</v>
      </c>
      <c r="U1104" s="70" t="e">
        <f>T1104*ROUND(P1104,2)</f>
        <v>#DIV/0!</v>
      </c>
    </row>
    <row r="1105" spans="1:21" x14ac:dyDescent="0.2">
      <c r="A1105" s="63" t="s">
        <v>1613</v>
      </c>
      <c r="B1105" s="64" t="s">
        <v>324</v>
      </c>
      <c r="C1105" s="64" t="s">
        <v>472</v>
      </c>
      <c r="D1105" s="64" t="s">
        <v>1720</v>
      </c>
      <c r="E1105" s="64" t="s">
        <v>324</v>
      </c>
      <c r="F1105" s="65" t="s">
        <v>335</v>
      </c>
      <c r="G1105" s="64" t="s">
        <v>1666</v>
      </c>
      <c r="H1105" s="64" t="s">
        <v>267</v>
      </c>
      <c r="I1105" s="64" t="s">
        <v>10</v>
      </c>
      <c r="J1105" s="64" t="s">
        <v>201</v>
      </c>
      <c r="K1105" s="66">
        <v>122.3</v>
      </c>
      <c r="L1105" s="66">
        <f>K1105*VLOOKUP(I1105,dagsoorttabel1,2,FALSE)</f>
        <v>122.3</v>
      </c>
      <c r="M1105" s="67">
        <f>prodnorm65</f>
        <v>0</v>
      </c>
      <c r="N1105" s="68">
        <f>dagwerk65</f>
        <v>0</v>
      </c>
      <c r="O1105" s="64" t="s">
        <v>38</v>
      </c>
      <c r="P1105" s="69">
        <f>uurtarief65</f>
        <v>0</v>
      </c>
      <c r="Q1105" s="66" t="e">
        <f>IF(ISBLANK(M1105),0,L1105/ROUND(M1105,4))</f>
        <v>#DIV/0!</v>
      </c>
      <c r="R1105" s="66" t="e">
        <f>IF(ISBLANK(M1105),0,Q1105*ROUND(N1105,2))</f>
        <v>#DIV/0!</v>
      </c>
      <c r="S1105" s="69" t="e">
        <f>ROUND(P1105,2)*Q1105</f>
        <v>#DIV/0!</v>
      </c>
      <c r="T1105" s="66" t="e">
        <f>Q1105*dagenperjaar1</f>
        <v>#DIV/0!</v>
      </c>
      <c r="U1105" s="70" t="e">
        <f>T1105*ROUND(P1105,2)</f>
        <v>#DIV/0!</v>
      </c>
    </row>
    <row r="1106" spans="1:21" x14ac:dyDescent="0.2">
      <c r="A1106" s="63" t="s">
        <v>1613</v>
      </c>
      <c r="B1106" s="64" t="s">
        <v>324</v>
      </c>
      <c r="C1106" s="64" t="s">
        <v>472</v>
      </c>
      <c r="D1106" s="64" t="s">
        <v>1721</v>
      </c>
      <c r="E1106" s="64" t="s">
        <v>324</v>
      </c>
      <c r="F1106" s="65" t="s">
        <v>335</v>
      </c>
      <c r="G1106" s="64" t="s">
        <v>1666</v>
      </c>
      <c r="H1106" s="64" t="s">
        <v>267</v>
      </c>
      <c r="I1106" s="64" t="s">
        <v>10</v>
      </c>
      <c r="J1106" s="64" t="s">
        <v>201</v>
      </c>
      <c r="K1106" s="66">
        <v>5.2</v>
      </c>
      <c r="L1106" s="66">
        <f>K1106*VLOOKUP(I1106,dagsoorttabel1,2,FALSE)</f>
        <v>5.2</v>
      </c>
      <c r="M1106" s="67">
        <f>prodnorm65</f>
        <v>0</v>
      </c>
      <c r="N1106" s="68">
        <f>dagwerk65</f>
        <v>0</v>
      </c>
      <c r="O1106" s="64" t="s">
        <v>38</v>
      </c>
      <c r="P1106" s="69">
        <f>uurtarief65</f>
        <v>0</v>
      </c>
      <c r="Q1106" s="66" t="e">
        <f>IF(ISBLANK(M1106),0,L1106/ROUND(M1106,4))</f>
        <v>#DIV/0!</v>
      </c>
      <c r="R1106" s="66" t="e">
        <f>IF(ISBLANK(M1106),0,Q1106*ROUND(N1106,2))</f>
        <v>#DIV/0!</v>
      </c>
      <c r="S1106" s="69" t="e">
        <f>ROUND(P1106,2)*Q1106</f>
        <v>#DIV/0!</v>
      </c>
      <c r="T1106" s="66" t="e">
        <f>Q1106*dagenperjaar1</f>
        <v>#DIV/0!</v>
      </c>
      <c r="U1106" s="70" t="e">
        <f>T1106*ROUND(P1106,2)</f>
        <v>#DIV/0!</v>
      </c>
    </row>
    <row r="1107" spans="1:21" x14ac:dyDescent="0.2">
      <c r="A1107" s="63" t="s">
        <v>1613</v>
      </c>
      <c r="B1107" s="64" t="s">
        <v>324</v>
      </c>
      <c r="C1107" s="64" t="s">
        <v>472</v>
      </c>
      <c r="D1107" s="64" t="s">
        <v>1722</v>
      </c>
      <c r="E1107" s="64" t="s">
        <v>324</v>
      </c>
      <c r="F1107" s="65" t="s">
        <v>655</v>
      </c>
      <c r="G1107" s="64" t="s">
        <v>328</v>
      </c>
      <c r="H1107" s="64" t="s">
        <v>263</v>
      </c>
      <c r="I1107" s="64" t="s">
        <v>10</v>
      </c>
      <c r="J1107" s="64" t="s">
        <v>201</v>
      </c>
      <c r="K1107" s="66">
        <v>16.600000000000001</v>
      </c>
      <c r="L1107" s="66">
        <f>K1107*VLOOKUP(I1107,dagsoorttabel1,2,FALSE)</f>
        <v>16.600000000000001</v>
      </c>
      <c r="M1107" s="67">
        <f>prodnorm63</f>
        <v>0</v>
      </c>
      <c r="N1107" s="68">
        <f>dagwerk63</f>
        <v>0</v>
      </c>
      <c r="O1107" s="64" t="s">
        <v>38</v>
      </c>
      <c r="P1107" s="69">
        <f>uurtarief63</f>
        <v>0</v>
      </c>
      <c r="Q1107" s="66" t="e">
        <f>IF(ISBLANK(M1107),0,L1107/ROUND(M1107,4))</f>
        <v>#DIV/0!</v>
      </c>
      <c r="R1107" s="66" t="e">
        <f>IF(ISBLANK(M1107),0,Q1107*ROUND(N1107,2))</f>
        <v>#DIV/0!</v>
      </c>
      <c r="S1107" s="69" t="e">
        <f>ROUND(P1107,2)*Q1107</f>
        <v>#DIV/0!</v>
      </c>
      <c r="T1107" s="66" t="e">
        <f>Q1107*dagenperjaar1</f>
        <v>#DIV/0!</v>
      </c>
      <c r="U1107" s="70" t="e">
        <f>T1107*ROUND(P1107,2)</f>
        <v>#DIV/0!</v>
      </c>
    </row>
    <row r="1108" spans="1:21" x14ac:dyDescent="0.2">
      <c r="A1108" s="63" t="s">
        <v>1613</v>
      </c>
      <c r="B1108" s="64" t="s">
        <v>324</v>
      </c>
      <c r="C1108" s="64" t="s">
        <v>472</v>
      </c>
      <c r="D1108" s="64" t="s">
        <v>1723</v>
      </c>
      <c r="E1108" s="64" t="s">
        <v>324</v>
      </c>
      <c r="F1108" s="65" t="s">
        <v>655</v>
      </c>
      <c r="G1108" s="64" t="s">
        <v>328</v>
      </c>
      <c r="H1108" s="64" t="s">
        <v>263</v>
      </c>
      <c r="I1108" s="64" t="s">
        <v>10</v>
      </c>
      <c r="J1108" s="64" t="s">
        <v>201</v>
      </c>
      <c r="K1108" s="66">
        <v>16.600000000000001</v>
      </c>
      <c r="L1108" s="66">
        <f>K1108*VLOOKUP(I1108,dagsoorttabel1,2,FALSE)</f>
        <v>16.600000000000001</v>
      </c>
      <c r="M1108" s="67">
        <f>prodnorm63</f>
        <v>0</v>
      </c>
      <c r="N1108" s="68">
        <f>dagwerk63</f>
        <v>0</v>
      </c>
      <c r="O1108" s="64" t="s">
        <v>38</v>
      </c>
      <c r="P1108" s="69">
        <f>uurtarief63</f>
        <v>0</v>
      </c>
      <c r="Q1108" s="66" t="e">
        <f>IF(ISBLANK(M1108),0,L1108/ROUND(M1108,4))</f>
        <v>#DIV/0!</v>
      </c>
      <c r="R1108" s="66" t="e">
        <f>IF(ISBLANK(M1108),0,Q1108*ROUND(N1108,2))</f>
        <v>#DIV/0!</v>
      </c>
      <c r="S1108" s="69" t="e">
        <f>ROUND(P1108,2)*Q1108</f>
        <v>#DIV/0!</v>
      </c>
      <c r="T1108" s="66" t="e">
        <f>Q1108*dagenperjaar1</f>
        <v>#DIV/0!</v>
      </c>
      <c r="U1108" s="70" t="e">
        <f>T1108*ROUND(P1108,2)</f>
        <v>#DIV/0!</v>
      </c>
    </row>
    <row r="1109" spans="1:21" x14ac:dyDescent="0.2">
      <c r="A1109" s="63" t="s">
        <v>1613</v>
      </c>
      <c r="B1109" s="64" t="s">
        <v>324</v>
      </c>
      <c r="C1109" s="64" t="s">
        <v>472</v>
      </c>
      <c r="D1109" s="64" t="s">
        <v>1724</v>
      </c>
      <c r="E1109" s="64" t="s">
        <v>324</v>
      </c>
      <c r="F1109" s="65" t="s">
        <v>655</v>
      </c>
      <c r="G1109" s="64" t="s">
        <v>339</v>
      </c>
      <c r="H1109" s="64" t="s">
        <v>263</v>
      </c>
      <c r="I1109" s="64" t="s">
        <v>10</v>
      </c>
      <c r="J1109" s="64" t="s">
        <v>201</v>
      </c>
      <c r="K1109" s="66">
        <v>11.6</v>
      </c>
      <c r="L1109" s="66">
        <f>K1109*VLOOKUP(I1109,dagsoorttabel1,2,FALSE)</f>
        <v>11.6</v>
      </c>
      <c r="M1109" s="67">
        <f>prodnorm63</f>
        <v>0</v>
      </c>
      <c r="N1109" s="68">
        <f>dagwerk63</f>
        <v>0</v>
      </c>
      <c r="O1109" s="64" t="s">
        <v>38</v>
      </c>
      <c r="P1109" s="69">
        <f>uurtarief63</f>
        <v>0</v>
      </c>
      <c r="Q1109" s="66" t="e">
        <f>IF(ISBLANK(M1109),0,L1109/ROUND(M1109,4))</f>
        <v>#DIV/0!</v>
      </c>
      <c r="R1109" s="66" t="e">
        <f>IF(ISBLANK(M1109),0,Q1109*ROUND(N1109,2))</f>
        <v>#DIV/0!</v>
      </c>
      <c r="S1109" s="69" t="e">
        <f>ROUND(P1109,2)*Q1109</f>
        <v>#DIV/0!</v>
      </c>
      <c r="T1109" s="66" t="e">
        <f>Q1109*dagenperjaar1</f>
        <v>#DIV/0!</v>
      </c>
      <c r="U1109" s="70" t="e">
        <f>T1109*ROUND(P1109,2)</f>
        <v>#DIV/0!</v>
      </c>
    </row>
    <row r="1110" spans="1:21" x14ac:dyDescent="0.2">
      <c r="A1110" s="63" t="s">
        <v>1613</v>
      </c>
      <c r="B1110" s="64" t="s">
        <v>324</v>
      </c>
      <c r="C1110" s="64" t="s">
        <v>472</v>
      </c>
      <c r="D1110" s="64" t="s">
        <v>1725</v>
      </c>
      <c r="E1110" s="64" t="s">
        <v>324</v>
      </c>
      <c r="F1110" s="65" t="s">
        <v>655</v>
      </c>
      <c r="G1110" s="64" t="s">
        <v>339</v>
      </c>
      <c r="H1110" s="64" t="s">
        <v>263</v>
      </c>
      <c r="I1110" s="64" t="s">
        <v>10</v>
      </c>
      <c r="J1110" s="64" t="s">
        <v>201</v>
      </c>
      <c r="K1110" s="66">
        <v>11.6</v>
      </c>
      <c r="L1110" s="66">
        <f>K1110*VLOOKUP(I1110,dagsoorttabel1,2,FALSE)</f>
        <v>11.6</v>
      </c>
      <c r="M1110" s="67">
        <f>prodnorm63</f>
        <v>0</v>
      </c>
      <c r="N1110" s="68">
        <f>dagwerk63</f>
        <v>0</v>
      </c>
      <c r="O1110" s="64" t="s">
        <v>38</v>
      </c>
      <c r="P1110" s="69">
        <f>uurtarief63</f>
        <v>0</v>
      </c>
      <c r="Q1110" s="66" t="e">
        <f>IF(ISBLANK(M1110),0,L1110/ROUND(M1110,4))</f>
        <v>#DIV/0!</v>
      </c>
      <c r="R1110" s="66" t="e">
        <f>IF(ISBLANK(M1110),0,Q1110*ROUND(N1110,2))</f>
        <v>#DIV/0!</v>
      </c>
      <c r="S1110" s="69" t="e">
        <f>ROUND(P1110,2)*Q1110</f>
        <v>#DIV/0!</v>
      </c>
      <c r="T1110" s="66" t="e">
        <f>Q1110*dagenperjaar1</f>
        <v>#DIV/0!</v>
      </c>
      <c r="U1110" s="70" t="e">
        <f>T1110*ROUND(P1110,2)</f>
        <v>#DIV/0!</v>
      </c>
    </row>
    <row r="1111" spans="1:21" x14ac:dyDescent="0.2">
      <c r="A1111" s="63" t="s">
        <v>1613</v>
      </c>
      <c r="B1111" s="64" t="s">
        <v>324</v>
      </c>
      <c r="C1111" s="64" t="s">
        <v>472</v>
      </c>
      <c r="D1111" s="64" t="s">
        <v>1726</v>
      </c>
      <c r="E1111" s="64" t="s">
        <v>324</v>
      </c>
      <c r="F1111" s="65" t="s">
        <v>641</v>
      </c>
      <c r="G1111" s="64" t="s">
        <v>365</v>
      </c>
      <c r="H1111" s="64" t="s">
        <v>255</v>
      </c>
      <c r="I1111" s="64" t="s">
        <v>10</v>
      </c>
      <c r="J1111" s="64" t="s">
        <v>201</v>
      </c>
      <c r="K1111" s="66">
        <v>7.6</v>
      </c>
      <c r="L1111" s="66">
        <f>K1111*VLOOKUP(I1111,dagsoorttabel1,2,FALSE)</f>
        <v>7.6</v>
      </c>
      <c r="M1111" s="67">
        <f>prodnorm59</f>
        <v>0</v>
      </c>
      <c r="N1111" s="68">
        <f>dagwerk59</f>
        <v>0</v>
      </c>
      <c r="O1111" s="64" t="s">
        <v>38</v>
      </c>
      <c r="P1111" s="69">
        <f>uurtarief59</f>
        <v>0</v>
      </c>
      <c r="Q1111" s="66" t="e">
        <f>IF(ISBLANK(M1111),0,L1111/ROUND(M1111,4))</f>
        <v>#DIV/0!</v>
      </c>
      <c r="R1111" s="66" t="e">
        <f>IF(ISBLANK(M1111),0,Q1111*ROUND(N1111,2))</f>
        <v>#DIV/0!</v>
      </c>
      <c r="S1111" s="69" t="e">
        <f>ROUND(P1111,2)*Q1111</f>
        <v>#DIV/0!</v>
      </c>
      <c r="T1111" s="66" t="e">
        <f>Q1111*dagenperjaar1</f>
        <v>#DIV/0!</v>
      </c>
      <c r="U1111" s="70" t="e">
        <f>T1111*ROUND(P1111,2)</f>
        <v>#DIV/0!</v>
      </c>
    </row>
    <row r="1112" spans="1:21" x14ac:dyDescent="0.2">
      <c r="A1112" s="63" t="s">
        <v>1613</v>
      </c>
      <c r="B1112" s="64" t="s">
        <v>324</v>
      </c>
      <c r="C1112" s="64" t="s">
        <v>472</v>
      </c>
      <c r="D1112" s="64" t="s">
        <v>1727</v>
      </c>
      <c r="E1112" s="64" t="s">
        <v>324</v>
      </c>
      <c r="F1112" s="65" t="s">
        <v>641</v>
      </c>
      <c r="G1112" s="64" t="s">
        <v>365</v>
      </c>
      <c r="H1112" s="64" t="s">
        <v>255</v>
      </c>
      <c r="I1112" s="64" t="s">
        <v>10</v>
      </c>
      <c r="J1112" s="64" t="s">
        <v>201</v>
      </c>
      <c r="K1112" s="66">
        <v>7.7</v>
      </c>
      <c r="L1112" s="66">
        <f>K1112*VLOOKUP(I1112,dagsoorttabel1,2,FALSE)</f>
        <v>7.7</v>
      </c>
      <c r="M1112" s="67">
        <f>prodnorm59</f>
        <v>0</v>
      </c>
      <c r="N1112" s="68">
        <f>dagwerk59</f>
        <v>0</v>
      </c>
      <c r="O1112" s="64" t="s">
        <v>38</v>
      </c>
      <c r="P1112" s="69">
        <f>uurtarief59</f>
        <v>0</v>
      </c>
      <c r="Q1112" s="66" t="e">
        <f>IF(ISBLANK(M1112),0,L1112/ROUND(M1112,4))</f>
        <v>#DIV/0!</v>
      </c>
      <c r="R1112" s="66" t="e">
        <f>IF(ISBLANK(M1112),0,Q1112*ROUND(N1112,2))</f>
        <v>#DIV/0!</v>
      </c>
      <c r="S1112" s="69" t="e">
        <f>ROUND(P1112,2)*Q1112</f>
        <v>#DIV/0!</v>
      </c>
      <c r="T1112" s="66" t="e">
        <f>Q1112*dagenperjaar1</f>
        <v>#DIV/0!</v>
      </c>
      <c r="U1112" s="70" t="e">
        <f>T1112*ROUND(P1112,2)</f>
        <v>#DIV/0!</v>
      </c>
    </row>
    <row r="1113" spans="1:21" x14ac:dyDescent="0.2">
      <c r="A1113" s="63" t="s">
        <v>1613</v>
      </c>
      <c r="B1113" s="64" t="s">
        <v>324</v>
      </c>
      <c r="C1113" s="64" t="s">
        <v>472</v>
      </c>
      <c r="D1113" s="64" t="s">
        <v>1728</v>
      </c>
      <c r="E1113" s="64" t="s">
        <v>324</v>
      </c>
      <c r="F1113" s="65" t="s">
        <v>1729</v>
      </c>
      <c r="G1113" s="64" t="s">
        <v>1666</v>
      </c>
      <c r="H1113" s="64" t="s">
        <v>233</v>
      </c>
      <c r="I1113" s="64" t="s">
        <v>10</v>
      </c>
      <c r="J1113" s="64" t="s">
        <v>201</v>
      </c>
      <c r="K1113" s="66">
        <v>11.4</v>
      </c>
      <c r="L1113" s="66">
        <f>K1113*VLOOKUP(I1113,dagsoorttabel1,2,FALSE)</f>
        <v>11.4</v>
      </c>
      <c r="M1113" s="67">
        <f>prodnorm45</f>
        <v>0</v>
      </c>
      <c r="N1113" s="68">
        <f>dagwerk45</f>
        <v>0</v>
      </c>
      <c r="O1113" s="64" t="s">
        <v>38</v>
      </c>
      <c r="P1113" s="69">
        <f>uurtarief45</f>
        <v>0</v>
      </c>
      <c r="Q1113" s="66" t="e">
        <f>IF(ISBLANK(M1113),0,L1113/ROUND(M1113,4))</f>
        <v>#DIV/0!</v>
      </c>
      <c r="R1113" s="66" t="e">
        <f>IF(ISBLANK(M1113),0,Q1113*ROUND(N1113,2))</f>
        <v>#DIV/0!</v>
      </c>
      <c r="S1113" s="69" t="e">
        <f>ROUND(P1113,2)*Q1113</f>
        <v>#DIV/0!</v>
      </c>
      <c r="T1113" s="66" t="e">
        <f>Q1113*dagenperjaar1</f>
        <v>#DIV/0!</v>
      </c>
      <c r="U1113" s="70" t="e">
        <f>T1113*ROUND(P1113,2)</f>
        <v>#DIV/0!</v>
      </c>
    </row>
    <row r="1114" spans="1:21" x14ac:dyDescent="0.2">
      <c r="A1114" s="63" t="s">
        <v>1613</v>
      </c>
      <c r="B1114" s="64" t="s">
        <v>1730</v>
      </c>
      <c r="C1114" s="64" t="s">
        <v>1731</v>
      </c>
      <c r="D1114" s="64" t="s">
        <v>1732</v>
      </c>
      <c r="E1114" s="64" t="s">
        <v>324</v>
      </c>
      <c r="F1114" s="65" t="s">
        <v>354</v>
      </c>
      <c r="G1114" s="64" t="s">
        <v>328</v>
      </c>
      <c r="H1114" s="64" t="s">
        <v>215</v>
      </c>
      <c r="I1114" s="64" t="s">
        <v>10</v>
      </c>
      <c r="J1114" s="64" t="s">
        <v>201</v>
      </c>
      <c r="K1114" s="66">
        <v>11.99</v>
      </c>
      <c r="L1114" s="66">
        <f>K1114*VLOOKUP(I1114,dagsoorttabel1,2,FALSE)</f>
        <v>11.99</v>
      </c>
      <c r="M1114" s="67">
        <f>prodnorm34</f>
        <v>0</v>
      </c>
      <c r="N1114" s="68">
        <f>dagwerk34</f>
        <v>0</v>
      </c>
      <c r="O1114" s="64" t="s">
        <v>38</v>
      </c>
      <c r="P1114" s="69">
        <f>uurtarief34</f>
        <v>0</v>
      </c>
      <c r="Q1114" s="66" t="e">
        <f>IF(ISBLANK(M1114),0,L1114/ROUND(M1114,4))</f>
        <v>#DIV/0!</v>
      </c>
      <c r="R1114" s="66" t="e">
        <f>IF(ISBLANK(M1114),0,Q1114*ROUND(N1114,2))</f>
        <v>#DIV/0!</v>
      </c>
      <c r="S1114" s="69" t="e">
        <f>ROUND(P1114,2)*Q1114</f>
        <v>#DIV/0!</v>
      </c>
      <c r="T1114" s="66" t="e">
        <f>Q1114*dagenperjaar1</f>
        <v>#DIV/0!</v>
      </c>
      <c r="U1114" s="70" t="e">
        <f>T1114*ROUND(P1114,2)</f>
        <v>#DIV/0!</v>
      </c>
    </row>
    <row r="1115" spans="1:21" x14ac:dyDescent="0.2">
      <c r="A1115" s="63" t="s">
        <v>1613</v>
      </c>
      <c r="B1115" s="64" t="s">
        <v>1730</v>
      </c>
      <c r="C1115" s="64" t="s">
        <v>1731</v>
      </c>
      <c r="D1115" s="64" t="s">
        <v>1733</v>
      </c>
      <c r="E1115" s="64" t="s">
        <v>324</v>
      </c>
      <c r="F1115" s="65" t="s">
        <v>1734</v>
      </c>
      <c r="G1115" s="64" t="s">
        <v>328</v>
      </c>
      <c r="H1115" s="64" t="s">
        <v>227</v>
      </c>
      <c r="I1115" s="64" t="s">
        <v>10</v>
      </c>
      <c r="J1115" s="64" t="s">
        <v>201</v>
      </c>
      <c r="K1115" s="66">
        <v>23.99</v>
      </c>
      <c r="L1115" s="66">
        <f>K1115*VLOOKUP(I1115,dagsoorttabel1,2,FALSE)</f>
        <v>23.99</v>
      </c>
      <c r="M1115" s="67">
        <f>prodnorm42</f>
        <v>0</v>
      </c>
      <c r="N1115" s="68">
        <f>dagwerk42</f>
        <v>0</v>
      </c>
      <c r="O1115" s="64" t="s">
        <v>38</v>
      </c>
      <c r="P1115" s="69">
        <f>uurtarief42</f>
        <v>0</v>
      </c>
      <c r="Q1115" s="66" t="e">
        <f>IF(ISBLANK(M1115),0,L1115/ROUND(M1115,4))</f>
        <v>#DIV/0!</v>
      </c>
      <c r="R1115" s="66" t="e">
        <f>IF(ISBLANK(M1115),0,Q1115*ROUND(N1115,2))</f>
        <v>#DIV/0!</v>
      </c>
      <c r="S1115" s="69" t="e">
        <f>ROUND(P1115,2)*Q1115</f>
        <v>#DIV/0!</v>
      </c>
      <c r="T1115" s="66" t="e">
        <f>Q1115*dagenperjaar1</f>
        <v>#DIV/0!</v>
      </c>
      <c r="U1115" s="70" t="e">
        <f>T1115*ROUND(P1115,2)</f>
        <v>#DIV/0!</v>
      </c>
    </row>
    <row r="1116" spans="1:21" x14ac:dyDescent="0.2">
      <c r="A1116" s="63" t="s">
        <v>1613</v>
      </c>
      <c r="B1116" s="64" t="s">
        <v>1730</v>
      </c>
      <c r="C1116" s="64" t="s">
        <v>1731</v>
      </c>
      <c r="D1116" s="64" t="s">
        <v>1735</v>
      </c>
      <c r="E1116" s="64" t="s">
        <v>324</v>
      </c>
      <c r="F1116" s="65" t="s">
        <v>370</v>
      </c>
      <c r="G1116" s="64" t="s">
        <v>642</v>
      </c>
      <c r="H1116" s="64" t="s">
        <v>255</v>
      </c>
      <c r="I1116" s="64" t="s">
        <v>10</v>
      </c>
      <c r="J1116" s="64" t="s">
        <v>201</v>
      </c>
      <c r="K1116" s="66">
        <v>2</v>
      </c>
      <c r="L1116" s="66">
        <f>K1116*VLOOKUP(I1116,dagsoorttabel1,2,FALSE)</f>
        <v>2</v>
      </c>
      <c r="M1116" s="67">
        <f>prodnorm59</f>
        <v>0</v>
      </c>
      <c r="N1116" s="68">
        <f>dagwerk59</f>
        <v>0</v>
      </c>
      <c r="O1116" s="64" t="s">
        <v>38</v>
      </c>
      <c r="P1116" s="69">
        <f>uurtarief59</f>
        <v>0</v>
      </c>
      <c r="Q1116" s="66" t="e">
        <f>IF(ISBLANK(M1116),0,L1116/ROUND(M1116,4))</f>
        <v>#DIV/0!</v>
      </c>
      <c r="R1116" s="66" t="e">
        <f>IF(ISBLANK(M1116),0,Q1116*ROUND(N1116,2))</f>
        <v>#DIV/0!</v>
      </c>
      <c r="S1116" s="69" t="e">
        <f>ROUND(P1116,2)*Q1116</f>
        <v>#DIV/0!</v>
      </c>
      <c r="T1116" s="66" t="e">
        <f>Q1116*dagenperjaar1</f>
        <v>#DIV/0!</v>
      </c>
      <c r="U1116" s="70" t="e">
        <f>T1116*ROUND(P1116,2)</f>
        <v>#DIV/0!</v>
      </c>
    </row>
    <row r="1117" spans="1:21" x14ac:dyDescent="0.2">
      <c r="A1117" s="63" t="s">
        <v>1613</v>
      </c>
      <c r="B1117" s="64" t="s">
        <v>1730</v>
      </c>
      <c r="C1117" s="64" t="s">
        <v>1731</v>
      </c>
      <c r="D1117" s="64" t="s">
        <v>1735</v>
      </c>
      <c r="E1117" s="64" t="s">
        <v>324</v>
      </c>
      <c r="F1117" s="65" t="s">
        <v>1736</v>
      </c>
      <c r="G1117" s="64" t="s">
        <v>642</v>
      </c>
      <c r="H1117" s="64" t="s">
        <v>213</v>
      </c>
      <c r="I1117" s="64" t="s">
        <v>10</v>
      </c>
      <c r="J1117" s="64" t="s">
        <v>201</v>
      </c>
      <c r="K1117" s="66">
        <v>12.3</v>
      </c>
      <c r="L1117" s="66">
        <f>K1117*VLOOKUP(I1117,dagsoorttabel1,2,FALSE)</f>
        <v>12.3</v>
      </c>
      <c r="M1117" s="67">
        <f>prodnorm33</f>
        <v>0</v>
      </c>
      <c r="N1117" s="68">
        <f>dagwerk33</f>
        <v>0</v>
      </c>
      <c r="O1117" s="64" t="s">
        <v>38</v>
      </c>
      <c r="P1117" s="69">
        <f>uurtarief33</f>
        <v>0</v>
      </c>
      <c r="Q1117" s="66" t="e">
        <f>IF(ISBLANK(M1117),0,L1117/ROUND(M1117,4))</f>
        <v>#DIV/0!</v>
      </c>
      <c r="R1117" s="66" t="e">
        <f>IF(ISBLANK(M1117),0,Q1117*ROUND(N1117,2))</f>
        <v>#DIV/0!</v>
      </c>
      <c r="S1117" s="69" t="e">
        <f>ROUND(P1117,2)*Q1117</f>
        <v>#DIV/0!</v>
      </c>
      <c r="T1117" s="66" t="e">
        <f>Q1117*dagenperjaar1</f>
        <v>#DIV/0!</v>
      </c>
      <c r="U1117" s="70" t="e">
        <f>T1117*ROUND(P1117,2)</f>
        <v>#DIV/0!</v>
      </c>
    </row>
    <row r="1118" spans="1:21" x14ac:dyDescent="0.2">
      <c r="A1118" s="63" t="s">
        <v>1613</v>
      </c>
      <c r="B1118" s="64" t="s">
        <v>1730</v>
      </c>
      <c r="C1118" s="64" t="s">
        <v>1731</v>
      </c>
      <c r="D1118" s="64" t="s">
        <v>1737</v>
      </c>
      <c r="E1118" s="64" t="s">
        <v>324</v>
      </c>
      <c r="F1118" s="65" t="s">
        <v>1738</v>
      </c>
      <c r="G1118" s="64" t="s">
        <v>328</v>
      </c>
      <c r="H1118" s="64" t="s">
        <v>227</v>
      </c>
      <c r="I1118" s="64" t="s">
        <v>10</v>
      </c>
      <c r="J1118" s="64" t="s">
        <v>201</v>
      </c>
      <c r="K1118" s="66">
        <v>27.8</v>
      </c>
      <c r="L1118" s="66">
        <f>K1118*VLOOKUP(I1118,dagsoorttabel1,2,FALSE)</f>
        <v>27.8</v>
      </c>
      <c r="M1118" s="67">
        <f>prodnorm42</f>
        <v>0</v>
      </c>
      <c r="N1118" s="68">
        <f>dagwerk42</f>
        <v>0</v>
      </c>
      <c r="O1118" s="64" t="s">
        <v>38</v>
      </c>
      <c r="P1118" s="69">
        <f>uurtarief42</f>
        <v>0</v>
      </c>
      <c r="Q1118" s="66" t="e">
        <f>IF(ISBLANK(M1118),0,L1118/ROUND(M1118,4))</f>
        <v>#DIV/0!</v>
      </c>
      <c r="R1118" s="66" t="e">
        <f>IF(ISBLANK(M1118),0,Q1118*ROUND(N1118,2))</f>
        <v>#DIV/0!</v>
      </c>
      <c r="S1118" s="69" t="e">
        <f>ROUND(P1118,2)*Q1118</f>
        <v>#DIV/0!</v>
      </c>
      <c r="T1118" s="66" t="e">
        <f>Q1118*dagenperjaar1</f>
        <v>#DIV/0!</v>
      </c>
      <c r="U1118" s="70" t="e">
        <f>T1118*ROUND(P1118,2)</f>
        <v>#DIV/0!</v>
      </c>
    </row>
    <row r="1119" spans="1:21" x14ac:dyDescent="0.2">
      <c r="A1119" s="63" t="s">
        <v>1613</v>
      </c>
      <c r="B1119" s="64" t="s">
        <v>1730</v>
      </c>
      <c r="C1119" s="64" t="s">
        <v>1731</v>
      </c>
      <c r="D1119" s="64" t="s">
        <v>1739</v>
      </c>
      <c r="E1119" s="64" t="s">
        <v>324</v>
      </c>
      <c r="F1119" s="65" t="s">
        <v>373</v>
      </c>
      <c r="G1119" s="64" t="s">
        <v>642</v>
      </c>
      <c r="H1119" s="64" t="s">
        <v>255</v>
      </c>
      <c r="I1119" s="64" t="s">
        <v>10</v>
      </c>
      <c r="J1119" s="64" t="s">
        <v>201</v>
      </c>
      <c r="K1119" s="66">
        <v>2</v>
      </c>
      <c r="L1119" s="66">
        <f>K1119*VLOOKUP(I1119,dagsoorttabel1,2,FALSE)</f>
        <v>2</v>
      </c>
      <c r="M1119" s="67">
        <f>prodnorm59</f>
        <v>0</v>
      </c>
      <c r="N1119" s="68">
        <f>dagwerk59</f>
        <v>0</v>
      </c>
      <c r="O1119" s="64" t="s">
        <v>38</v>
      </c>
      <c r="P1119" s="69">
        <f>uurtarief59</f>
        <v>0</v>
      </c>
      <c r="Q1119" s="66" t="e">
        <f>IF(ISBLANK(M1119),0,L1119/ROUND(M1119,4))</f>
        <v>#DIV/0!</v>
      </c>
      <c r="R1119" s="66" t="e">
        <f>IF(ISBLANK(M1119),0,Q1119*ROUND(N1119,2))</f>
        <v>#DIV/0!</v>
      </c>
      <c r="S1119" s="69" t="e">
        <f>ROUND(P1119,2)*Q1119</f>
        <v>#DIV/0!</v>
      </c>
      <c r="T1119" s="66" t="e">
        <f>Q1119*dagenperjaar1</f>
        <v>#DIV/0!</v>
      </c>
      <c r="U1119" s="70" t="e">
        <f>T1119*ROUND(P1119,2)</f>
        <v>#DIV/0!</v>
      </c>
    </row>
    <row r="1120" spans="1:21" x14ac:dyDescent="0.2">
      <c r="A1120" s="63" t="s">
        <v>1613</v>
      </c>
      <c r="B1120" s="64" t="s">
        <v>1730</v>
      </c>
      <c r="C1120" s="64" t="s">
        <v>1731</v>
      </c>
      <c r="D1120" s="64" t="s">
        <v>1740</v>
      </c>
      <c r="E1120" s="64" t="s">
        <v>324</v>
      </c>
      <c r="F1120" s="65" t="s">
        <v>1741</v>
      </c>
      <c r="G1120" s="64" t="s">
        <v>642</v>
      </c>
      <c r="H1120" s="64" t="s">
        <v>213</v>
      </c>
      <c r="I1120" s="64" t="s">
        <v>10</v>
      </c>
      <c r="J1120" s="64" t="s">
        <v>201</v>
      </c>
      <c r="K1120" s="66">
        <v>12.3</v>
      </c>
      <c r="L1120" s="66">
        <f>K1120*VLOOKUP(I1120,dagsoorttabel1,2,FALSE)</f>
        <v>12.3</v>
      </c>
      <c r="M1120" s="67">
        <f>prodnorm33</f>
        <v>0</v>
      </c>
      <c r="N1120" s="68">
        <f>dagwerk33</f>
        <v>0</v>
      </c>
      <c r="O1120" s="64" t="s">
        <v>38</v>
      </c>
      <c r="P1120" s="69">
        <f>uurtarief33</f>
        <v>0</v>
      </c>
      <c r="Q1120" s="66" t="e">
        <f>IF(ISBLANK(M1120),0,L1120/ROUND(M1120,4))</f>
        <v>#DIV/0!</v>
      </c>
      <c r="R1120" s="66" t="e">
        <f>IF(ISBLANK(M1120),0,Q1120*ROUND(N1120,2))</f>
        <v>#DIV/0!</v>
      </c>
      <c r="S1120" s="69" t="e">
        <f>ROUND(P1120,2)*Q1120</f>
        <v>#DIV/0!</v>
      </c>
      <c r="T1120" s="66" t="e">
        <f>Q1120*dagenperjaar1</f>
        <v>#DIV/0!</v>
      </c>
      <c r="U1120" s="70" t="e">
        <f>T1120*ROUND(P1120,2)</f>
        <v>#DIV/0!</v>
      </c>
    </row>
    <row r="1121" spans="1:21" x14ac:dyDescent="0.2">
      <c r="A1121" s="63" t="s">
        <v>1613</v>
      </c>
      <c r="B1121" s="64" t="s">
        <v>1730</v>
      </c>
      <c r="C1121" s="64" t="s">
        <v>1731</v>
      </c>
      <c r="D1121" s="64" t="s">
        <v>1742</v>
      </c>
      <c r="E1121" s="64" t="s">
        <v>324</v>
      </c>
      <c r="F1121" s="65" t="s">
        <v>381</v>
      </c>
      <c r="G1121" s="64" t="s">
        <v>328</v>
      </c>
      <c r="H1121" s="64" t="s">
        <v>205</v>
      </c>
      <c r="I1121" s="64" t="s">
        <v>10</v>
      </c>
      <c r="J1121" s="64" t="s">
        <v>201</v>
      </c>
      <c r="K1121" s="66">
        <v>3.9</v>
      </c>
      <c r="L1121" s="66">
        <f>K1121*VLOOKUP(I1121,dagsoorttabel1,2,FALSE)</f>
        <v>3.9</v>
      </c>
      <c r="M1121" s="67">
        <f>prodnorm26</f>
        <v>0</v>
      </c>
      <c r="N1121" s="68">
        <f>dagwerk26</f>
        <v>0</v>
      </c>
      <c r="O1121" s="64" t="s">
        <v>38</v>
      </c>
      <c r="P1121" s="69">
        <f>uurtarief26</f>
        <v>0</v>
      </c>
      <c r="Q1121" s="66" t="e">
        <f>IF(ISBLANK(M1121),0,L1121/ROUND(M1121,4))</f>
        <v>#DIV/0!</v>
      </c>
      <c r="R1121" s="66" t="e">
        <f>IF(ISBLANK(M1121),0,Q1121*ROUND(N1121,2))</f>
        <v>#DIV/0!</v>
      </c>
      <c r="S1121" s="69" t="e">
        <f>ROUND(P1121,2)*Q1121</f>
        <v>#DIV/0!</v>
      </c>
      <c r="T1121" s="66" t="e">
        <f>Q1121*dagenperjaar1</f>
        <v>#DIV/0!</v>
      </c>
      <c r="U1121" s="70" t="e">
        <f>T1121*ROUND(P1121,2)</f>
        <v>#DIV/0!</v>
      </c>
    </row>
    <row r="1122" spans="1:21" x14ac:dyDescent="0.2">
      <c r="A1122" s="63" t="s">
        <v>1613</v>
      </c>
      <c r="B1122" s="64" t="s">
        <v>1730</v>
      </c>
      <c r="C1122" s="64" t="s">
        <v>1731</v>
      </c>
      <c r="D1122" s="64" t="s">
        <v>1743</v>
      </c>
      <c r="E1122" s="64" t="s">
        <v>324</v>
      </c>
      <c r="F1122" s="65" t="s">
        <v>1744</v>
      </c>
      <c r="G1122" s="64" t="s">
        <v>642</v>
      </c>
      <c r="H1122" s="64" t="s">
        <v>213</v>
      </c>
      <c r="I1122" s="64" t="s">
        <v>10</v>
      </c>
      <c r="J1122" s="64" t="s">
        <v>201</v>
      </c>
      <c r="K1122" s="66">
        <v>1.7</v>
      </c>
      <c r="L1122" s="66">
        <f>K1122*VLOOKUP(I1122,dagsoorttabel1,2,FALSE)</f>
        <v>1.7</v>
      </c>
      <c r="M1122" s="67">
        <f>prodnorm33</f>
        <v>0</v>
      </c>
      <c r="N1122" s="68">
        <f>dagwerk33</f>
        <v>0</v>
      </c>
      <c r="O1122" s="64" t="s">
        <v>38</v>
      </c>
      <c r="P1122" s="69">
        <f>uurtarief33</f>
        <v>0</v>
      </c>
      <c r="Q1122" s="66" t="e">
        <f>IF(ISBLANK(M1122),0,L1122/ROUND(M1122,4))</f>
        <v>#DIV/0!</v>
      </c>
      <c r="R1122" s="66" t="e">
        <f>IF(ISBLANK(M1122),0,Q1122*ROUND(N1122,2))</f>
        <v>#DIV/0!</v>
      </c>
      <c r="S1122" s="69" t="e">
        <f>ROUND(P1122,2)*Q1122</f>
        <v>#DIV/0!</v>
      </c>
      <c r="T1122" s="66" t="e">
        <f>Q1122*dagenperjaar1</f>
        <v>#DIV/0!</v>
      </c>
      <c r="U1122" s="70" t="e">
        <f>T1122*ROUND(P1122,2)</f>
        <v>#DIV/0!</v>
      </c>
    </row>
    <row r="1123" spans="1:21" x14ac:dyDescent="0.2">
      <c r="A1123" s="63" t="s">
        <v>1613</v>
      </c>
      <c r="B1123" s="64" t="s">
        <v>1730</v>
      </c>
      <c r="C1123" s="64" t="s">
        <v>1731</v>
      </c>
      <c r="D1123" s="64" t="s">
        <v>1745</v>
      </c>
      <c r="E1123" s="64" t="s">
        <v>324</v>
      </c>
      <c r="F1123" s="65" t="s">
        <v>578</v>
      </c>
      <c r="G1123" s="64" t="s">
        <v>328</v>
      </c>
      <c r="H1123" s="64" t="s">
        <v>267</v>
      </c>
      <c r="I1123" s="64" t="s">
        <v>10</v>
      </c>
      <c r="J1123" s="64" t="s">
        <v>201</v>
      </c>
      <c r="K1123" s="66">
        <v>4.4000000000000004</v>
      </c>
      <c r="L1123" s="66">
        <f>K1123*VLOOKUP(I1123,dagsoorttabel1,2,FALSE)</f>
        <v>4.4000000000000004</v>
      </c>
      <c r="M1123" s="67">
        <f>prodnorm65</f>
        <v>0</v>
      </c>
      <c r="N1123" s="68">
        <f>dagwerk65</f>
        <v>0</v>
      </c>
      <c r="O1123" s="64" t="s">
        <v>38</v>
      </c>
      <c r="P1123" s="69">
        <f>uurtarief65</f>
        <v>0</v>
      </c>
      <c r="Q1123" s="66" t="e">
        <f>IF(ISBLANK(M1123),0,L1123/ROUND(M1123,4))</f>
        <v>#DIV/0!</v>
      </c>
      <c r="R1123" s="66" t="e">
        <f>IF(ISBLANK(M1123),0,Q1123*ROUND(N1123,2))</f>
        <v>#DIV/0!</v>
      </c>
      <c r="S1123" s="69" t="e">
        <f>ROUND(P1123,2)*Q1123</f>
        <v>#DIV/0!</v>
      </c>
      <c r="T1123" s="66" t="e">
        <f>Q1123*dagenperjaar1</f>
        <v>#DIV/0!</v>
      </c>
      <c r="U1123" s="70" t="e">
        <f>T1123*ROUND(P1123,2)</f>
        <v>#DIV/0!</v>
      </c>
    </row>
    <row r="1124" spans="1:21" x14ac:dyDescent="0.2">
      <c r="A1124" s="63" t="s">
        <v>1613</v>
      </c>
      <c r="B1124" s="64" t="s">
        <v>1730</v>
      </c>
      <c r="C1124" s="64" t="s">
        <v>1731</v>
      </c>
      <c r="D1124" s="64" t="s">
        <v>1746</v>
      </c>
      <c r="E1124" s="64" t="s">
        <v>324</v>
      </c>
      <c r="F1124" s="65" t="s">
        <v>780</v>
      </c>
      <c r="G1124" s="64" t="s">
        <v>778</v>
      </c>
      <c r="H1124" s="64" t="s">
        <v>219</v>
      </c>
      <c r="I1124" s="64" t="s">
        <v>10</v>
      </c>
      <c r="J1124" s="64" t="s">
        <v>201</v>
      </c>
      <c r="K1124" s="66">
        <v>32.590000000000003</v>
      </c>
      <c r="L1124" s="66">
        <f>K1124*VLOOKUP(I1124,dagsoorttabel1,2,FALSE)</f>
        <v>32.590000000000003</v>
      </c>
      <c r="M1124" s="67">
        <f>prodnorm36</f>
        <v>0</v>
      </c>
      <c r="N1124" s="68">
        <f>dagwerk36</f>
        <v>0</v>
      </c>
      <c r="O1124" s="64" t="s">
        <v>38</v>
      </c>
      <c r="P1124" s="69">
        <f>uurtarief36</f>
        <v>0</v>
      </c>
      <c r="Q1124" s="66" t="e">
        <f>IF(ISBLANK(M1124),0,L1124/ROUND(M1124,4))</f>
        <v>#DIV/0!</v>
      </c>
      <c r="R1124" s="66" t="e">
        <f>IF(ISBLANK(M1124),0,Q1124*ROUND(N1124,2))</f>
        <v>#DIV/0!</v>
      </c>
      <c r="S1124" s="69" t="e">
        <f>ROUND(P1124,2)*Q1124</f>
        <v>#DIV/0!</v>
      </c>
      <c r="T1124" s="66" t="e">
        <f>Q1124*dagenperjaar1</f>
        <v>#DIV/0!</v>
      </c>
      <c r="U1124" s="70" t="e">
        <f>T1124*ROUND(P1124,2)</f>
        <v>#DIV/0!</v>
      </c>
    </row>
    <row r="1125" spans="1:21" x14ac:dyDescent="0.2">
      <c r="A1125" s="71" t="s">
        <v>1613</v>
      </c>
      <c r="B1125" s="72" t="s">
        <v>1730</v>
      </c>
      <c r="C1125" s="72" t="s">
        <v>1731</v>
      </c>
      <c r="D1125" s="72" t="s">
        <v>1747</v>
      </c>
      <c r="E1125" s="72" t="s">
        <v>324</v>
      </c>
      <c r="F1125" s="73" t="s">
        <v>1748</v>
      </c>
      <c r="G1125" s="72" t="s">
        <v>778</v>
      </c>
      <c r="H1125" s="72" t="s">
        <v>219</v>
      </c>
      <c r="I1125" s="72" t="s">
        <v>10</v>
      </c>
      <c r="J1125" s="72" t="s">
        <v>201</v>
      </c>
      <c r="K1125" s="74">
        <v>251.85000000000002</v>
      </c>
      <c r="L1125" s="74">
        <f>K1125*VLOOKUP(I1125,dagsoorttabel1,2,FALSE)</f>
        <v>251.85000000000002</v>
      </c>
      <c r="M1125" s="75">
        <f>prodnorm36</f>
        <v>0</v>
      </c>
      <c r="N1125" s="76">
        <f>dagwerk36</f>
        <v>0</v>
      </c>
      <c r="O1125" s="72" t="s">
        <v>38</v>
      </c>
      <c r="P1125" s="77">
        <f>uurtarief36</f>
        <v>0</v>
      </c>
      <c r="Q1125" s="74" t="e">
        <f>IF(ISBLANK(M1125),0,L1125/ROUND(M1125,4))</f>
        <v>#DIV/0!</v>
      </c>
      <c r="R1125" s="74" t="e">
        <f>IF(ISBLANK(M1125),0,Q1125*ROUND(N1125,2))</f>
        <v>#DIV/0!</v>
      </c>
      <c r="S1125" s="77" t="e">
        <f>ROUND(P1125,2)*Q1125</f>
        <v>#DIV/0!</v>
      </c>
      <c r="T1125" s="74" t="e">
        <f>Q1125*dagenperjaar1</f>
        <v>#DIV/0!</v>
      </c>
      <c r="U1125" s="78" t="e">
        <f>T1125*ROUND(P1125,2)</f>
        <v>#DIV/0!</v>
      </c>
    </row>
    <row r="1126" spans="1:21" x14ac:dyDescent="0.2">
      <c r="A1126" s="79" t="s">
        <v>602</v>
      </c>
      <c r="B1126" s="44"/>
      <c r="C1126" s="44"/>
      <c r="D1126" s="44"/>
      <c r="E1126" s="44"/>
      <c r="F1126" s="44"/>
      <c r="G1126" s="44"/>
      <c r="H1126" s="44"/>
      <c r="I1126" s="44"/>
      <c r="J1126" s="44"/>
      <c r="K1126" s="44"/>
      <c r="L1126" s="44"/>
      <c r="M1126" s="44"/>
      <c r="N1126" s="44"/>
      <c r="O1126" s="44"/>
      <c r="P1126" s="46" t="e">
        <f>IF(_xlfn.SINGLE(object8_urenjaar1)&gt;0,_xlfn.SINGLE(object8_prijsjaar1)/_xlfn.SINGLE(object8_urenjaar1),0)</f>
        <v>#DIV/0!</v>
      </c>
      <c r="Q1126" s="45" t="e">
        <f>SUM(Q1018:Q1125)</f>
        <v>#DIV/0!</v>
      </c>
      <c r="R1126" s="45" t="e">
        <f>SUM(R1018:R1125)</f>
        <v>#DIV/0!</v>
      </c>
      <c r="S1126" s="46" t="e">
        <f>SUM(S1018:S1125)</f>
        <v>#DIV/0!</v>
      </c>
      <c r="T1126" s="45" t="e">
        <f>SUM(T1018:T1125)</f>
        <v>#DIV/0!</v>
      </c>
      <c r="U1126" s="47" t="e">
        <f>SUM(U1018:U1125)</f>
        <v>#DIV/0!</v>
      </c>
    </row>
    <row r="1127" spans="1:21" x14ac:dyDescent="0.2">
      <c r="A1127" s="54" t="s">
        <v>1749</v>
      </c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42"/>
    </row>
    <row r="1128" spans="1:21" x14ac:dyDescent="0.2">
      <c r="A1128" s="55" t="s">
        <v>1750</v>
      </c>
      <c r="B1128" s="56" t="s">
        <v>324</v>
      </c>
      <c r="C1128" s="56" t="s">
        <v>345</v>
      </c>
      <c r="D1128" s="56" t="s">
        <v>348</v>
      </c>
      <c r="E1128" s="56" t="s">
        <v>324</v>
      </c>
      <c r="F1128" s="57" t="s">
        <v>354</v>
      </c>
      <c r="G1128" s="56" t="s">
        <v>328</v>
      </c>
      <c r="H1128" s="56" t="s">
        <v>215</v>
      </c>
      <c r="I1128" s="56" t="s">
        <v>10</v>
      </c>
      <c r="J1128" s="56" t="s">
        <v>201</v>
      </c>
      <c r="K1128" s="58">
        <v>9.7199999999999989</v>
      </c>
      <c r="L1128" s="58">
        <f>K1128*VLOOKUP(I1128,dagsoorttabel1,2,FALSE)</f>
        <v>9.7199999999999989</v>
      </c>
      <c r="M1128" s="59">
        <f>prodnorm34</f>
        <v>0</v>
      </c>
      <c r="N1128" s="60">
        <f>dagwerk34</f>
        <v>0</v>
      </c>
      <c r="O1128" s="56" t="s">
        <v>38</v>
      </c>
      <c r="P1128" s="61">
        <f>uurtarief34</f>
        <v>0</v>
      </c>
      <c r="Q1128" s="58" t="e">
        <f>IF(ISBLANK(M1128),0,L1128/ROUND(M1128,4))</f>
        <v>#DIV/0!</v>
      </c>
      <c r="R1128" s="58" t="e">
        <f>IF(ISBLANK(M1128),0,Q1128*ROUND(N1128,2))</f>
        <v>#DIV/0!</v>
      </c>
      <c r="S1128" s="61" t="e">
        <f>ROUND(P1128,2)*Q1128</f>
        <v>#DIV/0!</v>
      </c>
      <c r="T1128" s="58" t="e">
        <f>Q1128*dagenperjaar1</f>
        <v>#DIV/0!</v>
      </c>
      <c r="U1128" s="62" t="e">
        <f>T1128*ROUND(P1128,2)</f>
        <v>#DIV/0!</v>
      </c>
    </row>
    <row r="1129" spans="1:21" x14ac:dyDescent="0.2">
      <c r="A1129" s="63" t="s">
        <v>1750</v>
      </c>
      <c r="B1129" s="64" t="s">
        <v>324</v>
      </c>
      <c r="C1129" s="64" t="s">
        <v>345</v>
      </c>
      <c r="D1129" s="64" t="s">
        <v>362</v>
      </c>
      <c r="E1129" s="64" t="s">
        <v>324</v>
      </c>
      <c r="F1129" s="65" t="s">
        <v>1751</v>
      </c>
      <c r="G1129" s="64" t="s">
        <v>328</v>
      </c>
      <c r="H1129" s="64" t="s">
        <v>229</v>
      </c>
      <c r="I1129" s="64" t="s">
        <v>10</v>
      </c>
      <c r="J1129" s="64" t="s">
        <v>201</v>
      </c>
      <c r="K1129" s="66">
        <v>58.8</v>
      </c>
      <c r="L1129" s="66">
        <f>K1129*VLOOKUP(I1129,dagsoorttabel1,2,FALSE)</f>
        <v>58.8</v>
      </c>
      <c r="M1129" s="67">
        <f>prodnorm43</f>
        <v>0</v>
      </c>
      <c r="N1129" s="68">
        <f>dagwerk43</f>
        <v>0</v>
      </c>
      <c r="O1129" s="64" t="s">
        <v>38</v>
      </c>
      <c r="P1129" s="69">
        <f>uurtarief43</f>
        <v>0</v>
      </c>
      <c r="Q1129" s="66" t="e">
        <f>IF(ISBLANK(M1129),0,L1129/ROUND(M1129,4))</f>
        <v>#DIV/0!</v>
      </c>
      <c r="R1129" s="66" t="e">
        <f>IF(ISBLANK(M1129),0,Q1129*ROUND(N1129,2))</f>
        <v>#DIV/0!</v>
      </c>
      <c r="S1129" s="69" t="e">
        <f>ROUND(P1129,2)*Q1129</f>
        <v>#DIV/0!</v>
      </c>
      <c r="T1129" s="66" t="e">
        <f>Q1129*dagenperjaar1</f>
        <v>#DIV/0!</v>
      </c>
      <c r="U1129" s="70" t="e">
        <f>T1129*ROUND(P1129,2)</f>
        <v>#DIV/0!</v>
      </c>
    </row>
    <row r="1130" spans="1:21" x14ac:dyDescent="0.2">
      <c r="A1130" s="63" t="s">
        <v>1750</v>
      </c>
      <c r="B1130" s="64" t="s">
        <v>324</v>
      </c>
      <c r="C1130" s="64" t="s">
        <v>345</v>
      </c>
      <c r="D1130" s="64" t="s">
        <v>366</v>
      </c>
      <c r="E1130" s="64" t="s">
        <v>324</v>
      </c>
      <c r="F1130" s="65" t="s">
        <v>641</v>
      </c>
      <c r="G1130" s="64" t="s">
        <v>1421</v>
      </c>
      <c r="H1130" s="64" t="s">
        <v>255</v>
      </c>
      <c r="I1130" s="64" t="s">
        <v>10</v>
      </c>
      <c r="J1130" s="64" t="s">
        <v>201</v>
      </c>
      <c r="K1130" s="66">
        <v>6</v>
      </c>
      <c r="L1130" s="66">
        <f>K1130*VLOOKUP(I1130,dagsoorttabel1,2,FALSE)</f>
        <v>6</v>
      </c>
      <c r="M1130" s="67">
        <f>prodnorm59</f>
        <v>0</v>
      </c>
      <c r="N1130" s="68">
        <f>dagwerk59</f>
        <v>0</v>
      </c>
      <c r="O1130" s="64" t="s">
        <v>38</v>
      </c>
      <c r="P1130" s="69">
        <f>uurtarief59</f>
        <v>0</v>
      </c>
      <c r="Q1130" s="66" t="e">
        <f>IF(ISBLANK(M1130),0,L1130/ROUND(M1130,4))</f>
        <v>#DIV/0!</v>
      </c>
      <c r="R1130" s="66" t="e">
        <f>IF(ISBLANK(M1130),0,Q1130*ROUND(N1130,2))</f>
        <v>#DIV/0!</v>
      </c>
      <c r="S1130" s="69" t="e">
        <f>ROUND(P1130,2)*Q1130</f>
        <v>#DIV/0!</v>
      </c>
      <c r="T1130" s="66" t="e">
        <f>Q1130*dagenperjaar1</f>
        <v>#DIV/0!</v>
      </c>
      <c r="U1130" s="70" t="e">
        <f>T1130*ROUND(P1130,2)</f>
        <v>#DIV/0!</v>
      </c>
    </row>
    <row r="1131" spans="1:21" x14ac:dyDescent="0.2">
      <c r="A1131" s="63" t="s">
        <v>1750</v>
      </c>
      <c r="B1131" s="64" t="s">
        <v>324</v>
      </c>
      <c r="C1131" s="64" t="s">
        <v>345</v>
      </c>
      <c r="D1131" s="64" t="s">
        <v>374</v>
      </c>
      <c r="E1131" s="64" t="s">
        <v>324</v>
      </c>
      <c r="F1131" s="65" t="s">
        <v>1752</v>
      </c>
      <c r="G1131" s="64" t="s">
        <v>328</v>
      </c>
      <c r="H1131" s="64" t="s">
        <v>229</v>
      </c>
      <c r="I1131" s="64" t="s">
        <v>10</v>
      </c>
      <c r="J1131" s="64" t="s">
        <v>201</v>
      </c>
      <c r="K1131" s="66">
        <v>59</v>
      </c>
      <c r="L1131" s="66">
        <f>K1131*VLOOKUP(I1131,dagsoorttabel1,2,FALSE)</f>
        <v>59</v>
      </c>
      <c r="M1131" s="67">
        <f>prodnorm43</f>
        <v>0</v>
      </c>
      <c r="N1131" s="68">
        <f>dagwerk43</f>
        <v>0</v>
      </c>
      <c r="O1131" s="64" t="s">
        <v>38</v>
      </c>
      <c r="P1131" s="69">
        <f>uurtarief43</f>
        <v>0</v>
      </c>
      <c r="Q1131" s="66" t="e">
        <f>IF(ISBLANK(M1131),0,L1131/ROUND(M1131,4))</f>
        <v>#DIV/0!</v>
      </c>
      <c r="R1131" s="66" t="e">
        <f>IF(ISBLANK(M1131),0,Q1131*ROUND(N1131,2))</f>
        <v>#DIV/0!</v>
      </c>
      <c r="S1131" s="69" t="e">
        <f>ROUND(P1131,2)*Q1131</f>
        <v>#DIV/0!</v>
      </c>
      <c r="T1131" s="66" t="e">
        <f>Q1131*dagenperjaar1</f>
        <v>#DIV/0!</v>
      </c>
      <c r="U1131" s="70" t="e">
        <f>T1131*ROUND(P1131,2)</f>
        <v>#DIV/0!</v>
      </c>
    </row>
    <row r="1132" spans="1:21" x14ac:dyDescent="0.2">
      <c r="A1132" s="63" t="s">
        <v>1750</v>
      </c>
      <c r="B1132" s="64" t="s">
        <v>324</v>
      </c>
      <c r="C1132" s="64" t="s">
        <v>345</v>
      </c>
      <c r="D1132" s="64" t="s">
        <v>377</v>
      </c>
      <c r="E1132" s="64" t="s">
        <v>324</v>
      </c>
      <c r="F1132" s="65" t="s">
        <v>1753</v>
      </c>
      <c r="G1132" s="64" t="s">
        <v>328</v>
      </c>
      <c r="H1132" s="64" t="s">
        <v>229</v>
      </c>
      <c r="I1132" s="64" t="s">
        <v>10</v>
      </c>
      <c r="J1132" s="64" t="s">
        <v>201</v>
      </c>
      <c r="K1132" s="66">
        <v>59.1</v>
      </c>
      <c r="L1132" s="66">
        <f>K1132*VLOOKUP(I1132,dagsoorttabel1,2,FALSE)</f>
        <v>59.1</v>
      </c>
      <c r="M1132" s="67">
        <f>prodnorm43</f>
        <v>0</v>
      </c>
      <c r="N1132" s="68">
        <f>dagwerk43</f>
        <v>0</v>
      </c>
      <c r="O1132" s="64" t="s">
        <v>38</v>
      </c>
      <c r="P1132" s="69">
        <f>uurtarief43</f>
        <v>0</v>
      </c>
      <c r="Q1132" s="66" t="e">
        <f>IF(ISBLANK(M1132),0,L1132/ROUND(M1132,4))</f>
        <v>#DIV/0!</v>
      </c>
      <c r="R1132" s="66" t="e">
        <f>IF(ISBLANK(M1132),0,Q1132*ROUND(N1132,2))</f>
        <v>#DIV/0!</v>
      </c>
      <c r="S1132" s="69" t="e">
        <f>ROUND(P1132,2)*Q1132</f>
        <v>#DIV/0!</v>
      </c>
      <c r="T1132" s="66" t="e">
        <f>Q1132*dagenperjaar1</f>
        <v>#DIV/0!</v>
      </c>
      <c r="U1132" s="70" t="e">
        <f>T1132*ROUND(P1132,2)</f>
        <v>#DIV/0!</v>
      </c>
    </row>
    <row r="1133" spans="1:21" x14ac:dyDescent="0.2">
      <c r="A1133" s="63" t="s">
        <v>1750</v>
      </c>
      <c r="B1133" s="64" t="s">
        <v>324</v>
      </c>
      <c r="C1133" s="64" t="s">
        <v>345</v>
      </c>
      <c r="D1133" s="64" t="s">
        <v>382</v>
      </c>
      <c r="E1133" s="64" t="s">
        <v>324</v>
      </c>
      <c r="F1133" s="65" t="s">
        <v>641</v>
      </c>
      <c r="G1133" s="64" t="s">
        <v>1421</v>
      </c>
      <c r="H1133" s="64" t="s">
        <v>255</v>
      </c>
      <c r="I1133" s="64" t="s">
        <v>10</v>
      </c>
      <c r="J1133" s="64" t="s">
        <v>201</v>
      </c>
      <c r="K1133" s="66">
        <v>6</v>
      </c>
      <c r="L1133" s="66">
        <f>K1133*VLOOKUP(I1133,dagsoorttabel1,2,FALSE)</f>
        <v>6</v>
      </c>
      <c r="M1133" s="67">
        <f>prodnorm59</f>
        <v>0</v>
      </c>
      <c r="N1133" s="68">
        <f>dagwerk59</f>
        <v>0</v>
      </c>
      <c r="O1133" s="64" t="s">
        <v>38</v>
      </c>
      <c r="P1133" s="69">
        <f>uurtarief59</f>
        <v>0</v>
      </c>
      <c r="Q1133" s="66" t="e">
        <f>IF(ISBLANK(M1133),0,L1133/ROUND(M1133,4))</f>
        <v>#DIV/0!</v>
      </c>
      <c r="R1133" s="66" t="e">
        <f>IF(ISBLANK(M1133),0,Q1133*ROUND(N1133,2))</f>
        <v>#DIV/0!</v>
      </c>
      <c r="S1133" s="69" t="e">
        <f>ROUND(P1133,2)*Q1133</f>
        <v>#DIV/0!</v>
      </c>
      <c r="T1133" s="66" t="e">
        <f>Q1133*dagenperjaar1</f>
        <v>#DIV/0!</v>
      </c>
      <c r="U1133" s="70" t="e">
        <f>T1133*ROUND(P1133,2)</f>
        <v>#DIV/0!</v>
      </c>
    </row>
    <row r="1134" spans="1:21" x14ac:dyDescent="0.2">
      <c r="A1134" s="63" t="s">
        <v>1750</v>
      </c>
      <c r="B1134" s="64" t="s">
        <v>324</v>
      </c>
      <c r="C1134" s="64" t="s">
        <v>345</v>
      </c>
      <c r="D1134" s="64" t="s">
        <v>387</v>
      </c>
      <c r="E1134" s="64" t="s">
        <v>324</v>
      </c>
      <c r="F1134" s="65" t="s">
        <v>1754</v>
      </c>
      <c r="G1134" s="64" t="s">
        <v>328</v>
      </c>
      <c r="H1134" s="64" t="s">
        <v>229</v>
      </c>
      <c r="I1134" s="64" t="s">
        <v>10</v>
      </c>
      <c r="J1134" s="64" t="s">
        <v>201</v>
      </c>
      <c r="K1134" s="66">
        <v>59.1</v>
      </c>
      <c r="L1134" s="66">
        <f>K1134*VLOOKUP(I1134,dagsoorttabel1,2,FALSE)</f>
        <v>59.1</v>
      </c>
      <c r="M1134" s="67">
        <f>prodnorm43</f>
        <v>0</v>
      </c>
      <c r="N1134" s="68">
        <f>dagwerk43</f>
        <v>0</v>
      </c>
      <c r="O1134" s="64" t="s">
        <v>38</v>
      </c>
      <c r="P1134" s="69">
        <f>uurtarief43</f>
        <v>0</v>
      </c>
      <c r="Q1134" s="66" t="e">
        <f>IF(ISBLANK(M1134),0,L1134/ROUND(M1134,4))</f>
        <v>#DIV/0!</v>
      </c>
      <c r="R1134" s="66" t="e">
        <f>IF(ISBLANK(M1134),0,Q1134*ROUND(N1134,2))</f>
        <v>#DIV/0!</v>
      </c>
      <c r="S1134" s="69" t="e">
        <f>ROUND(P1134,2)*Q1134</f>
        <v>#DIV/0!</v>
      </c>
      <c r="T1134" s="66" t="e">
        <f>Q1134*dagenperjaar1</f>
        <v>#DIV/0!</v>
      </c>
      <c r="U1134" s="70" t="e">
        <f>T1134*ROUND(P1134,2)</f>
        <v>#DIV/0!</v>
      </c>
    </row>
    <row r="1135" spans="1:21" x14ac:dyDescent="0.2">
      <c r="A1135" s="63" t="s">
        <v>1750</v>
      </c>
      <c r="B1135" s="64" t="s">
        <v>324</v>
      </c>
      <c r="C1135" s="64" t="s">
        <v>345</v>
      </c>
      <c r="D1135" s="64" t="s">
        <v>869</v>
      </c>
      <c r="E1135" s="64" t="s">
        <v>324</v>
      </c>
      <c r="F1135" s="65" t="s">
        <v>1483</v>
      </c>
      <c r="G1135" s="64" t="s">
        <v>328</v>
      </c>
      <c r="H1135" s="64" t="s">
        <v>205</v>
      </c>
      <c r="I1135" s="64" t="s">
        <v>10</v>
      </c>
      <c r="J1135" s="64" t="s">
        <v>201</v>
      </c>
      <c r="K1135" s="66">
        <v>45</v>
      </c>
      <c r="L1135" s="66">
        <f>K1135*VLOOKUP(I1135,dagsoorttabel1,2,FALSE)</f>
        <v>45</v>
      </c>
      <c r="M1135" s="67">
        <f>prodnorm26</f>
        <v>0</v>
      </c>
      <c r="N1135" s="68">
        <f>dagwerk26</f>
        <v>0</v>
      </c>
      <c r="O1135" s="64" t="s">
        <v>38</v>
      </c>
      <c r="P1135" s="69">
        <f>uurtarief26</f>
        <v>0</v>
      </c>
      <c r="Q1135" s="66" t="e">
        <f>IF(ISBLANK(M1135),0,L1135/ROUND(M1135,4))</f>
        <v>#DIV/0!</v>
      </c>
      <c r="R1135" s="66" t="e">
        <f>IF(ISBLANK(M1135),0,Q1135*ROUND(N1135,2))</f>
        <v>#DIV/0!</v>
      </c>
      <c r="S1135" s="69" t="e">
        <f>ROUND(P1135,2)*Q1135</f>
        <v>#DIV/0!</v>
      </c>
      <c r="T1135" s="66" t="e">
        <f>Q1135*dagenperjaar1</f>
        <v>#DIV/0!</v>
      </c>
      <c r="U1135" s="70" t="e">
        <f>T1135*ROUND(P1135,2)</f>
        <v>#DIV/0!</v>
      </c>
    </row>
    <row r="1136" spans="1:21" x14ac:dyDescent="0.2">
      <c r="A1136" s="63" t="s">
        <v>1750</v>
      </c>
      <c r="B1136" s="64" t="s">
        <v>324</v>
      </c>
      <c r="C1136" s="64" t="s">
        <v>345</v>
      </c>
      <c r="D1136" s="64" t="s">
        <v>400</v>
      </c>
      <c r="E1136" s="64" t="s">
        <v>324</v>
      </c>
      <c r="F1136" s="65" t="s">
        <v>364</v>
      </c>
      <c r="G1136" s="64" t="s">
        <v>1421</v>
      </c>
      <c r="H1136" s="64" t="s">
        <v>255</v>
      </c>
      <c r="I1136" s="64" t="s">
        <v>10</v>
      </c>
      <c r="J1136" s="64" t="s">
        <v>201</v>
      </c>
      <c r="K1136" s="66">
        <v>5</v>
      </c>
      <c r="L1136" s="66">
        <f>K1136*VLOOKUP(I1136,dagsoorttabel1,2,FALSE)</f>
        <v>5</v>
      </c>
      <c r="M1136" s="67">
        <f>prodnorm59</f>
        <v>0</v>
      </c>
      <c r="N1136" s="68">
        <f>dagwerk59</f>
        <v>0</v>
      </c>
      <c r="O1136" s="64" t="s">
        <v>38</v>
      </c>
      <c r="P1136" s="69">
        <f>uurtarief59</f>
        <v>0</v>
      </c>
      <c r="Q1136" s="66" t="e">
        <f>IF(ISBLANK(M1136),0,L1136/ROUND(M1136,4))</f>
        <v>#DIV/0!</v>
      </c>
      <c r="R1136" s="66" t="e">
        <f>IF(ISBLANK(M1136),0,Q1136*ROUND(N1136,2))</f>
        <v>#DIV/0!</v>
      </c>
      <c r="S1136" s="69" t="e">
        <f>ROUND(P1136,2)*Q1136</f>
        <v>#DIV/0!</v>
      </c>
      <c r="T1136" s="66" t="e">
        <f>Q1136*dagenperjaar1</f>
        <v>#DIV/0!</v>
      </c>
      <c r="U1136" s="70" t="e">
        <f>T1136*ROUND(P1136,2)</f>
        <v>#DIV/0!</v>
      </c>
    </row>
    <row r="1137" spans="1:21" x14ac:dyDescent="0.2">
      <c r="A1137" s="63" t="s">
        <v>1750</v>
      </c>
      <c r="B1137" s="64" t="s">
        <v>324</v>
      </c>
      <c r="C1137" s="64" t="s">
        <v>345</v>
      </c>
      <c r="D1137" s="64" t="s">
        <v>402</v>
      </c>
      <c r="E1137" s="64" t="s">
        <v>324</v>
      </c>
      <c r="F1137" s="65" t="s">
        <v>1436</v>
      </c>
      <c r="G1137" s="64" t="s">
        <v>328</v>
      </c>
      <c r="H1137" s="64" t="s">
        <v>241</v>
      </c>
      <c r="I1137" s="64" t="s">
        <v>10</v>
      </c>
      <c r="J1137" s="64" t="s">
        <v>201</v>
      </c>
      <c r="K1137" s="66">
        <v>10.8</v>
      </c>
      <c r="L1137" s="66">
        <f>K1137*VLOOKUP(I1137,dagsoorttabel1,2,FALSE)</f>
        <v>10.8</v>
      </c>
      <c r="M1137" s="67">
        <f>prodnorm51</f>
        <v>0</v>
      </c>
      <c r="N1137" s="68">
        <f>dagwerk51</f>
        <v>0</v>
      </c>
      <c r="O1137" s="64" t="s">
        <v>38</v>
      </c>
      <c r="P1137" s="69">
        <f>uurtarief51</f>
        <v>0</v>
      </c>
      <c r="Q1137" s="66" t="e">
        <f>IF(ISBLANK(M1137),0,L1137/ROUND(M1137,4))</f>
        <v>#DIV/0!</v>
      </c>
      <c r="R1137" s="66" t="e">
        <f>IF(ISBLANK(M1137),0,Q1137*ROUND(N1137,2))</f>
        <v>#DIV/0!</v>
      </c>
      <c r="S1137" s="69" t="e">
        <f>ROUND(P1137,2)*Q1137</f>
        <v>#DIV/0!</v>
      </c>
      <c r="T1137" s="66" t="e">
        <f>Q1137*dagenperjaar1</f>
        <v>#DIV/0!</v>
      </c>
      <c r="U1137" s="70" t="e">
        <f>T1137*ROUND(P1137,2)</f>
        <v>#DIV/0!</v>
      </c>
    </row>
    <row r="1138" spans="1:21" x14ac:dyDescent="0.2">
      <c r="A1138" s="63" t="s">
        <v>1750</v>
      </c>
      <c r="B1138" s="64" t="s">
        <v>324</v>
      </c>
      <c r="C1138" s="64" t="s">
        <v>345</v>
      </c>
      <c r="D1138" s="64" t="s">
        <v>416</v>
      </c>
      <c r="E1138" s="64" t="s">
        <v>324</v>
      </c>
      <c r="F1138" s="65" t="s">
        <v>1755</v>
      </c>
      <c r="G1138" s="64" t="s">
        <v>1756</v>
      </c>
      <c r="H1138" s="64" t="s">
        <v>221</v>
      </c>
      <c r="I1138" s="64" t="s">
        <v>10</v>
      </c>
      <c r="J1138" s="64" t="s">
        <v>201</v>
      </c>
      <c r="K1138" s="66">
        <v>94</v>
      </c>
      <c r="L1138" s="66">
        <f>K1138*VLOOKUP(I1138,dagsoorttabel1,2,FALSE)</f>
        <v>94</v>
      </c>
      <c r="M1138" s="67">
        <f>prodnorm38</f>
        <v>0</v>
      </c>
      <c r="N1138" s="68">
        <f>dagwerk38</f>
        <v>0</v>
      </c>
      <c r="O1138" s="64" t="s">
        <v>38</v>
      </c>
      <c r="P1138" s="69">
        <f>uurtarief38</f>
        <v>0</v>
      </c>
      <c r="Q1138" s="66" t="e">
        <f>IF(ISBLANK(M1138),0,L1138/ROUND(M1138,4))</f>
        <v>#DIV/0!</v>
      </c>
      <c r="R1138" s="66" t="e">
        <f>IF(ISBLANK(M1138),0,Q1138*ROUND(N1138,2))</f>
        <v>#DIV/0!</v>
      </c>
      <c r="S1138" s="69" t="e">
        <f>ROUND(P1138,2)*Q1138</f>
        <v>#DIV/0!</v>
      </c>
      <c r="T1138" s="66" t="e">
        <f>Q1138*dagenperjaar1</f>
        <v>#DIV/0!</v>
      </c>
      <c r="U1138" s="70" t="e">
        <f>T1138*ROUND(P1138,2)</f>
        <v>#DIV/0!</v>
      </c>
    </row>
    <row r="1139" spans="1:21" x14ac:dyDescent="0.2">
      <c r="A1139" s="63" t="s">
        <v>1750</v>
      </c>
      <c r="B1139" s="64" t="s">
        <v>324</v>
      </c>
      <c r="C1139" s="64" t="s">
        <v>345</v>
      </c>
      <c r="D1139" s="64" t="s">
        <v>1594</v>
      </c>
      <c r="E1139" s="64" t="s">
        <v>324</v>
      </c>
      <c r="F1139" s="65" t="s">
        <v>1755</v>
      </c>
      <c r="G1139" s="64" t="s">
        <v>1756</v>
      </c>
      <c r="H1139" s="64" t="s">
        <v>221</v>
      </c>
      <c r="I1139" s="64" t="s">
        <v>10</v>
      </c>
      <c r="J1139" s="64" t="s">
        <v>201</v>
      </c>
      <c r="K1139" s="66">
        <v>94</v>
      </c>
      <c r="L1139" s="66">
        <f>K1139*VLOOKUP(I1139,dagsoorttabel1,2,FALSE)</f>
        <v>94</v>
      </c>
      <c r="M1139" s="67">
        <f>prodnorm38</f>
        <v>0</v>
      </c>
      <c r="N1139" s="68">
        <f>dagwerk38</f>
        <v>0</v>
      </c>
      <c r="O1139" s="64" t="s">
        <v>38</v>
      </c>
      <c r="P1139" s="69">
        <f>uurtarief38</f>
        <v>0</v>
      </c>
      <c r="Q1139" s="66" t="e">
        <f>IF(ISBLANK(M1139),0,L1139/ROUND(M1139,4))</f>
        <v>#DIV/0!</v>
      </c>
      <c r="R1139" s="66" t="e">
        <f>IF(ISBLANK(M1139),0,Q1139*ROUND(N1139,2))</f>
        <v>#DIV/0!</v>
      </c>
      <c r="S1139" s="69" t="e">
        <f>ROUND(P1139,2)*Q1139</f>
        <v>#DIV/0!</v>
      </c>
      <c r="T1139" s="66" t="e">
        <f>Q1139*dagenperjaar1</f>
        <v>#DIV/0!</v>
      </c>
      <c r="U1139" s="70" t="e">
        <f>T1139*ROUND(P1139,2)</f>
        <v>#DIV/0!</v>
      </c>
    </row>
    <row r="1140" spans="1:21" x14ac:dyDescent="0.2">
      <c r="A1140" s="63" t="s">
        <v>1750</v>
      </c>
      <c r="B1140" s="64" t="s">
        <v>324</v>
      </c>
      <c r="C1140" s="64" t="s">
        <v>345</v>
      </c>
      <c r="D1140" s="64" t="s">
        <v>874</v>
      </c>
      <c r="E1140" s="64" t="s">
        <v>324</v>
      </c>
      <c r="F1140" s="65" t="s">
        <v>1757</v>
      </c>
      <c r="G1140" s="64" t="s">
        <v>328</v>
      </c>
      <c r="H1140" s="64" t="s">
        <v>205</v>
      </c>
      <c r="I1140" s="64" t="s">
        <v>10</v>
      </c>
      <c r="J1140" s="64" t="s">
        <v>201</v>
      </c>
      <c r="K1140" s="66">
        <v>11.9</v>
      </c>
      <c r="L1140" s="66">
        <f>K1140*VLOOKUP(I1140,dagsoorttabel1,2,FALSE)</f>
        <v>11.9</v>
      </c>
      <c r="M1140" s="67">
        <f>prodnorm26</f>
        <v>0</v>
      </c>
      <c r="N1140" s="68">
        <f>dagwerk26</f>
        <v>0</v>
      </c>
      <c r="O1140" s="64" t="s">
        <v>38</v>
      </c>
      <c r="P1140" s="69">
        <f>uurtarief26</f>
        <v>0</v>
      </c>
      <c r="Q1140" s="66" t="e">
        <f>IF(ISBLANK(M1140),0,L1140/ROUND(M1140,4))</f>
        <v>#DIV/0!</v>
      </c>
      <c r="R1140" s="66" t="e">
        <f>IF(ISBLANK(M1140),0,Q1140*ROUND(N1140,2))</f>
        <v>#DIV/0!</v>
      </c>
      <c r="S1140" s="69" t="e">
        <f>ROUND(P1140,2)*Q1140</f>
        <v>#DIV/0!</v>
      </c>
      <c r="T1140" s="66" t="e">
        <f>Q1140*dagenperjaar1</f>
        <v>#DIV/0!</v>
      </c>
      <c r="U1140" s="70" t="e">
        <f>T1140*ROUND(P1140,2)</f>
        <v>#DIV/0!</v>
      </c>
    </row>
    <row r="1141" spans="1:21" x14ac:dyDescent="0.2">
      <c r="A1141" s="63" t="s">
        <v>1750</v>
      </c>
      <c r="B1141" s="64" t="s">
        <v>324</v>
      </c>
      <c r="C1141" s="64" t="s">
        <v>345</v>
      </c>
      <c r="D1141" s="64" t="s">
        <v>875</v>
      </c>
      <c r="E1141" s="64" t="s">
        <v>324</v>
      </c>
      <c r="F1141" s="65" t="s">
        <v>1758</v>
      </c>
      <c r="G1141" s="64" t="s">
        <v>328</v>
      </c>
      <c r="H1141" s="64" t="s">
        <v>205</v>
      </c>
      <c r="I1141" s="64" t="s">
        <v>10</v>
      </c>
      <c r="J1141" s="64" t="s">
        <v>201</v>
      </c>
      <c r="K1141" s="66">
        <v>10.4</v>
      </c>
      <c r="L1141" s="66">
        <f>K1141*VLOOKUP(I1141,dagsoorttabel1,2,FALSE)</f>
        <v>10.4</v>
      </c>
      <c r="M1141" s="67">
        <f>prodnorm26</f>
        <v>0</v>
      </c>
      <c r="N1141" s="68">
        <f>dagwerk26</f>
        <v>0</v>
      </c>
      <c r="O1141" s="64" t="s">
        <v>38</v>
      </c>
      <c r="P1141" s="69">
        <f>uurtarief26</f>
        <v>0</v>
      </c>
      <c r="Q1141" s="66" t="e">
        <f>IF(ISBLANK(M1141),0,L1141/ROUND(M1141,4))</f>
        <v>#DIV/0!</v>
      </c>
      <c r="R1141" s="66" t="e">
        <f>IF(ISBLANK(M1141),0,Q1141*ROUND(N1141,2))</f>
        <v>#DIV/0!</v>
      </c>
      <c r="S1141" s="69" t="e">
        <f>ROUND(P1141,2)*Q1141</f>
        <v>#DIV/0!</v>
      </c>
      <c r="T1141" s="66" t="e">
        <f>Q1141*dagenperjaar1</f>
        <v>#DIV/0!</v>
      </c>
      <c r="U1141" s="70" t="e">
        <f>T1141*ROUND(P1141,2)</f>
        <v>#DIV/0!</v>
      </c>
    </row>
    <row r="1142" spans="1:21" x14ac:dyDescent="0.2">
      <c r="A1142" s="63" t="s">
        <v>1750</v>
      </c>
      <c r="B1142" s="64" t="s">
        <v>324</v>
      </c>
      <c r="C1142" s="64" t="s">
        <v>345</v>
      </c>
      <c r="D1142" s="64" t="s">
        <v>1324</v>
      </c>
      <c r="E1142" s="64" t="s">
        <v>324</v>
      </c>
      <c r="F1142" s="65" t="s">
        <v>1759</v>
      </c>
      <c r="G1142" s="64" t="s">
        <v>328</v>
      </c>
      <c r="H1142" s="64" t="s">
        <v>229</v>
      </c>
      <c r="I1142" s="64" t="s">
        <v>10</v>
      </c>
      <c r="J1142" s="64" t="s">
        <v>201</v>
      </c>
      <c r="K1142" s="66">
        <v>53.9</v>
      </c>
      <c r="L1142" s="66">
        <f>K1142*VLOOKUP(I1142,dagsoorttabel1,2,FALSE)</f>
        <v>53.9</v>
      </c>
      <c r="M1142" s="67">
        <f>prodnorm43</f>
        <v>0</v>
      </c>
      <c r="N1142" s="68">
        <f>dagwerk43</f>
        <v>0</v>
      </c>
      <c r="O1142" s="64" t="s">
        <v>38</v>
      </c>
      <c r="P1142" s="69">
        <f>uurtarief43</f>
        <v>0</v>
      </c>
      <c r="Q1142" s="66" t="e">
        <f>IF(ISBLANK(M1142),0,L1142/ROUND(M1142,4))</f>
        <v>#DIV/0!</v>
      </c>
      <c r="R1142" s="66" t="e">
        <f>IF(ISBLANK(M1142),0,Q1142*ROUND(N1142,2))</f>
        <v>#DIV/0!</v>
      </c>
      <c r="S1142" s="69" t="e">
        <f>ROUND(P1142,2)*Q1142</f>
        <v>#DIV/0!</v>
      </c>
      <c r="T1142" s="66" t="e">
        <f>Q1142*dagenperjaar1</f>
        <v>#DIV/0!</v>
      </c>
      <c r="U1142" s="70" t="e">
        <f>T1142*ROUND(P1142,2)</f>
        <v>#DIV/0!</v>
      </c>
    </row>
    <row r="1143" spans="1:21" x14ac:dyDescent="0.2">
      <c r="A1143" s="63" t="s">
        <v>1750</v>
      </c>
      <c r="B1143" s="64" t="s">
        <v>324</v>
      </c>
      <c r="C1143" s="64" t="s">
        <v>345</v>
      </c>
      <c r="D1143" s="64" t="s">
        <v>876</v>
      </c>
      <c r="E1143" s="64" t="s">
        <v>324</v>
      </c>
      <c r="F1143" s="65" t="s">
        <v>641</v>
      </c>
      <c r="G1143" s="64" t="s">
        <v>1421</v>
      </c>
      <c r="H1143" s="64" t="s">
        <v>255</v>
      </c>
      <c r="I1143" s="64" t="s">
        <v>10</v>
      </c>
      <c r="J1143" s="64" t="s">
        <v>201</v>
      </c>
      <c r="K1143" s="66">
        <v>6</v>
      </c>
      <c r="L1143" s="66">
        <f>K1143*VLOOKUP(I1143,dagsoorttabel1,2,FALSE)</f>
        <v>6</v>
      </c>
      <c r="M1143" s="67">
        <f>prodnorm59</f>
        <v>0</v>
      </c>
      <c r="N1143" s="68">
        <f>dagwerk59</f>
        <v>0</v>
      </c>
      <c r="O1143" s="64" t="s">
        <v>38</v>
      </c>
      <c r="P1143" s="69">
        <f>uurtarief59</f>
        <v>0</v>
      </c>
      <c r="Q1143" s="66" t="e">
        <f>IF(ISBLANK(M1143),0,L1143/ROUND(M1143,4))</f>
        <v>#DIV/0!</v>
      </c>
      <c r="R1143" s="66" t="e">
        <f>IF(ISBLANK(M1143),0,Q1143*ROUND(N1143,2))</f>
        <v>#DIV/0!</v>
      </c>
      <c r="S1143" s="69" t="e">
        <f>ROUND(P1143,2)*Q1143</f>
        <v>#DIV/0!</v>
      </c>
      <c r="T1143" s="66" t="e">
        <f>Q1143*dagenperjaar1</f>
        <v>#DIV/0!</v>
      </c>
      <c r="U1143" s="70" t="e">
        <f>T1143*ROUND(P1143,2)</f>
        <v>#DIV/0!</v>
      </c>
    </row>
    <row r="1144" spans="1:21" x14ac:dyDescent="0.2">
      <c r="A1144" s="63" t="s">
        <v>1750</v>
      </c>
      <c r="B1144" s="64" t="s">
        <v>324</v>
      </c>
      <c r="C1144" s="64" t="s">
        <v>345</v>
      </c>
      <c r="D1144" s="64" t="s">
        <v>1760</v>
      </c>
      <c r="E1144" s="64" t="s">
        <v>324</v>
      </c>
      <c r="F1144" s="65" t="s">
        <v>1761</v>
      </c>
      <c r="G1144" s="64" t="s">
        <v>328</v>
      </c>
      <c r="H1144" s="64" t="s">
        <v>229</v>
      </c>
      <c r="I1144" s="64" t="s">
        <v>10</v>
      </c>
      <c r="J1144" s="64" t="s">
        <v>201</v>
      </c>
      <c r="K1144" s="66">
        <v>10.8</v>
      </c>
      <c r="L1144" s="66">
        <f>K1144*VLOOKUP(I1144,dagsoorttabel1,2,FALSE)</f>
        <v>10.8</v>
      </c>
      <c r="M1144" s="67">
        <f>prodnorm43</f>
        <v>0</v>
      </c>
      <c r="N1144" s="68">
        <f>dagwerk43</f>
        <v>0</v>
      </c>
      <c r="O1144" s="64" t="s">
        <v>38</v>
      </c>
      <c r="P1144" s="69">
        <f>uurtarief43</f>
        <v>0</v>
      </c>
      <c r="Q1144" s="66" t="e">
        <f>IF(ISBLANK(M1144),0,L1144/ROUND(M1144,4))</f>
        <v>#DIV/0!</v>
      </c>
      <c r="R1144" s="66" t="e">
        <f>IF(ISBLANK(M1144),0,Q1144*ROUND(N1144,2))</f>
        <v>#DIV/0!</v>
      </c>
      <c r="S1144" s="69" t="e">
        <f>ROUND(P1144,2)*Q1144</f>
        <v>#DIV/0!</v>
      </c>
      <c r="T1144" s="66" t="e">
        <f>Q1144*dagenperjaar1</f>
        <v>#DIV/0!</v>
      </c>
      <c r="U1144" s="70" t="e">
        <f>T1144*ROUND(P1144,2)</f>
        <v>#DIV/0!</v>
      </c>
    </row>
    <row r="1145" spans="1:21" x14ac:dyDescent="0.2">
      <c r="A1145" s="63" t="s">
        <v>1750</v>
      </c>
      <c r="B1145" s="64" t="s">
        <v>324</v>
      </c>
      <c r="C1145" s="64" t="s">
        <v>345</v>
      </c>
      <c r="D1145" s="64" t="s">
        <v>879</v>
      </c>
      <c r="E1145" s="64" t="s">
        <v>324</v>
      </c>
      <c r="F1145" s="65" t="s">
        <v>1762</v>
      </c>
      <c r="G1145" s="64" t="s">
        <v>328</v>
      </c>
      <c r="H1145" s="64" t="s">
        <v>229</v>
      </c>
      <c r="I1145" s="64" t="s">
        <v>10</v>
      </c>
      <c r="J1145" s="64" t="s">
        <v>201</v>
      </c>
      <c r="K1145" s="66">
        <v>60.8</v>
      </c>
      <c r="L1145" s="66">
        <f>K1145*VLOOKUP(I1145,dagsoorttabel1,2,FALSE)</f>
        <v>60.8</v>
      </c>
      <c r="M1145" s="67">
        <f>prodnorm43</f>
        <v>0</v>
      </c>
      <c r="N1145" s="68">
        <f>dagwerk43</f>
        <v>0</v>
      </c>
      <c r="O1145" s="64" t="s">
        <v>38</v>
      </c>
      <c r="P1145" s="69">
        <f>uurtarief43</f>
        <v>0</v>
      </c>
      <c r="Q1145" s="66" t="e">
        <f>IF(ISBLANK(M1145),0,L1145/ROUND(M1145,4))</f>
        <v>#DIV/0!</v>
      </c>
      <c r="R1145" s="66" t="e">
        <f>IF(ISBLANK(M1145),0,Q1145*ROUND(N1145,2))</f>
        <v>#DIV/0!</v>
      </c>
      <c r="S1145" s="69" t="e">
        <f>ROUND(P1145,2)*Q1145</f>
        <v>#DIV/0!</v>
      </c>
      <c r="T1145" s="66" t="e">
        <f>Q1145*dagenperjaar1</f>
        <v>#DIV/0!</v>
      </c>
      <c r="U1145" s="70" t="e">
        <f>T1145*ROUND(P1145,2)</f>
        <v>#DIV/0!</v>
      </c>
    </row>
    <row r="1146" spans="1:21" x14ac:dyDescent="0.2">
      <c r="A1146" s="63" t="s">
        <v>1750</v>
      </c>
      <c r="B1146" s="64" t="s">
        <v>324</v>
      </c>
      <c r="C1146" s="64" t="s">
        <v>345</v>
      </c>
      <c r="D1146" s="64" t="s">
        <v>1763</v>
      </c>
      <c r="E1146" s="64" t="s">
        <v>324</v>
      </c>
      <c r="F1146" s="65" t="s">
        <v>335</v>
      </c>
      <c r="G1146" s="64" t="s">
        <v>328</v>
      </c>
      <c r="H1146" s="64" t="s">
        <v>267</v>
      </c>
      <c r="I1146" s="64" t="s">
        <v>10</v>
      </c>
      <c r="J1146" s="64" t="s">
        <v>201</v>
      </c>
      <c r="K1146" s="66">
        <v>240.2</v>
      </c>
      <c r="L1146" s="66">
        <f>K1146*VLOOKUP(I1146,dagsoorttabel1,2,FALSE)</f>
        <v>240.2</v>
      </c>
      <c r="M1146" s="67">
        <f>prodnorm65</f>
        <v>0</v>
      </c>
      <c r="N1146" s="68">
        <f>dagwerk65</f>
        <v>0</v>
      </c>
      <c r="O1146" s="64" t="s">
        <v>38</v>
      </c>
      <c r="P1146" s="69">
        <f>uurtarief65</f>
        <v>0</v>
      </c>
      <c r="Q1146" s="66" t="e">
        <f>IF(ISBLANK(M1146),0,L1146/ROUND(M1146,4))</f>
        <v>#DIV/0!</v>
      </c>
      <c r="R1146" s="66" t="e">
        <f>IF(ISBLANK(M1146),0,Q1146*ROUND(N1146,2))</f>
        <v>#DIV/0!</v>
      </c>
      <c r="S1146" s="69" t="e">
        <f>ROUND(P1146,2)*Q1146</f>
        <v>#DIV/0!</v>
      </c>
      <c r="T1146" s="66" t="e">
        <f>Q1146*dagenperjaar1</f>
        <v>#DIV/0!</v>
      </c>
      <c r="U1146" s="70" t="e">
        <f>T1146*ROUND(P1146,2)</f>
        <v>#DIV/0!</v>
      </c>
    </row>
    <row r="1147" spans="1:21" x14ac:dyDescent="0.2">
      <c r="A1147" s="63" t="s">
        <v>1750</v>
      </c>
      <c r="B1147" s="64" t="s">
        <v>324</v>
      </c>
      <c r="C1147" s="64" t="s">
        <v>345</v>
      </c>
      <c r="D1147" s="64" t="s">
        <v>1764</v>
      </c>
      <c r="E1147" s="64" t="s">
        <v>324</v>
      </c>
      <c r="F1147" s="65" t="s">
        <v>335</v>
      </c>
      <c r="G1147" s="64" t="s">
        <v>328</v>
      </c>
      <c r="H1147" s="64" t="s">
        <v>267</v>
      </c>
      <c r="I1147" s="64" t="s">
        <v>10</v>
      </c>
      <c r="J1147" s="64" t="s">
        <v>201</v>
      </c>
      <c r="K1147" s="66">
        <v>80.599999999999994</v>
      </c>
      <c r="L1147" s="66">
        <f>K1147*VLOOKUP(I1147,dagsoorttabel1,2,FALSE)</f>
        <v>80.599999999999994</v>
      </c>
      <c r="M1147" s="67">
        <f>prodnorm65</f>
        <v>0</v>
      </c>
      <c r="N1147" s="68">
        <f>dagwerk65</f>
        <v>0</v>
      </c>
      <c r="O1147" s="64" t="s">
        <v>38</v>
      </c>
      <c r="P1147" s="69">
        <f>uurtarief65</f>
        <v>0</v>
      </c>
      <c r="Q1147" s="66" t="e">
        <f>IF(ISBLANK(M1147),0,L1147/ROUND(M1147,4))</f>
        <v>#DIV/0!</v>
      </c>
      <c r="R1147" s="66" t="e">
        <f>IF(ISBLANK(M1147),0,Q1147*ROUND(N1147,2))</f>
        <v>#DIV/0!</v>
      </c>
      <c r="S1147" s="69" t="e">
        <f>ROUND(P1147,2)*Q1147</f>
        <v>#DIV/0!</v>
      </c>
      <c r="T1147" s="66" t="e">
        <f>Q1147*dagenperjaar1</f>
        <v>#DIV/0!</v>
      </c>
      <c r="U1147" s="70" t="e">
        <f>T1147*ROUND(P1147,2)</f>
        <v>#DIV/0!</v>
      </c>
    </row>
    <row r="1148" spans="1:21" x14ac:dyDescent="0.2">
      <c r="A1148" s="63" t="s">
        <v>1750</v>
      </c>
      <c r="B1148" s="64" t="s">
        <v>324</v>
      </c>
      <c r="C1148" s="64" t="s">
        <v>345</v>
      </c>
      <c r="D1148" s="64" t="s">
        <v>1765</v>
      </c>
      <c r="E1148" s="64" t="s">
        <v>324</v>
      </c>
      <c r="F1148" s="65" t="s">
        <v>335</v>
      </c>
      <c r="G1148" s="64" t="s">
        <v>328</v>
      </c>
      <c r="H1148" s="64" t="s">
        <v>267</v>
      </c>
      <c r="I1148" s="64" t="s">
        <v>10</v>
      </c>
      <c r="J1148" s="64" t="s">
        <v>201</v>
      </c>
      <c r="K1148" s="66">
        <v>20</v>
      </c>
      <c r="L1148" s="66">
        <f>K1148*VLOOKUP(I1148,dagsoorttabel1,2,FALSE)</f>
        <v>20</v>
      </c>
      <c r="M1148" s="67">
        <f>prodnorm65</f>
        <v>0</v>
      </c>
      <c r="N1148" s="68">
        <f>dagwerk65</f>
        <v>0</v>
      </c>
      <c r="O1148" s="64" t="s">
        <v>38</v>
      </c>
      <c r="P1148" s="69">
        <f>uurtarief65</f>
        <v>0</v>
      </c>
      <c r="Q1148" s="66" t="e">
        <f>IF(ISBLANK(M1148),0,L1148/ROUND(M1148,4))</f>
        <v>#DIV/0!</v>
      </c>
      <c r="R1148" s="66" t="e">
        <f>IF(ISBLANK(M1148),0,Q1148*ROUND(N1148,2))</f>
        <v>#DIV/0!</v>
      </c>
      <c r="S1148" s="69" t="e">
        <f>ROUND(P1148,2)*Q1148</f>
        <v>#DIV/0!</v>
      </c>
      <c r="T1148" s="66" t="e">
        <f>Q1148*dagenperjaar1</f>
        <v>#DIV/0!</v>
      </c>
      <c r="U1148" s="70" t="e">
        <f>T1148*ROUND(P1148,2)</f>
        <v>#DIV/0!</v>
      </c>
    </row>
    <row r="1149" spans="1:21" x14ac:dyDescent="0.2">
      <c r="A1149" s="63" t="s">
        <v>1750</v>
      </c>
      <c r="B1149" s="64" t="s">
        <v>324</v>
      </c>
      <c r="C1149" s="64" t="s">
        <v>345</v>
      </c>
      <c r="D1149" s="64" t="s">
        <v>1330</v>
      </c>
      <c r="E1149" s="64" t="s">
        <v>324</v>
      </c>
      <c r="F1149" s="65" t="s">
        <v>1766</v>
      </c>
      <c r="G1149" s="64" t="s">
        <v>328</v>
      </c>
      <c r="H1149" s="64" t="s">
        <v>229</v>
      </c>
      <c r="I1149" s="64" t="s">
        <v>10</v>
      </c>
      <c r="J1149" s="64" t="s">
        <v>201</v>
      </c>
      <c r="K1149" s="66">
        <v>59.1</v>
      </c>
      <c r="L1149" s="66">
        <f>K1149*VLOOKUP(I1149,dagsoorttabel1,2,FALSE)</f>
        <v>59.1</v>
      </c>
      <c r="M1149" s="67">
        <f>prodnorm43</f>
        <v>0</v>
      </c>
      <c r="N1149" s="68">
        <f>dagwerk43</f>
        <v>0</v>
      </c>
      <c r="O1149" s="64" t="s">
        <v>38</v>
      </c>
      <c r="P1149" s="69">
        <f>uurtarief43</f>
        <v>0</v>
      </c>
      <c r="Q1149" s="66" t="e">
        <f>IF(ISBLANK(M1149),0,L1149/ROUND(M1149,4))</f>
        <v>#DIV/0!</v>
      </c>
      <c r="R1149" s="66" t="e">
        <f>IF(ISBLANK(M1149),0,Q1149*ROUND(N1149,2))</f>
        <v>#DIV/0!</v>
      </c>
      <c r="S1149" s="69" t="e">
        <f>ROUND(P1149,2)*Q1149</f>
        <v>#DIV/0!</v>
      </c>
      <c r="T1149" s="66" t="e">
        <f>Q1149*dagenperjaar1</f>
        <v>#DIV/0!</v>
      </c>
      <c r="U1149" s="70" t="e">
        <f>T1149*ROUND(P1149,2)</f>
        <v>#DIV/0!</v>
      </c>
    </row>
    <row r="1150" spans="1:21" x14ac:dyDescent="0.2">
      <c r="A1150" s="63" t="s">
        <v>1750</v>
      </c>
      <c r="B1150" s="64" t="s">
        <v>324</v>
      </c>
      <c r="C1150" s="64" t="s">
        <v>345</v>
      </c>
      <c r="D1150" s="64" t="s">
        <v>883</v>
      </c>
      <c r="E1150" s="64" t="s">
        <v>324</v>
      </c>
      <c r="F1150" s="65" t="s">
        <v>354</v>
      </c>
      <c r="G1150" s="64" t="s">
        <v>328</v>
      </c>
      <c r="H1150" s="64" t="s">
        <v>215</v>
      </c>
      <c r="I1150" s="64" t="s">
        <v>10</v>
      </c>
      <c r="J1150" s="64" t="s">
        <v>201</v>
      </c>
      <c r="K1150" s="66">
        <v>12.5</v>
      </c>
      <c r="L1150" s="66">
        <f>K1150*VLOOKUP(I1150,dagsoorttabel1,2,FALSE)</f>
        <v>12.5</v>
      </c>
      <c r="M1150" s="67">
        <f>prodnorm34</f>
        <v>0</v>
      </c>
      <c r="N1150" s="68">
        <f>dagwerk34</f>
        <v>0</v>
      </c>
      <c r="O1150" s="64" t="s">
        <v>38</v>
      </c>
      <c r="P1150" s="69">
        <f>uurtarief34</f>
        <v>0</v>
      </c>
      <c r="Q1150" s="66" t="e">
        <f>IF(ISBLANK(M1150),0,L1150/ROUND(M1150,4))</f>
        <v>#DIV/0!</v>
      </c>
      <c r="R1150" s="66" t="e">
        <f>IF(ISBLANK(M1150),0,Q1150*ROUND(N1150,2))</f>
        <v>#DIV/0!</v>
      </c>
      <c r="S1150" s="69" t="e">
        <f>ROUND(P1150,2)*Q1150</f>
        <v>#DIV/0!</v>
      </c>
      <c r="T1150" s="66" t="e">
        <f>Q1150*dagenperjaar1</f>
        <v>#DIV/0!</v>
      </c>
      <c r="U1150" s="70" t="e">
        <f>T1150*ROUND(P1150,2)</f>
        <v>#DIV/0!</v>
      </c>
    </row>
    <row r="1151" spans="1:21" x14ac:dyDescent="0.2">
      <c r="A1151" s="63" t="s">
        <v>1750</v>
      </c>
      <c r="B1151" s="64" t="s">
        <v>324</v>
      </c>
      <c r="C1151" s="64" t="s">
        <v>345</v>
      </c>
      <c r="D1151" s="64" t="s">
        <v>1332</v>
      </c>
      <c r="E1151" s="64" t="s">
        <v>324</v>
      </c>
      <c r="F1151" s="65" t="s">
        <v>641</v>
      </c>
      <c r="G1151" s="64" t="s">
        <v>1421</v>
      </c>
      <c r="H1151" s="64" t="s">
        <v>255</v>
      </c>
      <c r="I1151" s="64" t="s">
        <v>10</v>
      </c>
      <c r="J1151" s="64" t="s">
        <v>201</v>
      </c>
      <c r="K1151" s="66">
        <v>6</v>
      </c>
      <c r="L1151" s="66">
        <f>K1151*VLOOKUP(I1151,dagsoorttabel1,2,FALSE)</f>
        <v>6</v>
      </c>
      <c r="M1151" s="67">
        <f>prodnorm59</f>
        <v>0</v>
      </c>
      <c r="N1151" s="68">
        <f>dagwerk59</f>
        <v>0</v>
      </c>
      <c r="O1151" s="64" t="s">
        <v>38</v>
      </c>
      <c r="P1151" s="69">
        <f>uurtarief59</f>
        <v>0</v>
      </c>
      <c r="Q1151" s="66" t="e">
        <f>IF(ISBLANK(M1151),0,L1151/ROUND(M1151,4))</f>
        <v>#DIV/0!</v>
      </c>
      <c r="R1151" s="66" t="e">
        <f>IF(ISBLANK(M1151),0,Q1151*ROUND(N1151,2))</f>
        <v>#DIV/0!</v>
      </c>
      <c r="S1151" s="69" t="e">
        <f>ROUND(P1151,2)*Q1151</f>
        <v>#DIV/0!</v>
      </c>
      <c r="T1151" s="66" t="e">
        <f>Q1151*dagenperjaar1</f>
        <v>#DIV/0!</v>
      </c>
      <c r="U1151" s="70" t="e">
        <f>T1151*ROUND(P1151,2)</f>
        <v>#DIV/0!</v>
      </c>
    </row>
    <row r="1152" spans="1:21" x14ac:dyDescent="0.2">
      <c r="A1152" s="63" t="s">
        <v>1750</v>
      </c>
      <c r="B1152" s="64" t="s">
        <v>324</v>
      </c>
      <c r="C1152" s="64" t="s">
        <v>345</v>
      </c>
      <c r="D1152" s="64" t="s">
        <v>1333</v>
      </c>
      <c r="E1152" s="64" t="s">
        <v>324</v>
      </c>
      <c r="F1152" s="65" t="s">
        <v>1767</v>
      </c>
      <c r="G1152" s="64" t="s">
        <v>328</v>
      </c>
      <c r="H1152" s="64" t="s">
        <v>233</v>
      </c>
      <c r="I1152" s="64" t="s">
        <v>10</v>
      </c>
      <c r="J1152" s="64" t="s">
        <v>201</v>
      </c>
      <c r="K1152" s="66">
        <v>8.5</v>
      </c>
      <c r="L1152" s="66">
        <f>K1152*VLOOKUP(I1152,dagsoorttabel1,2,FALSE)</f>
        <v>8.5</v>
      </c>
      <c r="M1152" s="67">
        <f>prodnorm45</f>
        <v>0</v>
      </c>
      <c r="N1152" s="68">
        <f>dagwerk45</f>
        <v>0</v>
      </c>
      <c r="O1152" s="64" t="s">
        <v>38</v>
      </c>
      <c r="P1152" s="69">
        <f>uurtarief45</f>
        <v>0</v>
      </c>
      <c r="Q1152" s="66" t="e">
        <f>IF(ISBLANK(M1152),0,L1152/ROUND(M1152,4))</f>
        <v>#DIV/0!</v>
      </c>
      <c r="R1152" s="66" t="e">
        <f>IF(ISBLANK(M1152),0,Q1152*ROUND(N1152,2))</f>
        <v>#DIV/0!</v>
      </c>
      <c r="S1152" s="69" t="e">
        <f>ROUND(P1152,2)*Q1152</f>
        <v>#DIV/0!</v>
      </c>
      <c r="T1152" s="66" t="e">
        <f>Q1152*dagenperjaar1</f>
        <v>#DIV/0!</v>
      </c>
      <c r="U1152" s="70" t="e">
        <f>T1152*ROUND(P1152,2)</f>
        <v>#DIV/0!</v>
      </c>
    </row>
    <row r="1153" spans="1:21" x14ac:dyDescent="0.2">
      <c r="A1153" s="63" t="s">
        <v>1750</v>
      </c>
      <c r="B1153" s="64" t="s">
        <v>324</v>
      </c>
      <c r="C1153" s="64" t="s">
        <v>345</v>
      </c>
      <c r="D1153" s="64" t="s">
        <v>885</v>
      </c>
      <c r="E1153" s="64" t="s">
        <v>324</v>
      </c>
      <c r="F1153" s="65" t="s">
        <v>975</v>
      </c>
      <c r="G1153" s="64" t="s">
        <v>328</v>
      </c>
      <c r="H1153" s="64" t="s">
        <v>205</v>
      </c>
      <c r="I1153" s="64" t="s">
        <v>10</v>
      </c>
      <c r="J1153" s="64" t="s">
        <v>201</v>
      </c>
      <c r="K1153" s="66">
        <v>12.5</v>
      </c>
      <c r="L1153" s="66">
        <f>K1153*VLOOKUP(I1153,dagsoorttabel1,2,FALSE)</f>
        <v>12.5</v>
      </c>
      <c r="M1153" s="67">
        <f>prodnorm26</f>
        <v>0</v>
      </c>
      <c r="N1153" s="68">
        <f>dagwerk26</f>
        <v>0</v>
      </c>
      <c r="O1153" s="64" t="s">
        <v>38</v>
      </c>
      <c r="P1153" s="69">
        <f>uurtarief26</f>
        <v>0</v>
      </c>
      <c r="Q1153" s="66" t="e">
        <f>IF(ISBLANK(M1153),0,L1153/ROUND(M1153,4))</f>
        <v>#DIV/0!</v>
      </c>
      <c r="R1153" s="66" t="e">
        <f>IF(ISBLANK(M1153),0,Q1153*ROUND(N1153,2))</f>
        <v>#DIV/0!</v>
      </c>
      <c r="S1153" s="69" t="e">
        <f>ROUND(P1153,2)*Q1153</f>
        <v>#DIV/0!</v>
      </c>
      <c r="T1153" s="66" t="e">
        <f>Q1153*dagenperjaar1</f>
        <v>#DIV/0!</v>
      </c>
      <c r="U1153" s="70" t="e">
        <f>T1153*ROUND(P1153,2)</f>
        <v>#DIV/0!</v>
      </c>
    </row>
    <row r="1154" spans="1:21" x14ac:dyDescent="0.2">
      <c r="A1154" s="63" t="s">
        <v>1750</v>
      </c>
      <c r="B1154" s="64" t="s">
        <v>324</v>
      </c>
      <c r="C1154" s="64" t="s">
        <v>345</v>
      </c>
      <c r="D1154" s="64" t="s">
        <v>1768</v>
      </c>
      <c r="E1154" s="64" t="s">
        <v>324</v>
      </c>
      <c r="F1154" s="65" t="s">
        <v>1335</v>
      </c>
      <c r="G1154" s="64" t="s">
        <v>328</v>
      </c>
      <c r="H1154" s="64" t="s">
        <v>205</v>
      </c>
      <c r="I1154" s="64" t="s">
        <v>10</v>
      </c>
      <c r="J1154" s="64" t="s">
        <v>201</v>
      </c>
      <c r="K1154" s="66">
        <v>8</v>
      </c>
      <c r="L1154" s="66">
        <f>K1154*VLOOKUP(I1154,dagsoorttabel1,2,FALSE)</f>
        <v>8</v>
      </c>
      <c r="M1154" s="67">
        <f>prodnorm26</f>
        <v>0</v>
      </c>
      <c r="N1154" s="68">
        <f>dagwerk26</f>
        <v>0</v>
      </c>
      <c r="O1154" s="64" t="s">
        <v>38</v>
      </c>
      <c r="P1154" s="69">
        <f>uurtarief26</f>
        <v>0</v>
      </c>
      <c r="Q1154" s="66" t="e">
        <f>IF(ISBLANK(M1154),0,L1154/ROUND(M1154,4))</f>
        <v>#DIV/0!</v>
      </c>
      <c r="R1154" s="66" t="e">
        <f>IF(ISBLANK(M1154),0,Q1154*ROUND(N1154,2))</f>
        <v>#DIV/0!</v>
      </c>
      <c r="S1154" s="69" t="e">
        <f>ROUND(P1154,2)*Q1154</f>
        <v>#DIV/0!</v>
      </c>
      <c r="T1154" s="66" t="e">
        <f>Q1154*dagenperjaar1</f>
        <v>#DIV/0!</v>
      </c>
      <c r="U1154" s="70" t="e">
        <f>T1154*ROUND(P1154,2)</f>
        <v>#DIV/0!</v>
      </c>
    </row>
    <row r="1155" spans="1:21" x14ac:dyDescent="0.2">
      <c r="A1155" s="63" t="s">
        <v>1750</v>
      </c>
      <c r="B1155" s="64" t="s">
        <v>324</v>
      </c>
      <c r="C1155" s="64" t="s">
        <v>345</v>
      </c>
      <c r="D1155" s="64" t="s">
        <v>1339</v>
      </c>
      <c r="E1155" s="64" t="s">
        <v>324</v>
      </c>
      <c r="F1155" s="65" t="s">
        <v>573</v>
      </c>
      <c r="G1155" s="64" t="s">
        <v>328</v>
      </c>
      <c r="H1155" s="64" t="s">
        <v>267</v>
      </c>
      <c r="I1155" s="64" t="s">
        <v>10</v>
      </c>
      <c r="J1155" s="64" t="s">
        <v>201</v>
      </c>
      <c r="K1155" s="66">
        <v>4.5</v>
      </c>
      <c r="L1155" s="66">
        <f>K1155*VLOOKUP(I1155,dagsoorttabel1,2,FALSE)</f>
        <v>4.5</v>
      </c>
      <c r="M1155" s="67">
        <f>prodnorm65</f>
        <v>0</v>
      </c>
      <c r="N1155" s="68">
        <f>dagwerk65</f>
        <v>0</v>
      </c>
      <c r="O1155" s="64" t="s">
        <v>38</v>
      </c>
      <c r="P1155" s="69">
        <f>uurtarief65</f>
        <v>0</v>
      </c>
      <c r="Q1155" s="66" t="e">
        <f>IF(ISBLANK(M1155),0,L1155/ROUND(M1155,4))</f>
        <v>#DIV/0!</v>
      </c>
      <c r="R1155" s="66" t="e">
        <f>IF(ISBLANK(M1155),0,Q1155*ROUND(N1155,2))</f>
        <v>#DIV/0!</v>
      </c>
      <c r="S1155" s="69" t="e">
        <f>ROUND(P1155,2)*Q1155</f>
        <v>#DIV/0!</v>
      </c>
      <c r="T1155" s="66" t="e">
        <f>Q1155*dagenperjaar1</f>
        <v>#DIV/0!</v>
      </c>
      <c r="U1155" s="70" t="e">
        <f>T1155*ROUND(P1155,2)</f>
        <v>#DIV/0!</v>
      </c>
    </row>
    <row r="1156" spans="1:21" x14ac:dyDescent="0.2">
      <c r="A1156" s="63" t="s">
        <v>1750</v>
      </c>
      <c r="B1156" s="64" t="s">
        <v>324</v>
      </c>
      <c r="C1156" s="64" t="s">
        <v>345</v>
      </c>
      <c r="D1156" s="64" t="s">
        <v>1340</v>
      </c>
      <c r="E1156" s="64" t="s">
        <v>324</v>
      </c>
      <c r="F1156" s="65" t="s">
        <v>354</v>
      </c>
      <c r="G1156" s="64" t="s">
        <v>328</v>
      </c>
      <c r="H1156" s="64" t="s">
        <v>215</v>
      </c>
      <c r="I1156" s="64" t="s">
        <v>10</v>
      </c>
      <c r="J1156" s="64" t="s">
        <v>201</v>
      </c>
      <c r="K1156" s="66">
        <v>14.5</v>
      </c>
      <c r="L1156" s="66">
        <f>K1156*VLOOKUP(I1156,dagsoorttabel1,2,FALSE)</f>
        <v>14.5</v>
      </c>
      <c r="M1156" s="67">
        <f>prodnorm34</f>
        <v>0</v>
      </c>
      <c r="N1156" s="68">
        <f>dagwerk34</f>
        <v>0</v>
      </c>
      <c r="O1156" s="64" t="s">
        <v>38</v>
      </c>
      <c r="P1156" s="69">
        <f>uurtarief34</f>
        <v>0</v>
      </c>
      <c r="Q1156" s="66" t="e">
        <f>IF(ISBLANK(M1156),0,L1156/ROUND(M1156,4))</f>
        <v>#DIV/0!</v>
      </c>
      <c r="R1156" s="66" t="e">
        <f>IF(ISBLANK(M1156),0,Q1156*ROUND(N1156,2))</f>
        <v>#DIV/0!</v>
      </c>
      <c r="S1156" s="69" t="e">
        <f>ROUND(P1156,2)*Q1156</f>
        <v>#DIV/0!</v>
      </c>
      <c r="T1156" s="66" t="e">
        <f>Q1156*dagenperjaar1</f>
        <v>#DIV/0!</v>
      </c>
      <c r="U1156" s="70" t="e">
        <f>T1156*ROUND(P1156,2)</f>
        <v>#DIV/0!</v>
      </c>
    </row>
    <row r="1157" spans="1:21" x14ac:dyDescent="0.2">
      <c r="A1157" s="63" t="s">
        <v>1750</v>
      </c>
      <c r="B1157" s="64" t="s">
        <v>324</v>
      </c>
      <c r="C1157" s="64" t="s">
        <v>323</v>
      </c>
      <c r="D1157" s="64" t="s">
        <v>426</v>
      </c>
      <c r="E1157" s="64" t="s">
        <v>324</v>
      </c>
      <c r="F1157" s="65" t="s">
        <v>655</v>
      </c>
      <c r="G1157" s="64" t="s">
        <v>328</v>
      </c>
      <c r="H1157" s="64" t="s">
        <v>263</v>
      </c>
      <c r="I1157" s="64" t="s">
        <v>10</v>
      </c>
      <c r="J1157" s="64" t="s">
        <v>201</v>
      </c>
      <c r="K1157" s="66">
        <v>0</v>
      </c>
      <c r="L1157" s="66">
        <f>K1157*VLOOKUP(I1157,dagsoorttabel1,2,FALSE)</f>
        <v>0</v>
      </c>
      <c r="M1157" s="67"/>
      <c r="N1157" s="68"/>
      <c r="O1157" s="64" t="s">
        <v>38</v>
      </c>
      <c r="P1157" s="69"/>
      <c r="Q1157" s="66">
        <f>IF(ISBLANK(M1157),0,L1157/ROUND(M1157,4))</f>
        <v>0</v>
      </c>
      <c r="R1157" s="66">
        <f>IF(ISBLANK(M1157),0,Q1157*ROUND(N1157,2))</f>
        <v>0</v>
      </c>
      <c r="S1157" s="69">
        <f>ROUND(P1157,2)*Q1157</f>
        <v>0</v>
      </c>
      <c r="T1157" s="66">
        <f>Q1157*dagenperjaar1</f>
        <v>0</v>
      </c>
      <c r="U1157" s="70">
        <f>T1157*ROUND(P1157,2)</f>
        <v>0</v>
      </c>
    </row>
    <row r="1158" spans="1:21" x14ac:dyDescent="0.2">
      <c r="A1158" s="63" t="s">
        <v>1750</v>
      </c>
      <c r="B1158" s="64" t="s">
        <v>324</v>
      </c>
      <c r="C1158" s="64" t="s">
        <v>323</v>
      </c>
      <c r="D1158" s="64" t="s">
        <v>438</v>
      </c>
      <c r="E1158" s="64" t="s">
        <v>324</v>
      </c>
      <c r="F1158" s="65" t="s">
        <v>335</v>
      </c>
      <c r="G1158" s="64" t="s">
        <v>328</v>
      </c>
      <c r="H1158" s="64" t="s">
        <v>267</v>
      </c>
      <c r="I1158" s="64" t="s">
        <v>10</v>
      </c>
      <c r="J1158" s="64" t="s">
        <v>201</v>
      </c>
      <c r="K1158" s="66">
        <v>181.4</v>
      </c>
      <c r="L1158" s="66">
        <f>K1158*VLOOKUP(I1158,dagsoorttabel1,2,FALSE)</f>
        <v>181.4</v>
      </c>
      <c r="M1158" s="67">
        <f>prodnorm65</f>
        <v>0</v>
      </c>
      <c r="N1158" s="68">
        <f>dagwerk65</f>
        <v>0</v>
      </c>
      <c r="O1158" s="64" t="s">
        <v>38</v>
      </c>
      <c r="P1158" s="69">
        <f>uurtarief65</f>
        <v>0</v>
      </c>
      <c r="Q1158" s="66" t="e">
        <f>IF(ISBLANK(M1158),0,L1158/ROUND(M1158,4))</f>
        <v>#DIV/0!</v>
      </c>
      <c r="R1158" s="66" t="e">
        <f>IF(ISBLANK(M1158),0,Q1158*ROUND(N1158,2))</f>
        <v>#DIV/0!</v>
      </c>
      <c r="S1158" s="69" t="e">
        <f>ROUND(P1158,2)*Q1158</f>
        <v>#DIV/0!</v>
      </c>
      <c r="T1158" s="66" t="e">
        <f>Q1158*dagenperjaar1</f>
        <v>#DIV/0!</v>
      </c>
      <c r="U1158" s="70" t="e">
        <f>T1158*ROUND(P1158,2)</f>
        <v>#DIV/0!</v>
      </c>
    </row>
    <row r="1159" spans="1:21" x14ac:dyDescent="0.2">
      <c r="A1159" s="63" t="s">
        <v>1750</v>
      </c>
      <c r="B1159" s="64" t="s">
        <v>324</v>
      </c>
      <c r="C1159" s="64" t="s">
        <v>323</v>
      </c>
      <c r="D1159" s="64" t="s">
        <v>441</v>
      </c>
      <c r="E1159" s="64" t="s">
        <v>324</v>
      </c>
      <c r="F1159" s="65" t="s">
        <v>1769</v>
      </c>
      <c r="G1159" s="64" t="s">
        <v>328</v>
      </c>
      <c r="H1159" s="64" t="s">
        <v>229</v>
      </c>
      <c r="I1159" s="64" t="s">
        <v>10</v>
      </c>
      <c r="J1159" s="64" t="s">
        <v>201</v>
      </c>
      <c r="K1159" s="66">
        <v>58.4</v>
      </c>
      <c r="L1159" s="66">
        <f>K1159*VLOOKUP(I1159,dagsoorttabel1,2,FALSE)</f>
        <v>58.4</v>
      </c>
      <c r="M1159" s="67">
        <f>prodnorm43</f>
        <v>0</v>
      </c>
      <c r="N1159" s="68">
        <f>dagwerk43</f>
        <v>0</v>
      </c>
      <c r="O1159" s="64" t="s">
        <v>38</v>
      </c>
      <c r="P1159" s="69">
        <f>uurtarief43</f>
        <v>0</v>
      </c>
      <c r="Q1159" s="66" t="e">
        <f>IF(ISBLANK(M1159),0,L1159/ROUND(M1159,4))</f>
        <v>#DIV/0!</v>
      </c>
      <c r="R1159" s="66" t="e">
        <f>IF(ISBLANK(M1159),0,Q1159*ROUND(N1159,2))</f>
        <v>#DIV/0!</v>
      </c>
      <c r="S1159" s="69" t="e">
        <f>ROUND(P1159,2)*Q1159</f>
        <v>#DIV/0!</v>
      </c>
      <c r="T1159" s="66" t="e">
        <f>Q1159*dagenperjaar1</f>
        <v>#DIV/0!</v>
      </c>
      <c r="U1159" s="70" t="e">
        <f>T1159*ROUND(P1159,2)</f>
        <v>#DIV/0!</v>
      </c>
    </row>
    <row r="1160" spans="1:21" x14ac:dyDescent="0.2">
      <c r="A1160" s="63" t="s">
        <v>1750</v>
      </c>
      <c r="B1160" s="64" t="s">
        <v>324</v>
      </c>
      <c r="C1160" s="64" t="s">
        <v>323</v>
      </c>
      <c r="D1160" s="64" t="s">
        <v>1343</v>
      </c>
      <c r="E1160" s="64" t="s">
        <v>324</v>
      </c>
      <c r="F1160" s="65" t="s">
        <v>641</v>
      </c>
      <c r="G1160" s="64" t="s">
        <v>1421</v>
      </c>
      <c r="H1160" s="64" t="s">
        <v>255</v>
      </c>
      <c r="I1160" s="64" t="s">
        <v>10</v>
      </c>
      <c r="J1160" s="64" t="s">
        <v>201</v>
      </c>
      <c r="K1160" s="66">
        <v>6</v>
      </c>
      <c r="L1160" s="66">
        <f>K1160*VLOOKUP(I1160,dagsoorttabel1,2,FALSE)</f>
        <v>6</v>
      </c>
      <c r="M1160" s="67">
        <f>prodnorm59</f>
        <v>0</v>
      </c>
      <c r="N1160" s="68">
        <f>dagwerk59</f>
        <v>0</v>
      </c>
      <c r="O1160" s="64" t="s">
        <v>38</v>
      </c>
      <c r="P1160" s="69">
        <f>uurtarief59</f>
        <v>0</v>
      </c>
      <c r="Q1160" s="66" t="e">
        <f>IF(ISBLANK(M1160),0,L1160/ROUND(M1160,4))</f>
        <v>#DIV/0!</v>
      </c>
      <c r="R1160" s="66" t="e">
        <f>IF(ISBLANK(M1160),0,Q1160*ROUND(N1160,2))</f>
        <v>#DIV/0!</v>
      </c>
      <c r="S1160" s="69" t="e">
        <f>ROUND(P1160,2)*Q1160</f>
        <v>#DIV/0!</v>
      </c>
      <c r="T1160" s="66" t="e">
        <f>Q1160*dagenperjaar1</f>
        <v>#DIV/0!</v>
      </c>
      <c r="U1160" s="70" t="e">
        <f>T1160*ROUND(P1160,2)</f>
        <v>#DIV/0!</v>
      </c>
    </row>
    <row r="1161" spans="1:21" x14ac:dyDescent="0.2">
      <c r="A1161" s="63" t="s">
        <v>1750</v>
      </c>
      <c r="B1161" s="64" t="s">
        <v>324</v>
      </c>
      <c r="C1161" s="64" t="s">
        <v>323</v>
      </c>
      <c r="D1161" s="64" t="s">
        <v>444</v>
      </c>
      <c r="E1161" s="64" t="s">
        <v>324</v>
      </c>
      <c r="F1161" s="65" t="s">
        <v>1770</v>
      </c>
      <c r="G1161" s="64" t="s">
        <v>328</v>
      </c>
      <c r="H1161" s="64" t="s">
        <v>229</v>
      </c>
      <c r="I1161" s="64" t="s">
        <v>10</v>
      </c>
      <c r="J1161" s="64" t="s">
        <v>201</v>
      </c>
      <c r="K1161" s="66">
        <v>54.4</v>
      </c>
      <c r="L1161" s="66">
        <f>K1161*VLOOKUP(I1161,dagsoorttabel1,2,FALSE)</f>
        <v>54.4</v>
      </c>
      <c r="M1161" s="67">
        <f>prodnorm43</f>
        <v>0</v>
      </c>
      <c r="N1161" s="68">
        <f>dagwerk43</f>
        <v>0</v>
      </c>
      <c r="O1161" s="64" t="s">
        <v>38</v>
      </c>
      <c r="P1161" s="69">
        <f>uurtarief43</f>
        <v>0</v>
      </c>
      <c r="Q1161" s="66" t="e">
        <f>IF(ISBLANK(M1161),0,L1161/ROUND(M1161,4))</f>
        <v>#DIV/0!</v>
      </c>
      <c r="R1161" s="66" t="e">
        <f>IF(ISBLANK(M1161),0,Q1161*ROUND(N1161,2))</f>
        <v>#DIV/0!</v>
      </c>
      <c r="S1161" s="69" t="e">
        <f>ROUND(P1161,2)*Q1161</f>
        <v>#DIV/0!</v>
      </c>
      <c r="T1161" s="66" t="e">
        <f>Q1161*dagenperjaar1</f>
        <v>#DIV/0!</v>
      </c>
      <c r="U1161" s="70" t="e">
        <f>T1161*ROUND(P1161,2)</f>
        <v>#DIV/0!</v>
      </c>
    </row>
    <row r="1162" spans="1:21" x14ac:dyDescent="0.2">
      <c r="A1162" s="63" t="s">
        <v>1750</v>
      </c>
      <c r="B1162" s="64" t="s">
        <v>324</v>
      </c>
      <c r="C1162" s="64" t="s">
        <v>323</v>
      </c>
      <c r="D1162" s="64" t="s">
        <v>446</v>
      </c>
      <c r="E1162" s="64" t="s">
        <v>324</v>
      </c>
      <c r="F1162" s="65" t="s">
        <v>1771</v>
      </c>
      <c r="G1162" s="64" t="s">
        <v>328</v>
      </c>
      <c r="H1162" s="64" t="s">
        <v>229</v>
      </c>
      <c r="I1162" s="64" t="s">
        <v>10</v>
      </c>
      <c r="J1162" s="64" t="s">
        <v>201</v>
      </c>
      <c r="K1162" s="66">
        <v>58.4</v>
      </c>
      <c r="L1162" s="66">
        <f>K1162*VLOOKUP(I1162,dagsoorttabel1,2,FALSE)</f>
        <v>58.4</v>
      </c>
      <c r="M1162" s="67">
        <f>prodnorm43</f>
        <v>0</v>
      </c>
      <c r="N1162" s="68">
        <f>dagwerk43</f>
        <v>0</v>
      </c>
      <c r="O1162" s="64" t="s">
        <v>38</v>
      </c>
      <c r="P1162" s="69">
        <f>uurtarief43</f>
        <v>0</v>
      </c>
      <c r="Q1162" s="66" t="e">
        <f>IF(ISBLANK(M1162),0,L1162/ROUND(M1162,4))</f>
        <v>#DIV/0!</v>
      </c>
      <c r="R1162" s="66" t="e">
        <f>IF(ISBLANK(M1162),0,Q1162*ROUND(N1162,2))</f>
        <v>#DIV/0!</v>
      </c>
      <c r="S1162" s="69" t="e">
        <f>ROUND(P1162,2)*Q1162</f>
        <v>#DIV/0!</v>
      </c>
      <c r="T1162" s="66" t="e">
        <f>Q1162*dagenperjaar1</f>
        <v>#DIV/0!</v>
      </c>
      <c r="U1162" s="70" t="e">
        <f>T1162*ROUND(P1162,2)</f>
        <v>#DIV/0!</v>
      </c>
    </row>
    <row r="1163" spans="1:21" x14ac:dyDescent="0.2">
      <c r="A1163" s="63" t="s">
        <v>1750</v>
      </c>
      <c r="B1163" s="64" t="s">
        <v>324</v>
      </c>
      <c r="C1163" s="64" t="s">
        <v>323</v>
      </c>
      <c r="D1163" s="64" t="s">
        <v>921</v>
      </c>
      <c r="E1163" s="64" t="s">
        <v>324</v>
      </c>
      <c r="F1163" s="65" t="s">
        <v>641</v>
      </c>
      <c r="G1163" s="64" t="s">
        <v>1421</v>
      </c>
      <c r="H1163" s="64" t="s">
        <v>255</v>
      </c>
      <c r="I1163" s="64" t="s">
        <v>10</v>
      </c>
      <c r="J1163" s="64" t="s">
        <v>201</v>
      </c>
      <c r="K1163" s="66">
        <v>6</v>
      </c>
      <c r="L1163" s="66">
        <f>K1163*VLOOKUP(I1163,dagsoorttabel1,2,FALSE)</f>
        <v>6</v>
      </c>
      <c r="M1163" s="67">
        <f>prodnorm59</f>
        <v>0</v>
      </c>
      <c r="N1163" s="68">
        <f>dagwerk59</f>
        <v>0</v>
      </c>
      <c r="O1163" s="64" t="s">
        <v>38</v>
      </c>
      <c r="P1163" s="69">
        <f>uurtarief59</f>
        <v>0</v>
      </c>
      <c r="Q1163" s="66" t="e">
        <f>IF(ISBLANK(M1163),0,L1163/ROUND(M1163,4))</f>
        <v>#DIV/0!</v>
      </c>
      <c r="R1163" s="66" t="e">
        <f>IF(ISBLANK(M1163),0,Q1163*ROUND(N1163,2))</f>
        <v>#DIV/0!</v>
      </c>
      <c r="S1163" s="69" t="e">
        <f>ROUND(P1163,2)*Q1163</f>
        <v>#DIV/0!</v>
      </c>
      <c r="T1163" s="66" t="e">
        <f>Q1163*dagenperjaar1</f>
        <v>#DIV/0!</v>
      </c>
      <c r="U1163" s="70" t="e">
        <f>T1163*ROUND(P1163,2)</f>
        <v>#DIV/0!</v>
      </c>
    </row>
    <row r="1164" spans="1:21" x14ac:dyDescent="0.2">
      <c r="A1164" s="63" t="s">
        <v>1750</v>
      </c>
      <c r="B1164" s="64" t="s">
        <v>324</v>
      </c>
      <c r="C1164" s="64" t="s">
        <v>323</v>
      </c>
      <c r="D1164" s="64" t="s">
        <v>453</v>
      </c>
      <c r="E1164" s="64" t="s">
        <v>324</v>
      </c>
      <c r="F1164" s="65" t="s">
        <v>1772</v>
      </c>
      <c r="G1164" s="64" t="s">
        <v>328</v>
      </c>
      <c r="H1164" s="64" t="s">
        <v>229</v>
      </c>
      <c r="I1164" s="64" t="s">
        <v>10</v>
      </c>
      <c r="J1164" s="64" t="s">
        <v>201</v>
      </c>
      <c r="K1164" s="66">
        <v>58.4</v>
      </c>
      <c r="L1164" s="66">
        <f>K1164*VLOOKUP(I1164,dagsoorttabel1,2,FALSE)</f>
        <v>58.4</v>
      </c>
      <c r="M1164" s="67">
        <f>prodnorm43</f>
        <v>0</v>
      </c>
      <c r="N1164" s="68">
        <f>dagwerk43</f>
        <v>0</v>
      </c>
      <c r="O1164" s="64" t="s">
        <v>38</v>
      </c>
      <c r="P1164" s="69">
        <f>uurtarief43</f>
        <v>0</v>
      </c>
      <c r="Q1164" s="66" t="e">
        <f>IF(ISBLANK(M1164),0,L1164/ROUND(M1164,4))</f>
        <v>#DIV/0!</v>
      </c>
      <c r="R1164" s="66" t="e">
        <f>IF(ISBLANK(M1164),0,Q1164*ROUND(N1164,2))</f>
        <v>#DIV/0!</v>
      </c>
      <c r="S1164" s="69" t="e">
        <f>ROUND(P1164,2)*Q1164</f>
        <v>#DIV/0!</v>
      </c>
      <c r="T1164" s="66" t="e">
        <f>Q1164*dagenperjaar1</f>
        <v>#DIV/0!</v>
      </c>
      <c r="U1164" s="70" t="e">
        <f>T1164*ROUND(P1164,2)</f>
        <v>#DIV/0!</v>
      </c>
    </row>
    <row r="1165" spans="1:21" x14ac:dyDescent="0.2">
      <c r="A1165" s="63" t="s">
        <v>1750</v>
      </c>
      <c r="B1165" s="64" t="s">
        <v>324</v>
      </c>
      <c r="C1165" s="64" t="s">
        <v>323</v>
      </c>
      <c r="D1165" s="64" t="s">
        <v>455</v>
      </c>
      <c r="E1165" s="64" t="s">
        <v>324</v>
      </c>
      <c r="F1165" s="65" t="s">
        <v>1773</v>
      </c>
      <c r="G1165" s="64" t="s">
        <v>328</v>
      </c>
      <c r="H1165" s="64" t="s">
        <v>229</v>
      </c>
      <c r="I1165" s="64" t="s">
        <v>10</v>
      </c>
      <c r="J1165" s="64" t="s">
        <v>201</v>
      </c>
      <c r="K1165" s="66">
        <v>58.4</v>
      </c>
      <c r="L1165" s="66">
        <f>K1165*VLOOKUP(I1165,dagsoorttabel1,2,FALSE)</f>
        <v>58.4</v>
      </c>
      <c r="M1165" s="67">
        <f>prodnorm43</f>
        <v>0</v>
      </c>
      <c r="N1165" s="68">
        <f>dagwerk43</f>
        <v>0</v>
      </c>
      <c r="O1165" s="64" t="s">
        <v>38</v>
      </c>
      <c r="P1165" s="69">
        <f>uurtarief43</f>
        <v>0</v>
      </c>
      <c r="Q1165" s="66" t="e">
        <f>IF(ISBLANK(M1165),0,L1165/ROUND(M1165,4))</f>
        <v>#DIV/0!</v>
      </c>
      <c r="R1165" s="66" t="e">
        <f>IF(ISBLANK(M1165),0,Q1165*ROUND(N1165,2))</f>
        <v>#DIV/0!</v>
      </c>
      <c r="S1165" s="69" t="e">
        <f>ROUND(P1165,2)*Q1165</f>
        <v>#DIV/0!</v>
      </c>
      <c r="T1165" s="66" t="e">
        <f>Q1165*dagenperjaar1</f>
        <v>#DIV/0!</v>
      </c>
      <c r="U1165" s="70" t="e">
        <f>T1165*ROUND(P1165,2)</f>
        <v>#DIV/0!</v>
      </c>
    </row>
    <row r="1166" spans="1:21" x14ac:dyDescent="0.2">
      <c r="A1166" s="63" t="s">
        <v>1750</v>
      </c>
      <c r="B1166" s="64" t="s">
        <v>324</v>
      </c>
      <c r="C1166" s="64" t="s">
        <v>323</v>
      </c>
      <c r="D1166" s="64" t="s">
        <v>459</v>
      </c>
      <c r="E1166" s="64" t="s">
        <v>324</v>
      </c>
      <c r="F1166" s="65" t="s">
        <v>1774</v>
      </c>
      <c r="G1166" s="64" t="s">
        <v>328</v>
      </c>
      <c r="H1166" s="64" t="s">
        <v>205</v>
      </c>
      <c r="I1166" s="64" t="s">
        <v>10</v>
      </c>
      <c r="J1166" s="64" t="s">
        <v>201</v>
      </c>
      <c r="K1166" s="66">
        <v>12.2</v>
      </c>
      <c r="L1166" s="66">
        <f>K1166*VLOOKUP(I1166,dagsoorttabel1,2,FALSE)</f>
        <v>12.2</v>
      </c>
      <c r="M1166" s="67">
        <f>prodnorm26</f>
        <v>0</v>
      </c>
      <c r="N1166" s="68">
        <f>dagwerk26</f>
        <v>0</v>
      </c>
      <c r="O1166" s="64" t="s">
        <v>38</v>
      </c>
      <c r="P1166" s="69">
        <f>uurtarief26</f>
        <v>0</v>
      </c>
      <c r="Q1166" s="66" t="e">
        <f>IF(ISBLANK(M1166),0,L1166/ROUND(M1166,4))</f>
        <v>#DIV/0!</v>
      </c>
      <c r="R1166" s="66" t="e">
        <f>IF(ISBLANK(M1166),0,Q1166*ROUND(N1166,2))</f>
        <v>#DIV/0!</v>
      </c>
      <c r="S1166" s="69" t="e">
        <f>ROUND(P1166,2)*Q1166</f>
        <v>#DIV/0!</v>
      </c>
      <c r="T1166" s="66" t="e">
        <f>Q1166*dagenperjaar1</f>
        <v>#DIV/0!</v>
      </c>
      <c r="U1166" s="70" t="e">
        <f>T1166*ROUND(P1166,2)</f>
        <v>#DIV/0!</v>
      </c>
    </row>
    <row r="1167" spans="1:21" x14ac:dyDescent="0.2">
      <c r="A1167" s="63" t="s">
        <v>1750</v>
      </c>
      <c r="B1167" s="64" t="s">
        <v>324</v>
      </c>
      <c r="C1167" s="64" t="s">
        <v>323</v>
      </c>
      <c r="D1167" s="64" t="s">
        <v>461</v>
      </c>
      <c r="E1167" s="64" t="s">
        <v>324</v>
      </c>
      <c r="F1167" s="65" t="s">
        <v>1775</v>
      </c>
      <c r="G1167" s="64" t="s">
        <v>328</v>
      </c>
      <c r="H1167" s="64" t="s">
        <v>205</v>
      </c>
      <c r="I1167" s="64" t="s">
        <v>10</v>
      </c>
      <c r="J1167" s="64" t="s">
        <v>201</v>
      </c>
      <c r="K1167" s="66">
        <v>7.9</v>
      </c>
      <c r="L1167" s="66">
        <f>K1167*VLOOKUP(I1167,dagsoorttabel1,2,FALSE)</f>
        <v>7.9</v>
      </c>
      <c r="M1167" s="67">
        <f>prodnorm26</f>
        <v>0</v>
      </c>
      <c r="N1167" s="68">
        <f>dagwerk26</f>
        <v>0</v>
      </c>
      <c r="O1167" s="64" t="s">
        <v>38</v>
      </c>
      <c r="P1167" s="69">
        <f>uurtarief26</f>
        <v>0</v>
      </c>
      <c r="Q1167" s="66" t="e">
        <f>IF(ISBLANK(M1167),0,L1167/ROUND(M1167,4))</f>
        <v>#DIV/0!</v>
      </c>
      <c r="R1167" s="66" t="e">
        <f>IF(ISBLANK(M1167),0,Q1167*ROUND(N1167,2))</f>
        <v>#DIV/0!</v>
      </c>
      <c r="S1167" s="69" t="e">
        <f>ROUND(P1167,2)*Q1167</f>
        <v>#DIV/0!</v>
      </c>
      <c r="T1167" s="66" t="e">
        <f>Q1167*dagenperjaar1</f>
        <v>#DIV/0!</v>
      </c>
      <c r="U1167" s="70" t="e">
        <f>T1167*ROUND(P1167,2)</f>
        <v>#DIV/0!</v>
      </c>
    </row>
    <row r="1168" spans="1:21" x14ac:dyDescent="0.2">
      <c r="A1168" s="63" t="s">
        <v>1750</v>
      </c>
      <c r="B1168" s="64" t="s">
        <v>324</v>
      </c>
      <c r="C1168" s="64" t="s">
        <v>323</v>
      </c>
      <c r="D1168" s="64" t="s">
        <v>926</v>
      </c>
      <c r="E1168" s="64" t="s">
        <v>324</v>
      </c>
      <c r="F1168" s="65" t="s">
        <v>1776</v>
      </c>
      <c r="G1168" s="64" t="s">
        <v>328</v>
      </c>
      <c r="H1168" s="64" t="s">
        <v>205</v>
      </c>
      <c r="I1168" s="64" t="s">
        <v>10</v>
      </c>
      <c r="J1168" s="64" t="s">
        <v>201</v>
      </c>
      <c r="K1168" s="66">
        <v>8.1</v>
      </c>
      <c r="L1168" s="66">
        <f>K1168*VLOOKUP(I1168,dagsoorttabel1,2,FALSE)</f>
        <v>8.1</v>
      </c>
      <c r="M1168" s="67">
        <f>prodnorm26</f>
        <v>0</v>
      </c>
      <c r="N1168" s="68">
        <f>dagwerk26</f>
        <v>0</v>
      </c>
      <c r="O1168" s="64" t="s">
        <v>38</v>
      </c>
      <c r="P1168" s="69">
        <f>uurtarief26</f>
        <v>0</v>
      </c>
      <c r="Q1168" s="66" t="e">
        <f>IF(ISBLANK(M1168),0,L1168/ROUND(M1168,4))</f>
        <v>#DIV/0!</v>
      </c>
      <c r="R1168" s="66" t="e">
        <f>IF(ISBLANK(M1168),0,Q1168*ROUND(N1168,2))</f>
        <v>#DIV/0!</v>
      </c>
      <c r="S1168" s="69" t="e">
        <f>ROUND(P1168,2)*Q1168</f>
        <v>#DIV/0!</v>
      </c>
      <c r="T1168" s="66" t="e">
        <f>Q1168*dagenperjaar1</f>
        <v>#DIV/0!</v>
      </c>
      <c r="U1168" s="70" t="e">
        <f>T1168*ROUND(P1168,2)</f>
        <v>#DIV/0!</v>
      </c>
    </row>
    <row r="1169" spans="1:21" x14ac:dyDescent="0.2">
      <c r="A1169" s="63" t="s">
        <v>1750</v>
      </c>
      <c r="B1169" s="64" t="s">
        <v>324</v>
      </c>
      <c r="C1169" s="64" t="s">
        <v>323</v>
      </c>
      <c r="D1169" s="64" t="s">
        <v>927</v>
      </c>
      <c r="E1169" s="64" t="s">
        <v>324</v>
      </c>
      <c r="F1169" s="65" t="s">
        <v>1777</v>
      </c>
      <c r="G1169" s="64" t="s">
        <v>328</v>
      </c>
      <c r="H1169" s="64" t="s">
        <v>205</v>
      </c>
      <c r="I1169" s="64" t="s">
        <v>10</v>
      </c>
      <c r="J1169" s="64" t="s">
        <v>201</v>
      </c>
      <c r="K1169" s="66">
        <v>12.2</v>
      </c>
      <c r="L1169" s="66">
        <f>K1169*VLOOKUP(I1169,dagsoorttabel1,2,FALSE)</f>
        <v>12.2</v>
      </c>
      <c r="M1169" s="67">
        <f>prodnorm26</f>
        <v>0</v>
      </c>
      <c r="N1169" s="68">
        <f>dagwerk26</f>
        <v>0</v>
      </c>
      <c r="O1169" s="64" t="s">
        <v>38</v>
      </c>
      <c r="P1169" s="69">
        <f>uurtarief26</f>
        <v>0</v>
      </c>
      <c r="Q1169" s="66" t="e">
        <f>IF(ISBLANK(M1169),0,L1169/ROUND(M1169,4))</f>
        <v>#DIV/0!</v>
      </c>
      <c r="R1169" s="66" t="e">
        <f>IF(ISBLANK(M1169),0,Q1169*ROUND(N1169,2))</f>
        <v>#DIV/0!</v>
      </c>
      <c r="S1169" s="69" t="e">
        <f>ROUND(P1169,2)*Q1169</f>
        <v>#DIV/0!</v>
      </c>
      <c r="T1169" s="66" t="e">
        <f>Q1169*dagenperjaar1</f>
        <v>#DIV/0!</v>
      </c>
      <c r="U1169" s="70" t="e">
        <f>T1169*ROUND(P1169,2)</f>
        <v>#DIV/0!</v>
      </c>
    </row>
    <row r="1170" spans="1:21" x14ac:dyDescent="0.2">
      <c r="A1170" s="63" t="s">
        <v>1750</v>
      </c>
      <c r="B1170" s="64" t="s">
        <v>324</v>
      </c>
      <c r="C1170" s="64" t="s">
        <v>323</v>
      </c>
      <c r="D1170" s="64" t="s">
        <v>928</v>
      </c>
      <c r="E1170" s="64" t="s">
        <v>324</v>
      </c>
      <c r="F1170" s="65" t="s">
        <v>641</v>
      </c>
      <c r="G1170" s="64" t="s">
        <v>1421</v>
      </c>
      <c r="H1170" s="64" t="s">
        <v>255</v>
      </c>
      <c r="I1170" s="64" t="s">
        <v>10</v>
      </c>
      <c r="J1170" s="64" t="s">
        <v>201</v>
      </c>
      <c r="K1170" s="66">
        <v>2.2999999999999998</v>
      </c>
      <c r="L1170" s="66">
        <f>K1170*VLOOKUP(I1170,dagsoorttabel1,2,FALSE)</f>
        <v>2.2999999999999998</v>
      </c>
      <c r="M1170" s="67">
        <f>prodnorm59</f>
        <v>0</v>
      </c>
      <c r="N1170" s="68">
        <f>dagwerk59</f>
        <v>0</v>
      </c>
      <c r="O1170" s="64" t="s">
        <v>38</v>
      </c>
      <c r="P1170" s="69">
        <f>uurtarief59</f>
        <v>0</v>
      </c>
      <c r="Q1170" s="66" t="e">
        <f>IF(ISBLANK(M1170),0,L1170/ROUND(M1170,4))</f>
        <v>#DIV/0!</v>
      </c>
      <c r="R1170" s="66" t="e">
        <f>IF(ISBLANK(M1170),0,Q1170*ROUND(N1170,2))</f>
        <v>#DIV/0!</v>
      </c>
      <c r="S1170" s="69" t="e">
        <f>ROUND(P1170,2)*Q1170</f>
        <v>#DIV/0!</v>
      </c>
      <c r="T1170" s="66" t="e">
        <f>Q1170*dagenperjaar1</f>
        <v>#DIV/0!</v>
      </c>
      <c r="U1170" s="70" t="e">
        <f>T1170*ROUND(P1170,2)</f>
        <v>#DIV/0!</v>
      </c>
    </row>
    <row r="1171" spans="1:21" x14ac:dyDescent="0.2">
      <c r="A1171" s="63" t="s">
        <v>1750</v>
      </c>
      <c r="B1171" s="64" t="s">
        <v>324</v>
      </c>
      <c r="C1171" s="64" t="s">
        <v>323</v>
      </c>
      <c r="D1171" s="64" t="s">
        <v>929</v>
      </c>
      <c r="E1171" s="64" t="s">
        <v>324</v>
      </c>
      <c r="F1171" s="65" t="s">
        <v>641</v>
      </c>
      <c r="G1171" s="64" t="s">
        <v>1421</v>
      </c>
      <c r="H1171" s="64" t="s">
        <v>255</v>
      </c>
      <c r="I1171" s="64" t="s">
        <v>10</v>
      </c>
      <c r="J1171" s="64" t="s">
        <v>201</v>
      </c>
      <c r="K1171" s="66">
        <v>2.2999999999999998</v>
      </c>
      <c r="L1171" s="66">
        <f>K1171*VLOOKUP(I1171,dagsoorttabel1,2,FALSE)</f>
        <v>2.2999999999999998</v>
      </c>
      <c r="M1171" s="67">
        <f>prodnorm59</f>
        <v>0</v>
      </c>
      <c r="N1171" s="68">
        <f>dagwerk59</f>
        <v>0</v>
      </c>
      <c r="O1171" s="64" t="s">
        <v>38</v>
      </c>
      <c r="P1171" s="69">
        <f>uurtarief59</f>
        <v>0</v>
      </c>
      <c r="Q1171" s="66" t="e">
        <f>IF(ISBLANK(M1171),0,L1171/ROUND(M1171,4))</f>
        <v>#DIV/0!</v>
      </c>
      <c r="R1171" s="66" t="e">
        <f>IF(ISBLANK(M1171),0,Q1171*ROUND(N1171,2))</f>
        <v>#DIV/0!</v>
      </c>
      <c r="S1171" s="69" t="e">
        <f>ROUND(P1171,2)*Q1171</f>
        <v>#DIV/0!</v>
      </c>
      <c r="T1171" s="66" t="e">
        <f>Q1171*dagenperjaar1</f>
        <v>#DIV/0!</v>
      </c>
      <c r="U1171" s="70" t="e">
        <f>T1171*ROUND(P1171,2)</f>
        <v>#DIV/0!</v>
      </c>
    </row>
    <row r="1172" spans="1:21" x14ac:dyDescent="0.2">
      <c r="A1172" s="63" t="s">
        <v>1750</v>
      </c>
      <c r="B1172" s="64" t="s">
        <v>324</v>
      </c>
      <c r="C1172" s="64" t="s">
        <v>323</v>
      </c>
      <c r="D1172" s="64" t="s">
        <v>465</v>
      </c>
      <c r="E1172" s="64" t="s">
        <v>324</v>
      </c>
      <c r="F1172" s="65" t="s">
        <v>1778</v>
      </c>
      <c r="G1172" s="64" t="s">
        <v>328</v>
      </c>
      <c r="H1172" s="64" t="s">
        <v>229</v>
      </c>
      <c r="I1172" s="64" t="s">
        <v>10</v>
      </c>
      <c r="J1172" s="64" t="s">
        <v>201</v>
      </c>
      <c r="K1172" s="66">
        <v>54.4</v>
      </c>
      <c r="L1172" s="66">
        <f>K1172*VLOOKUP(I1172,dagsoorttabel1,2,FALSE)</f>
        <v>54.4</v>
      </c>
      <c r="M1172" s="67">
        <f>prodnorm43</f>
        <v>0</v>
      </c>
      <c r="N1172" s="68">
        <f>dagwerk43</f>
        <v>0</v>
      </c>
      <c r="O1172" s="64" t="s">
        <v>38</v>
      </c>
      <c r="P1172" s="69">
        <f>uurtarief43</f>
        <v>0</v>
      </c>
      <c r="Q1172" s="66" t="e">
        <f>IF(ISBLANK(M1172),0,L1172/ROUND(M1172,4))</f>
        <v>#DIV/0!</v>
      </c>
      <c r="R1172" s="66" t="e">
        <f>IF(ISBLANK(M1172),0,Q1172*ROUND(N1172,2))</f>
        <v>#DIV/0!</v>
      </c>
      <c r="S1172" s="69" t="e">
        <f>ROUND(P1172,2)*Q1172</f>
        <v>#DIV/0!</v>
      </c>
      <c r="T1172" s="66" t="e">
        <f>Q1172*dagenperjaar1</f>
        <v>#DIV/0!</v>
      </c>
      <c r="U1172" s="70" t="e">
        <f>T1172*ROUND(P1172,2)</f>
        <v>#DIV/0!</v>
      </c>
    </row>
    <row r="1173" spans="1:21" x14ac:dyDescent="0.2">
      <c r="A1173" s="63" t="s">
        <v>1750</v>
      </c>
      <c r="B1173" s="64" t="s">
        <v>324</v>
      </c>
      <c r="C1173" s="64" t="s">
        <v>323</v>
      </c>
      <c r="D1173" s="64" t="s">
        <v>467</v>
      </c>
      <c r="E1173" s="64" t="s">
        <v>324</v>
      </c>
      <c r="F1173" s="65" t="s">
        <v>641</v>
      </c>
      <c r="G1173" s="64" t="s">
        <v>1421</v>
      </c>
      <c r="H1173" s="64" t="s">
        <v>255</v>
      </c>
      <c r="I1173" s="64" t="s">
        <v>10</v>
      </c>
      <c r="J1173" s="64" t="s">
        <v>201</v>
      </c>
      <c r="K1173" s="66">
        <v>6</v>
      </c>
      <c r="L1173" s="66">
        <f>K1173*VLOOKUP(I1173,dagsoorttabel1,2,FALSE)</f>
        <v>6</v>
      </c>
      <c r="M1173" s="67">
        <f>prodnorm59</f>
        <v>0</v>
      </c>
      <c r="N1173" s="68">
        <f>dagwerk59</f>
        <v>0</v>
      </c>
      <c r="O1173" s="64" t="s">
        <v>38</v>
      </c>
      <c r="P1173" s="69">
        <f>uurtarief59</f>
        <v>0</v>
      </c>
      <c r="Q1173" s="66" t="e">
        <f>IF(ISBLANK(M1173),0,L1173/ROUND(M1173,4))</f>
        <v>#DIV/0!</v>
      </c>
      <c r="R1173" s="66" t="e">
        <f>IF(ISBLANK(M1173),0,Q1173*ROUND(N1173,2))</f>
        <v>#DIV/0!</v>
      </c>
      <c r="S1173" s="69" t="e">
        <f>ROUND(P1173,2)*Q1173</f>
        <v>#DIV/0!</v>
      </c>
      <c r="T1173" s="66" t="e">
        <f>Q1173*dagenperjaar1</f>
        <v>#DIV/0!</v>
      </c>
      <c r="U1173" s="70" t="e">
        <f>T1173*ROUND(P1173,2)</f>
        <v>#DIV/0!</v>
      </c>
    </row>
    <row r="1174" spans="1:21" x14ac:dyDescent="0.2">
      <c r="A1174" s="63" t="s">
        <v>1750</v>
      </c>
      <c r="B1174" s="64" t="s">
        <v>324</v>
      </c>
      <c r="C1174" s="64" t="s">
        <v>323</v>
      </c>
      <c r="D1174" s="64" t="s">
        <v>940</v>
      </c>
      <c r="E1174" s="64" t="s">
        <v>324</v>
      </c>
      <c r="F1174" s="65" t="s">
        <v>1779</v>
      </c>
      <c r="G1174" s="64" t="s">
        <v>328</v>
      </c>
      <c r="H1174" s="64" t="s">
        <v>229</v>
      </c>
      <c r="I1174" s="64" t="s">
        <v>10</v>
      </c>
      <c r="J1174" s="64" t="s">
        <v>201</v>
      </c>
      <c r="K1174" s="66">
        <v>58.4</v>
      </c>
      <c r="L1174" s="66">
        <f>K1174*VLOOKUP(I1174,dagsoorttabel1,2,FALSE)</f>
        <v>58.4</v>
      </c>
      <c r="M1174" s="67">
        <f>prodnorm43</f>
        <v>0</v>
      </c>
      <c r="N1174" s="68">
        <f>dagwerk43</f>
        <v>0</v>
      </c>
      <c r="O1174" s="64" t="s">
        <v>38</v>
      </c>
      <c r="P1174" s="69">
        <f>uurtarief43</f>
        <v>0</v>
      </c>
      <c r="Q1174" s="66" t="e">
        <f>IF(ISBLANK(M1174),0,L1174/ROUND(M1174,4))</f>
        <v>#DIV/0!</v>
      </c>
      <c r="R1174" s="66" t="e">
        <f>IF(ISBLANK(M1174),0,Q1174*ROUND(N1174,2))</f>
        <v>#DIV/0!</v>
      </c>
      <c r="S1174" s="69" t="e">
        <f>ROUND(P1174,2)*Q1174</f>
        <v>#DIV/0!</v>
      </c>
      <c r="T1174" s="66" t="e">
        <f>Q1174*dagenperjaar1</f>
        <v>#DIV/0!</v>
      </c>
      <c r="U1174" s="70" t="e">
        <f>T1174*ROUND(P1174,2)</f>
        <v>#DIV/0!</v>
      </c>
    </row>
    <row r="1175" spans="1:21" x14ac:dyDescent="0.2">
      <c r="A1175" s="63" t="s">
        <v>1750</v>
      </c>
      <c r="B1175" s="64" t="s">
        <v>324</v>
      </c>
      <c r="C1175" s="64" t="s">
        <v>323</v>
      </c>
      <c r="D1175" s="64" t="s">
        <v>944</v>
      </c>
      <c r="E1175" s="64" t="s">
        <v>324</v>
      </c>
      <c r="F1175" s="65" t="s">
        <v>655</v>
      </c>
      <c r="G1175" s="64" t="s">
        <v>328</v>
      </c>
      <c r="H1175" s="64" t="s">
        <v>263</v>
      </c>
      <c r="I1175" s="64" t="s">
        <v>10</v>
      </c>
      <c r="J1175" s="64" t="s">
        <v>201</v>
      </c>
      <c r="K1175" s="66">
        <v>0</v>
      </c>
      <c r="L1175" s="66">
        <f>K1175*VLOOKUP(I1175,dagsoorttabel1,2,FALSE)</f>
        <v>0</v>
      </c>
      <c r="M1175" s="67"/>
      <c r="N1175" s="68"/>
      <c r="O1175" s="64" t="s">
        <v>38</v>
      </c>
      <c r="P1175" s="69"/>
      <c r="Q1175" s="66">
        <f>IF(ISBLANK(M1175),0,L1175/ROUND(M1175,4))</f>
        <v>0</v>
      </c>
      <c r="R1175" s="66">
        <f>IF(ISBLANK(M1175),0,Q1175*ROUND(N1175,2))</f>
        <v>0</v>
      </c>
      <c r="S1175" s="69">
        <f>ROUND(P1175,2)*Q1175</f>
        <v>0</v>
      </c>
      <c r="T1175" s="66">
        <f>Q1175*dagenperjaar1</f>
        <v>0</v>
      </c>
      <c r="U1175" s="70">
        <f>T1175*ROUND(P1175,2)</f>
        <v>0</v>
      </c>
    </row>
    <row r="1176" spans="1:21" x14ac:dyDescent="0.2">
      <c r="A1176" s="63" t="s">
        <v>1750</v>
      </c>
      <c r="B1176" s="64" t="s">
        <v>324</v>
      </c>
      <c r="C1176" s="64" t="s">
        <v>323</v>
      </c>
      <c r="D1176" s="64" t="s">
        <v>945</v>
      </c>
      <c r="E1176" s="64" t="s">
        <v>324</v>
      </c>
      <c r="F1176" s="65" t="s">
        <v>1780</v>
      </c>
      <c r="G1176" s="64" t="s">
        <v>328</v>
      </c>
      <c r="H1176" s="64" t="s">
        <v>229</v>
      </c>
      <c r="I1176" s="64" t="s">
        <v>10</v>
      </c>
      <c r="J1176" s="64" t="s">
        <v>201</v>
      </c>
      <c r="K1176" s="66">
        <v>54.4</v>
      </c>
      <c r="L1176" s="66">
        <f>K1176*VLOOKUP(I1176,dagsoorttabel1,2,FALSE)</f>
        <v>54.4</v>
      </c>
      <c r="M1176" s="67">
        <f>prodnorm43</f>
        <v>0</v>
      </c>
      <c r="N1176" s="68">
        <f>dagwerk43</f>
        <v>0</v>
      </c>
      <c r="O1176" s="64" t="s">
        <v>38</v>
      </c>
      <c r="P1176" s="69">
        <f>uurtarief43</f>
        <v>0</v>
      </c>
      <c r="Q1176" s="66" t="e">
        <f>IF(ISBLANK(M1176),0,L1176/ROUND(M1176,4))</f>
        <v>#DIV/0!</v>
      </c>
      <c r="R1176" s="66" t="e">
        <f>IF(ISBLANK(M1176),0,Q1176*ROUND(N1176,2))</f>
        <v>#DIV/0!</v>
      </c>
      <c r="S1176" s="69" t="e">
        <f>ROUND(P1176,2)*Q1176</f>
        <v>#DIV/0!</v>
      </c>
      <c r="T1176" s="66" t="e">
        <f>Q1176*dagenperjaar1</f>
        <v>#DIV/0!</v>
      </c>
      <c r="U1176" s="70" t="e">
        <f>T1176*ROUND(P1176,2)</f>
        <v>#DIV/0!</v>
      </c>
    </row>
    <row r="1177" spans="1:21" x14ac:dyDescent="0.2">
      <c r="A1177" s="63" t="s">
        <v>1750</v>
      </c>
      <c r="B1177" s="64" t="s">
        <v>324</v>
      </c>
      <c r="C1177" s="64" t="s">
        <v>323</v>
      </c>
      <c r="D1177" s="64" t="s">
        <v>1781</v>
      </c>
      <c r="E1177" s="64" t="s">
        <v>324</v>
      </c>
      <c r="F1177" s="65" t="s">
        <v>641</v>
      </c>
      <c r="G1177" s="64" t="s">
        <v>1421</v>
      </c>
      <c r="H1177" s="64" t="s">
        <v>255</v>
      </c>
      <c r="I1177" s="64" t="s">
        <v>10</v>
      </c>
      <c r="J1177" s="64" t="s">
        <v>201</v>
      </c>
      <c r="K1177" s="66">
        <v>6</v>
      </c>
      <c r="L1177" s="66">
        <f>K1177*VLOOKUP(I1177,dagsoorttabel1,2,FALSE)</f>
        <v>6</v>
      </c>
      <c r="M1177" s="67">
        <f>prodnorm59</f>
        <v>0</v>
      </c>
      <c r="N1177" s="68">
        <f>dagwerk59</f>
        <v>0</v>
      </c>
      <c r="O1177" s="64" t="s">
        <v>38</v>
      </c>
      <c r="P1177" s="69">
        <f>uurtarief59</f>
        <v>0</v>
      </c>
      <c r="Q1177" s="66" t="e">
        <f>IF(ISBLANK(M1177),0,L1177/ROUND(M1177,4))</f>
        <v>#DIV/0!</v>
      </c>
      <c r="R1177" s="66" t="e">
        <f>IF(ISBLANK(M1177),0,Q1177*ROUND(N1177,2))</f>
        <v>#DIV/0!</v>
      </c>
      <c r="S1177" s="69" t="e">
        <f>ROUND(P1177,2)*Q1177</f>
        <v>#DIV/0!</v>
      </c>
      <c r="T1177" s="66" t="e">
        <f>Q1177*dagenperjaar1</f>
        <v>#DIV/0!</v>
      </c>
      <c r="U1177" s="70" t="e">
        <f>T1177*ROUND(P1177,2)</f>
        <v>#DIV/0!</v>
      </c>
    </row>
    <row r="1178" spans="1:21" x14ac:dyDescent="0.2">
      <c r="A1178" s="71" t="s">
        <v>1750</v>
      </c>
      <c r="B1178" s="72" t="s">
        <v>324</v>
      </c>
      <c r="C1178" s="72" t="s">
        <v>323</v>
      </c>
      <c r="D1178" s="72" t="s">
        <v>1371</v>
      </c>
      <c r="E1178" s="72" t="s">
        <v>324</v>
      </c>
      <c r="F1178" s="73" t="s">
        <v>1782</v>
      </c>
      <c r="G1178" s="72" t="s">
        <v>328</v>
      </c>
      <c r="H1178" s="72" t="s">
        <v>229</v>
      </c>
      <c r="I1178" s="72" t="s">
        <v>10</v>
      </c>
      <c r="J1178" s="72" t="s">
        <v>201</v>
      </c>
      <c r="K1178" s="74">
        <v>49.5</v>
      </c>
      <c r="L1178" s="74">
        <f>K1178*VLOOKUP(I1178,dagsoorttabel1,2,FALSE)</f>
        <v>49.5</v>
      </c>
      <c r="M1178" s="75">
        <f>prodnorm43</f>
        <v>0</v>
      </c>
      <c r="N1178" s="76">
        <f>dagwerk43</f>
        <v>0</v>
      </c>
      <c r="O1178" s="72" t="s">
        <v>38</v>
      </c>
      <c r="P1178" s="77">
        <f>uurtarief43</f>
        <v>0</v>
      </c>
      <c r="Q1178" s="74" t="e">
        <f>IF(ISBLANK(M1178),0,L1178/ROUND(M1178,4))</f>
        <v>#DIV/0!</v>
      </c>
      <c r="R1178" s="74" t="e">
        <f>IF(ISBLANK(M1178),0,Q1178*ROUND(N1178,2))</f>
        <v>#DIV/0!</v>
      </c>
      <c r="S1178" s="77" t="e">
        <f>ROUND(P1178,2)*Q1178</f>
        <v>#DIV/0!</v>
      </c>
      <c r="T1178" s="74" t="e">
        <f>Q1178*dagenperjaar1</f>
        <v>#DIV/0!</v>
      </c>
      <c r="U1178" s="78" t="e">
        <f>T1178*ROUND(P1178,2)</f>
        <v>#DIV/0!</v>
      </c>
    </row>
    <row r="1179" spans="1:21" x14ac:dyDescent="0.2">
      <c r="A1179" s="79" t="s">
        <v>602</v>
      </c>
      <c r="B1179" s="44"/>
      <c r="C1179" s="44"/>
      <c r="D1179" s="44"/>
      <c r="E1179" s="44"/>
      <c r="F1179" s="44"/>
      <c r="G1179" s="44"/>
      <c r="H1179" s="44"/>
      <c r="I1179" s="44"/>
      <c r="J1179" s="44"/>
      <c r="K1179" s="44"/>
      <c r="L1179" s="44"/>
      <c r="M1179" s="44"/>
      <c r="N1179" s="44"/>
      <c r="O1179" s="44"/>
      <c r="P1179" s="46" t="e">
        <f>IF(_xlfn.SINGLE(object9_urenjaar1)&gt;0,_xlfn.SINGLE(object9_prijsjaar1)/_xlfn.SINGLE(object9_urenjaar1),0)</f>
        <v>#DIV/0!</v>
      </c>
      <c r="Q1179" s="45" t="e">
        <f>SUM(Q1128:Q1178)</f>
        <v>#DIV/0!</v>
      </c>
      <c r="R1179" s="45" t="e">
        <f>SUM(R1128:R1178)</f>
        <v>#DIV/0!</v>
      </c>
      <c r="S1179" s="46" t="e">
        <f>SUM(S1128:S1178)</f>
        <v>#DIV/0!</v>
      </c>
      <c r="T1179" s="45" t="e">
        <f>SUM(T1128:T1178)</f>
        <v>#DIV/0!</v>
      </c>
      <c r="U1179" s="47" t="e">
        <f>SUM(U1128:U1178)</f>
        <v>#DIV/0!</v>
      </c>
    </row>
    <row r="1180" spans="1:21" x14ac:dyDescent="0.2">
      <c r="A1180" s="54" t="s">
        <v>1783</v>
      </c>
      <c r="B1180" s="13"/>
      <c r="C1180" s="13"/>
      <c r="D1180" s="13"/>
      <c r="E1180" s="13"/>
      <c r="F1180" s="13"/>
      <c r="G1180" s="13"/>
      <c r="H1180" s="13"/>
      <c r="I1180" s="13"/>
      <c r="J1180" s="13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42"/>
    </row>
    <row r="1181" spans="1:21" x14ac:dyDescent="0.2">
      <c r="A1181" s="55" t="s">
        <v>1784</v>
      </c>
      <c r="B1181" s="56" t="s">
        <v>324</v>
      </c>
      <c r="C1181" s="56" t="s">
        <v>345</v>
      </c>
      <c r="D1181" s="56" t="s">
        <v>348</v>
      </c>
      <c r="E1181" s="56" t="s">
        <v>324</v>
      </c>
      <c r="F1181" s="57" t="s">
        <v>354</v>
      </c>
      <c r="G1181" s="56" t="s">
        <v>685</v>
      </c>
      <c r="H1181" s="56" t="s">
        <v>217</v>
      </c>
      <c r="I1181" s="56" t="s">
        <v>10</v>
      </c>
      <c r="J1181" s="56" t="s">
        <v>201</v>
      </c>
      <c r="K1181" s="58">
        <v>5</v>
      </c>
      <c r="L1181" s="58">
        <f>K1181*VLOOKUP(I1181,dagsoorttabel1,2,FALSE)</f>
        <v>5</v>
      </c>
      <c r="M1181" s="59">
        <f>prodnorm35</f>
        <v>0</v>
      </c>
      <c r="N1181" s="60">
        <f>dagwerk35</f>
        <v>0</v>
      </c>
      <c r="O1181" s="56" t="s">
        <v>38</v>
      </c>
      <c r="P1181" s="61">
        <f>uurtarief35</f>
        <v>0</v>
      </c>
      <c r="Q1181" s="58" t="e">
        <f>IF(ISBLANK(M1181),0,L1181/ROUND(M1181,4))</f>
        <v>#DIV/0!</v>
      </c>
      <c r="R1181" s="58" t="e">
        <f>IF(ISBLANK(M1181),0,Q1181*ROUND(N1181,2))</f>
        <v>#DIV/0!</v>
      </c>
      <c r="S1181" s="61" t="e">
        <f>ROUND(P1181,2)*Q1181</f>
        <v>#DIV/0!</v>
      </c>
      <c r="T1181" s="58" t="e">
        <f>Q1181*dagenperjaar1</f>
        <v>#DIV/0!</v>
      </c>
      <c r="U1181" s="62" t="e">
        <f>T1181*ROUND(P1181,2)</f>
        <v>#DIV/0!</v>
      </c>
    </row>
    <row r="1182" spans="1:21" x14ac:dyDescent="0.2">
      <c r="A1182" s="63" t="s">
        <v>1784</v>
      </c>
      <c r="B1182" s="64" t="s">
        <v>324</v>
      </c>
      <c r="C1182" s="64" t="s">
        <v>345</v>
      </c>
      <c r="D1182" s="64" t="s">
        <v>352</v>
      </c>
      <c r="E1182" s="64" t="s">
        <v>324</v>
      </c>
      <c r="F1182" s="65" t="s">
        <v>1334</v>
      </c>
      <c r="G1182" s="64" t="s">
        <v>351</v>
      </c>
      <c r="H1182" s="64" t="s">
        <v>207</v>
      </c>
      <c r="I1182" s="64" t="s">
        <v>10</v>
      </c>
      <c r="J1182" s="64" t="s">
        <v>201</v>
      </c>
      <c r="K1182" s="66">
        <v>24</v>
      </c>
      <c r="L1182" s="66">
        <f>K1182*VLOOKUP(I1182,dagsoorttabel1,2,FALSE)</f>
        <v>24</v>
      </c>
      <c r="M1182" s="67">
        <f>prodnorm28</f>
        <v>0</v>
      </c>
      <c r="N1182" s="68">
        <f>dagwerk28</f>
        <v>0</v>
      </c>
      <c r="O1182" s="64" t="s">
        <v>38</v>
      </c>
      <c r="P1182" s="69">
        <f>uurtarief28</f>
        <v>0</v>
      </c>
      <c r="Q1182" s="66" t="e">
        <f>IF(ISBLANK(M1182),0,L1182/ROUND(M1182,4))</f>
        <v>#DIV/0!</v>
      </c>
      <c r="R1182" s="66" t="e">
        <f>IF(ISBLANK(M1182),0,Q1182*ROUND(N1182,2))</f>
        <v>#DIV/0!</v>
      </c>
      <c r="S1182" s="69" t="e">
        <f>ROUND(P1182,2)*Q1182</f>
        <v>#DIV/0!</v>
      </c>
      <c r="T1182" s="66" t="e">
        <f>Q1182*dagenperjaar1</f>
        <v>#DIV/0!</v>
      </c>
      <c r="U1182" s="70" t="e">
        <f>T1182*ROUND(P1182,2)</f>
        <v>#DIV/0!</v>
      </c>
    </row>
    <row r="1183" spans="1:21" x14ac:dyDescent="0.2">
      <c r="A1183" s="63" t="s">
        <v>1784</v>
      </c>
      <c r="B1183" s="64" t="s">
        <v>324</v>
      </c>
      <c r="C1183" s="64" t="s">
        <v>345</v>
      </c>
      <c r="D1183" s="64" t="s">
        <v>853</v>
      </c>
      <c r="E1183" s="64" t="s">
        <v>324</v>
      </c>
      <c r="F1183" s="65" t="s">
        <v>641</v>
      </c>
      <c r="G1183" s="64" t="s">
        <v>365</v>
      </c>
      <c r="H1183" s="64" t="s">
        <v>255</v>
      </c>
      <c r="I1183" s="64" t="s">
        <v>10</v>
      </c>
      <c r="J1183" s="64" t="s">
        <v>201</v>
      </c>
      <c r="K1183" s="66">
        <v>6</v>
      </c>
      <c r="L1183" s="66">
        <f>K1183*VLOOKUP(I1183,dagsoorttabel1,2,FALSE)</f>
        <v>6</v>
      </c>
      <c r="M1183" s="67">
        <f>prodnorm59</f>
        <v>0</v>
      </c>
      <c r="N1183" s="68">
        <f>dagwerk59</f>
        <v>0</v>
      </c>
      <c r="O1183" s="64" t="s">
        <v>38</v>
      </c>
      <c r="P1183" s="69">
        <f>uurtarief59</f>
        <v>0</v>
      </c>
      <c r="Q1183" s="66" t="e">
        <f>IF(ISBLANK(M1183),0,L1183/ROUND(M1183,4))</f>
        <v>#DIV/0!</v>
      </c>
      <c r="R1183" s="66" t="e">
        <f>IF(ISBLANK(M1183),0,Q1183*ROUND(N1183,2))</f>
        <v>#DIV/0!</v>
      </c>
      <c r="S1183" s="69" t="e">
        <f>ROUND(P1183,2)*Q1183</f>
        <v>#DIV/0!</v>
      </c>
      <c r="T1183" s="66" t="e">
        <f>Q1183*dagenperjaar1</f>
        <v>#DIV/0!</v>
      </c>
      <c r="U1183" s="70" t="e">
        <f>T1183*ROUND(P1183,2)</f>
        <v>#DIV/0!</v>
      </c>
    </row>
    <row r="1184" spans="1:21" x14ac:dyDescent="0.2">
      <c r="A1184" s="63" t="s">
        <v>1784</v>
      </c>
      <c r="B1184" s="64" t="s">
        <v>324</v>
      </c>
      <c r="C1184" s="64" t="s">
        <v>345</v>
      </c>
      <c r="D1184" s="64" t="s">
        <v>853</v>
      </c>
      <c r="E1184" s="64" t="s">
        <v>324</v>
      </c>
      <c r="F1184" s="65" t="s">
        <v>641</v>
      </c>
      <c r="G1184" s="64" t="s">
        <v>365</v>
      </c>
      <c r="H1184" s="64" t="s">
        <v>257</v>
      </c>
      <c r="I1184" s="64" t="s">
        <v>10</v>
      </c>
      <c r="J1184" s="64" t="s">
        <v>201</v>
      </c>
      <c r="K1184" s="66">
        <v>6</v>
      </c>
      <c r="L1184" s="66">
        <f>K1184*VLOOKUP(I1184,dagsoorttabel1,2,FALSE)</f>
        <v>6</v>
      </c>
      <c r="M1184" s="67">
        <f>prodnorm60</f>
        <v>0</v>
      </c>
      <c r="N1184" s="68">
        <f>dagwerk60</f>
        <v>0</v>
      </c>
      <c r="O1184" s="64" t="s">
        <v>38</v>
      </c>
      <c r="P1184" s="69">
        <f>uurtarief60</f>
        <v>0</v>
      </c>
      <c r="Q1184" s="66" t="e">
        <f>IF(ISBLANK(M1184),0,L1184/ROUND(M1184,4))</f>
        <v>#DIV/0!</v>
      </c>
      <c r="R1184" s="66" t="e">
        <f>IF(ISBLANK(M1184),0,Q1184*ROUND(N1184,2))</f>
        <v>#DIV/0!</v>
      </c>
      <c r="S1184" s="69" t="e">
        <f>ROUND(P1184,2)*Q1184</f>
        <v>#DIV/0!</v>
      </c>
      <c r="T1184" s="66" t="e">
        <f>Q1184*dagenperjaar1</f>
        <v>#DIV/0!</v>
      </c>
      <c r="U1184" s="70" t="e">
        <f>T1184*ROUND(P1184,2)</f>
        <v>#DIV/0!</v>
      </c>
    </row>
    <row r="1185" spans="1:21" x14ac:dyDescent="0.2">
      <c r="A1185" s="63" t="s">
        <v>1784</v>
      </c>
      <c r="B1185" s="64" t="s">
        <v>324</v>
      </c>
      <c r="C1185" s="64" t="s">
        <v>345</v>
      </c>
      <c r="D1185" s="64" t="s">
        <v>362</v>
      </c>
      <c r="E1185" s="64" t="s">
        <v>324</v>
      </c>
      <c r="F1185" s="65" t="s">
        <v>327</v>
      </c>
      <c r="G1185" s="64" t="s">
        <v>1785</v>
      </c>
      <c r="H1185" s="64" t="s">
        <v>223</v>
      </c>
      <c r="I1185" s="64" t="s">
        <v>10</v>
      </c>
      <c r="J1185" s="64" t="s">
        <v>201</v>
      </c>
      <c r="K1185" s="66">
        <v>4</v>
      </c>
      <c r="L1185" s="66">
        <f>K1185*VLOOKUP(I1185,dagsoorttabel1,2,FALSE)</f>
        <v>4</v>
      </c>
      <c r="M1185" s="67">
        <f>prodnorm39</f>
        <v>0</v>
      </c>
      <c r="N1185" s="68">
        <f>dagwerk39</f>
        <v>0</v>
      </c>
      <c r="O1185" s="64" t="s">
        <v>38</v>
      </c>
      <c r="P1185" s="69">
        <f>uurtarief39</f>
        <v>0</v>
      </c>
      <c r="Q1185" s="66" t="e">
        <f>IF(ISBLANK(M1185),0,L1185/ROUND(M1185,4))</f>
        <v>#DIV/0!</v>
      </c>
      <c r="R1185" s="66" t="e">
        <f>IF(ISBLANK(M1185),0,Q1185*ROUND(N1185,2))</f>
        <v>#DIV/0!</v>
      </c>
      <c r="S1185" s="69" t="e">
        <f>ROUND(P1185,2)*Q1185</f>
        <v>#DIV/0!</v>
      </c>
      <c r="T1185" s="66" t="e">
        <f>Q1185*dagenperjaar1</f>
        <v>#DIV/0!</v>
      </c>
      <c r="U1185" s="70" t="e">
        <f>T1185*ROUND(P1185,2)</f>
        <v>#DIV/0!</v>
      </c>
    </row>
    <row r="1186" spans="1:21" x14ac:dyDescent="0.2">
      <c r="A1186" s="63" t="s">
        <v>1784</v>
      </c>
      <c r="B1186" s="64" t="s">
        <v>324</v>
      </c>
      <c r="C1186" s="64" t="s">
        <v>345</v>
      </c>
      <c r="D1186" s="64" t="s">
        <v>368</v>
      </c>
      <c r="E1186" s="64" t="s">
        <v>324</v>
      </c>
      <c r="F1186" s="65" t="s">
        <v>1610</v>
      </c>
      <c r="G1186" s="64" t="s">
        <v>351</v>
      </c>
      <c r="H1186" s="64" t="s">
        <v>207</v>
      </c>
      <c r="I1186" s="64" t="s">
        <v>10</v>
      </c>
      <c r="J1186" s="64" t="s">
        <v>201</v>
      </c>
      <c r="K1186" s="66">
        <v>16</v>
      </c>
      <c r="L1186" s="66">
        <f>K1186*VLOOKUP(I1186,dagsoorttabel1,2,FALSE)</f>
        <v>16</v>
      </c>
      <c r="M1186" s="67">
        <f>prodnorm28</f>
        <v>0</v>
      </c>
      <c r="N1186" s="68">
        <f>dagwerk28</f>
        <v>0</v>
      </c>
      <c r="O1186" s="64" t="s">
        <v>38</v>
      </c>
      <c r="P1186" s="69">
        <f>uurtarief28</f>
        <v>0</v>
      </c>
      <c r="Q1186" s="66" t="e">
        <f>IF(ISBLANK(M1186),0,L1186/ROUND(M1186,4))</f>
        <v>#DIV/0!</v>
      </c>
      <c r="R1186" s="66" t="e">
        <f>IF(ISBLANK(M1186),0,Q1186*ROUND(N1186,2))</f>
        <v>#DIV/0!</v>
      </c>
      <c r="S1186" s="69" t="e">
        <f>ROUND(P1186,2)*Q1186</f>
        <v>#DIV/0!</v>
      </c>
      <c r="T1186" s="66" t="e">
        <f>Q1186*dagenperjaar1</f>
        <v>#DIV/0!</v>
      </c>
      <c r="U1186" s="70" t="e">
        <f>T1186*ROUND(P1186,2)</f>
        <v>#DIV/0!</v>
      </c>
    </row>
    <row r="1187" spans="1:21" x14ac:dyDescent="0.2">
      <c r="A1187" s="63" t="s">
        <v>1784</v>
      </c>
      <c r="B1187" s="64" t="s">
        <v>324</v>
      </c>
      <c r="C1187" s="64" t="s">
        <v>345</v>
      </c>
      <c r="D1187" s="64" t="s">
        <v>371</v>
      </c>
      <c r="E1187" s="64" t="s">
        <v>324</v>
      </c>
      <c r="F1187" s="65" t="s">
        <v>1786</v>
      </c>
      <c r="G1187" s="64" t="s">
        <v>351</v>
      </c>
      <c r="H1187" s="64" t="s">
        <v>207</v>
      </c>
      <c r="I1187" s="64" t="s">
        <v>10</v>
      </c>
      <c r="J1187" s="64" t="s">
        <v>201</v>
      </c>
      <c r="K1187" s="66">
        <v>13</v>
      </c>
      <c r="L1187" s="66">
        <f>K1187*VLOOKUP(I1187,dagsoorttabel1,2,FALSE)</f>
        <v>13</v>
      </c>
      <c r="M1187" s="67">
        <f>prodnorm28</f>
        <v>0</v>
      </c>
      <c r="N1187" s="68">
        <f>dagwerk28</f>
        <v>0</v>
      </c>
      <c r="O1187" s="64" t="s">
        <v>38</v>
      </c>
      <c r="P1187" s="69">
        <f>uurtarief28</f>
        <v>0</v>
      </c>
      <c r="Q1187" s="66" t="e">
        <f>IF(ISBLANK(M1187),0,L1187/ROUND(M1187,4))</f>
        <v>#DIV/0!</v>
      </c>
      <c r="R1187" s="66" t="e">
        <f>IF(ISBLANK(M1187),0,Q1187*ROUND(N1187,2))</f>
        <v>#DIV/0!</v>
      </c>
      <c r="S1187" s="69" t="e">
        <f>ROUND(P1187,2)*Q1187</f>
        <v>#DIV/0!</v>
      </c>
      <c r="T1187" s="66" t="e">
        <f>Q1187*dagenperjaar1</f>
        <v>#DIV/0!</v>
      </c>
      <c r="U1187" s="70" t="e">
        <f>T1187*ROUND(P1187,2)</f>
        <v>#DIV/0!</v>
      </c>
    </row>
    <row r="1188" spans="1:21" x14ac:dyDescent="0.2">
      <c r="A1188" s="63" t="s">
        <v>1784</v>
      </c>
      <c r="B1188" s="64" t="s">
        <v>324</v>
      </c>
      <c r="C1188" s="64" t="s">
        <v>345</v>
      </c>
      <c r="D1188" s="64" t="s">
        <v>374</v>
      </c>
      <c r="E1188" s="64" t="s">
        <v>324</v>
      </c>
      <c r="F1188" s="65" t="s">
        <v>364</v>
      </c>
      <c r="G1188" s="64" t="s">
        <v>365</v>
      </c>
      <c r="H1188" s="64" t="s">
        <v>255</v>
      </c>
      <c r="I1188" s="64" t="s">
        <v>10</v>
      </c>
      <c r="J1188" s="64" t="s">
        <v>201</v>
      </c>
      <c r="K1188" s="66">
        <v>4</v>
      </c>
      <c r="L1188" s="66">
        <f>K1188*VLOOKUP(I1188,dagsoorttabel1,2,FALSE)</f>
        <v>4</v>
      </c>
      <c r="M1188" s="67">
        <f>prodnorm59</f>
        <v>0</v>
      </c>
      <c r="N1188" s="68">
        <f>dagwerk59</f>
        <v>0</v>
      </c>
      <c r="O1188" s="64" t="s">
        <v>38</v>
      </c>
      <c r="P1188" s="69">
        <f>uurtarief59</f>
        <v>0</v>
      </c>
      <c r="Q1188" s="66" t="e">
        <f>IF(ISBLANK(M1188),0,L1188/ROUND(M1188,4))</f>
        <v>#DIV/0!</v>
      </c>
      <c r="R1188" s="66" t="e">
        <f>IF(ISBLANK(M1188),0,Q1188*ROUND(N1188,2))</f>
        <v>#DIV/0!</v>
      </c>
      <c r="S1188" s="69" t="e">
        <f>ROUND(P1188,2)*Q1188</f>
        <v>#DIV/0!</v>
      </c>
      <c r="T1188" s="66" t="e">
        <f>Q1188*dagenperjaar1</f>
        <v>#DIV/0!</v>
      </c>
      <c r="U1188" s="70" t="e">
        <f>T1188*ROUND(P1188,2)</f>
        <v>#DIV/0!</v>
      </c>
    </row>
    <row r="1189" spans="1:21" x14ac:dyDescent="0.2">
      <c r="A1189" s="63" t="s">
        <v>1784</v>
      </c>
      <c r="B1189" s="64" t="s">
        <v>324</v>
      </c>
      <c r="C1189" s="64" t="s">
        <v>345</v>
      </c>
      <c r="D1189" s="64" t="s">
        <v>374</v>
      </c>
      <c r="E1189" s="64" t="s">
        <v>324</v>
      </c>
      <c r="F1189" s="65" t="s">
        <v>364</v>
      </c>
      <c r="G1189" s="64" t="s">
        <v>365</v>
      </c>
      <c r="H1189" s="64" t="s">
        <v>257</v>
      </c>
      <c r="I1189" s="64" t="s">
        <v>10</v>
      </c>
      <c r="J1189" s="64" t="s">
        <v>201</v>
      </c>
      <c r="K1189" s="66">
        <v>4</v>
      </c>
      <c r="L1189" s="66">
        <f>K1189*VLOOKUP(I1189,dagsoorttabel1,2,FALSE)</f>
        <v>4</v>
      </c>
      <c r="M1189" s="67">
        <f>prodnorm60</f>
        <v>0</v>
      </c>
      <c r="N1189" s="68">
        <f>dagwerk60</f>
        <v>0</v>
      </c>
      <c r="O1189" s="64" t="s">
        <v>38</v>
      </c>
      <c r="P1189" s="69">
        <f>uurtarief60</f>
        <v>0</v>
      </c>
      <c r="Q1189" s="66" t="e">
        <f>IF(ISBLANK(M1189),0,L1189/ROUND(M1189,4))</f>
        <v>#DIV/0!</v>
      </c>
      <c r="R1189" s="66" t="e">
        <f>IF(ISBLANK(M1189),0,Q1189*ROUND(N1189,2))</f>
        <v>#DIV/0!</v>
      </c>
      <c r="S1189" s="69" t="e">
        <f>ROUND(P1189,2)*Q1189</f>
        <v>#DIV/0!</v>
      </c>
      <c r="T1189" s="66" t="e">
        <f>Q1189*dagenperjaar1</f>
        <v>#DIV/0!</v>
      </c>
      <c r="U1189" s="70" t="e">
        <f>T1189*ROUND(P1189,2)</f>
        <v>#DIV/0!</v>
      </c>
    </row>
    <row r="1190" spans="1:21" x14ac:dyDescent="0.2">
      <c r="A1190" s="63" t="s">
        <v>1784</v>
      </c>
      <c r="B1190" s="64" t="s">
        <v>324</v>
      </c>
      <c r="C1190" s="64" t="s">
        <v>345</v>
      </c>
      <c r="D1190" s="64" t="s">
        <v>377</v>
      </c>
      <c r="E1190" s="64" t="s">
        <v>324</v>
      </c>
      <c r="F1190" s="65" t="s">
        <v>894</v>
      </c>
      <c r="G1190" s="64" t="s">
        <v>351</v>
      </c>
      <c r="H1190" s="64" t="s">
        <v>207</v>
      </c>
      <c r="I1190" s="64" t="s">
        <v>10</v>
      </c>
      <c r="J1190" s="64" t="s">
        <v>201</v>
      </c>
      <c r="K1190" s="66">
        <v>16</v>
      </c>
      <c r="L1190" s="66">
        <f>K1190*VLOOKUP(I1190,dagsoorttabel1,2,FALSE)</f>
        <v>16</v>
      </c>
      <c r="M1190" s="67">
        <f>prodnorm28</f>
        <v>0</v>
      </c>
      <c r="N1190" s="68">
        <f>dagwerk28</f>
        <v>0</v>
      </c>
      <c r="O1190" s="64" t="s">
        <v>38</v>
      </c>
      <c r="P1190" s="69">
        <f>uurtarief28</f>
        <v>0</v>
      </c>
      <c r="Q1190" s="66" t="e">
        <f>IF(ISBLANK(M1190),0,L1190/ROUND(M1190,4))</f>
        <v>#DIV/0!</v>
      </c>
      <c r="R1190" s="66" t="e">
        <f>IF(ISBLANK(M1190),0,Q1190*ROUND(N1190,2))</f>
        <v>#DIV/0!</v>
      </c>
      <c r="S1190" s="69" t="e">
        <f>ROUND(P1190,2)*Q1190</f>
        <v>#DIV/0!</v>
      </c>
      <c r="T1190" s="66" t="e">
        <f>Q1190*dagenperjaar1</f>
        <v>#DIV/0!</v>
      </c>
      <c r="U1190" s="70" t="e">
        <f>T1190*ROUND(P1190,2)</f>
        <v>#DIV/0!</v>
      </c>
    </row>
    <row r="1191" spans="1:21" x14ac:dyDescent="0.2">
      <c r="A1191" s="63" t="s">
        <v>1784</v>
      </c>
      <c r="B1191" s="64" t="s">
        <v>324</v>
      </c>
      <c r="C1191" s="64" t="s">
        <v>345</v>
      </c>
      <c r="D1191" s="64" t="s">
        <v>382</v>
      </c>
      <c r="E1191" s="64" t="s">
        <v>324</v>
      </c>
      <c r="F1191" s="65" t="s">
        <v>1436</v>
      </c>
      <c r="G1191" s="64" t="s">
        <v>1785</v>
      </c>
      <c r="H1191" s="64" t="s">
        <v>241</v>
      </c>
      <c r="I1191" s="64" t="s">
        <v>10</v>
      </c>
      <c r="J1191" s="64" t="s">
        <v>201</v>
      </c>
      <c r="K1191" s="66">
        <v>22</v>
      </c>
      <c r="L1191" s="66">
        <f>K1191*VLOOKUP(I1191,dagsoorttabel1,2,FALSE)</f>
        <v>22</v>
      </c>
      <c r="M1191" s="67">
        <f>prodnorm51</f>
        <v>0</v>
      </c>
      <c r="N1191" s="68">
        <f>dagwerk51</f>
        <v>0</v>
      </c>
      <c r="O1191" s="64" t="s">
        <v>38</v>
      </c>
      <c r="P1191" s="69">
        <f>uurtarief51</f>
        <v>0</v>
      </c>
      <c r="Q1191" s="66" t="e">
        <f>IF(ISBLANK(M1191),0,L1191/ROUND(M1191,4))</f>
        <v>#DIV/0!</v>
      </c>
      <c r="R1191" s="66" t="e">
        <f>IF(ISBLANK(M1191),0,Q1191*ROUND(N1191,2))</f>
        <v>#DIV/0!</v>
      </c>
      <c r="S1191" s="69" t="e">
        <f>ROUND(P1191,2)*Q1191</f>
        <v>#DIV/0!</v>
      </c>
      <c r="T1191" s="66" t="e">
        <f>Q1191*dagenperjaar1</f>
        <v>#DIV/0!</v>
      </c>
      <c r="U1191" s="70" t="e">
        <f>T1191*ROUND(P1191,2)</f>
        <v>#DIV/0!</v>
      </c>
    </row>
    <row r="1192" spans="1:21" x14ac:dyDescent="0.2">
      <c r="A1192" s="63" t="s">
        <v>1784</v>
      </c>
      <c r="B1192" s="64" t="s">
        <v>324</v>
      </c>
      <c r="C1192" s="64" t="s">
        <v>345</v>
      </c>
      <c r="D1192" s="64" t="s">
        <v>1317</v>
      </c>
      <c r="E1192" s="64" t="s">
        <v>324</v>
      </c>
      <c r="F1192" s="65" t="s">
        <v>894</v>
      </c>
      <c r="G1192" s="64" t="s">
        <v>1785</v>
      </c>
      <c r="H1192" s="64" t="s">
        <v>205</v>
      </c>
      <c r="I1192" s="64" t="s">
        <v>10</v>
      </c>
      <c r="J1192" s="64" t="s">
        <v>201</v>
      </c>
      <c r="K1192" s="66">
        <v>13</v>
      </c>
      <c r="L1192" s="66">
        <f>K1192*VLOOKUP(I1192,dagsoorttabel1,2,FALSE)</f>
        <v>13</v>
      </c>
      <c r="M1192" s="67">
        <f>prodnorm26</f>
        <v>0</v>
      </c>
      <c r="N1192" s="68">
        <f>dagwerk26</f>
        <v>0</v>
      </c>
      <c r="O1192" s="64" t="s">
        <v>38</v>
      </c>
      <c r="P1192" s="69">
        <f>uurtarief26</f>
        <v>0</v>
      </c>
      <c r="Q1192" s="66" t="e">
        <f>IF(ISBLANK(M1192),0,L1192/ROUND(M1192,4))</f>
        <v>#DIV/0!</v>
      </c>
      <c r="R1192" s="66" t="e">
        <f>IF(ISBLANK(M1192),0,Q1192*ROUND(N1192,2))</f>
        <v>#DIV/0!</v>
      </c>
      <c r="S1192" s="69" t="e">
        <f>ROUND(P1192,2)*Q1192</f>
        <v>#DIV/0!</v>
      </c>
      <c r="T1192" s="66" t="e">
        <f>Q1192*dagenperjaar1</f>
        <v>#DIV/0!</v>
      </c>
      <c r="U1192" s="70" t="e">
        <f>T1192*ROUND(P1192,2)</f>
        <v>#DIV/0!</v>
      </c>
    </row>
    <row r="1193" spans="1:21" x14ac:dyDescent="0.2">
      <c r="A1193" s="63" t="s">
        <v>1784</v>
      </c>
      <c r="B1193" s="64" t="s">
        <v>324</v>
      </c>
      <c r="C1193" s="64" t="s">
        <v>345</v>
      </c>
      <c r="D1193" s="64" t="s">
        <v>868</v>
      </c>
      <c r="E1193" s="64" t="s">
        <v>324</v>
      </c>
      <c r="F1193" s="65" t="s">
        <v>1368</v>
      </c>
      <c r="G1193" s="64" t="s">
        <v>365</v>
      </c>
      <c r="H1193" s="64" t="s">
        <v>255</v>
      </c>
      <c r="I1193" s="64" t="s">
        <v>10</v>
      </c>
      <c r="J1193" s="64" t="s">
        <v>201</v>
      </c>
      <c r="K1193" s="66">
        <v>5</v>
      </c>
      <c r="L1193" s="66">
        <f>K1193*VLOOKUP(I1193,dagsoorttabel1,2,FALSE)</f>
        <v>5</v>
      </c>
      <c r="M1193" s="67">
        <f>prodnorm59</f>
        <v>0</v>
      </c>
      <c r="N1193" s="68">
        <f>dagwerk59</f>
        <v>0</v>
      </c>
      <c r="O1193" s="64" t="s">
        <v>38</v>
      </c>
      <c r="P1193" s="69">
        <f>uurtarief59</f>
        <v>0</v>
      </c>
      <c r="Q1193" s="66" t="e">
        <f>IF(ISBLANK(M1193),0,L1193/ROUND(M1193,4))</f>
        <v>#DIV/0!</v>
      </c>
      <c r="R1193" s="66" t="e">
        <f>IF(ISBLANK(M1193),0,Q1193*ROUND(N1193,2))</f>
        <v>#DIV/0!</v>
      </c>
      <c r="S1193" s="69" t="e">
        <f>ROUND(P1193,2)*Q1193</f>
        <v>#DIV/0!</v>
      </c>
      <c r="T1193" s="66" t="e">
        <f>Q1193*dagenperjaar1</f>
        <v>#DIV/0!</v>
      </c>
      <c r="U1193" s="70" t="e">
        <f>T1193*ROUND(P1193,2)</f>
        <v>#DIV/0!</v>
      </c>
    </row>
    <row r="1194" spans="1:21" x14ac:dyDescent="0.2">
      <c r="A1194" s="63" t="s">
        <v>1784</v>
      </c>
      <c r="B1194" s="64" t="s">
        <v>324</v>
      </c>
      <c r="C1194" s="64" t="s">
        <v>345</v>
      </c>
      <c r="D1194" s="64" t="s">
        <v>868</v>
      </c>
      <c r="E1194" s="64" t="s">
        <v>324</v>
      </c>
      <c r="F1194" s="65" t="s">
        <v>1368</v>
      </c>
      <c r="G1194" s="64" t="s">
        <v>365</v>
      </c>
      <c r="H1194" s="64" t="s">
        <v>257</v>
      </c>
      <c r="I1194" s="64" t="s">
        <v>10</v>
      </c>
      <c r="J1194" s="64" t="s">
        <v>201</v>
      </c>
      <c r="K1194" s="66">
        <v>5</v>
      </c>
      <c r="L1194" s="66">
        <f>K1194*VLOOKUP(I1194,dagsoorttabel1,2,FALSE)</f>
        <v>5</v>
      </c>
      <c r="M1194" s="67">
        <f>prodnorm60</f>
        <v>0</v>
      </c>
      <c r="N1194" s="68">
        <f>dagwerk60</f>
        <v>0</v>
      </c>
      <c r="O1194" s="64" t="s">
        <v>38</v>
      </c>
      <c r="P1194" s="69">
        <f>uurtarief60</f>
        <v>0</v>
      </c>
      <c r="Q1194" s="66" t="e">
        <f>IF(ISBLANK(M1194),0,L1194/ROUND(M1194,4))</f>
        <v>#DIV/0!</v>
      </c>
      <c r="R1194" s="66" t="e">
        <f>IF(ISBLANK(M1194),0,Q1194*ROUND(N1194,2))</f>
        <v>#DIV/0!</v>
      </c>
      <c r="S1194" s="69" t="e">
        <f>ROUND(P1194,2)*Q1194</f>
        <v>#DIV/0!</v>
      </c>
      <c r="T1194" s="66" t="e">
        <f>Q1194*dagenperjaar1</f>
        <v>#DIV/0!</v>
      </c>
      <c r="U1194" s="70" t="e">
        <f>T1194*ROUND(P1194,2)</f>
        <v>#DIV/0!</v>
      </c>
    </row>
    <row r="1195" spans="1:21" x14ac:dyDescent="0.2">
      <c r="A1195" s="63" t="s">
        <v>1784</v>
      </c>
      <c r="B1195" s="64" t="s">
        <v>324</v>
      </c>
      <c r="C1195" s="64" t="s">
        <v>345</v>
      </c>
      <c r="D1195" s="64" t="s">
        <v>869</v>
      </c>
      <c r="E1195" s="64" t="s">
        <v>324</v>
      </c>
      <c r="F1195" s="65" t="s">
        <v>768</v>
      </c>
      <c r="G1195" s="64" t="s">
        <v>1785</v>
      </c>
      <c r="H1195" s="64" t="s">
        <v>233</v>
      </c>
      <c r="I1195" s="64" t="s">
        <v>10</v>
      </c>
      <c r="J1195" s="64" t="s">
        <v>201</v>
      </c>
      <c r="K1195" s="66">
        <v>62</v>
      </c>
      <c r="L1195" s="66">
        <f>K1195*VLOOKUP(I1195,dagsoorttabel1,2,FALSE)</f>
        <v>62</v>
      </c>
      <c r="M1195" s="67">
        <f>prodnorm45</f>
        <v>0</v>
      </c>
      <c r="N1195" s="68">
        <f>dagwerk45</f>
        <v>0</v>
      </c>
      <c r="O1195" s="64" t="s">
        <v>38</v>
      </c>
      <c r="P1195" s="69">
        <f>uurtarief45</f>
        <v>0</v>
      </c>
      <c r="Q1195" s="66" t="e">
        <f>IF(ISBLANK(M1195),0,L1195/ROUND(M1195,4))</f>
        <v>#DIV/0!</v>
      </c>
      <c r="R1195" s="66" t="e">
        <f>IF(ISBLANK(M1195),0,Q1195*ROUND(N1195,2))</f>
        <v>#DIV/0!</v>
      </c>
      <c r="S1195" s="69" t="e">
        <f>ROUND(P1195,2)*Q1195</f>
        <v>#DIV/0!</v>
      </c>
      <c r="T1195" s="66" t="e">
        <f>Q1195*dagenperjaar1</f>
        <v>#DIV/0!</v>
      </c>
      <c r="U1195" s="70" t="e">
        <f>T1195*ROUND(P1195,2)</f>
        <v>#DIV/0!</v>
      </c>
    </row>
    <row r="1196" spans="1:21" x14ac:dyDescent="0.2">
      <c r="A1196" s="63" t="s">
        <v>1784</v>
      </c>
      <c r="B1196" s="64" t="s">
        <v>324</v>
      </c>
      <c r="C1196" s="64" t="s">
        <v>345</v>
      </c>
      <c r="D1196" s="64" t="s">
        <v>400</v>
      </c>
      <c r="E1196" s="64" t="s">
        <v>324</v>
      </c>
      <c r="F1196" s="65" t="s">
        <v>1787</v>
      </c>
      <c r="G1196" s="64" t="s">
        <v>1785</v>
      </c>
      <c r="H1196" s="64" t="s">
        <v>205</v>
      </c>
      <c r="I1196" s="64" t="s">
        <v>10</v>
      </c>
      <c r="J1196" s="64" t="s">
        <v>201</v>
      </c>
      <c r="K1196" s="66">
        <v>49</v>
      </c>
      <c r="L1196" s="66">
        <f>K1196*VLOOKUP(I1196,dagsoorttabel1,2,FALSE)</f>
        <v>49</v>
      </c>
      <c r="M1196" s="67">
        <f>prodnorm26</f>
        <v>0</v>
      </c>
      <c r="N1196" s="68">
        <f>dagwerk26</f>
        <v>0</v>
      </c>
      <c r="O1196" s="64" t="s">
        <v>38</v>
      </c>
      <c r="P1196" s="69">
        <f>uurtarief26</f>
        <v>0</v>
      </c>
      <c r="Q1196" s="66" t="e">
        <f>IF(ISBLANK(M1196),0,L1196/ROUND(M1196,4))</f>
        <v>#DIV/0!</v>
      </c>
      <c r="R1196" s="66" t="e">
        <f>IF(ISBLANK(M1196),0,Q1196*ROUND(N1196,2))</f>
        <v>#DIV/0!</v>
      </c>
      <c r="S1196" s="69" t="e">
        <f>ROUND(P1196,2)*Q1196</f>
        <v>#DIV/0!</v>
      </c>
      <c r="T1196" s="66" t="e">
        <f>Q1196*dagenperjaar1</f>
        <v>#DIV/0!</v>
      </c>
      <c r="U1196" s="70" t="e">
        <f>T1196*ROUND(P1196,2)</f>
        <v>#DIV/0!</v>
      </c>
    </row>
    <row r="1197" spans="1:21" x14ac:dyDescent="0.2">
      <c r="A1197" s="63" t="s">
        <v>1784</v>
      </c>
      <c r="B1197" s="64" t="s">
        <v>324</v>
      </c>
      <c r="C1197" s="64" t="s">
        <v>345</v>
      </c>
      <c r="D1197" s="64" t="s">
        <v>402</v>
      </c>
      <c r="E1197" s="64" t="s">
        <v>324</v>
      </c>
      <c r="F1197" s="65" t="s">
        <v>354</v>
      </c>
      <c r="G1197" s="64" t="s">
        <v>685</v>
      </c>
      <c r="H1197" s="64" t="s">
        <v>217</v>
      </c>
      <c r="I1197" s="64" t="s">
        <v>10</v>
      </c>
      <c r="J1197" s="64" t="s">
        <v>201</v>
      </c>
      <c r="K1197" s="66">
        <v>7</v>
      </c>
      <c r="L1197" s="66">
        <f>K1197*VLOOKUP(I1197,dagsoorttabel1,2,FALSE)</f>
        <v>7</v>
      </c>
      <c r="M1197" s="67">
        <f>prodnorm35</f>
        <v>0</v>
      </c>
      <c r="N1197" s="68">
        <f>dagwerk35</f>
        <v>0</v>
      </c>
      <c r="O1197" s="64" t="s">
        <v>38</v>
      </c>
      <c r="P1197" s="69">
        <f>uurtarief35</f>
        <v>0</v>
      </c>
      <c r="Q1197" s="66" t="e">
        <f>IF(ISBLANK(M1197),0,L1197/ROUND(M1197,4))</f>
        <v>#DIV/0!</v>
      </c>
      <c r="R1197" s="66" t="e">
        <f>IF(ISBLANK(M1197),0,Q1197*ROUND(N1197,2))</f>
        <v>#DIV/0!</v>
      </c>
      <c r="S1197" s="69" t="e">
        <f>ROUND(P1197,2)*Q1197</f>
        <v>#DIV/0!</v>
      </c>
      <c r="T1197" s="66" t="e">
        <f>Q1197*dagenperjaar1</f>
        <v>#DIV/0!</v>
      </c>
      <c r="U1197" s="70" t="e">
        <f>T1197*ROUND(P1197,2)</f>
        <v>#DIV/0!</v>
      </c>
    </row>
    <row r="1198" spans="1:21" x14ac:dyDescent="0.2">
      <c r="A1198" s="63" t="s">
        <v>1784</v>
      </c>
      <c r="B1198" s="64" t="s">
        <v>324</v>
      </c>
      <c r="C1198" s="64" t="s">
        <v>345</v>
      </c>
      <c r="D1198" s="64" t="s">
        <v>1321</v>
      </c>
      <c r="E1198" s="64" t="s">
        <v>324</v>
      </c>
      <c r="F1198" s="65" t="s">
        <v>1788</v>
      </c>
      <c r="G1198" s="64" t="s">
        <v>1785</v>
      </c>
      <c r="H1198" s="64" t="s">
        <v>200</v>
      </c>
      <c r="I1198" s="64" t="s">
        <v>10</v>
      </c>
      <c r="J1198" s="64" t="s">
        <v>201</v>
      </c>
      <c r="K1198" s="66">
        <v>209</v>
      </c>
      <c r="L1198" s="66">
        <f>K1198*VLOOKUP(I1198,dagsoorttabel1,2,FALSE)</f>
        <v>209</v>
      </c>
      <c r="M1198" s="67">
        <f>prodnorm24</f>
        <v>0</v>
      </c>
      <c r="N1198" s="68">
        <f>dagwerk24</f>
        <v>0</v>
      </c>
      <c r="O1198" s="64" t="s">
        <v>38</v>
      </c>
      <c r="P1198" s="69">
        <f>uurtarief24</f>
        <v>0</v>
      </c>
      <c r="Q1198" s="66" t="e">
        <f>IF(ISBLANK(M1198),0,L1198/ROUND(M1198,4))</f>
        <v>#DIV/0!</v>
      </c>
      <c r="R1198" s="66" t="e">
        <f>IF(ISBLANK(M1198),0,Q1198*ROUND(N1198,2))</f>
        <v>#DIV/0!</v>
      </c>
      <c r="S1198" s="69" t="e">
        <f>ROUND(P1198,2)*Q1198</f>
        <v>#DIV/0!</v>
      </c>
      <c r="T1198" s="66" t="e">
        <f>Q1198*dagenperjaar1</f>
        <v>#DIV/0!</v>
      </c>
      <c r="U1198" s="70" t="e">
        <f>T1198*ROUND(P1198,2)</f>
        <v>#DIV/0!</v>
      </c>
    </row>
    <row r="1199" spans="1:21" x14ac:dyDescent="0.2">
      <c r="A1199" s="63" t="s">
        <v>1784</v>
      </c>
      <c r="B1199" s="64" t="s">
        <v>324</v>
      </c>
      <c r="C1199" s="64" t="s">
        <v>345</v>
      </c>
      <c r="D1199" s="64" t="s">
        <v>407</v>
      </c>
      <c r="E1199" s="64" t="s">
        <v>324</v>
      </c>
      <c r="F1199" s="65" t="s">
        <v>638</v>
      </c>
      <c r="G1199" s="64" t="s">
        <v>538</v>
      </c>
      <c r="H1199" s="64" t="s">
        <v>263</v>
      </c>
      <c r="I1199" s="64" t="s">
        <v>10</v>
      </c>
      <c r="J1199" s="64" t="s">
        <v>201</v>
      </c>
      <c r="K1199" s="66">
        <v>25</v>
      </c>
      <c r="L1199" s="66">
        <f>K1199*VLOOKUP(I1199,dagsoorttabel1,2,FALSE)</f>
        <v>25</v>
      </c>
      <c r="M1199" s="67">
        <f>prodnorm63</f>
        <v>0</v>
      </c>
      <c r="N1199" s="68">
        <f>dagwerk63</f>
        <v>0</v>
      </c>
      <c r="O1199" s="64" t="s">
        <v>38</v>
      </c>
      <c r="P1199" s="69">
        <f>uurtarief63</f>
        <v>0</v>
      </c>
      <c r="Q1199" s="66" t="e">
        <f>IF(ISBLANK(M1199),0,L1199/ROUND(M1199,4))</f>
        <v>#DIV/0!</v>
      </c>
      <c r="R1199" s="66" t="e">
        <f>IF(ISBLANK(M1199),0,Q1199*ROUND(N1199,2))</f>
        <v>#DIV/0!</v>
      </c>
      <c r="S1199" s="69" t="e">
        <f>ROUND(P1199,2)*Q1199</f>
        <v>#DIV/0!</v>
      </c>
      <c r="T1199" s="66" t="e">
        <f>Q1199*dagenperjaar1</f>
        <v>#DIV/0!</v>
      </c>
      <c r="U1199" s="70" t="e">
        <f>T1199*ROUND(P1199,2)</f>
        <v>#DIV/0!</v>
      </c>
    </row>
    <row r="1200" spans="1:21" x14ac:dyDescent="0.2">
      <c r="A1200" s="63" t="s">
        <v>1784</v>
      </c>
      <c r="B1200" s="64" t="s">
        <v>324</v>
      </c>
      <c r="C1200" s="64" t="s">
        <v>345</v>
      </c>
      <c r="D1200" s="64" t="s">
        <v>416</v>
      </c>
      <c r="E1200" s="64" t="s">
        <v>324</v>
      </c>
      <c r="F1200" s="65" t="s">
        <v>1789</v>
      </c>
      <c r="G1200" s="64" t="s">
        <v>1785</v>
      </c>
      <c r="H1200" s="64" t="s">
        <v>229</v>
      </c>
      <c r="I1200" s="64" t="s">
        <v>10</v>
      </c>
      <c r="J1200" s="64" t="s">
        <v>201</v>
      </c>
      <c r="K1200" s="66">
        <v>76</v>
      </c>
      <c r="L1200" s="66">
        <f>K1200*VLOOKUP(I1200,dagsoorttabel1,2,FALSE)</f>
        <v>76</v>
      </c>
      <c r="M1200" s="67">
        <f>prodnorm43</f>
        <v>0</v>
      </c>
      <c r="N1200" s="68">
        <f>dagwerk43</f>
        <v>0</v>
      </c>
      <c r="O1200" s="64" t="s">
        <v>38</v>
      </c>
      <c r="P1200" s="69">
        <f>uurtarief43</f>
        <v>0</v>
      </c>
      <c r="Q1200" s="66" t="e">
        <f>IF(ISBLANK(M1200),0,L1200/ROUND(M1200,4))</f>
        <v>#DIV/0!</v>
      </c>
      <c r="R1200" s="66" t="e">
        <f>IF(ISBLANK(M1200),0,Q1200*ROUND(N1200,2))</f>
        <v>#DIV/0!</v>
      </c>
      <c r="S1200" s="69" t="e">
        <f>ROUND(P1200,2)*Q1200</f>
        <v>#DIV/0!</v>
      </c>
      <c r="T1200" s="66" t="e">
        <f>Q1200*dagenperjaar1</f>
        <v>#DIV/0!</v>
      </c>
      <c r="U1200" s="70" t="e">
        <f>T1200*ROUND(P1200,2)</f>
        <v>#DIV/0!</v>
      </c>
    </row>
    <row r="1201" spans="1:21" x14ac:dyDescent="0.2">
      <c r="A1201" s="63" t="s">
        <v>1784</v>
      </c>
      <c r="B1201" s="64" t="s">
        <v>324</v>
      </c>
      <c r="C1201" s="64" t="s">
        <v>345</v>
      </c>
      <c r="D1201" s="64" t="s">
        <v>1592</v>
      </c>
      <c r="E1201" s="64" t="s">
        <v>324</v>
      </c>
      <c r="F1201" s="65" t="s">
        <v>671</v>
      </c>
      <c r="G1201" s="64" t="s">
        <v>365</v>
      </c>
      <c r="H1201" s="64" t="s">
        <v>255</v>
      </c>
      <c r="I1201" s="64" t="s">
        <v>10</v>
      </c>
      <c r="J1201" s="64" t="s">
        <v>201</v>
      </c>
      <c r="K1201" s="66">
        <v>7</v>
      </c>
      <c r="L1201" s="66">
        <f>K1201*VLOOKUP(I1201,dagsoorttabel1,2,FALSE)</f>
        <v>7</v>
      </c>
      <c r="M1201" s="67">
        <f>prodnorm59</f>
        <v>0</v>
      </c>
      <c r="N1201" s="68">
        <f>dagwerk59</f>
        <v>0</v>
      </c>
      <c r="O1201" s="64" t="s">
        <v>38</v>
      </c>
      <c r="P1201" s="69">
        <f>uurtarief59</f>
        <v>0</v>
      </c>
      <c r="Q1201" s="66" t="e">
        <f>IF(ISBLANK(M1201),0,L1201/ROUND(M1201,4))</f>
        <v>#DIV/0!</v>
      </c>
      <c r="R1201" s="66" t="e">
        <f>IF(ISBLANK(M1201),0,Q1201*ROUND(N1201,2))</f>
        <v>#DIV/0!</v>
      </c>
      <c r="S1201" s="69" t="e">
        <f>ROUND(P1201,2)*Q1201</f>
        <v>#DIV/0!</v>
      </c>
      <c r="T1201" s="66" t="e">
        <f>Q1201*dagenperjaar1</f>
        <v>#DIV/0!</v>
      </c>
      <c r="U1201" s="70" t="e">
        <f>T1201*ROUND(P1201,2)</f>
        <v>#DIV/0!</v>
      </c>
    </row>
    <row r="1202" spans="1:21" x14ac:dyDescent="0.2">
      <c r="A1202" s="63" t="s">
        <v>1784</v>
      </c>
      <c r="B1202" s="64" t="s">
        <v>324</v>
      </c>
      <c r="C1202" s="64" t="s">
        <v>345</v>
      </c>
      <c r="D1202" s="64" t="s">
        <v>1592</v>
      </c>
      <c r="E1202" s="64" t="s">
        <v>324</v>
      </c>
      <c r="F1202" s="65" t="s">
        <v>671</v>
      </c>
      <c r="G1202" s="64" t="s">
        <v>365</v>
      </c>
      <c r="H1202" s="64" t="s">
        <v>257</v>
      </c>
      <c r="I1202" s="64" t="s">
        <v>10</v>
      </c>
      <c r="J1202" s="64" t="s">
        <v>201</v>
      </c>
      <c r="K1202" s="66">
        <v>7</v>
      </c>
      <c r="L1202" s="66">
        <f>K1202*VLOOKUP(I1202,dagsoorttabel1,2,FALSE)</f>
        <v>7</v>
      </c>
      <c r="M1202" s="67">
        <f>prodnorm60</f>
        <v>0</v>
      </c>
      <c r="N1202" s="68">
        <f>dagwerk60</f>
        <v>0</v>
      </c>
      <c r="O1202" s="64" t="s">
        <v>38</v>
      </c>
      <c r="P1202" s="69">
        <f>uurtarief60</f>
        <v>0</v>
      </c>
      <c r="Q1202" s="66" t="e">
        <f>IF(ISBLANK(M1202),0,L1202/ROUND(M1202,4))</f>
        <v>#DIV/0!</v>
      </c>
      <c r="R1202" s="66" t="e">
        <f>IF(ISBLANK(M1202),0,Q1202*ROUND(N1202,2))</f>
        <v>#DIV/0!</v>
      </c>
      <c r="S1202" s="69" t="e">
        <f>ROUND(P1202,2)*Q1202</f>
        <v>#DIV/0!</v>
      </c>
      <c r="T1202" s="66" t="e">
        <f>Q1202*dagenperjaar1</f>
        <v>#DIV/0!</v>
      </c>
      <c r="U1202" s="70" t="e">
        <f>T1202*ROUND(P1202,2)</f>
        <v>#DIV/0!</v>
      </c>
    </row>
    <row r="1203" spans="1:21" x14ac:dyDescent="0.2">
      <c r="A1203" s="63" t="s">
        <v>1784</v>
      </c>
      <c r="B1203" s="64" t="s">
        <v>324</v>
      </c>
      <c r="C1203" s="64" t="s">
        <v>345</v>
      </c>
      <c r="D1203" s="64" t="s">
        <v>418</v>
      </c>
      <c r="E1203" s="64" t="s">
        <v>324</v>
      </c>
      <c r="F1203" s="65" t="s">
        <v>1790</v>
      </c>
      <c r="G1203" s="64" t="s">
        <v>1785</v>
      </c>
      <c r="H1203" s="64" t="s">
        <v>229</v>
      </c>
      <c r="I1203" s="64" t="s">
        <v>10</v>
      </c>
      <c r="J1203" s="64" t="s">
        <v>201</v>
      </c>
      <c r="K1203" s="66">
        <v>68</v>
      </c>
      <c r="L1203" s="66">
        <f>K1203*VLOOKUP(I1203,dagsoorttabel1,2,FALSE)</f>
        <v>68</v>
      </c>
      <c r="M1203" s="67">
        <f>prodnorm43</f>
        <v>0</v>
      </c>
      <c r="N1203" s="68">
        <f>dagwerk43</f>
        <v>0</v>
      </c>
      <c r="O1203" s="64" t="s">
        <v>38</v>
      </c>
      <c r="P1203" s="69">
        <f>uurtarief43</f>
        <v>0</v>
      </c>
      <c r="Q1203" s="66" t="e">
        <f>IF(ISBLANK(M1203),0,L1203/ROUND(M1203,4))</f>
        <v>#DIV/0!</v>
      </c>
      <c r="R1203" s="66" t="e">
        <f>IF(ISBLANK(M1203),0,Q1203*ROUND(N1203,2))</f>
        <v>#DIV/0!</v>
      </c>
      <c r="S1203" s="69" t="e">
        <f>ROUND(P1203,2)*Q1203</f>
        <v>#DIV/0!</v>
      </c>
      <c r="T1203" s="66" t="e">
        <f>Q1203*dagenperjaar1</f>
        <v>#DIV/0!</v>
      </c>
      <c r="U1203" s="70" t="e">
        <f>T1203*ROUND(P1203,2)</f>
        <v>#DIV/0!</v>
      </c>
    </row>
    <row r="1204" spans="1:21" x14ac:dyDescent="0.2">
      <c r="A1204" s="63" t="s">
        <v>1784</v>
      </c>
      <c r="B1204" s="64" t="s">
        <v>324</v>
      </c>
      <c r="C1204" s="64" t="s">
        <v>345</v>
      </c>
      <c r="D1204" s="64" t="s">
        <v>1594</v>
      </c>
      <c r="E1204" s="64" t="s">
        <v>324</v>
      </c>
      <c r="F1204" s="65" t="s">
        <v>1393</v>
      </c>
      <c r="G1204" s="64" t="s">
        <v>1785</v>
      </c>
      <c r="H1204" s="64" t="s">
        <v>229</v>
      </c>
      <c r="I1204" s="64" t="s">
        <v>10</v>
      </c>
      <c r="J1204" s="64" t="s">
        <v>201</v>
      </c>
      <c r="K1204" s="66">
        <v>68</v>
      </c>
      <c r="L1204" s="66">
        <f>K1204*VLOOKUP(I1204,dagsoorttabel1,2,FALSE)</f>
        <v>68</v>
      </c>
      <c r="M1204" s="67">
        <f>prodnorm43</f>
        <v>0</v>
      </c>
      <c r="N1204" s="68">
        <f>dagwerk43</f>
        <v>0</v>
      </c>
      <c r="O1204" s="64" t="s">
        <v>38</v>
      </c>
      <c r="P1204" s="69">
        <f>uurtarief43</f>
        <v>0</v>
      </c>
      <c r="Q1204" s="66" t="e">
        <f>IF(ISBLANK(M1204),0,L1204/ROUND(M1204,4))</f>
        <v>#DIV/0!</v>
      </c>
      <c r="R1204" s="66" t="e">
        <f>IF(ISBLANK(M1204),0,Q1204*ROUND(N1204,2))</f>
        <v>#DIV/0!</v>
      </c>
      <c r="S1204" s="69" t="e">
        <f>ROUND(P1204,2)*Q1204</f>
        <v>#DIV/0!</v>
      </c>
      <c r="T1204" s="66" t="e">
        <f>Q1204*dagenperjaar1</f>
        <v>#DIV/0!</v>
      </c>
      <c r="U1204" s="70" t="e">
        <f>T1204*ROUND(P1204,2)</f>
        <v>#DIV/0!</v>
      </c>
    </row>
    <row r="1205" spans="1:21" x14ac:dyDescent="0.2">
      <c r="A1205" s="63" t="s">
        <v>1784</v>
      </c>
      <c r="B1205" s="64" t="s">
        <v>324</v>
      </c>
      <c r="C1205" s="64" t="s">
        <v>345</v>
      </c>
      <c r="D1205" s="64" t="s">
        <v>1596</v>
      </c>
      <c r="E1205" s="64" t="s">
        <v>324</v>
      </c>
      <c r="F1205" s="65" t="s">
        <v>1791</v>
      </c>
      <c r="G1205" s="64" t="s">
        <v>365</v>
      </c>
      <c r="H1205" s="64" t="s">
        <v>255</v>
      </c>
      <c r="I1205" s="64" t="s">
        <v>10</v>
      </c>
      <c r="J1205" s="64" t="s">
        <v>201</v>
      </c>
      <c r="K1205" s="66">
        <v>7</v>
      </c>
      <c r="L1205" s="66">
        <f>K1205*VLOOKUP(I1205,dagsoorttabel1,2,FALSE)</f>
        <v>7</v>
      </c>
      <c r="M1205" s="67">
        <f>prodnorm59</f>
        <v>0</v>
      </c>
      <c r="N1205" s="68">
        <f>dagwerk59</f>
        <v>0</v>
      </c>
      <c r="O1205" s="64" t="s">
        <v>38</v>
      </c>
      <c r="P1205" s="69">
        <f>uurtarief59</f>
        <v>0</v>
      </c>
      <c r="Q1205" s="66" t="e">
        <f>IF(ISBLANK(M1205),0,L1205/ROUND(M1205,4))</f>
        <v>#DIV/0!</v>
      </c>
      <c r="R1205" s="66" t="e">
        <f>IF(ISBLANK(M1205),0,Q1205*ROUND(N1205,2))</f>
        <v>#DIV/0!</v>
      </c>
      <c r="S1205" s="69" t="e">
        <f>ROUND(P1205,2)*Q1205</f>
        <v>#DIV/0!</v>
      </c>
      <c r="T1205" s="66" t="e">
        <f>Q1205*dagenperjaar1</f>
        <v>#DIV/0!</v>
      </c>
      <c r="U1205" s="70" t="e">
        <f>T1205*ROUND(P1205,2)</f>
        <v>#DIV/0!</v>
      </c>
    </row>
    <row r="1206" spans="1:21" x14ac:dyDescent="0.2">
      <c r="A1206" s="63" t="s">
        <v>1784</v>
      </c>
      <c r="B1206" s="64" t="s">
        <v>324</v>
      </c>
      <c r="C1206" s="64" t="s">
        <v>345</v>
      </c>
      <c r="D1206" s="64" t="s">
        <v>1596</v>
      </c>
      <c r="E1206" s="64" t="s">
        <v>324</v>
      </c>
      <c r="F1206" s="65" t="s">
        <v>1791</v>
      </c>
      <c r="G1206" s="64" t="s">
        <v>365</v>
      </c>
      <c r="H1206" s="64" t="s">
        <v>257</v>
      </c>
      <c r="I1206" s="64" t="s">
        <v>10</v>
      </c>
      <c r="J1206" s="64" t="s">
        <v>201</v>
      </c>
      <c r="K1206" s="66">
        <v>7</v>
      </c>
      <c r="L1206" s="66">
        <f>K1206*VLOOKUP(I1206,dagsoorttabel1,2,FALSE)</f>
        <v>7</v>
      </c>
      <c r="M1206" s="67">
        <f>prodnorm60</f>
        <v>0</v>
      </c>
      <c r="N1206" s="68">
        <f>dagwerk60</f>
        <v>0</v>
      </c>
      <c r="O1206" s="64" t="s">
        <v>38</v>
      </c>
      <c r="P1206" s="69">
        <f>uurtarief60</f>
        <v>0</v>
      </c>
      <c r="Q1206" s="66" t="e">
        <f>IF(ISBLANK(M1206),0,L1206/ROUND(M1206,4))</f>
        <v>#DIV/0!</v>
      </c>
      <c r="R1206" s="66" t="e">
        <f>IF(ISBLANK(M1206),0,Q1206*ROUND(N1206,2))</f>
        <v>#DIV/0!</v>
      </c>
      <c r="S1206" s="69" t="e">
        <f>ROUND(P1206,2)*Q1206</f>
        <v>#DIV/0!</v>
      </c>
      <c r="T1206" s="66" t="e">
        <f>Q1206*dagenperjaar1</f>
        <v>#DIV/0!</v>
      </c>
      <c r="U1206" s="70" t="e">
        <f>T1206*ROUND(P1206,2)</f>
        <v>#DIV/0!</v>
      </c>
    </row>
    <row r="1207" spans="1:21" x14ac:dyDescent="0.2">
      <c r="A1207" s="63" t="s">
        <v>1784</v>
      </c>
      <c r="B1207" s="64" t="s">
        <v>324</v>
      </c>
      <c r="C1207" s="64" t="s">
        <v>345</v>
      </c>
      <c r="D1207" s="64" t="s">
        <v>873</v>
      </c>
      <c r="E1207" s="64" t="s">
        <v>324</v>
      </c>
      <c r="F1207" s="65" t="s">
        <v>335</v>
      </c>
      <c r="G1207" s="64" t="s">
        <v>1785</v>
      </c>
      <c r="H1207" s="64" t="s">
        <v>229</v>
      </c>
      <c r="I1207" s="64" t="s">
        <v>10</v>
      </c>
      <c r="J1207" s="64" t="s">
        <v>201</v>
      </c>
      <c r="K1207" s="66">
        <v>76</v>
      </c>
      <c r="L1207" s="66">
        <f>K1207*VLOOKUP(I1207,dagsoorttabel1,2,FALSE)</f>
        <v>76</v>
      </c>
      <c r="M1207" s="67">
        <f>prodnorm43</f>
        <v>0</v>
      </c>
      <c r="N1207" s="68">
        <f>dagwerk43</f>
        <v>0</v>
      </c>
      <c r="O1207" s="64" t="s">
        <v>38</v>
      </c>
      <c r="P1207" s="69">
        <f>uurtarief43</f>
        <v>0</v>
      </c>
      <c r="Q1207" s="66" t="e">
        <f>IF(ISBLANK(M1207),0,L1207/ROUND(M1207,4))</f>
        <v>#DIV/0!</v>
      </c>
      <c r="R1207" s="66" t="e">
        <f>IF(ISBLANK(M1207),0,Q1207*ROUND(N1207,2))</f>
        <v>#DIV/0!</v>
      </c>
      <c r="S1207" s="69" t="e">
        <f>ROUND(P1207,2)*Q1207</f>
        <v>#DIV/0!</v>
      </c>
      <c r="T1207" s="66" t="e">
        <f>Q1207*dagenperjaar1</f>
        <v>#DIV/0!</v>
      </c>
      <c r="U1207" s="70" t="e">
        <f>T1207*ROUND(P1207,2)</f>
        <v>#DIV/0!</v>
      </c>
    </row>
    <row r="1208" spans="1:21" x14ac:dyDescent="0.2">
      <c r="A1208" s="63" t="s">
        <v>1784</v>
      </c>
      <c r="B1208" s="64" t="s">
        <v>324</v>
      </c>
      <c r="C1208" s="64" t="s">
        <v>345</v>
      </c>
      <c r="D1208" s="64" t="s">
        <v>874</v>
      </c>
      <c r="E1208" s="64" t="s">
        <v>324</v>
      </c>
      <c r="F1208" s="65" t="s">
        <v>1792</v>
      </c>
      <c r="G1208" s="64" t="s">
        <v>1785</v>
      </c>
      <c r="H1208" s="64" t="s">
        <v>205</v>
      </c>
      <c r="I1208" s="64" t="s">
        <v>10</v>
      </c>
      <c r="J1208" s="64" t="s">
        <v>201</v>
      </c>
      <c r="K1208" s="66">
        <v>84</v>
      </c>
      <c r="L1208" s="66">
        <f>K1208*VLOOKUP(I1208,dagsoorttabel1,2,FALSE)</f>
        <v>84</v>
      </c>
      <c r="M1208" s="67">
        <f>prodnorm26</f>
        <v>0</v>
      </c>
      <c r="N1208" s="68">
        <f>dagwerk26</f>
        <v>0</v>
      </c>
      <c r="O1208" s="64" t="s">
        <v>38</v>
      </c>
      <c r="P1208" s="69">
        <f>uurtarief26</f>
        <v>0</v>
      </c>
      <c r="Q1208" s="66" t="e">
        <f>IF(ISBLANK(M1208),0,L1208/ROUND(M1208,4))</f>
        <v>#DIV/0!</v>
      </c>
      <c r="R1208" s="66" t="e">
        <f>IF(ISBLANK(M1208),0,Q1208*ROUND(N1208,2))</f>
        <v>#DIV/0!</v>
      </c>
      <c r="S1208" s="69" t="e">
        <f>ROUND(P1208,2)*Q1208</f>
        <v>#DIV/0!</v>
      </c>
      <c r="T1208" s="66" t="e">
        <f>Q1208*dagenperjaar1</f>
        <v>#DIV/0!</v>
      </c>
      <c r="U1208" s="70" t="e">
        <f>T1208*ROUND(P1208,2)</f>
        <v>#DIV/0!</v>
      </c>
    </row>
    <row r="1209" spans="1:21" x14ac:dyDescent="0.2">
      <c r="A1209" s="63" t="s">
        <v>1784</v>
      </c>
      <c r="B1209" s="64" t="s">
        <v>324</v>
      </c>
      <c r="C1209" s="64" t="s">
        <v>345</v>
      </c>
      <c r="D1209" s="64" t="s">
        <v>1324</v>
      </c>
      <c r="E1209" s="64" t="s">
        <v>324</v>
      </c>
      <c r="F1209" s="65" t="s">
        <v>1393</v>
      </c>
      <c r="G1209" s="64" t="s">
        <v>1785</v>
      </c>
      <c r="H1209" s="64" t="s">
        <v>229</v>
      </c>
      <c r="I1209" s="64" t="s">
        <v>10</v>
      </c>
      <c r="J1209" s="64" t="s">
        <v>201</v>
      </c>
      <c r="K1209" s="66">
        <v>68</v>
      </c>
      <c r="L1209" s="66">
        <f>K1209*VLOOKUP(I1209,dagsoorttabel1,2,FALSE)</f>
        <v>68</v>
      </c>
      <c r="M1209" s="67">
        <f>prodnorm43</f>
        <v>0</v>
      </c>
      <c r="N1209" s="68">
        <f>dagwerk43</f>
        <v>0</v>
      </c>
      <c r="O1209" s="64" t="s">
        <v>38</v>
      </c>
      <c r="P1209" s="69">
        <f>uurtarief43</f>
        <v>0</v>
      </c>
      <c r="Q1209" s="66" t="e">
        <f>IF(ISBLANK(M1209),0,L1209/ROUND(M1209,4))</f>
        <v>#DIV/0!</v>
      </c>
      <c r="R1209" s="66" t="e">
        <f>IF(ISBLANK(M1209),0,Q1209*ROUND(N1209,2))</f>
        <v>#DIV/0!</v>
      </c>
      <c r="S1209" s="69" t="e">
        <f>ROUND(P1209,2)*Q1209</f>
        <v>#DIV/0!</v>
      </c>
      <c r="T1209" s="66" t="e">
        <f>Q1209*dagenperjaar1</f>
        <v>#DIV/0!</v>
      </c>
      <c r="U1209" s="70" t="e">
        <f>T1209*ROUND(P1209,2)</f>
        <v>#DIV/0!</v>
      </c>
    </row>
    <row r="1210" spans="1:21" x14ac:dyDescent="0.2">
      <c r="A1210" s="63" t="s">
        <v>1784</v>
      </c>
      <c r="B1210" s="64" t="s">
        <v>324</v>
      </c>
      <c r="C1210" s="64" t="s">
        <v>345</v>
      </c>
      <c r="D1210" s="64" t="s">
        <v>876</v>
      </c>
      <c r="E1210" s="64" t="s">
        <v>324</v>
      </c>
      <c r="F1210" s="65" t="s">
        <v>1793</v>
      </c>
      <c r="G1210" s="64" t="s">
        <v>365</v>
      </c>
      <c r="H1210" s="64" t="s">
        <v>255</v>
      </c>
      <c r="I1210" s="64" t="s">
        <v>10</v>
      </c>
      <c r="J1210" s="64" t="s">
        <v>201</v>
      </c>
      <c r="K1210" s="66">
        <v>7</v>
      </c>
      <c r="L1210" s="66">
        <f>K1210*VLOOKUP(I1210,dagsoorttabel1,2,FALSE)</f>
        <v>7</v>
      </c>
      <c r="M1210" s="67">
        <f>prodnorm59</f>
        <v>0</v>
      </c>
      <c r="N1210" s="68">
        <f>dagwerk59</f>
        <v>0</v>
      </c>
      <c r="O1210" s="64" t="s">
        <v>38</v>
      </c>
      <c r="P1210" s="69">
        <f>uurtarief59</f>
        <v>0</v>
      </c>
      <c r="Q1210" s="66" t="e">
        <f>IF(ISBLANK(M1210),0,L1210/ROUND(M1210,4))</f>
        <v>#DIV/0!</v>
      </c>
      <c r="R1210" s="66" t="e">
        <f>IF(ISBLANK(M1210),0,Q1210*ROUND(N1210,2))</f>
        <v>#DIV/0!</v>
      </c>
      <c r="S1210" s="69" t="e">
        <f>ROUND(P1210,2)*Q1210</f>
        <v>#DIV/0!</v>
      </c>
      <c r="T1210" s="66" t="e">
        <f>Q1210*dagenperjaar1</f>
        <v>#DIV/0!</v>
      </c>
      <c r="U1210" s="70" t="e">
        <f>T1210*ROUND(P1210,2)</f>
        <v>#DIV/0!</v>
      </c>
    </row>
    <row r="1211" spans="1:21" x14ac:dyDescent="0.2">
      <c r="A1211" s="63" t="s">
        <v>1784</v>
      </c>
      <c r="B1211" s="64" t="s">
        <v>324</v>
      </c>
      <c r="C1211" s="64" t="s">
        <v>345</v>
      </c>
      <c r="D1211" s="64" t="s">
        <v>876</v>
      </c>
      <c r="E1211" s="64" t="s">
        <v>324</v>
      </c>
      <c r="F1211" s="65" t="s">
        <v>1793</v>
      </c>
      <c r="G1211" s="64" t="s">
        <v>365</v>
      </c>
      <c r="H1211" s="64" t="s">
        <v>257</v>
      </c>
      <c r="I1211" s="64" t="s">
        <v>10</v>
      </c>
      <c r="J1211" s="64" t="s">
        <v>201</v>
      </c>
      <c r="K1211" s="66">
        <v>7</v>
      </c>
      <c r="L1211" s="66">
        <f>K1211*VLOOKUP(I1211,dagsoorttabel1,2,FALSE)</f>
        <v>7</v>
      </c>
      <c r="M1211" s="67">
        <f>prodnorm60</f>
        <v>0</v>
      </c>
      <c r="N1211" s="68">
        <f>dagwerk60</f>
        <v>0</v>
      </c>
      <c r="O1211" s="64" t="s">
        <v>38</v>
      </c>
      <c r="P1211" s="69">
        <f>uurtarief60</f>
        <v>0</v>
      </c>
      <c r="Q1211" s="66" t="e">
        <f>IF(ISBLANK(M1211),0,L1211/ROUND(M1211,4))</f>
        <v>#DIV/0!</v>
      </c>
      <c r="R1211" s="66" t="e">
        <f>IF(ISBLANK(M1211),0,Q1211*ROUND(N1211,2))</f>
        <v>#DIV/0!</v>
      </c>
      <c r="S1211" s="69" t="e">
        <f>ROUND(P1211,2)*Q1211</f>
        <v>#DIV/0!</v>
      </c>
      <c r="T1211" s="66" t="e">
        <f>Q1211*dagenperjaar1</f>
        <v>#DIV/0!</v>
      </c>
      <c r="U1211" s="70" t="e">
        <f>T1211*ROUND(P1211,2)</f>
        <v>#DIV/0!</v>
      </c>
    </row>
    <row r="1212" spans="1:21" x14ac:dyDescent="0.2">
      <c r="A1212" s="63" t="s">
        <v>1784</v>
      </c>
      <c r="B1212" s="64" t="s">
        <v>324</v>
      </c>
      <c r="C1212" s="64" t="s">
        <v>345</v>
      </c>
      <c r="D1212" s="64" t="s">
        <v>877</v>
      </c>
      <c r="E1212" s="64" t="s">
        <v>324</v>
      </c>
      <c r="F1212" s="65" t="s">
        <v>1393</v>
      </c>
      <c r="G1212" s="64" t="s">
        <v>1785</v>
      </c>
      <c r="H1212" s="64" t="s">
        <v>229</v>
      </c>
      <c r="I1212" s="64" t="s">
        <v>10</v>
      </c>
      <c r="J1212" s="64" t="s">
        <v>201</v>
      </c>
      <c r="K1212" s="66">
        <v>68</v>
      </c>
      <c r="L1212" s="66">
        <f>K1212*VLOOKUP(I1212,dagsoorttabel1,2,FALSE)</f>
        <v>68</v>
      </c>
      <c r="M1212" s="67">
        <f>prodnorm43</f>
        <v>0</v>
      </c>
      <c r="N1212" s="68">
        <f>dagwerk43</f>
        <v>0</v>
      </c>
      <c r="O1212" s="64" t="s">
        <v>38</v>
      </c>
      <c r="P1212" s="69">
        <f>uurtarief43</f>
        <v>0</v>
      </c>
      <c r="Q1212" s="66" t="e">
        <f>IF(ISBLANK(M1212),0,L1212/ROUND(M1212,4))</f>
        <v>#DIV/0!</v>
      </c>
      <c r="R1212" s="66" t="e">
        <f>IF(ISBLANK(M1212),0,Q1212*ROUND(N1212,2))</f>
        <v>#DIV/0!</v>
      </c>
      <c r="S1212" s="69" t="e">
        <f>ROUND(P1212,2)*Q1212</f>
        <v>#DIV/0!</v>
      </c>
      <c r="T1212" s="66" t="e">
        <f>Q1212*dagenperjaar1</f>
        <v>#DIV/0!</v>
      </c>
      <c r="U1212" s="70" t="e">
        <f>T1212*ROUND(P1212,2)</f>
        <v>#DIV/0!</v>
      </c>
    </row>
    <row r="1213" spans="1:21" x14ac:dyDescent="0.2">
      <c r="A1213" s="63" t="s">
        <v>1784</v>
      </c>
      <c r="B1213" s="64" t="s">
        <v>324</v>
      </c>
      <c r="C1213" s="64" t="s">
        <v>323</v>
      </c>
      <c r="D1213" s="64" t="s">
        <v>426</v>
      </c>
      <c r="E1213" s="64" t="s">
        <v>324</v>
      </c>
      <c r="F1213" s="65" t="s">
        <v>623</v>
      </c>
      <c r="G1213" s="64" t="s">
        <v>351</v>
      </c>
      <c r="H1213" s="64" t="s">
        <v>207</v>
      </c>
      <c r="I1213" s="64" t="s">
        <v>10</v>
      </c>
      <c r="J1213" s="64" t="s">
        <v>201</v>
      </c>
      <c r="K1213" s="66">
        <v>92</v>
      </c>
      <c r="L1213" s="66">
        <f>K1213*VLOOKUP(I1213,dagsoorttabel1,2,FALSE)</f>
        <v>92</v>
      </c>
      <c r="M1213" s="67">
        <f>prodnorm28</f>
        <v>0</v>
      </c>
      <c r="N1213" s="68">
        <f>dagwerk28</f>
        <v>0</v>
      </c>
      <c r="O1213" s="64" t="s">
        <v>38</v>
      </c>
      <c r="P1213" s="69">
        <f>uurtarief28</f>
        <v>0</v>
      </c>
      <c r="Q1213" s="66" t="e">
        <f>IF(ISBLANK(M1213),0,L1213/ROUND(M1213,4))</f>
        <v>#DIV/0!</v>
      </c>
      <c r="R1213" s="66" t="e">
        <f>IF(ISBLANK(M1213),0,Q1213*ROUND(N1213,2))</f>
        <v>#DIV/0!</v>
      </c>
      <c r="S1213" s="69" t="e">
        <f>ROUND(P1213,2)*Q1213</f>
        <v>#DIV/0!</v>
      </c>
      <c r="T1213" s="66" t="e">
        <f>Q1213*dagenperjaar1</f>
        <v>#DIV/0!</v>
      </c>
      <c r="U1213" s="70" t="e">
        <f>T1213*ROUND(P1213,2)</f>
        <v>#DIV/0!</v>
      </c>
    </row>
    <row r="1214" spans="1:21" x14ac:dyDescent="0.2">
      <c r="A1214" s="63" t="s">
        <v>1784</v>
      </c>
      <c r="B1214" s="64" t="s">
        <v>324</v>
      </c>
      <c r="C1214" s="64" t="s">
        <v>323</v>
      </c>
      <c r="D1214" s="64" t="s">
        <v>441</v>
      </c>
      <c r="E1214" s="64" t="s">
        <v>324</v>
      </c>
      <c r="F1214" s="65" t="s">
        <v>641</v>
      </c>
      <c r="G1214" s="64" t="s">
        <v>365</v>
      </c>
      <c r="H1214" s="64" t="s">
        <v>255</v>
      </c>
      <c r="I1214" s="64" t="s">
        <v>10</v>
      </c>
      <c r="J1214" s="64" t="s">
        <v>201</v>
      </c>
      <c r="K1214" s="66">
        <v>6</v>
      </c>
      <c r="L1214" s="66">
        <f>K1214*VLOOKUP(I1214,dagsoorttabel1,2,FALSE)</f>
        <v>6</v>
      </c>
      <c r="M1214" s="67">
        <f>prodnorm59</f>
        <v>0</v>
      </c>
      <c r="N1214" s="68">
        <f>dagwerk59</f>
        <v>0</v>
      </c>
      <c r="O1214" s="64" t="s">
        <v>38</v>
      </c>
      <c r="P1214" s="69">
        <f>uurtarief59</f>
        <v>0</v>
      </c>
      <c r="Q1214" s="66" t="e">
        <f>IF(ISBLANK(M1214),0,L1214/ROUND(M1214,4))</f>
        <v>#DIV/0!</v>
      </c>
      <c r="R1214" s="66" t="e">
        <f>IF(ISBLANK(M1214),0,Q1214*ROUND(N1214,2))</f>
        <v>#DIV/0!</v>
      </c>
      <c r="S1214" s="69" t="e">
        <f>ROUND(P1214,2)*Q1214</f>
        <v>#DIV/0!</v>
      </c>
      <c r="T1214" s="66" t="e">
        <f>Q1214*dagenperjaar1</f>
        <v>#DIV/0!</v>
      </c>
      <c r="U1214" s="70" t="e">
        <f>T1214*ROUND(P1214,2)</f>
        <v>#DIV/0!</v>
      </c>
    </row>
    <row r="1215" spans="1:21" x14ac:dyDescent="0.2">
      <c r="A1215" s="63" t="s">
        <v>1784</v>
      </c>
      <c r="B1215" s="64" t="s">
        <v>324</v>
      </c>
      <c r="C1215" s="64" t="s">
        <v>323</v>
      </c>
      <c r="D1215" s="64" t="s">
        <v>441</v>
      </c>
      <c r="E1215" s="64" t="s">
        <v>324</v>
      </c>
      <c r="F1215" s="65" t="s">
        <v>641</v>
      </c>
      <c r="G1215" s="64" t="s">
        <v>365</v>
      </c>
      <c r="H1215" s="64" t="s">
        <v>257</v>
      </c>
      <c r="I1215" s="64" t="s">
        <v>10</v>
      </c>
      <c r="J1215" s="64" t="s">
        <v>201</v>
      </c>
      <c r="K1215" s="66">
        <v>6</v>
      </c>
      <c r="L1215" s="66">
        <f>K1215*VLOOKUP(I1215,dagsoorttabel1,2,FALSE)</f>
        <v>6</v>
      </c>
      <c r="M1215" s="67">
        <f>prodnorm60</f>
        <v>0</v>
      </c>
      <c r="N1215" s="68">
        <f>dagwerk60</f>
        <v>0</v>
      </c>
      <c r="O1215" s="64" t="s">
        <v>38</v>
      </c>
      <c r="P1215" s="69">
        <f>uurtarief60</f>
        <v>0</v>
      </c>
      <c r="Q1215" s="66" t="e">
        <f>IF(ISBLANK(M1215),0,L1215/ROUND(M1215,4))</f>
        <v>#DIV/0!</v>
      </c>
      <c r="R1215" s="66" t="e">
        <f>IF(ISBLANK(M1215),0,Q1215*ROUND(N1215,2))</f>
        <v>#DIV/0!</v>
      </c>
      <c r="S1215" s="69" t="e">
        <f>ROUND(P1215,2)*Q1215</f>
        <v>#DIV/0!</v>
      </c>
      <c r="T1215" s="66" t="e">
        <f>Q1215*dagenperjaar1</f>
        <v>#DIV/0!</v>
      </c>
      <c r="U1215" s="70" t="e">
        <f>T1215*ROUND(P1215,2)</f>
        <v>#DIV/0!</v>
      </c>
    </row>
    <row r="1216" spans="1:21" x14ac:dyDescent="0.2">
      <c r="A1216" s="63" t="s">
        <v>1784</v>
      </c>
      <c r="B1216" s="64" t="s">
        <v>324</v>
      </c>
      <c r="C1216" s="64" t="s">
        <v>323</v>
      </c>
      <c r="D1216" s="64" t="s">
        <v>1343</v>
      </c>
      <c r="E1216" s="64" t="s">
        <v>324</v>
      </c>
      <c r="F1216" s="65" t="s">
        <v>1794</v>
      </c>
      <c r="G1216" s="64" t="s">
        <v>351</v>
      </c>
      <c r="H1216" s="64" t="s">
        <v>207</v>
      </c>
      <c r="I1216" s="64" t="s">
        <v>10</v>
      </c>
      <c r="J1216" s="64" t="s">
        <v>201</v>
      </c>
      <c r="K1216" s="66">
        <v>33</v>
      </c>
      <c r="L1216" s="66">
        <f>K1216*VLOOKUP(I1216,dagsoorttabel1,2,FALSE)</f>
        <v>33</v>
      </c>
      <c r="M1216" s="67">
        <f>prodnorm28</f>
        <v>0</v>
      </c>
      <c r="N1216" s="68">
        <f>dagwerk28</f>
        <v>0</v>
      </c>
      <c r="O1216" s="64" t="s">
        <v>38</v>
      </c>
      <c r="P1216" s="69">
        <f>uurtarief28</f>
        <v>0</v>
      </c>
      <c r="Q1216" s="66" t="e">
        <f>IF(ISBLANK(M1216),0,L1216/ROUND(M1216,4))</f>
        <v>#DIV/0!</v>
      </c>
      <c r="R1216" s="66" t="e">
        <f>IF(ISBLANK(M1216),0,Q1216*ROUND(N1216,2))</f>
        <v>#DIV/0!</v>
      </c>
      <c r="S1216" s="69" t="e">
        <f>ROUND(P1216,2)*Q1216</f>
        <v>#DIV/0!</v>
      </c>
      <c r="T1216" s="66" t="e">
        <f>Q1216*dagenperjaar1</f>
        <v>#DIV/0!</v>
      </c>
      <c r="U1216" s="70" t="e">
        <f>T1216*ROUND(P1216,2)</f>
        <v>#DIV/0!</v>
      </c>
    </row>
    <row r="1217" spans="1:21" x14ac:dyDescent="0.2">
      <c r="A1217" s="63" t="s">
        <v>1784</v>
      </c>
      <c r="B1217" s="64" t="s">
        <v>324</v>
      </c>
      <c r="C1217" s="64" t="s">
        <v>323</v>
      </c>
      <c r="D1217" s="64" t="s">
        <v>442</v>
      </c>
      <c r="E1217" s="64" t="s">
        <v>324</v>
      </c>
      <c r="F1217" s="65" t="s">
        <v>1795</v>
      </c>
      <c r="G1217" s="64" t="s">
        <v>1785</v>
      </c>
      <c r="H1217" s="64" t="s">
        <v>229</v>
      </c>
      <c r="I1217" s="64" t="s">
        <v>10</v>
      </c>
      <c r="J1217" s="64" t="s">
        <v>201</v>
      </c>
      <c r="K1217" s="66">
        <v>11</v>
      </c>
      <c r="L1217" s="66">
        <f>K1217*VLOOKUP(I1217,dagsoorttabel1,2,FALSE)</f>
        <v>11</v>
      </c>
      <c r="M1217" s="67">
        <f>prodnorm43</f>
        <v>0</v>
      </c>
      <c r="N1217" s="68">
        <f>dagwerk43</f>
        <v>0</v>
      </c>
      <c r="O1217" s="64" t="s">
        <v>38</v>
      </c>
      <c r="P1217" s="69">
        <f>uurtarief43</f>
        <v>0</v>
      </c>
      <c r="Q1217" s="66" t="e">
        <f>IF(ISBLANK(M1217),0,L1217/ROUND(M1217,4))</f>
        <v>#DIV/0!</v>
      </c>
      <c r="R1217" s="66" t="e">
        <f>IF(ISBLANK(M1217),0,Q1217*ROUND(N1217,2))</f>
        <v>#DIV/0!</v>
      </c>
      <c r="S1217" s="69" t="e">
        <f>ROUND(P1217,2)*Q1217</f>
        <v>#DIV/0!</v>
      </c>
      <c r="T1217" s="66" t="e">
        <f>Q1217*dagenperjaar1</f>
        <v>#DIV/0!</v>
      </c>
      <c r="U1217" s="70" t="e">
        <f>T1217*ROUND(P1217,2)</f>
        <v>#DIV/0!</v>
      </c>
    </row>
    <row r="1218" spans="1:21" x14ac:dyDescent="0.2">
      <c r="A1218" s="63" t="s">
        <v>1784</v>
      </c>
      <c r="B1218" s="64" t="s">
        <v>324</v>
      </c>
      <c r="C1218" s="64" t="s">
        <v>323</v>
      </c>
      <c r="D1218" s="64" t="s">
        <v>444</v>
      </c>
      <c r="E1218" s="64" t="s">
        <v>324</v>
      </c>
      <c r="F1218" s="65" t="s">
        <v>1795</v>
      </c>
      <c r="G1218" s="64" t="s">
        <v>1785</v>
      </c>
      <c r="H1218" s="64" t="s">
        <v>229</v>
      </c>
      <c r="I1218" s="64" t="s">
        <v>10</v>
      </c>
      <c r="J1218" s="64" t="s">
        <v>201</v>
      </c>
      <c r="K1218" s="66">
        <v>11</v>
      </c>
      <c r="L1218" s="66">
        <f>K1218*VLOOKUP(I1218,dagsoorttabel1,2,FALSE)</f>
        <v>11</v>
      </c>
      <c r="M1218" s="67">
        <f>prodnorm43</f>
        <v>0</v>
      </c>
      <c r="N1218" s="68">
        <f>dagwerk43</f>
        <v>0</v>
      </c>
      <c r="O1218" s="64" t="s">
        <v>38</v>
      </c>
      <c r="P1218" s="69">
        <f>uurtarief43</f>
        <v>0</v>
      </c>
      <c r="Q1218" s="66" t="e">
        <f>IF(ISBLANK(M1218),0,L1218/ROUND(M1218,4))</f>
        <v>#DIV/0!</v>
      </c>
      <c r="R1218" s="66" t="e">
        <f>IF(ISBLANK(M1218),0,Q1218*ROUND(N1218,2))</f>
        <v>#DIV/0!</v>
      </c>
      <c r="S1218" s="69" t="e">
        <f>ROUND(P1218,2)*Q1218</f>
        <v>#DIV/0!</v>
      </c>
      <c r="T1218" s="66" t="e">
        <f>Q1218*dagenperjaar1</f>
        <v>#DIV/0!</v>
      </c>
      <c r="U1218" s="70" t="e">
        <f>T1218*ROUND(P1218,2)</f>
        <v>#DIV/0!</v>
      </c>
    </row>
    <row r="1219" spans="1:21" x14ac:dyDescent="0.2">
      <c r="A1219" s="63" t="s">
        <v>1784</v>
      </c>
      <c r="B1219" s="64" t="s">
        <v>324</v>
      </c>
      <c r="C1219" s="64" t="s">
        <v>323</v>
      </c>
      <c r="D1219" s="64" t="s">
        <v>446</v>
      </c>
      <c r="E1219" s="64" t="s">
        <v>324</v>
      </c>
      <c r="F1219" s="65" t="s">
        <v>713</v>
      </c>
      <c r="G1219" s="64" t="s">
        <v>1785</v>
      </c>
      <c r="H1219" s="64" t="s">
        <v>205</v>
      </c>
      <c r="I1219" s="64" t="s">
        <v>10</v>
      </c>
      <c r="J1219" s="64" t="s">
        <v>201</v>
      </c>
      <c r="K1219" s="66">
        <v>11</v>
      </c>
      <c r="L1219" s="66">
        <f>K1219*VLOOKUP(I1219,dagsoorttabel1,2,FALSE)</f>
        <v>11</v>
      </c>
      <c r="M1219" s="67">
        <f>prodnorm26</f>
        <v>0</v>
      </c>
      <c r="N1219" s="68">
        <f>dagwerk26</f>
        <v>0</v>
      </c>
      <c r="O1219" s="64" t="s">
        <v>38</v>
      </c>
      <c r="P1219" s="69">
        <f>uurtarief26</f>
        <v>0</v>
      </c>
      <c r="Q1219" s="66" t="e">
        <f>IF(ISBLANK(M1219),0,L1219/ROUND(M1219,4))</f>
        <v>#DIV/0!</v>
      </c>
      <c r="R1219" s="66" t="e">
        <f>IF(ISBLANK(M1219),0,Q1219*ROUND(N1219,2))</f>
        <v>#DIV/0!</v>
      </c>
      <c r="S1219" s="69" t="e">
        <f>ROUND(P1219,2)*Q1219</f>
        <v>#DIV/0!</v>
      </c>
      <c r="T1219" s="66" t="e">
        <f>Q1219*dagenperjaar1</f>
        <v>#DIV/0!</v>
      </c>
      <c r="U1219" s="70" t="e">
        <f>T1219*ROUND(P1219,2)</f>
        <v>#DIV/0!</v>
      </c>
    </row>
    <row r="1220" spans="1:21" x14ac:dyDescent="0.2">
      <c r="A1220" s="63" t="s">
        <v>1784</v>
      </c>
      <c r="B1220" s="64" t="s">
        <v>324</v>
      </c>
      <c r="C1220" s="64" t="s">
        <v>323</v>
      </c>
      <c r="D1220" s="64" t="s">
        <v>448</v>
      </c>
      <c r="E1220" s="64" t="s">
        <v>324</v>
      </c>
      <c r="F1220" s="65" t="s">
        <v>641</v>
      </c>
      <c r="G1220" s="64" t="s">
        <v>365</v>
      </c>
      <c r="H1220" s="64" t="s">
        <v>255</v>
      </c>
      <c r="I1220" s="64" t="s">
        <v>10</v>
      </c>
      <c r="J1220" s="64" t="s">
        <v>201</v>
      </c>
      <c r="K1220" s="66">
        <v>6</v>
      </c>
      <c r="L1220" s="66">
        <f>K1220*VLOOKUP(I1220,dagsoorttabel1,2,FALSE)</f>
        <v>6</v>
      </c>
      <c r="M1220" s="67">
        <f>prodnorm59</f>
        <v>0</v>
      </c>
      <c r="N1220" s="68">
        <f>dagwerk59</f>
        <v>0</v>
      </c>
      <c r="O1220" s="64" t="s">
        <v>38</v>
      </c>
      <c r="P1220" s="69">
        <f>uurtarief59</f>
        <v>0</v>
      </c>
      <c r="Q1220" s="66" t="e">
        <f>IF(ISBLANK(M1220),0,L1220/ROUND(M1220,4))</f>
        <v>#DIV/0!</v>
      </c>
      <c r="R1220" s="66" t="e">
        <f>IF(ISBLANK(M1220),0,Q1220*ROUND(N1220,2))</f>
        <v>#DIV/0!</v>
      </c>
      <c r="S1220" s="69" t="e">
        <f>ROUND(P1220,2)*Q1220</f>
        <v>#DIV/0!</v>
      </c>
      <c r="T1220" s="66" t="e">
        <f>Q1220*dagenperjaar1</f>
        <v>#DIV/0!</v>
      </c>
      <c r="U1220" s="70" t="e">
        <f>T1220*ROUND(P1220,2)</f>
        <v>#DIV/0!</v>
      </c>
    </row>
    <row r="1221" spans="1:21" x14ac:dyDescent="0.2">
      <c r="A1221" s="63" t="s">
        <v>1784</v>
      </c>
      <c r="B1221" s="64" t="s">
        <v>324</v>
      </c>
      <c r="C1221" s="64" t="s">
        <v>323</v>
      </c>
      <c r="D1221" s="64" t="s">
        <v>448</v>
      </c>
      <c r="E1221" s="64" t="s">
        <v>324</v>
      </c>
      <c r="F1221" s="65" t="s">
        <v>641</v>
      </c>
      <c r="G1221" s="64" t="s">
        <v>365</v>
      </c>
      <c r="H1221" s="64" t="s">
        <v>257</v>
      </c>
      <c r="I1221" s="64" t="s">
        <v>10</v>
      </c>
      <c r="J1221" s="64" t="s">
        <v>201</v>
      </c>
      <c r="K1221" s="66">
        <v>6</v>
      </c>
      <c r="L1221" s="66">
        <f>K1221*VLOOKUP(I1221,dagsoorttabel1,2,FALSE)</f>
        <v>6</v>
      </c>
      <c r="M1221" s="67">
        <f>prodnorm60</f>
        <v>0</v>
      </c>
      <c r="N1221" s="68">
        <f>dagwerk60</f>
        <v>0</v>
      </c>
      <c r="O1221" s="64" t="s">
        <v>38</v>
      </c>
      <c r="P1221" s="69">
        <f>uurtarief60</f>
        <v>0</v>
      </c>
      <c r="Q1221" s="66" t="e">
        <f>IF(ISBLANK(M1221),0,L1221/ROUND(M1221,4))</f>
        <v>#DIV/0!</v>
      </c>
      <c r="R1221" s="66" t="e">
        <f>IF(ISBLANK(M1221),0,Q1221*ROUND(N1221,2))</f>
        <v>#DIV/0!</v>
      </c>
      <c r="S1221" s="69" t="e">
        <f>ROUND(P1221,2)*Q1221</f>
        <v>#DIV/0!</v>
      </c>
      <c r="T1221" s="66" t="e">
        <f>Q1221*dagenperjaar1</f>
        <v>#DIV/0!</v>
      </c>
      <c r="U1221" s="70" t="e">
        <f>T1221*ROUND(P1221,2)</f>
        <v>#DIV/0!</v>
      </c>
    </row>
    <row r="1222" spans="1:21" ht="25.5" x14ac:dyDescent="0.2">
      <c r="A1222" s="63" t="s">
        <v>1784</v>
      </c>
      <c r="B1222" s="64" t="s">
        <v>324</v>
      </c>
      <c r="C1222" s="64" t="s">
        <v>323</v>
      </c>
      <c r="D1222" s="64" t="s">
        <v>451</v>
      </c>
      <c r="E1222" s="64" t="s">
        <v>324</v>
      </c>
      <c r="F1222" s="65" t="s">
        <v>1796</v>
      </c>
      <c r="G1222" s="64" t="s">
        <v>1785</v>
      </c>
      <c r="H1222" s="64" t="s">
        <v>249</v>
      </c>
      <c r="I1222" s="64" t="s">
        <v>10</v>
      </c>
      <c r="J1222" s="64" t="s">
        <v>201</v>
      </c>
      <c r="K1222" s="66">
        <v>53</v>
      </c>
      <c r="L1222" s="66">
        <f>K1222*VLOOKUP(I1222,dagsoorttabel1,2,FALSE)</f>
        <v>53</v>
      </c>
      <c r="M1222" s="67">
        <f>prodnorm56</f>
        <v>0</v>
      </c>
      <c r="N1222" s="68">
        <f>dagwerk56</f>
        <v>0</v>
      </c>
      <c r="O1222" s="64" t="s">
        <v>38</v>
      </c>
      <c r="P1222" s="69">
        <f>uurtarief56</f>
        <v>0</v>
      </c>
      <c r="Q1222" s="66" t="e">
        <f>IF(ISBLANK(M1222),0,L1222/ROUND(M1222,4))</f>
        <v>#DIV/0!</v>
      </c>
      <c r="R1222" s="66" t="e">
        <f>IF(ISBLANK(M1222),0,Q1222*ROUND(N1222,2))</f>
        <v>#DIV/0!</v>
      </c>
      <c r="S1222" s="69" t="e">
        <f>ROUND(P1222,2)*Q1222</f>
        <v>#DIV/0!</v>
      </c>
      <c r="T1222" s="66" t="e">
        <f>Q1222*dagenperjaar1</f>
        <v>#DIV/0!</v>
      </c>
      <c r="U1222" s="70" t="e">
        <f>T1222*ROUND(P1222,2)</f>
        <v>#DIV/0!</v>
      </c>
    </row>
    <row r="1223" spans="1:21" x14ac:dyDescent="0.2">
      <c r="A1223" s="63" t="s">
        <v>1784</v>
      </c>
      <c r="B1223" s="64" t="s">
        <v>324</v>
      </c>
      <c r="C1223" s="64" t="s">
        <v>323</v>
      </c>
      <c r="D1223" s="64" t="s">
        <v>455</v>
      </c>
      <c r="E1223" s="64" t="s">
        <v>324</v>
      </c>
      <c r="F1223" s="65" t="s">
        <v>1797</v>
      </c>
      <c r="G1223" s="64" t="s">
        <v>1785</v>
      </c>
      <c r="H1223" s="64" t="s">
        <v>243</v>
      </c>
      <c r="I1223" s="64" t="s">
        <v>10</v>
      </c>
      <c r="J1223" s="64" t="s">
        <v>201</v>
      </c>
      <c r="K1223" s="66">
        <v>42</v>
      </c>
      <c r="L1223" s="66">
        <f>K1223*VLOOKUP(I1223,dagsoorttabel1,2,FALSE)</f>
        <v>42</v>
      </c>
      <c r="M1223" s="67">
        <f>prodnorm52</f>
        <v>0</v>
      </c>
      <c r="N1223" s="68">
        <f>dagwerk52</f>
        <v>0</v>
      </c>
      <c r="O1223" s="64" t="s">
        <v>38</v>
      </c>
      <c r="P1223" s="69">
        <f>uurtarief52</f>
        <v>0</v>
      </c>
      <c r="Q1223" s="66" t="e">
        <f>IF(ISBLANK(M1223),0,L1223/ROUND(M1223,4))</f>
        <v>#DIV/0!</v>
      </c>
      <c r="R1223" s="66" t="e">
        <f>IF(ISBLANK(M1223),0,Q1223*ROUND(N1223,2))</f>
        <v>#DIV/0!</v>
      </c>
      <c r="S1223" s="69" t="e">
        <f>ROUND(P1223,2)*Q1223</f>
        <v>#DIV/0!</v>
      </c>
      <c r="T1223" s="66" t="e">
        <f>Q1223*dagenperjaar1</f>
        <v>#DIV/0!</v>
      </c>
      <c r="U1223" s="70" t="e">
        <f>T1223*ROUND(P1223,2)</f>
        <v>#DIV/0!</v>
      </c>
    </row>
    <row r="1224" spans="1:21" x14ac:dyDescent="0.2">
      <c r="A1224" s="63" t="s">
        <v>1784</v>
      </c>
      <c r="B1224" s="64" t="s">
        <v>324</v>
      </c>
      <c r="C1224" s="64" t="s">
        <v>323</v>
      </c>
      <c r="D1224" s="64" t="s">
        <v>459</v>
      </c>
      <c r="E1224" s="64" t="s">
        <v>324</v>
      </c>
      <c r="F1224" s="65" t="s">
        <v>335</v>
      </c>
      <c r="G1224" s="64" t="s">
        <v>1785</v>
      </c>
      <c r="H1224" s="64" t="s">
        <v>267</v>
      </c>
      <c r="I1224" s="64" t="s">
        <v>10</v>
      </c>
      <c r="J1224" s="64" t="s">
        <v>201</v>
      </c>
      <c r="K1224" s="66">
        <v>124</v>
      </c>
      <c r="L1224" s="66">
        <f>K1224*VLOOKUP(I1224,dagsoorttabel1,2,FALSE)</f>
        <v>124</v>
      </c>
      <c r="M1224" s="67">
        <f>prodnorm65</f>
        <v>0</v>
      </c>
      <c r="N1224" s="68">
        <f>dagwerk65</f>
        <v>0</v>
      </c>
      <c r="O1224" s="64" t="s">
        <v>38</v>
      </c>
      <c r="P1224" s="69">
        <f>uurtarief65</f>
        <v>0</v>
      </c>
      <c r="Q1224" s="66" t="e">
        <f>IF(ISBLANK(M1224),0,L1224/ROUND(M1224,4))</f>
        <v>#DIV/0!</v>
      </c>
      <c r="R1224" s="66" t="e">
        <f>IF(ISBLANK(M1224),0,Q1224*ROUND(N1224,2))</f>
        <v>#DIV/0!</v>
      </c>
      <c r="S1224" s="69" t="e">
        <f>ROUND(P1224,2)*Q1224</f>
        <v>#DIV/0!</v>
      </c>
      <c r="T1224" s="66" t="e">
        <f>Q1224*dagenperjaar1</f>
        <v>#DIV/0!</v>
      </c>
      <c r="U1224" s="70" t="e">
        <f>T1224*ROUND(P1224,2)</f>
        <v>#DIV/0!</v>
      </c>
    </row>
    <row r="1225" spans="1:21" x14ac:dyDescent="0.2">
      <c r="A1225" s="63" t="s">
        <v>1784</v>
      </c>
      <c r="B1225" s="64" t="s">
        <v>324</v>
      </c>
      <c r="C1225" s="64" t="s">
        <v>323</v>
      </c>
      <c r="D1225" s="64" t="s">
        <v>461</v>
      </c>
      <c r="E1225" s="64" t="s">
        <v>324</v>
      </c>
      <c r="F1225" s="65" t="s">
        <v>335</v>
      </c>
      <c r="G1225" s="64" t="s">
        <v>1785</v>
      </c>
      <c r="H1225" s="64" t="s">
        <v>267</v>
      </c>
      <c r="I1225" s="64" t="s">
        <v>10</v>
      </c>
      <c r="J1225" s="64" t="s">
        <v>201</v>
      </c>
      <c r="K1225" s="66">
        <v>51</v>
      </c>
      <c r="L1225" s="66">
        <f>K1225*VLOOKUP(I1225,dagsoorttabel1,2,FALSE)</f>
        <v>51</v>
      </c>
      <c r="M1225" s="67">
        <f>prodnorm65</f>
        <v>0</v>
      </c>
      <c r="N1225" s="68">
        <f>dagwerk65</f>
        <v>0</v>
      </c>
      <c r="O1225" s="64" t="s">
        <v>38</v>
      </c>
      <c r="P1225" s="69">
        <f>uurtarief65</f>
        <v>0</v>
      </c>
      <c r="Q1225" s="66" t="e">
        <f>IF(ISBLANK(M1225),0,L1225/ROUND(M1225,4))</f>
        <v>#DIV/0!</v>
      </c>
      <c r="R1225" s="66" t="e">
        <f>IF(ISBLANK(M1225),0,Q1225*ROUND(N1225,2))</f>
        <v>#DIV/0!</v>
      </c>
      <c r="S1225" s="69" t="e">
        <f>ROUND(P1225,2)*Q1225</f>
        <v>#DIV/0!</v>
      </c>
      <c r="T1225" s="66" t="e">
        <f>Q1225*dagenperjaar1</f>
        <v>#DIV/0!</v>
      </c>
      <c r="U1225" s="70" t="e">
        <f>T1225*ROUND(P1225,2)</f>
        <v>#DIV/0!</v>
      </c>
    </row>
    <row r="1226" spans="1:21" x14ac:dyDescent="0.2">
      <c r="A1226" s="63" t="s">
        <v>1784</v>
      </c>
      <c r="B1226" s="64" t="s">
        <v>324</v>
      </c>
      <c r="C1226" s="64" t="s">
        <v>323</v>
      </c>
      <c r="D1226" s="64" t="s">
        <v>463</v>
      </c>
      <c r="E1226" s="64" t="s">
        <v>324</v>
      </c>
      <c r="F1226" s="65" t="s">
        <v>1794</v>
      </c>
      <c r="G1226" s="64" t="s">
        <v>1785</v>
      </c>
      <c r="H1226" s="64" t="s">
        <v>205</v>
      </c>
      <c r="I1226" s="64" t="s">
        <v>10</v>
      </c>
      <c r="J1226" s="64" t="s">
        <v>201</v>
      </c>
      <c r="K1226" s="66">
        <v>19</v>
      </c>
      <c r="L1226" s="66">
        <f>K1226*VLOOKUP(I1226,dagsoorttabel1,2,FALSE)</f>
        <v>19</v>
      </c>
      <c r="M1226" s="67">
        <f>prodnorm26</f>
        <v>0</v>
      </c>
      <c r="N1226" s="68">
        <f>dagwerk26</f>
        <v>0</v>
      </c>
      <c r="O1226" s="64" t="s">
        <v>38</v>
      </c>
      <c r="P1226" s="69">
        <f>uurtarief26</f>
        <v>0</v>
      </c>
      <c r="Q1226" s="66" t="e">
        <f>IF(ISBLANK(M1226),0,L1226/ROUND(M1226,4))</f>
        <v>#DIV/0!</v>
      </c>
      <c r="R1226" s="66" t="e">
        <f>IF(ISBLANK(M1226),0,Q1226*ROUND(N1226,2))</f>
        <v>#DIV/0!</v>
      </c>
      <c r="S1226" s="69" t="e">
        <f>ROUND(P1226,2)*Q1226</f>
        <v>#DIV/0!</v>
      </c>
      <c r="T1226" s="66" t="e">
        <f>Q1226*dagenperjaar1</f>
        <v>#DIV/0!</v>
      </c>
      <c r="U1226" s="70" t="e">
        <f>T1226*ROUND(P1226,2)</f>
        <v>#DIV/0!</v>
      </c>
    </row>
    <row r="1227" spans="1:21" x14ac:dyDescent="0.2">
      <c r="A1227" s="63" t="s">
        <v>1784</v>
      </c>
      <c r="B1227" s="64" t="s">
        <v>324</v>
      </c>
      <c r="C1227" s="64" t="s">
        <v>323</v>
      </c>
      <c r="D1227" s="64" t="s">
        <v>926</v>
      </c>
      <c r="E1227" s="64" t="s">
        <v>324</v>
      </c>
      <c r="F1227" s="65" t="s">
        <v>641</v>
      </c>
      <c r="G1227" s="64" t="s">
        <v>365</v>
      </c>
      <c r="H1227" s="64" t="s">
        <v>255</v>
      </c>
      <c r="I1227" s="64" t="s">
        <v>10</v>
      </c>
      <c r="J1227" s="64" t="s">
        <v>201</v>
      </c>
      <c r="K1227" s="66">
        <v>7</v>
      </c>
      <c r="L1227" s="66">
        <f>K1227*VLOOKUP(I1227,dagsoorttabel1,2,FALSE)</f>
        <v>7</v>
      </c>
      <c r="M1227" s="67">
        <f>prodnorm59</f>
        <v>0</v>
      </c>
      <c r="N1227" s="68">
        <f>dagwerk59</f>
        <v>0</v>
      </c>
      <c r="O1227" s="64" t="s">
        <v>38</v>
      </c>
      <c r="P1227" s="69">
        <f>uurtarief59</f>
        <v>0</v>
      </c>
      <c r="Q1227" s="66" t="e">
        <f>IF(ISBLANK(M1227),0,L1227/ROUND(M1227,4))</f>
        <v>#DIV/0!</v>
      </c>
      <c r="R1227" s="66" t="e">
        <f>IF(ISBLANK(M1227),0,Q1227*ROUND(N1227,2))</f>
        <v>#DIV/0!</v>
      </c>
      <c r="S1227" s="69" t="e">
        <f>ROUND(P1227,2)*Q1227</f>
        <v>#DIV/0!</v>
      </c>
      <c r="T1227" s="66" t="e">
        <f>Q1227*dagenperjaar1</f>
        <v>#DIV/0!</v>
      </c>
      <c r="U1227" s="70" t="e">
        <f>T1227*ROUND(P1227,2)</f>
        <v>#DIV/0!</v>
      </c>
    </row>
    <row r="1228" spans="1:21" x14ac:dyDescent="0.2">
      <c r="A1228" s="63" t="s">
        <v>1784</v>
      </c>
      <c r="B1228" s="64" t="s">
        <v>324</v>
      </c>
      <c r="C1228" s="64" t="s">
        <v>323</v>
      </c>
      <c r="D1228" s="64" t="s">
        <v>926</v>
      </c>
      <c r="E1228" s="64" t="s">
        <v>324</v>
      </c>
      <c r="F1228" s="65" t="s">
        <v>641</v>
      </c>
      <c r="G1228" s="64" t="s">
        <v>365</v>
      </c>
      <c r="H1228" s="64" t="s">
        <v>257</v>
      </c>
      <c r="I1228" s="64" t="s">
        <v>10</v>
      </c>
      <c r="J1228" s="64" t="s">
        <v>201</v>
      </c>
      <c r="K1228" s="66">
        <v>7</v>
      </c>
      <c r="L1228" s="66">
        <f>K1228*VLOOKUP(I1228,dagsoorttabel1,2,FALSE)</f>
        <v>7</v>
      </c>
      <c r="M1228" s="67">
        <f>prodnorm60</f>
        <v>0</v>
      </c>
      <c r="N1228" s="68">
        <f>dagwerk60</f>
        <v>0</v>
      </c>
      <c r="O1228" s="64" t="s">
        <v>38</v>
      </c>
      <c r="P1228" s="69">
        <f>uurtarief60</f>
        <v>0</v>
      </c>
      <c r="Q1228" s="66" t="e">
        <f>IF(ISBLANK(M1228),0,L1228/ROUND(M1228,4))</f>
        <v>#DIV/0!</v>
      </c>
      <c r="R1228" s="66" t="e">
        <f>IF(ISBLANK(M1228),0,Q1228*ROUND(N1228,2))</f>
        <v>#DIV/0!</v>
      </c>
      <c r="S1228" s="69" t="e">
        <f>ROUND(P1228,2)*Q1228</f>
        <v>#DIV/0!</v>
      </c>
      <c r="T1228" s="66" t="e">
        <f>Q1228*dagenperjaar1</f>
        <v>#DIV/0!</v>
      </c>
      <c r="U1228" s="70" t="e">
        <f>T1228*ROUND(P1228,2)</f>
        <v>#DIV/0!</v>
      </c>
    </row>
    <row r="1229" spans="1:21" x14ac:dyDescent="0.2">
      <c r="A1229" s="63" t="s">
        <v>1784</v>
      </c>
      <c r="B1229" s="64" t="s">
        <v>324</v>
      </c>
      <c r="C1229" s="64" t="s">
        <v>323</v>
      </c>
      <c r="D1229" s="64" t="s">
        <v>927</v>
      </c>
      <c r="E1229" s="64" t="s">
        <v>324</v>
      </c>
      <c r="F1229" s="65" t="s">
        <v>1393</v>
      </c>
      <c r="G1229" s="64" t="s">
        <v>1785</v>
      </c>
      <c r="H1229" s="64" t="s">
        <v>229</v>
      </c>
      <c r="I1229" s="64" t="s">
        <v>10</v>
      </c>
      <c r="J1229" s="64" t="s">
        <v>201</v>
      </c>
      <c r="K1229" s="66">
        <v>50</v>
      </c>
      <c r="L1229" s="66">
        <f>K1229*VLOOKUP(I1229,dagsoorttabel1,2,FALSE)</f>
        <v>50</v>
      </c>
      <c r="M1229" s="67">
        <f>prodnorm43</f>
        <v>0</v>
      </c>
      <c r="N1229" s="68">
        <f>dagwerk43</f>
        <v>0</v>
      </c>
      <c r="O1229" s="64" t="s">
        <v>38</v>
      </c>
      <c r="P1229" s="69">
        <f>uurtarief43</f>
        <v>0</v>
      </c>
      <c r="Q1229" s="66" t="e">
        <f>IF(ISBLANK(M1229),0,L1229/ROUND(M1229,4))</f>
        <v>#DIV/0!</v>
      </c>
      <c r="R1229" s="66" t="e">
        <f>IF(ISBLANK(M1229),0,Q1229*ROUND(N1229,2))</f>
        <v>#DIV/0!</v>
      </c>
      <c r="S1229" s="69" t="e">
        <f>ROUND(P1229,2)*Q1229</f>
        <v>#DIV/0!</v>
      </c>
      <c r="T1229" s="66" t="e">
        <f>Q1229*dagenperjaar1</f>
        <v>#DIV/0!</v>
      </c>
      <c r="U1229" s="70" t="e">
        <f>T1229*ROUND(P1229,2)</f>
        <v>#DIV/0!</v>
      </c>
    </row>
    <row r="1230" spans="1:21" x14ac:dyDescent="0.2">
      <c r="A1230" s="63" t="s">
        <v>1784</v>
      </c>
      <c r="B1230" s="64" t="s">
        <v>324</v>
      </c>
      <c r="C1230" s="64" t="s">
        <v>323</v>
      </c>
      <c r="D1230" s="64" t="s">
        <v>928</v>
      </c>
      <c r="E1230" s="64" t="s">
        <v>324</v>
      </c>
      <c r="F1230" s="65" t="s">
        <v>1393</v>
      </c>
      <c r="G1230" s="64" t="s">
        <v>1785</v>
      </c>
      <c r="H1230" s="64" t="s">
        <v>229</v>
      </c>
      <c r="I1230" s="64" t="s">
        <v>10</v>
      </c>
      <c r="J1230" s="64" t="s">
        <v>201</v>
      </c>
      <c r="K1230" s="66">
        <v>50</v>
      </c>
      <c r="L1230" s="66">
        <f>K1230*VLOOKUP(I1230,dagsoorttabel1,2,FALSE)</f>
        <v>50</v>
      </c>
      <c r="M1230" s="67">
        <f>prodnorm43</f>
        <v>0</v>
      </c>
      <c r="N1230" s="68">
        <f>dagwerk43</f>
        <v>0</v>
      </c>
      <c r="O1230" s="64" t="s">
        <v>38</v>
      </c>
      <c r="P1230" s="69">
        <f>uurtarief43</f>
        <v>0</v>
      </c>
      <c r="Q1230" s="66" t="e">
        <f>IF(ISBLANK(M1230),0,L1230/ROUND(M1230,4))</f>
        <v>#DIV/0!</v>
      </c>
      <c r="R1230" s="66" t="e">
        <f>IF(ISBLANK(M1230),0,Q1230*ROUND(N1230,2))</f>
        <v>#DIV/0!</v>
      </c>
      <c r="S1230" s="69" t="e">
        <f>ROUND(P1230,2)*Q1230</f>
        <v>#DIV/0!</v>
      </c>
      <c r="T1230" s="66" t="e">
        <f>Q1230*dagenperjaar1</f>
        <v>#DIV/0!</v>
      </c>
      <c r="U1230" s="70" t="e">
        <f>T1230*ROUND(P1230,2)</f>
        <v>#DIV/0!</v>
      </c>
    </row>
    <row r="1231" spans="1:21" x14ac:dyDescent="0.2">
      <c r="A1231" s="63" t="s">
        <v>1784</v>
      </c>
      <c r="B1231" s="64" t="s">
        <v>324</v>
      </c>
      <c r="C1231" s="64" t="s">
        <v>323</v>
      </c>
      <c r="D1231" s="64" t="s">
        <v>929</v>
      </c>
      <c r="E1231" s="64" t="s">
        <v>324</v>
      </c>
      <c r="F1231" s="65" t="s">
        <v>1393</v>
      </c>
      <c r="G1231" s="64" t="s">
        <v>1785</v>
      </c>
      <c r="H1231" s="64" t="s">
        <v>229</v>
      </c>
      <c r="I1231" s="64" t="s">
        <v>10</v>
      </c>
      <c r="J1231" s="64" t="s">
        <v>201</v>
      </c>
      <c r="K1231" s="66">
        <v>50</v>
      </c>
      <c r="L1231" s="66">
        <f>K1231*VLOOKUP(I1231,dagsoorttabel1,2,FALSE)</f>
        <v>50</v>
      </c>
      <c r="M1231" s="67">
        <f>prodnorm43</f>
        <v>0</v>
      </c>
      <c r="N1231" s="68">
        <f>dagwerk43</f>
        <v>0</v>
      </c>
      <c r="O1231" s="64" t="s">
        <v>38</v>
      </c>
      <c r="P1231" s="69">
        <f>uurtarief43</f>
        <v>0</v>
      </c>
      <c r="Q1231" s="66" t="e">
        <f>IF(ISBLANK(M1231),0,L1231/ROUND(M1231,4))</f>
        <v>#DIV/0!</v>
      </c>
      <c r="R1231" s="66" t="e">
        <f>IF(ISBLANK(M1231),0,Q1231*ROUND(N1231,2))</f>
        <v>#DIV/0!</v>
      </c>
      <c r="S1231" s="69" t="e">
        <f>ROUND(P1231,2)*Q1231</f>
        <v>#DIV/0!</v>
      </c>
      <c r="T1231" s="66" t="e">
        <f>Q1231*dagenperjaar1</f>
        <v>#DIV/0!</v>
      </c>
      <c r="U1231" s="70" t="e">
        <f>T1231*ROUND(P1231,2)</f>
        <v>#DIV/0!</v>
      </c>
    </row>
    <row r="1232" spans="1:21" x14ac:dyDescent="0.2">
      <c r="A1232" s="63" t="s">
        <v>1784</v>
      </c>
      <c r="B1232" s="64" t="s">
        <v>324</v>
      </c>
      <c r="C1232" s="64" t="s">
        <v>323</v>
      </c>
      <c r="D1232" s="64" t="s">
        <v>932</v>
      </c>
      <c r="E1232" s="64" t="s">
        <v>324</v>
      </c>
      <c r="F1232" s="65" t="s">
        <v>335</v>
      </c>
      <c r="G1232" s="64" t="s">
        <v>1785</v>
      </c>
      <c r="H1232" s="64" t="s">
        <v>267</v>
      </c>
      <c r="I1232" s="64" t="s">
        <v>10</v>
      </c>
      <c r="J1232" s="64" t="s">
        <v>201</v>
      </c>
      <c r="K1232" s="66">
        <v>33</v>
      </c>
      <c r="L1232" s="66">
        <f>K1232*VLOOKUP(I1232,dagsoorttabel1,2,FALSE)</f>
        <v>33</v>
      </c>
      <c r="M1232" s="67">
        <f>prodnorm65</f>
        <v>0</v>
      </c>
      <c r="N1232" s="68">
        <f>dagwerk65</f>
        <v>0</v>
      </c>
      <c r="O1232" s="64" t="s">
        <v>38</v>
      </c>
      <c r="P1232" s="69">
        <f>uurtarief65</f>
        <v>0</v>
      </c>
      <c r="Q1232" s="66" t="e">
        <f>IF(ISBLANK(M1232),0,L1232/ROUND(M1232,4))</f>
        <v>#DIV/0!</v>
      </c>
      <c r="R1232" s="66" t="e">
        <f>IF(ISBLANK(M1232),0,Q1232*ROUND(N1232,2))</f>
        <v>#DIV/0!</v>
      </c>
      <c r="S1232" s="69" t="e">
        <f>ROUND(P1232,2)*Q1232</f>
        <v>#DIV/0!</v>
      </c>
      <c r="T1232" s="66" t="e">
        <f>Q1232*dagenperjaar1</f>
        <v>#DIV/0!</v>
      </c>
      <c r="U1232" s="70" t="e">
        <f>T1232*ROUND(P1232,2)</f>
        <v>#DIV/0!</v>
      </c>
    </row>
    <row r="1233" spans="1:21" x14ac:dyDescent="0.2">
      <c r="A1233" s="63" t="s">
        <v>1784</v>
      </c>
      <c r="B1233" s="64" t="s">
        <v>324</v>
      </c>
      <c r="C1233" s="64" t="s">
        <v>323</v>
      </c>
      <c r="D1233" s="64" t="s">
        <v>935</v>
      </c>
      <c r="E1233" s="64" t="s">
        <v>324</v>
      </c>
      <c r="F1233" s="65" t="s">
        <v>1393</v>
      </c>
      <c r="G1233" s="64" t="s">
        <v>1785</v>
      </c>
      <c r="H1233" s="64" t="s">
        <v>229</v>
      </c>
      <c r="I1233" s="64" t="s">
        <v>10</v>
      </c>
      <c r="J1233" s="64" t="s">
        <v>201</v>
      </c>
      <c r="K1233" s="66">
        <v>46</v>
      </c>
      <c r="L1233" s="66">
        <f>K1233*VLOOKUP(I1233,dagsoorttabel1,2,FALSE)</f>
        <v>46</v>
      </c>
      <c r="M1233" s="67">
        <f>prodnorm43</f>
        <v>0</v>
      </c>
      <c r="N1233" s="68">
        <f>dagwerk43</f>
        <v>0</v>
      </c>
      <c r="O1233" s="64" t="s">
        <v>38</v>
      </c>
      <c r="P1233" s="69">
        <f>uurtarief43</f>
        <v>0</v>
      </c>
      <c r="Q1233" s="66" t="e">
        <f>IF(ISBLANK(M1233),0,L1233/ROUND(M1233,4))</f>
        <v>#DIV/0!</v>
      </c>
      <c r="R1233" s="66" t="e">
        <f>IF(ISBLANK(M1233),0,Q1233*ROUND(N1233,2))</f>
        <v>#DIV/0!</v>
      </c>
      <c r="S1233" s="69" t="e">
        <f>ROUND(P1233,2)*Q1233</f>
        <v>#DIV/0!</v>
      </c>
      <c r="T1233" s="66" t="e">
        <f>Q1233*dagenperjaar1</f>
        <v>#DIV/0!</v>
      </c>
      <c r="U1233" s="70" t="e">
        <f>T1233*ROUND(P1233,2)</f>
        <v>#DIV/0!</v>
      </c>
    </row>
    <row r="1234" spans="1:21" x14ac:dyDescent="0.2">
      <c r="A1234" s="63" t="s">
        <v>1784</v>
      </c>
      <c r="B1234" s="64" t="s">
        <v>324</v>
      </c>
      <c r="C1234" s="64" t="s">
        <v>323</v>
      </c>
      <c r="D1234" s="64" t="s">
        <v>465</v>
      </c>
      <c r="E1234" s="64" t="s">
        <v>324</v>
      </c>
      <c r="F1234" s="65" t="s">
        <v>641</v>
      </c>
      <c r="G1234" s="64" t="s">
        <v>365</v>
      </c>
      <c r="H1234" s="64" t="s">
        <v>255</v>
      </c>
      <c r="I1234" s="64" t="s">
        <v>10</v>
      </c>
      <c r="J1234" s="64" t="s">
        <v>201</v>
      </c>
      <c r="K1234" s="66">
        <v>7</v>
      </c>
      <c r="L1234" s="66">
        <f>K1234*VLOOKUP(I1234,dagsoorttabel1,2,FALSE)</f>
        <v>7</v>
      </c>
      <c r="M1234" s="67">
        <f>prodnorm59</f>
        <v>0</v>
      </c>
      <c r="N1234" s="68">
        <f>dagwerk59</f>
        <v>0</v>
      </c>
      <c r="O1234" s="64" t="s">
        <v>38</v>
      </c>
      <c r="P1234" s="69">
        <f>uurtarief59</f>
        <v>0</v>
      </c>
      <c r="Q1234" s="66" t="e">
        <f>IF(ISBLANK(M1234),0,L1234/ROUND(M1234,4))</f>
        <v>#DIV/0!</v>
      </c>
      <c r="R1234" s="66" t="e">
        <f>IF(ISBLANK(M1234),0,Q1234*ROUND(N1234,2))</f>
        <v>#DIV/0!</v>
      </c>
      <c r="S1234" s="69" t="e">
        <f>ROUND(P1234,2)*Q1234</f>
        <v>#DIV/0!</v>
      </c>
      <c r="T1234" s="66" t="e">
        <f>Q1234*dagenperjaar1</f>
        <v>#DIV/0!</v>
      </c>
      <c r="U1234" s="70" t="e">
        <f>T1234*ROUND(P1234,2)</f>
        <v>#DIV/0!</v>
      </c>
    </row>
    <row r="1235" spans="1:21" x14ac:dyDescent="0.2">
      <c r="A1235" s="63" t="s">
        <v>1784</v>
      </c>
      <c r="B1235" s="64" t="s">
        <v>324</v>
      </c>
      <c r="C1235" s="64" t="s">
        <v>323</v>
      </c>
      <c r="D1235" s="64" t="s">
        <v>465</v>
      </c>
      <c r="E1235" s="64" t="s">
        <v>324</v>
      </c>
      <c r="F1235" s="65" t="s">
        <v>641</v>
      </c>
      <c r="G1235" s="64" t="s">
        <v>365</v>
      </c>
      <c r="H1235" s="64" t="s">
        <v>257</v>
      </c>
      <c r="I1235" s="64" t="s">
        <v>10</v>
      </c>
      <c r="J1235" s="64" t="s">
        <v>201</v>
      </c>
      <c r="K1235" s="66">
        <v>7</v>
      </c>
      <c r="L1235" s="66">
        <f>K1235*VLOOKUP(I1235,dagsoorttabel1,2,FALSE)</f>
        <v>7</v>
      </c>
      <c r="M1235" s="67">
        <f>prodnorm60</f>
        <v>0</v>
      </c>
      <c r="N1235" s="68">
        <f>dagwerk60</f>
        <v>0</v>
      </c>
      <c r="O1235" s="64" t="s">
        <v>38</v>
      </c>
      <c r="P1235" s="69">
        <f>uurtarief60</f>
        <v>0</v>
      </c>
      <c r="Q1235" s="66" t="e">
        <f>IF(ISBLANK(M1235),0,L1235/ROUND(M1235,4))</f>
        <v>#DIV/0!</v>
      </c>
      <c r="R1235" s="66" t="e">
        <f>IF(ISBLANK(M1235),0,Q1235*ROUND(N1235,2))</f>
        <v>#DIV/0!</v>
      </c>
      <c r="S1235" s="69" t="e">
        <f>ROUND(P1235,2)*Q1235</f>
        <v>#DIV/0!</v>
      </c>
      <c r="T1235" s="66" t="e">
        <f>Q1235*dagenperjaar1</f>
        <v>#DIV/0!</v>
      </c>
      <c r="U1235" s="70" t="e">
        <f>T1235*ROUND(P1235,2)</f>
        <v>#DIV/0!</v>
      </c>
    </row>
    <row r="1236" spans="1:21" x14ac:dyDescent="0.2">
      <c r="A1236" s="63" t="s">
        <v>1784</v>
      </c>
      <c r="B1236" s="64" t="s">
        <v>324</v>
      </c>
      <c r="C1236" s="64" t="s">
        <v>323</v>
      </c>
      <c r="D1236" s="64" t="s">
        <v>467</v>
      </c>
      <c r="E1236" s="64" t="s">
        <v>324</v>
      </c>
      <c r="F1236" s="65" t="s">
        <v>1393</v>
      </c>
      <c r="G1236" s="64" t="s">
        <v>1785</v>
      </c>
      <c r="H1236" s="64" t="s">
        <v>229</v>
      </c>
      <c r="I1236" s="64" t="s">
        <v>10</v>
      </c>
      <c r="J1236" s="64" t="s">
        <v>201</v>
      </c>
      <c r="K1236" s="66">
        <v>46</v>
      </c>
      <c r="L1236" s="66">
        <f>K1236*VLOOKUP(I1236,dagsoorttabel1,2,FALSE)</f>
        <v>46</v>
      </c>
      <c r="M1236" s="67">
        <f>prodnorm43</f>
        <v>0</v>
      </c>
      <c r="N1236" s="68">
        <f>dagwerk43</f>
        <v>0</v>
      </c>
      <c r="O1236" s="64" t="s">
        <v>38</v>
      </c>
      <c r="P1236" s="69">
        <f>uurtarief43</f>
        <v>0</v>
      </c>
      <c r="Q1236" s="66" t="e">
        <f>IF(ISBLANK(M1236),0,L1236/ROUND(M1236,4))</f>
        <v>#DIV/0!</v>
      </c>
      <c r="R1236" s="66" t="e">
        <f>IF(ISBLANK(M1236),0,Q1236*ROUND(N1236,2))</f>
        <v>#DIV/0!</v>
      </c>
      <c r="S1236" s="69" t="e">
        <f>ROUND(P1236,2)*Q1236</f>
        <v>#DIV/0!</v>
      </c>
      <c r="T1236" s="66" t="e">
        <f>Q1236*dagenperjaar1</f>
        <v>#DIV/0!</v>
      </c>
      <c r="U1236" s="70" t="e">
        <f>T1236*ROUND(P1236,2)</f>
        <v>#DIV/0!</v>
      </c>
    </row>
    <row r="1237" spans="1:21" x14ac:dyDescent="0.2">
      <c r="A1237" s="63" t="s">
        <v>1784</v>
      </c>
      <c r="B1237" s="64" t="s">
        <v>324</v>
      </c>
      <c r="C1237" s="64" t="s">
        <v>323</v>
      </c>
      <c r="D1237" s="64" t="s">
        <v>470</v>
      </c>
      <c r="E1237" s="64" t="s">
        <v>324</v>
      </c>
      <c r="F1237" s="65" t="s">
        <v>1393</v>
      </c>
      <c r="G1237" s="64" t="s">
        <v>1785</v>
      </c>
      <c r="H1237" s="64" t="s">
        <v>229</v>
      </c>
      <c r="I1237" s="64" t="s">
        <v>10</v>
      </c>
      <c r="J1237" s="64" t="s">
        <v>201</v>
      </c>
      <c r="K1237" s="66">
        <v>46</v>
      </c>
      <c r="L1237" s="66">
        <f>K1237*VLOOKUP(I1237,dagsoorttabel1,2,FALSE)</f>
        <v>46</v>
      </c>
      <c r="M1237" s="67">
        <f>prodnorm43</f>
        <v>0</v>
      </c>
      <c r="N1237" s="68">
        <f>dagwerk43</f>
        <v>0</v>
      </c>
      <c r="O1237" s="64" t="s">
        <v>38</v>
      </c>
      <c r="P1237" s="69">
        <f>uurtarief43</f>
        <v>0</v>
      </c>
      <c r="Q1237" s="66" t="e">
        <f>IF(ISBLANK(M1237),0,L1237/ROUND(M1237,4))</f>
        <v>#DIV/0!</v>
      </c>
      <c r="R1237" s="66" t="e">
        <f>IF(ISBLANK(M1237),0,Q1237*ROUND(N1237,2))</f>
        <v>#DIV/0!</v>
      </c>
      <c r="S1237" s="69" t="e">
        <f>ROUND(P1237,2)*Q1237</f>
        <v>#DIV/0!</v>
      </c>
      <c r="T1237" s="66" t="e">
        <f>Q1237*dagenperjaar1</f>
        <v>#DIV/0!</v>
      </c>
      <c r="U1237" s="70" t="e">
        <f>T1237*ROUND(P1237,2)</f>
        <v>#DIV/0!</v>
      </c>
    </row>
    <row r="1238" spans="1:21" x14ac:dyDescent="0.2">
      <c r="A1238" s="63" t="s">
        <v>1784</v>
      </c>
      <c r="B1238" s="64" t="s">
        <v>324</v>
      </c>
      <c r="C1238" s="64" t="s">
        <v>323</v>
      </c>
      <c r="D1238" s="64" t="s">
        <v>939</v>
      </c>
      <c r="E1238" s="64" t="s">
        <v>324</v>
      </c>
      <c r="F1238" s="65" t="s">
        <v>641</v>
      </c>
      <c r="G1238" s="64" t="s">
        <v>365</v>
      </c>
      <c r="H1238" s="64" t="s">
        <v>255</v>
      </c>
      <c r="I1238" s="64" t="s">
        <v>10</v>
      </c>
      <c r="J1238" s="64" t="s">
        <v>201</v>
      </c>
      <c r="K1238" s="66">
        <v>7</v>
      </c>
      <c r="L1238" s="66">
        <f>K1238*VLOOKUP(I1238,dagsoorttabel1,2,FALSE)</f>
        <v>7</v>
      </c>
      <c r="M1238" s="67">
        <f>prodnorm59</f>
        <v>0</v>
      </c>
      <c r="N1238" s="68">
        <f>dagwerk59</f>
        <v>0</v>
      </c>
      <c r="O1238" s="64" t="s">
        <v>38</v>
      </c>
      <c r="P1238" s="69">
        <f>uurtarief59</f>
        <v>0</v>
      </c>
      <c r="Q1238" s="66" t="e">
        <f>IF(ISBLANK(M1238),0,L1238/ROUND(M1238,4))</f>
        <v>#DIV/0!</v>
      </c>
      <c r="R1238" s="66" t="e">
        <f>IF(ISBLANK(M1238),0,Q1238*ROUND(N1238,2))</f>
        <v>#DIV/0!</v>
      </c>
      <c r="S1238" s="69" t="e">
        <f>ROUND(P1238,2)*Q1238</f>
        <v>#DIV/0!</v>
      </c>
      <c r="T1238" s="66" t="e">
        <f>Q1238*dagenperjaar1</f>
        <v>#DIV/0!</v>
      </c>
      <c r="U1238" s="70" t="e">
        <f>T1238*ROUND(P1238,2)</f>
        <v>#DIV/0!</v>
      </c>
    </row>
    <row r="1239" spans="1:21" x14ac:dyDescent="0.2">
      <c r="A1239" s="63" t="s">
        <v>1784</v>
      </c>
      <c r="B1239" s="64" t="s">
        <v>324</v>
      </c>
      <c r="C1239" s="64" t="s">
        <v>323</v>
      </c>
      <c r="D1239" s="64" t="s">
        <v>939</v>
      </c>
      <c r="E1239" s="64" t="s">
        <v>324</v>
      </c>
      <c r="F1239" s="65" t="s">
        <v>641</v>
      </c>
      <c r="G1239" s="64" t="s">
        <v>365</v>
      </c>
      <c r="H1239" s="64" t="s">
        <v>257</v>
      </c>
      <c r="I1239" s="64" t="s">
        <v>10</v>
      </c>
      <c r="J1239" s="64" t="s">
        <v>201</v>
      </c>
      <c r="K1239" s="66">
        <v>7</v>
      </c>
      <c r="L1239" s="66">
        <f>K1239*VLOOKUP(I1239,dagsoorttabel1,2,FALSE)</f>
        <v>7</v>
      </c>
      <c r="M1239" s="67">
        <f>prodnorm60</f>
        <v>0</v>
      </c>
      <c r="N1239" s="68">
        <f>dagwerk60</f>
        <v>0</v>
      </c>
      <c r="O1239" s="64" t="s">
        <v>38</v>
      </c>
      <c r="P1239" s="69">
        <f>uurtarief60</f>
        <v>0</v>
      </c>
      <c r="Q1239" s="66" t="e">
        <f>IF(ISBLANK(M1239),0,L1239/ROUND(M1239,4))</f>
        <v>#DIV/0!</v>
      </c>
      <c r="R1239" s="66" t="e">
        <f>IF(ISBLANK(M1239),0,Q1239*ROUND(N1239,2))</f>
        <v>#DIV/0!</v>
      </c>
      <c r="S1239" s="69" t="e">
        <f>ROUND(P1239,2)*Q1239</f>
        <v>#DIV/0!</v>
      </c>
      <c r="T1239" s="66" t="e">
        <f>Q1239*dagenperjaar1</f>
        <v>#DIV/0!</v>
      </c>
      <c r="U1239" s="70" t="e">
        <f>T1239*ROUND(P1239,2)</f>
        <v>#DIV/0!</v>
      </c>
    </row>
    <row r="1240" spans="1:21" x14ac:dyDescent="0.2">
      <c r="A1240" s="63" t="s">
        <v>1784</v>
      </c>
      <c r="B1240" s="64" t="s">
        <v>324</v>
      </c>
      <c r="C1240" s="64" t="s">
        <v>323</v>
      </c>
      <c r="D1240" s="64" t="s">
        <v>940</v>
      </c>
      <c r="E1240" s="64" t="s">
        <v>324</v>
      </c>
      <c r="F1240" s="65" t="s">
        <v>1393</v>
      </c>
      <c r="G1240" s="64" t="s">
        <v>1785</v>
      </c>
      <c r="H1240" s="64" t="s">
        <v>229</v>
      </c>
      <c r="I1240" s="64" t="s">
        <v>10</v>
      </c>
      <c r="J1240" s="64" t="s">
        <v>201</v>
      </c>
      <c r="K1240" s="66">
        <v>46</v>
      </c>
      <c r="L1240" s="66">
        <f>K1240*VLOOKUP(I1240,dagsoorttabel1,2,FALSE)</f>
        <v>46</v>
      </c>
      <c r="M1240" s="67">
        <f>prodnorm43</f>
        <v>0</v>
      </c>
      <c r="N1240" s="68">
        <f>dagwerk43</f>
        <v>0</v>
      </c>
      <c r="O1240" s="64" t="s">
        <v>38</v>
      </c>
      <c r="P1240" s="69">
        <f>uurtarief43</f>
        <v>0</v>
      </c>
      <c r="Q1240" s="66" t="e">
        <f>IF(ISBLANK(M1240),0,L1240/ROUND(M1240,4))</f>
        <v>#DIV/0!</v>
      </c>
      <c r="R1240" s="66" t="e">
        <f>IF(ISBLANK(M1240),0,Q1240*ROUND(N1240,2))</f>
        <v>#DIV/0!</v>
      </c>
      <c r="S1240" s="69" t="e">
        <f>ROUND(P1240,2)*Q1240</f>
        <v>#DIV/0!</v>
      </c>
      <c r="T1240" s="66" t="e">
        <f>Q1240*dagenperjaar1</f>
        <v>#DIV/0!</v>
      </c>
      <c r="U1240" s="70" t="e">
        <f>T1240*ROUND(P1240,2)</f>
        <v>#DIV/0!</v>
      </c>
    </row>
    <row r="1241" spans="1:21" x14ac:dyDescent="0.2">
      <c r="A1241" s="63" t="s">
        <v>1784</v>
      </c>
      <c r="B1241" s="64" t="s">
        <v>324</v>
      </c>
      <c r="C1241" s="64" t="s">
        <v>323</v>
      </c>
      <c r="D1241" s="64" t="s">
        <v>1798</v>
      </c>
      <c r="E1241" s="64" t="s">
        <v>324</v>
      </c>
      <c r="F1241" s="65" t="s">
        <v>777</v>
      </c>
      <c r="G1241" s="64" t="s">
        <v>1302</v>
      </c>
      <c r="H1241" s="64" t="s">
        <v>219</v>
      </c>
      <c r="I1241" s="64" t="s">
        <v>10</v>
      </c>
      <c r="J1241" s="64" t="s">
        <v>201</v>
      </c>
      <c r="K1241" s="66">
        <v>73</v>
      </c>
      <c r="L1241" s="66">
        <f>K1241*VLOOKUP(I1241,dagsoorttabel1,2,FALSE)</f>
        <v>73</v>
      </c>
      <c r="M1241" s="67">
        <f>prodnorm36</f>
        <v>0</v>
      </c>
      <c r="N1241" s="68">
        <f>dagwerk36</f>
        <v>0</v>
      </c>
      <c r="O1241" s="64" t="s">
        <v>38</v>
      </c>
      <c r="P1241" s="69">
        <f>uurtarief36</f>
        <v>0</v>
      </c>
      <c r="Q1241" s="66" t="e">
        <f>IF(ISBLANK(M1241),0,L1241/ROUND(M1241,4))</f>
        <v>#DIV/0!</v>
      </c>
      <c r="R1241" s="66" t="e">
        <f>IF(ISBLANK(M1241),0,Q1241*ROUND(N1241,2))</f>
        <v>#DIV/0!</v>
      </c>
      <c r="S1241" s="69" t="e">
        <f>ROUND(P1241,2)*Q1241</f>
        <v>#DIV/0!</v>
      </c>
      <c r="T1241" s="66" t="e">
        <f>Q1241*dagenperjaar1</f>
        <v>#DIV/0!</v>
      </c>
      <c r="U1241" s="70" t="e">
        <f>T1241*ROUND(P1241,2)</f>
        <v>#DIV/0!</v>
      </c>
    </row>
    <row r="1242" spans="1:21" x14ac:dyDescent="0.2">
      <c r="A1242" s="63" t="s">
        <v>1784</v>
      </c>
      <c r="B1242" s="64" t="s">
        <v>1799</v>
      </c>
      <c r="C1242" s="64" t="s">
        <v>345</v>
      </c>
      <c r="D1242" s="64" t="s">
        <v>1328</v>
      </c>
      <c r="E1242" s="64" t="s">
        <v>324</v>
      </c>
      <c r="F1242" s="65" t="s">
        <v>1789</v>
      </c>
      <c r="G1242" s="64" t="s">
        <v>458</v>
      </c>
      <c r="H1242" s="64" t="s">
        <v>229</v>
      </c>
      <c r="I1242" s="64" t="s">
        <v>10</v>
      </c>
      <c r="J1242" s="64" t="s">
        <v>201</v>
      </c>
      <c r="K1242" s="66">
        <v>46</v>
      </c>
      <c r="L1242" s="66">
        <f>K1242*VLOOKUP(I1242,dagsoorttabel1,2,FALSE)</f>
        <v>46</v>
      </c>
      <c r="M1242" s="67">
        <f>prodnorm43</f>
        <v>0</v>
      </c>
      <c r="N1242" s="68">
        <f>dagwerk43</f>
        <v>0</v>
      </c>
      <c r="O1242" s="64" t="s">
        <v>38</v>
      </c>
      <c r="P1242" s="69">
        <f>uurtarief43</f>
        <v>0</v>
      </c>
      <c r="Q1242" s="66" t="e">
        <f>IF(ISBLANK(M1242),0,L1242/ROUND(M1242,4))</f>
        <v>#DIV/0!</v>
      </c>
      <c r="R1242" s="66" t="e">
        <f>IF(ISBLANK(M1242),0,Q1242*ROUND(N1242,2))</f>
        <v>#DIV/0!</v>
      </c>
      <c r="S1242" s="69" t="e">
        <f>ROUND(P1242,2)*Q1242</f>
        <v>#DIV/0!</v>
      </c>
      <c r="T1242" s="66" t="e">
        <f>Q1242*dagenperjaar1</f>
        <v>#DIV/0!</v>
      </c>
      <c r="U1242" s="70" t="e">
        <f>T1242*ROUND(P1242,2)</f>
        <v>#DIV/0!</v>
      </c>
    </row>
    <row r="1243" spans="1:21" x14ac:dyDescent="0.2">
      <c r="A1243" s="63" t="s">
        <v>1784</v>
      </c>
      <c r="B1243" s="64" t="s">
        <v>1799</v>
      </c>
      <c r="C1243" s="64" t="s">
        <v>345</v>
      </c>
      <c r="D1243" s="64" t="s">
        <v>879</v>
      </c>
      <c r="E1243" s="64" t="s">
        <v>324</v>
      </c>
      <c r="F1243" s="65" t="s">
        <v>1793</v>
      </c>
      <c r="G1243" s="64" t="s">
        <v>365</v>
      </c>
      <c r="H1243" s="64" t="s">
        <v>255</v>
      </c>
      <c r="I1243" s="64" t="s">
        <v>10</v>
      </c>
      <c r="J1243" s="64" t="s">
        <v>201</v>
      </c>
      <c r="K1243" s="66">
        <v>7</v>
      </c>
      <c r="L1243" s="66">
        <f>K1243*VLOOKUP(I1243,dagsoorttabel1,2,FALSE)</f>
        <v>7</v>
      </c>
      <c r="M1243" s="67">
        <f>prodnorm59</f>
        <v>0</v>
      </c>
      <c r="N1243" s="68">
        <f>dagwerk59</f>
        <v>0</v>
      </c>
      <c r="O1243" s="64" t="s">
        <v>38</v>
      </c>
      <c r="P1243" s="69">
        <f>uurtarief59</f>
        <v>0</v>
      </c>
      <c r="Q1243" s="66" t="e">
        <f>IF(ISBLANK(M1243),0,L1243/ROUND(M1243,4))</f>
        <v>#DIV/0!</v>
      </c>
      <c r="R1243" s="66" t="e">
        <f>IF(ISBLANK(M1243),0,Q1243*ROUND(N1243,2))</f>
        <v>#DIV/0!</v>
      </c>
      <c r="S1243" s="69" t="e">
        <f>ROUND(P1243,2)*Q1243</f>
        <v>#DIV/0!</v>
      </c>
      <c r="T1243" s="66" t="e">
        <f>Q1243*dagenperjaar1</f>
        <v>#DIV/0!</v>
      </c>
      <c r="U1243" s="70" t="e">
        <f>T1243*ROUND(P1243,2)</f>
        <v>#DIV/0!</v>
      </c>
    </row>
    <row r="1244" spans="1:21" x14ac:dyDescent="0.2">
      <c r="A1244" s="63" t="s">
        <v>1784</v>
      </c>
      <c r="B1244" s="64" t="s">
        <v>1799</v>
      </c>
      <c r="C1244" s="64" t="s">
        <v>345</v>
      </c>
      <c r="D1244" s="64" t="s">
        <v>879</v>
      </c>
      <c r="E1244" s="64" t="s">
        <v>324</v>
      </c>
      <c r="F1244" s="65" t="s">
        <v>1793</v>
      </c>
      <c r="G1244" s="64" t="s">
        <v>365</v>
      </c>
      <c r="H1244" s="64" t="s">
        <v>257</v>
      </c>
      <c r="I1244" s="64" t="s">
        <v>10</v>
      </c>
      <c r="J1244" s="64" t="s">
        <v>201</v>
      </c>
      <c r="K1244" s="66">
        <v>7</v>
      </c>
      <c r="L1244" s="66">
        <f>K1244*VLOOKUP(I1244,dagsoorttabel1,2,FALSE)</f>
        <v>7</v>
      </c>
      <c r="M1244" s="67">
        <f>prodnorm60</f>
        <v>0</v>
      </c>
      <c r="N1244" s="68">
        <f>dagwerk60</f>
        <v>0</v>
      </c>
      <c r="O1244" s="64" t="s">
        <v>38</v>
      </c>
      <c r="P1244" s="69">
        <f>uurtarief60</f>
        <v>0</v>
      </c>
      <c r="Q1244" s="66" t="e">
        <f>IF(ISBLANK(M1244),0,L1244/ROUND(M1244,4))</f>
        <v>#DIV/0!</v>
      </c>
      <c r="R1244" s="66" t="e">
        <f>IF(ISBLANK(M1244),0,Q1244*ROUND(N1244,2))</f>
        <v>#DIV/0!</v>
      </c>
      <c r="S1244" s="69" t="e">
        <f>ROUND(P1244,2)*Q1244</f>
        <v>#DIV/0!</v>
      </c>
      <c r="T1244" s="66" t="e">
        <f>Q1244*dagenperjaar1</f>
        <v>#DIV/0!</v>
      </c>
      <c r="U1244" s="70" t="e">
        <f>T1244*ROUND(P1244,2)</f>
        <v>#DIV/0!</v>
      </c>
    </row>
    <row r="1245" spans="1:21" x14ac:dyDescent="0.2">
      <c r="A1245" s="63" t="s">
        <v>1784</v>
      </c>
      <c r="B1245" s="64" t="s">
        <v>1799</v>
      </c>
      <c r="C1245" s="64" t="s">
        <v>345</v>
      </c>
      <c r="D1245" s="64" t="s">
        <v>880</v>
      </c>
      <c r="E1245" s="64" t="s">
        <v>324</v>
      </c>
      <c r="F1245" s="65" t="s">
        <v>1789</v>
      </c>
      <c r="G1245" s="64" t="s">
        <v>458</v>
      </c>
      <c r="H1245" s="64" t="s">
        <v>229</v>
      </c>
      <c r="I1245" s="64" t="s">
        <v>10</v>
      </c>
      <c r="J1245" s="64" t="s">
        <v>201</v>
      </c>
      <c r="K1245" s="66">
        <v>46</v>
      </c>
      <c r="L1245" s="66">
        <f>K1245*VLOOKUP(I1245,dagsoorttabel1,2,FALSE)</f>
        <v>46</v>
      </c>
      <c r="M1245" s="67">
        <f>prodnorm43</f>
        <v>0</v>
      </c>
      <c r="N1245" s="68">
        <f>dagwerk43</f>
        <v>0</v>
      </c>
      <c r="O1245" s="64" t="s">
        <v>38</v>
      </c>
      <c r="P1245" s="69">
        <f>uurtarief43</f>
        <v>0</v>
      </c>
      <c r="Q1245" s="66" t="e">
        <f>IF(ISBLANK(M1245),0,L1245/ROUND(M1245,4))</f>
        <v>#DIV/0!</v>
      </c>
      <c r="R1245" s="66" t="e">
        <f>IF(ISBLANK(M1245),0,Q1245*ROUND(N1245,2))</f>
        <v>#DIV/0!</v>
      </c>
      <c r="S1245" s="69" t="e">
        <f>ROUND(P1245,2)*Q1245</f>
        <v>#DIV/0!</v>
      </c>
      <c r="T1245" s="66" t="e">
        <f>Q1245*dagenperjaar1</f>
        <v>#DIV/0!</v>
      </c>
      <c r="U1245" s="70" t="e">
        <f>T1245*ROUND(P1245,2)</f>
        <v>#DIV/0!</v>
      </c>
    </row>
    <row r="1246" spans="1:21" x14ac:dyDescent="0.2">
      <c r="A1246" s="63" t="s">
        <v>1784</v>
      </c>
      <c r="B1246" s="64" t="s">
        <v>1799</v>
      </c>
      <c r="C1246" s="64" t="s">
        <v>345</v>
      </c>
      <c r="D1246" s="64" t="s">
        <v>1330</v>
      </c>
      <c r="E1246" s="64" t="s">
        <v>324</v>
      </c>
      <c r="F1246" s="65" t="s">
        <v>1789</v>
      </c>
      <c r="G1246" s="64" t="s">
        <v>458</v>
      </c>
      <c r="H1246" s="64" t="s">
        <v>229</v>
      </c>
      <c r="I1246" s="64" t="s">
        <v>10</v>
      </c>
      <c r="J1246" s="64" t="s">
        <v>201</v>
      </c>
      <c r="K1246" s="66">
        <v>50</v>
      </c>
      <c r="L1246" s="66">
        <f>K1246*VLOOKUP(I1246,dagsoorttabel1,2,FALSE)</f>
        <v>50</v>
      </c>
      <c r="M1246" s="67">
        <f>prodnorm43</f>
        <v>0</v>
      </c>
      <c r="N1246" s="68">
        <f>dagwerk43</f>
        <v>0</v>
      </c>
      <c r="O1246" s="64" t="s">
        <v>38</v>
      </c>
      <c r="P1246" s="69">
        <f>uurtarief43</f>
        <v>0</v>
      </c>
      <c r="Q1246" s="66" t="e">
        <f>IF(ISBLANK(M1246),0,L1246/ROUND(M1246,4))</f>
        <v>#DIV/0!</v>
      </c>
      <c r="R1246" s="66" t="e">
        <f>IF(ISBLANK(M1246),0,Q1246*ROUND(N1246,2))</f>
        <v>#DIV/0!</v>
      </c>
      <c r="S1246" s="69" t="e">
        <f>ROUND(P1246,2)*Q1246</f>
        <v>#DIV/0!</v>
      </c>
      <c r="T1246" s="66" t="e">
        <f>Q1246*dagenperjaar1</f>
        <v>#DIV/0!</v>
      </c>
      <c r="U1246" s="70" t="e">
        <f>T1246*ROUND(P1246,2)</f>
        <v>#DIV/0!</v>
      </c>
    </row>
    <row r="1247" spans="1:21" x14ac:dyDescent="0.2">
      <c r="A1247" s="63" t="s">
        <v>1784</v>
      </c>
      <c r="B1247" s="64" t="s">
        <v>1799</v>
      </c>
      <c r="C1247" s="64" t="s">
        <v>345</v>
      </c>
      <c r="D1247" s="64" t="s">
        <v>881</v>
      </c>
      <c r="E1247" s="64" t="s">
        <v>324</v>
      </c>
      <c r="F1247" s="65" t="s">
        <v>335</v>
      </c>
      <c r="G1247" s="64" t="s">
        <v>458</v>
      </c>
      <c r="H1247" s="64" t="s">
        <v>229</v>
      </c>
      <c r="I1247" s="64" t="s">
        <v>10</v>
      </c>
      <c r="J1247" s="64" t="s">
        <v>201</v>
      </c>
      <c r="K1247" s="66">
        <v>43</v>
      </c>
      <c r="L1247" s="66">
        <f>K1247*VLOOKUP(I1247,dagsoorttabel1,2,FALSE)</f>
        <v>43</v>
      </c>
      <c r="M1247" s="67">
        <f>prodnorm43</f>
        <v>0</v>
      </c>
      <c r="N1247" s="68">
        <f>dagwerk43</f>
        <v>0</v>
      </c>
      <c r="O1247" s="64" t="s">
        <v>38</v>
      </c>
      <c r="P1247" s="69">
        <f>uurtarief43</f>
        <v>0</v>
      </c>
      <c r="Q1247" s="66" t="e">
        <f>IF(ISBLANK(M1247),0,L1247/ROUND(M1247,4))</f>
        <v>#DIV/0!</v>
      </c>
      <c r="R1247" s="66" t="e">
        <f>IF(ISBLANK(M1247),0,Q1247*ROUND(N1247,2))</f>
        <v>#DIV/0!</v>
      </c>
      <c r="S1247" s="69" t="e">
        <f>ROUND(P1247,2)*Q1247</f>
        <v>#DIV/0!</v>
      </c>
      <c r="T1247" s="66" t="e">
        <f>Q1247*dagenperjaar1</f>
        <v>#DIV/0!</v>
      </c>
      <c r="U1247" s="70" t="e">
        <f>T1247*ROUND(P1247,2)</f>
        <v>#DIV/0!</v>
      </c>
    </row>
    <row r="1248" spans="1:21" x14ac:dyDescent="0.2">
      <c r="A1248" s="63" t="s">
        <v>1784</v>
      </c>
      <c r="B1248" s="64" t="s">
        <v>1799</v>
      </c>
      <c r="C1248" s="64" t="s">
        <v>345</v>
      </c>
      <c r="D1248" s="64" t="s">
        <v>1800</v>
      </c>
      <c r="E1248" s="64" t="s">
        <v>324</v>
      </c>
      <c r="F1248" s="65" t="s">
        <v>335</v>
      </c>
      <c r="G1248" s="64" t="s">
        <v>685</v>
      </c>
      <c r="H1248" s="64" t="s">
        <v>217</v>
      </c>
      <c r="I1248" s="64" t="s">
        <v>10</v>
      </c>
      <c r="J1248" s="64" t="s">
        <v>201</v>
      </c>
      <c r="K1248" s="66">
        <v>6</v>
      </c>
      <c r="L1248" s="66">
        <f>K1248*VLOOKUP(I1248,dagsoorttabel1,2,FALSE)</f>
        <v>6</v>
      </c>
      <c r="M1248" s="67">
        <f>prodnorm35</f>
        <v>0</v>
      </c>
      <c r="N1248" s="68">
        <f>dagwerk35</f>
        <v>0</v>
      </c>
      <c r="O1248" s="64" t="s">
        <v>38</v>
      </c>
      <c r="P1248" s="69">
        <f>uurtarief35</f>
        <v>0</v>
      </c>
      <c r="Q1248" s="66" t="e">
        <f>IF(ISBLANK(M1248),0,L1248/ROUND(M1248,4))</f>
        <v>#DIV/0!</v>
      </c>
      <c r="R1248" s="66" t="e">
        <f>IF(ISBLANK(M1248),0,Q1248*ROUND(N1248,2))</f>
        <v>#DIV/0!</v>
      </c>
      <c r="S1248" s="69" t="e">
        <f>ROUND(P1248,2)*Q1248</f>
        <v>#DIV/0!</v>
      </c>
      <c r="T1248" s="66" t="e">
        <f>Q1248*dagenperjaar1</f>
        <v>#DIV/0!</v>
      </c>
      <c r="U1248" s="70" t="e">
        <f>T1248*ROUND(P1248,2)</f>
        <v>#DIV/0!</v>
      </c>
    </row>
    <row r="1249" spans="1:21" x14ac:dyDescent="0.2">
      <c r="A1249" s="63" t="s">
        <v>1784</v>
      </c>
      <c r="B1249" s="64" t="s">
        <v>1799</v>
      </c>
      <c r="C1249" s="64" t="s">
        <v>345</v>
      </c>
      <c r="D1249" s="64" t="s">
        <v>882</v>
      </c>
      <c r="E1249" s="64" t="s">
        <v>324</v>
      </c>
      <c r="F1249" s="65" t="s">
        <v>1801</v>
      </c>
      <c r="G1249" s="64" t="s">
        <v>458</v>
      </c>
      <c r="H1249" s="64" t="s">
        <v>229</v>
      </c>
      <c r="I1249" s="64" t="s">
        <v>10</v>
      </c>
      <c r="J1249" s="64" t="s">
        <v>201</v>
      </c>
      <c r="K1249" s="66">
        <v>76</v>
      </c>
      <c r="L1249" s="66">
        <f>K1249*VLOOKUP(I1249,dagsoorttabel1,2,FALSE)</f>
        <v>76</v>
      </c>
      <c r="M1249" s="67">
        <f>prodnorm43</f>
        <v>0</v>
      </c>
      <c r="N1249" s="68">
        <f>dagwerk43</f>
        <v>0</v>
      </c>
      <c r="O1249" s="64" t="s">
        <v>38</v>
      </c>
      <c r="P1249" s="69">
        <f>uurtarief43</f>
        <v>0</v>
      </c>
      <c r="Q1249" s="66" t="e">
        <f>IF(ISBLANK(M1249),0,L1249/ROUND(M1249,4))</f>
        <v>#DIV/0!</v>
      </c>
      <c r="R1249" s="66" t="e">
        <f>IF(ISBLANK(M1249),0,Q1249*ROUND(N1249,2))</f>
        <v>#DIV/0!</v>
      </c>
      <c r="S1249" s="69" t="e">
        <f>ROUND(P1249,2)*Q1249</f>
        <v>#DIV/0!</v>
      </c>
      <c r="T1249" s="66" t="e">
        <f>Q1249*dagenperjaar1</f>
        <v>#DIV/0!</v>
      </c>
      <c r="U1249" s="70" t="e">
        <f>T1249*ROUND(P1249,2)</f>
        <v>#DIV/0!</v>
      </c>
    </row>
    <row r="1250" spans="1:21" x14ac:dyDescent="0.2">
      <c r="A1250" s="63" t="s">
        <v>1784</v>
      </c>
      <c r="B1250" s="64" t="s">
        <v>1799</v>
      </c>
      <c r="C1250" s="64" t="s">
        <v>345</v>
      </c>
      <c r="D1250" s="64" t="s">
        <v>883</v>
      </c>
      <c r="E1250" s="64" t="s">
        <v>324</v>
      </c>
      <c r="F1250" s="65" t="s">
        <v>1791</v>
      </c>
      <c r="G1250" s="64" t="s">
        <v>365</v>
      </c>
      <c r="H1250" s="64" t="s">
        <v>255</v>
      </c>
      <c r="I1250" s="64" t="s">
        <v>10</v>
      </c>
      <c r="J1250" s="64" t="s">
        <v>201</v>
      </c>
      <c r="K1250" s="66">
        <v>7</v>
      </c>
      <c r="L1250" s="66">
        <f>K1250*VLOOKUP(I1250,dagsoorttabel1,2,FALSE)</f>
        <v>7</v>
      </c>
      <c r="M1250" s="67">
        <f>prodnorm59</f>
        <v>0</v>
      </c>
      <c r="N1250" s="68">
        <f>dagwerk59</f>
        <v>0</v>
      </c>
      <c r="O1250" s="64" t="s">
        <v>38</v>
      </c>
      <c r="P1250" s="69">
        <f>uurtarief59</f>
        <v>0</v>
      </c>
      <c r="Q1250" s="66" t="e">
        <f>IF(ISBLANK(M1250),0,L1250/ROUND(M1250,4))</f>
        <v>#DIV/0!</v>
      </c>
      <c r="R1250" s="66" t="e">
        <f>IF(ISBLANK(M1250),0,Q1250*ROUND(N1250,2))</f>
        <v>#DIV/0!</v>
      </c>
      <c r="S1250" s="69" t="e">
        <f>ROUND(P1250,2)*Q1250</f>
        <v>#DIV/0!</v>
      </c>
      <c r="T1250" s="66" t="e">
        <f>Q1250*dagenperjaar1</f>
        <v>#DIV/0!</v>
      </c>
      <c r="U1250" s="70" t="e">
        <f>T1250*ROUND(P1250,2)</f>
        <v>#DIV/0!</v>
      </c>
    </row>
    <row r="1251" spans="1:21" x14ac:dyDescent="0.2">
      <c r="A1251" s="63" t="s">
        <v>1784</v>
      </c>
      <c r="B1251" s="64" t="s">
        <v>1799</v>
      </c>
      <c r="C1251" s="64" t="s">
        <v>345</v>
      </c>
      <c r="D1251" s="64" t="s">
        <v>883</v>
      </c>
      <c r="E1251" s="64" t="s">
        <v>324</v>
      </c>
      <c r="F1251" s="65" t="s">
        <v>1791</v>
      </c>
      <c r="G1251" s="64" t="s">
        <v>365</v>
      </c>
      <c r="H1251" s="64" t="s">
        <v>257</v>
      </c>
      <c r="I1251" s="64" t="s">
        <v>10</v>
      </c>
      <c r="J1251" s="64" t="s">
        <v>201</v>
      </c>
      <c r="K1251" s="66">
        <v>7</v>
      </c>
      <c r="L1251" s="66">
        <f>K1251*VLOOKUP(I1251,dagsoorttabel1,2,FALSE)</f>
        <v>7</v>
      </c>
      <c r="M1251" s="67">
        <f>prodnorm60</f>
        <v>0</v>
      </c>
      <c r="N1251" s="68">
        <f>dagwerk60</f>
        <v>0</v>
      </c>
      <c r="O1251" s="64" t="s">
        <v>38</v>
      </c>
      <c r="P1251" s="69">
        <f>uurtarief60</f>
        <v>0</v>
      </c>
      <c r="Q1251" s="66" t="e">
        <f>IF(ISBLANK(M1251),0,L1251/ROUND(M1251,4))</f>
        <v>#DIV/0!</v>
      </c>
      <c r="R1251" s="66" t="e">
        <f>IF(ISBLANK(M1251),0,Q1251*ROUND(N1251,2))</f>
        <v>#DIV/0!</v>
      </c>
      <c r="S1251" s="69" t="e">
        <f>ROUND(P1251,2)*Q1251</f>
        <v>#DIV/0!</v>
      </c>
      <c r="T1251" s="66" t="e">
        <f>Q1251*dagenperjaar1</f>
        <v>#DIV/0!</v>
      </c>
      <c r="U1251" s="70" t="e">
        <f>T1251*ROUND(P1251,2)</f>
        <v>#DIV/0!</v>
      </c>
    </row>
    <row r="1252" spans="1:21" x14ac:dyDescent="0.2">
      <c r="A1252" s="63" t="s">
        <v>1784</v>
      </c>
      <c r="B1252" s="64" t="s">
        <v>1799</v>
      </c>
      <c r="C1252" s="64" t="s">
        <v>345</v>
      </c>
      <c r="D1252" s="64" t="s">
        <v>1332</v>
      </c>
      <c r="E1252" s="64" t="s">
        <v>324</v>
      </c>
      <c r="F1252" s="65" t="s">
        <v>1802</v>
      </c>
      <c r="G1252" s="64" t="s">
        <v>458</v>
      </c>
      <c r="H1252" s="64" t="s">
        <v>229</v>
      </c>
      <c r="I1252" s="64" t="s">
        <v>10</v>
      </c>
      <c r="J1252" s="64" t="s">
        <v>201</v>
      </c>
      <c r="K1252" s="66">
        <v>67</v>
      </c>
      <c r="L1252" s="66">
        <f>K1252*VLOOKUP(I1252,dagsoorttabel1,2,FALSE)</f>
        <v>67</v>
      </c>
      <c r="M1252" s="67">
        <f>prodnorm43</f>
        <v>0</v>
      </c>
      <c r="N1252" s="68">
        <f>dagwerk43</f>
        <v>0</v>
      </c>
      <c r="O1252" s="64" t="s">
        <v>38</v>
      </c>
      <c r="P1252" s="69">
        <f>uurtarief43</f>
        <v>0</v>
      </c>
      <c r="Q1252" s="66" t="e">
        <f>IF(ISBLANK(M1252),0,L1252/ROUND(M1252,4))</f>
        <v>#DIV/0!</v>
      </c>
      <c r="R1252" s="66" t="e">
        <f>IF(ISBLANK(M1252),0,Q1252*ROUND(N1252,2))</f>
        <v>#DIV/0!</v>
      </c>
      <c r="S1252" s="69" t="e">
        <f>ROUND(P1252,2)*Q1252</f>
        <v>#DIV/0!</v>
      </c>
      <c r="T1252" s="66" t="e">
        <f>Q1252*dagenperjaar1</f>
        <v>#DIV/0!</v>
      </c>
      <c r="U1252" s="70" t="e">
        <f>T1252*ROUND(P1252,2)</f>
        <v>#DIV/0!</v>
      </c>
    </row>
    <row r="1253" spans="1:21" x14ac:dyDescent="0.2">
      <c r="A1253" s="63" t="s">
        <v>1784</v>
      </c>
      <c r="B1253" s="64" t="s">
        <v>1799</v>
      </c>
      <c r="C1253" s="64" t="s">
        <v>345</v>
      </c>
      <c r="D1253" s="64" t="s">
        <v>1333</v>
      </c>
      <c r="E1253" s="64" t="s">
        <v>324</v>
      </c>
      <c r="F1253" s="65" t="s">
        <v>834</v>
      </c>
      <c r="G1253" s="64" t="s">
        <v>458</v>
      </c>
      <c r="H1253" s="64" t="s">
        <v>229</v>
      </c>
      <c r="I1253" s="64" t="s">
        <v>10</v>
      </c>
      <c r="J1253" s="64" t="s">
        <v>201</v>
      </c>
      <c r="K1253" s="66">
        <v>16.2</v>
      </c>
      <c r="L1253" s="66">
        <f>K1253*VLOOKUP(I1253,dagsoorttabel1,2,FALSE)</f>
        <v>16.2</v>
      </c>
      <c r="M1253" s="67">
        <f>prodnorm43</f>
        <v>0</v>
      </c>
      <c r="N1253" s="68">
        <f>dagwerk43</f>
        <v>0</v>
      </c>
      <c r="O1253" s="64" t="s">
        <v>38</v>
      </c>
      <c r="P1253" s="69">
        <f>uurtarief43</f>
        <v>0</v>
      </c>
      <c r="Q1253" s="66" t="e">
        <f>IF(ISBLANK(M1253),0,L1253/ROUND(M1253,4))</f>
        <v>#DIV/0!</v>
      </c>
      <c r="R1253" s="66" t="e">
        <f>IF(ISBLANK(M1253),0,Q1253*ROUND(N1253,2))</f>
        <v>#DIV/0!</v>
      </c>
      <c r="S1253" s="69" t="e">
        <f>ROUND(P1253,2)*Q1253</f>
        <v>#DIV/0!</v>
      </c>
      <c r="T1253" s="66" t="e">
        <f>Q1253*dagenperjaar1</f>
        <v>#DIV/0!</v>
      </c>
      <c r="U1253" s="70" t="e">
        <f>T1253*ROUND(P1253,2)</f>
        <v>#DIV/0!</v>
      </c>
    </row>
    <row r="1254" spans="1:21" x14ac:dyDescent="0.2">
      <c r="A1254" s="63" t="s">
        <v>1784</v>
      </c>
      <c r="B1254" s="64" t="s">
        <v>1799</v>
      </c>
      <c r="C1254" s="64" t="s">
        <v>345</v>
      </c>
      <c r="D1254" s="64" t="s">
        <v>1803</v>
      </c>
      <c r="E1254" s="64" t="s">
        <v>324</v>
      </c>
      <c r="F1254" s="65" t="s">
        <v>834</v>
      </c>
      <c r="G1254" s="64" t="s">
        <v>685</v>
      </c>
      <c r="H1254" s="64" t="s">
        <v>269</v>
      </c>
      <c r="I1254" s="64" t="s">
        <v>10</v>
      </c>
      <c r="J1254" s="64" t="s">
        <v>201</v>
      </c>
      <c r="K1254" s="66">
        <v>7.8</v>
      </c>
      <c r="L1254" s="66">
        <f>K1254*VLOOKUP(I1254,dagsoorttabel1,2,FALSE)</f>
        <v>7.8</v>
      </c>
      <c r="M1254" s="67">
        <f>prodnorm67</f>
        <v>0</v>
      </c>
      <c r="N1254" s="68">
        <f>dagwerk67</f>
        <v>0</v>
      </c>
      <c r="O1254" s="64" t="s">
        <v>38</v>
      </c>
      <c r="P1254" s="69">
        <f>uurtarief67</f>
        <v>0</v>
      </c>
      <c r="Q1254" s="66" t="e">
        <f>IF(ISBLANK(M1254),0,L1254/ROUND(M1254,4))</f>
        <v>#DIV/0!</v>
      </c>
      <c r="R1254" s="66" t="e">
        <f>IF(ISBLANK(M1254),0,Q1254*ROUND(N1254,2))</f>
        <v>#DIV/0!</v>
      </c>
      <c r="S1254" s="69" t="e">
        <f>ROUND(P1254,2)*Q1254</f>
        <v>#DIV/0!</v>
      </c>
      <c r="T1254" s="66" t="e">
        <f>Q1254*dagenperjaar1</f>
        <v>#DIV/0!</v>
      </c>
      <c r="U1254" s="70" t="e">
        <f>T1254*ROUND(P1254,2)</f>
        <v>#DIV/0!</v>
      </c>
    </row>
    <row r="1255" spans="1:21" x14ac:dyDescent="0.2">
      <c r="A1255" s="63" t="s">
        <v>1784</v>
      </c>
      <c r="B1255" s="64" t="s">
        <v>1799</v>
      </c>
      <c r="C1255" s="64" t="s">
        <v>345</v>
      </c>
      <c r="D1255" s="64" t="s">
        <v>1804</v>
      </c>
      <c r="E1255" s="64" t="s">
        <v>324</v>
      </c>
      <c r="F1255" s="65" t="s">
        <v>638</v>
      </c>
      <c r="G1255" s="64" t="s">
        <v>324</v>
      </c>
      <c r="H1255" s="64" t="s">
        <v>263</v>
      </c>
      <c r="I1255" s="64" t="s">
        <v>10</v>
      </c>
      <c r="J1255" s="64" t="s">
        <v>201</v>
      </c>
      <c r="K1255" s="66">
        <v>20</v>
      </c>
      <c r="L1255" s="66">
        <f>K1255*VLOOKUP(I1255,dagsoorttabel1,2,FALSE)</f>
        <v>20</v>
      </c>
      <c r="M1255" s="67">
        <f>prodnorm63</f>
        <v>0</v>
      </c>
      <c r="N1255" s="68">
        <f>dagwerk63</f>
        <v>0</v>
      </c>
      <c r="O1255" s="64" t="s">
        <v>38</v>
      </c>
      <c r="P1255" s="69">
        <f>uurtarief63</f>
        <v>0</v>
      </c>
      <c r="Q1255" s="66" t="e">
        <f>IF(ISBLANK(M1255),0,L1255/ROUND(M1255,4))</f>
        <v>#DIV/0!</v>
      </c>
      <c r="R1255" s="66" t="e">
        <f>IF(ISBLANK(M1255),0,Q1255*ROUND(N1255,2))</f>
        <v>#DIV/0!</v>
      </c>
      <c r="S1255" s="69" t="e">
        <f>ROUND(P1255,2)*Q1255</f>
        <v>#DIV/0!</v>
      </c>
      <c r="T1255" s="66" t="e">
        <f>Q1255*dagenperjaar1</f>
        <v>#DIV/0!</v>
      </c>
      <c r="U1255" s="70" t="e">
        <f>T1255*ROUND(P1255,2)</f>
        <v>#DIV/0!</v>
      </c>
    </row>
    <row r="1256" spans="1:21" x14ac:dyDescent="0.2">
      <c r="A1256" s="63" t="s">
        <v>1784</v>
      </c>
      <c r="B1256" s="64" t="s">
        <v>1799</v>
      </c>
      <c r="C1256" s="64" t="s">
        <v>345</v>
      </c>
      <c r="D1256" s="64" t="s">
        <v>885</v>
      </c>
      <c r="E1256" s="64" t="s">
        <v>324</v>
      </c>
      <c r="F1256" s="65" t="s">
        <v>1805</v>
      </c>
      <c r="G1256" s="64" t="s">
        <v>351</v>
      </c>
      <c r="H1256" s="64" t="s">
        <v>243</v>
      </c>
      <c r="I1256" s="64" t="s">
        <v>10</v>
      </c>
      <c r="J1256" s="64" t="s">
        <v>201</v>
      </c>
      <c r="K1256" s="66">
        <v>50</v>
      </c>
      <c r="L1256" s="66">
        <f>K1256*VLOOKUP(I1256,dagsoorttabel1,2,FALSE)</f>
        <v>50</v>
      </c>
      <c r="M1256" s="67">
        <f>prodnorm52</f>
        <v>0</v>
      </c>
      <c r="N1256" s="68">
        <f>dagwerk52</f>
        <v>0</v>
      </c>
      <c r="O1256" s="64" t="s">
        <v>38</v>
      </c>
      <c r="P1256" s="69">
        <f>uurtarief52</f>
        <v>0</v>
      </c>
      <c r="Q1256" s="66" t="e">
        <f>IF(ISBLANK(M1256),0,L1256/ROUND(M1256,4))</f>
        <v>#DIV/0!</v>
      </c>
      <c r="R1256" s="66" t="e">
        <f>IF(ISBLANK(M1256),0,Q1256*ROUND(N1256,2))</f>
        <v>#DIV/0!</v>
      </c>
      <c r="S1256" s="69" t="e">
        <f>ROUND(P1256,2)*Q1256</f>
        <v>#DIV/0!</v>
      </c>
      <c r="T1256" s="66" t="e">
        <f>Q1256*dagenperjaar1</f>
        <v>#DIV/0!</v>
      </c>
      <c r="U1256" s="70" t="e">
        <f>T1256*ROUND(P1256,2)</f>
        <v>#DIV/0!</v>
      </c>
    </row>
    <row r="1257" spans="1:21" x14ac:dyDescent="0.2">
      <c r="A1257" s="63" t="s">
        <v>1784</v>
      </c>
      <c r="B1257" s="64" t="s">
        <v>1799</v>
      </c>
      <c r="C1257" s="64" t="s">
        <v>345</v>
      </c>
      <c r="D1257" s="64" t="s">
        <v>886</v>
      </c>
      <c r="E1257" s="64" t="s">
        <v>324</v>
      </c>
      <c r="F1257" s="65" t="s">
        <v>1806</v>
      </c>
      <c r="G1257" s="64" t="s">
        <v>351</v>
      </c>
      <c r="H1257" s="64" t="s">
        <v>243</v>
      </c>
      <c r="I1257" s="64" t="s">
        <v>10</v>
      </c>
      <c r="J1257" s="64" t="s">
        <v>201</v>
      </c>
      <c r="K1257" s="66">
        <v>16</v>
      </c>
      <c r="L1257" s="66">
        <f>K1257*VLOOKUP(I1257,dagsoorttabel1,2,FALSE)</f>
        <v>16</v>
      </c>
      <c r="M1257" s="67">
        <f>prodnorm52</f>
        <v>0</v>
      </c>
      <c r="N1257" s="68">
        <f>dagwerk52</f>
        <v>0</v>
      </c>
      <c r="O1257" s="64" t="s">
        <v>38</v>
      </c>
      <c r="P1257" s="69">
        <f>uurtarief52</f>
        <v>0</v>
      </c>
      <c r="Q1257" s="66" t="e">
        <f>IF(ISBLANK(M1257),0,L1257/ROUND(M1257,4))</f>
        <v>#DIV/0!</v>
      </c>
      <c r="R1257" s="66" t="e">
        <f>IF(ISBLANK(M1257),0,Q1257*ROUND(N1257,2))</f>
        <v>#DIV/0!</v>
      </c>
      <c r="S1257" s="69" t="e">
        <f>ROUND(P1257,2)*Q1257</f>
        <v>#DIV/0!</v>
      </c>
      <c r="T1257" s="66" t="e">
        <f>Q1257*dagenperjaar1</f>
        <v>#DIV/0!</v>
      </c>
      <c r="U1257" s="70" t="e">
        <f>T1257*ROUND(P1257,2)</f>
        <v>#DIV/0!</v>
      </c>
    </row>
    <row r="1258" spans="1:21" x14ac:dyDescent="0.2">
      <c r="A1258" s="63" t="s">
        <v>1784</v>
      </c>
      <c r="B1258" s="64" t="s">
        <v>1799</v>
      </c>
      <c r="C1258" s="64" t="s">
        <v>345</v>
      </c>
      <c r="D1258" s="64" t="s">
        <v>1337</v>
      </c>
      <c r="E1258" s="64" t="s">
        <v>324</v>
      </c>
      <c r="F1258" s="65" t="s">
        <v>671</v>
      </c>
      <c r="G1258" s="64" t="s">
        <v>365</v>
      </c>
      <c r="H1258" s="64" t="s">
        <v>255</v>
      </c>
      <c r="I1258" s="64" t="s">
        <v>10</v>
      </c>
      <c r="J1258" s="64" t="s">
        <v>201</v>
      </c>
      <c r="K1258" s="66">
        <v>6</v>
      </c>
      <c r="L1258" s="66">
        <f>K1258*VLOOKUP(I1258,dagsoorttabel1,2,FALSE)</f>
        <v>6</v>
      </c>
      <c r="M1258" s="67">
        <f>prodnorm59</f>
        <v>0</v>
      </c>
      <c r="N1258" s="68">
        <f>dagwerk59</f>
        <v>0</v>
      </c>
      <c r="O1258" s="64" t="s">
        <v>38</v>
      </c>
      <c r="P1258" s="69">
        <f>uurtarief59</f>
        <v>0</v>
      </c>
      <c r="Q1258" s="66" t="e">
        <f>IF(ISBLANK(M1258),0,L1258/ROUND(M1258,4))</f>
        <v>#DIV/0!</v>
      </c>
      <c r="R1258" s="66" t="e">
        <f>IF(ISBLANK(M1258),0,Q1258*ROUND(N1258,2))</f>
        <v>#DIV/0!</v>
      </c>
      <c r="S1258" s="69" t="e">
        <f>ROUND(P1258,2)*Q1258</f>
        <v>#DIV/0!</v>
      </c>
      <c r="T1258" s="66" t="e">
        <f>Q1258*dagenperjaar1</f>
        <v>#DIV/0!</v>
      </c>
      <c r="U1258" s="70" t="e">
        <f>T1258*ROUND(P1258,2)</f>
        <v>#DIV/0!</v>
      </c>
    </row>
    <row r="1259" spans="1:21" x14ac:dyDescent="0.2">
      <c r="A1259" s="63" t="s">
        <v>1784</v>
      </c>
      <c r="B1259" s="64" t="s">
        <v>1799</v>
      </c>
      <c r="C1259" s="64" t="s">
        <v>345</v>
      </c>
      <c r="D1259" s="64" t="s">
        <v>1339</v>
      </c>
      <c r="E1259" s="64" t="s">
        <v>324</v>
      </c>
      <c r="F1259" s="65" t="s">
        <v>1790</v>
      </c>
      <c r="G1259" s="64" t="s">
        <v>458</v>
      </c>
      <c r="H1259" s="64" t="s">
        <v>229</v>
      </c>
      <c r="I1259" s="64" t="s">
        <v>10</v>
      </c>
      <c r="J1259" s="64" t="s">
        <v>201</v>
      </c>
      <c r="K1259" s="66">
        <v>59</v>
      </c>
      <c r="L1259" s="66">
        <f>K1259*VLOOKUP(I1259,dagsoorttabel1,2,FALSE)</f>
        <v>59</v>
      </c>
      <c r="M1259" s="67">
        <f>prodnorm43</f>
        <v>0</v>
      </c>
      <c r="N1259" s="68">
        <f>dagwerk43</f>
        <v>0</v>
      </c>
      <c r="O1259" s="64" t="s">
        <v>38</v>
      </c>
      <c r="P1259" s="69">
        <f>uurtarief43</f>
        <v>0</v>
      </c>
      <c r="Q1259" s="66" t="e">
        <f>IF(ISBLANK(M1259),0,L1259/ROUND(M1259,4))</f>
        <v>#DIV/0!</v>
      </c>
      <c r="R1259" s="66" t="e">
        <f>IF(ISBLANK(M1259),0,Q1259*ROUND(N1259,2))</f>
        <v>#DIV/0!</v>
      </c>
      <c r="S1259" s="69" t="e">
        <f>ROUND(P1259,2)*Q1259</f>
        <v>#DIV/0!</v>
      </c>
      <c r="T1259" s="66" t="e">
        <f>Q1259*dagenperjaar1</f>
        <v>#DIV/0!</v>
      </c>
      <c r="U1259" s="70" t="e">
        <f>T1259*ROUND(P1259,2)</f>
        <v>#DIV/0!</v>
      </c>
    </row>
    <row r="1260" spans="1:21" x14ac:dyDescent="0.2">
      <c r="A1260" s="63" t="s">
        <v>1784</v>
      </c>
      <c r="B1260" s="64" t="s">
        <v>1799</v>
      </c>
      <c r="C1260" s="64" t="s">
        <v>323</v>
      </c>
      <c r="D1260" s="64" t="s">
        <v>942</v>
      </c>
      <c r="E1260" s="64" t="s">
        <v>324</v>
      </c>
      <c r="F1260" s="65" t="s">
        <v>335</v>
      </c>
      <c r="G1260" s="64" t="s">
        <v>458</v>
      </c>
      <c r="H1260" s="64" t="s">
        <v>267</v>
      </c>
      <c r="I1260" s="64" t="s">
        <v>10</v>
      </c>
      <c r="J1260" s="64" t="s">
        <v>201</v>
      </c>
      <c r="K1260" s="66">
        <v>27</v>
      </c>
      <c r="L1260" s="66">
        <f>K1260*VLOOKUP(I1260,dagsoorttabel1,2,FALSE)</f>
        <v>27</v>
      </c>
      <c r="M1260" s="67">
        <f>prodnorm65</f>
        <v>0</v>
      </c>
      <c r="N1260" s="68">
        <f>dagwerk65</f>
        <v>0</v>
      </c>
      <c r="O1260" s="64" t="s">
        <v>38</v>
      </c>
      <c r="P1260" s="69">
        <f>uurtarief65</f>
        <v>0</v>
      </c>
      <c r="Q1260" s="66" t="e">
        <f>IF(ISBLANK(M1260),0,L1260/ROUND(M1260,4))</f>
        <v>#DIV/0!</v>
      </c>
      <c r="R1260" s="66" t="e">
        <f>IF(ISBLANK(M1260),0,Q1260*ROUND(N1260,2))</f>
        <v>#DIV/0!</v>
      </c>
      <c r="S1260" s="69" t="e">
        <f>ROUND(P1260,2)*Q1260</f>
        <v>#DIV/0!</v>
      </c>
      <c r="T1260" s="66" t="e">
        <f>Q1260*dagenperjaar1</f>
        <v>#DIV/0!</v>
      </c>
      <c r="U1260" s="70" t="e">
        <f>T1260*ROUND(P1260,2)</f>
        <v>#DIV/0!</v>
      </c>
    </row>
    <row r="1261" spans="1:21" x14ac:dyDescent="0.2">
      <c r="A1261" s="63" t="s">
        <v>1784</v>
      </c>
      <c r="B1261" s="64" t="s">
        <v>1799</v>
      </c>
      <c r="C1261" s="64" t="s">
        <v>323</v>
      </c>
      <c r="D1261" s="64" t="s">
        <v>1807</v>
      </c>
      <c r="E1261" s="64" t="s">
        <v>324</v>
      </c>
      <c r="F1261" s="65" t="s">
        <v>335</v>
      </c>
      <c r="G1261" s="64" t="s">
        <v>458</v>
      </c>
      <c r="H1261" s="64" t="s">
        <v>267</v>
      </c>
      <c r="I1261" s="64" t="s">
        <v>10</v>
      </c>
      <c r="J1261" s="64" t="s">
        <v>201</v>
      </c>
      <c r="K1261" s="66">
        <v>28</v>
      </c>
      <c r="L1261" s="66">
        <f>K1261*VLOOKUP(I1261,dagsoorttabel1,2,FALSE)</f>
        <v>28</v>
      </c>
      <c r="M1261" s="67">
        <f>prodnorm65</f>
        <v>0</v>
      </c>
      <c r="N1261" s="68">
        <f>dagwerk65</f>
        <v>0</v>
      </c>
      <c r="O1261" s="64" t="s">
        <v>38</v>
      </c>
      <c r="P1261" s="69">
        <f>uurtarief65</f>
        <v>0</v>
      </c>
      <c r="Q1261" s="66" t="e">
        <f>IF(ISBLANK(M1261),0,L1261/ROUND(M1261,4))</f>
        <v>#DIV/0!</v>
      </c>
      <c r="R1261" s="66" t="e">
        <f>IF(ISBLANK(M1261),0,Q1261*ROUND(N1261,2))</f>
        <v>#DIV/0!</v>
      </c>
      <c r="S1261" s="69" t="e">
        <f>ROUND(P1261,2)*Q1261</f>
        <v>#DIV/0!</v>
      </c>
      <c r="T1261" s="66" t="e">
        <f>Q1261*dagenperjaar1</f>
        <v>#DIV/0!</v>
      </c>
      <c r="U1261" s="70" t="e">
        <f>T1261*ROUND(P1261,2)</f>
        <v>#DIV/0!</v>
      </c>
    </row>
    <row r="1262" spans="1:21" x14ac:dyDescent="0.2">
      <c r="A1262" s="63" t="s">
        <v>1784</v>
      </c>
      <c r="B1262" s="64" t="s">
        <v>1799</v>
      </c>
      <c r="C1262" s="64" t="s">
        <v>323</v>
      </c>
      <c r="D1262" s="64" t="s">
        <v>944</v>
      </c>
      <c r="E1262" s="64" t="s">
        <v>324</v>
      </c>
      <c r="F1262" s="65" t="s">
        <v>1790</v>
      </c>
      <c r="G1262" s="64" t="s">
        <v>458</v>
      </c>
      <c r="H1262" s="64" t="s">
        <v>267</v>
      </c>
      <c r="I1262" s="64" t="s">
        <v>10</v>
      </c>
      <c r="J1262" s="64" t="s">
        <v>201</v>
      </c>
      <c r="K1262" s="66">
        <v>46</v>
      </c>
      <c r="L1262" s="66">
        <f>K1262*VLOOKUP(I1262,dagsoorttabel1,2,FALSE)</f>
        <v>46</v>
      </c>
      <c r="M1262" s="67">
        <f>prodnorm65</f>
        <v>0</v>
      </c>
      <c r="N1262" s="68">
        <f>dagwerk65</f>
        <v>0</v>
      </c>
      <c r="O1262" s="64" t="s">
        <v>38</v>
      </c>
      <c r="P1262" s="69">
        <f>uurtarief65</f>
        <v>0</v>
      </c>
      <c r="Q1262" s="66" t="e">
        <f>IF(ISBLANK(M1262),0,L1262/ROUND(M1262,4))</f>
        <v>#DIV/0!</v>
      </c>
      <c r="R1262" s="66" t="e">
        <f>IF(ISBLANK(M1262),0,Q1262*ROUND(N1262,2))</f>
        <v>#DIV/0!</v>
      </c>
      <c r="S1262" s="69" t="e">
        <f>ROUND(P1262,2)*Q1262</f>
        <v>#DIV/0!</v>
      </c>
      <c r="T1262" s="66" t="e">
        <f>Q1262*dagenperjaar1</f>
        <v>#DIV/0!</v>
      </c>
      <c r="U1262" s="70" t="e">
        <f>T1262*ROUND(P1262,2)</f>
        <v>#DIV/0!</v>
      </c>
    </row>
    <row r="1263" spans="1:21" x14ac:dyDescent="0.2">
      <c r="A1263" s="63" t="s">
        <v>1784</v>
      </c>
      <c r="B1263" s="64" t="s">
        <v>1799</v>
      </c>
      <c r="C1263" s="64" t="s">
        <v>323</v>
      </c>
      <c r="D1263" s="64" t="s">
        <v>945</v>
      </c>
      <c r="E1263" s="64" t="s">
        <v>324</v>
      </c>
      <c r="F1263" s="65" t="s">
        <v>641</v>
      </c>
      <c r="G1263" s="64" t="s">
        <v>365</v>
      </c>
      <c r="H1263" s="64" t="s">
        <v>255</v>
      </c>
      <c r="I1263" s="64" t="s">
        <v>10</v>
      </c>
      <c r="J1263" s="64" t="s">
        <v>201</v>
      </c>
      <c r="K1263" s="66">
        <v>7</v>
      </c>
      <c r="L1263" s="66">
        <f>K1263*VLOOKUP(I1263,dagsoorttabel1,2,FALSE)</f>
        <v>7</v>
      </c>
      <c r="M1263" s="67">
        <f>prodnorm59</f>
        <v>0</v>
      </c>
      <c r="N1263" s="68">
        <f>dagwerk59</f>
        <v>0</v>
      </c>
      <c r="O1263" s="64" t="s">
        <v>38</v>
      </c>
      <c r="P1263" s="69">
        <f>uurtarief59</f>
        <v>0</v>
      </c>
      <c r="Q1263" s="66" t="e">
        <f>IF(ISBLANK(M1263),0,L1263/ROUND(M1263,4))</f>
        <v>#DIV/0!</v>
      </c>
      <c r="R1263" s="66" t="e">
        <f>IF(ISBLANK(M1263),0,Q1263*ROUND(N1263,2))</f>
        <v>#DIV/0!</v>
      </c>
      <c r="S1263" s="69" t="e">
        <f>ROUND(P1263,2)*Q1263</f>
        <v>#DIV/0!</v>
      </c>
      <c r="T1263" s="66" t="e">
        <f>Q1263*dagenperjaar1</f>
        <v>#DIV/0!</v>
      </c>
      <c r="U1263" s="70" t="e">
        <f>T1263*ROUND(P1263,2)</f>
        <v>#DIV/0!</v>
      </c>
    </row>
    <row r="1264" spans="1:21" x14ac:dyDescent="0.2">
      <c r="A1264" s="63" t="s">
        <v>1784</v>
      </c>
      <c r="B1264" s="64" t="s">
        <v>1799</v>
      </c>
      <c r="C1264" s="64" t="s">
        <v>323</v>
      </c>
      <c r="D1264" s="64" t="s">
        <v>945</v>
      </c>
      <c r="E1264" s="64" t="s">
        <v>324</v>
      </c>
      <c r="F1264" s="65" t="s">
        <v>641</v>
      </c>
      <c r="G1264" s="64" t="s">
        <v>365</v>
      </c>
      <c r="H1264" s="64" t="s">
        <v>257</v>
      </c>
      <c r="I1264" s="64" t="s">
        <v>10</v>
      </c>
      <c r="J1264" s="64" t="s">
        <v>201</v>
      </c>
      <c r="K1264" s="66">
        <v>7</v>
      </c>
      <c r="L1264" s="66">
        <f>K1264*VLOOKUP(I1264,dagsoorttabel1,2,FALSE)</f>
        <v>7</v>
      </c>
      <c r="M1264" s="67">
        <f>prodnorm60</f>
        <v>0</v>
      </c>
      <c r="N1264" s="68">
        <f>dagwerk60</f>
        <v>0</v>
      </c>
      <c r="O1264" s="64" t="s">
        <v>38</v>
      </c>
      <c r="P1264" s="69">
        <f>uurtarief60</f>
        <v>0</v>
      </c>
      <c r="Q1264" s="66" t="e">
        <f>IF(ISBLANK(M1264),0,L1264/ROUND(M1264,4))</f>
        <v>#DIV/0!</v>
      </c>
      <c r="R1264" s="66" t="e">
        <f>IF(ISBLANK(M1264),0,Q1264*ROUND(N1264,2))</f>
        <v>#DIV/0!</v>
      </c>
      <c r="S1264" s="69" t="e">
        <f>ROUND(P1264,2)*Q1264</f>
        <v>#DIV/0!</v>
      </c>
      <c r="T1264" s="66" t="e">
        <f>Q1264*dagenperjaar1</f>
        <v>#DIV/0!</v>
      </c>
      <c r="U1264" s="70" t="e">
        <f>T1264*ROUND(P1264,2)</f>
        <v>#DIV/0!</v>
      </c>
    </row>
    <row r="1265" spans="1:21" x14ac:dyDescent="0.2">
      <c r="A1265" s="63" t="s">
        <v>1784</v>
      </c>
      <c r="B1265" s="64" t="s">
        <v>1799</v>
      </c>
      <c r="C1265" s="64" t="s">
        <v>323</v>
      </c>
      <c r="D1265" s="64" t="s">
        <v>1781</v>
      </c>
      <c r="E1265" s="64" t="s">
        <v>324</v>
      </c>
      <c r="F1265" s="65" t="s">
        <v>1790</v>
      </c>
      <c r="G1265" s="64" t="s">
        <v>458</v>
      </c>
      <c r="H1265" s="64" t="s">
        <v>229</v>
      </c>
      <c r="I1265" s="64" t="s">
        <v>10</v>
      </c>
      <c r="J1265" s="64" t="s">
        <v>201</v>
      </c>
      <c r="K1265" s="66">
        <v>47</v>
      </c>
      <c r="L1265" s="66">
        <f>K1265*VLOOKUP(I1265,dagsoorttabel1,2,FALSE)</f>
        <v>47</v>
      </c>
      <c r="M1265" s="67">
        <f>prodnorm43</f>
        <v>0</v>
      </c>
      <c r="N1265" s="68">
        <f>dagwerk43</f>
        <v>0</v>
      </c>
      <c r="O1265" s="64" t="s">
        <v>38</v>
      </c>
      <c r="P1265" s="69">
        <f>uurtarief43</f>
        <v>0</v>
      </c>
      <c r="Q1265" s="66" t="e">
        <f>IF(ISBLANK(M1265),0,L1265/ROUND(M1265,4))</f>
        <v>#DIV/0!</v>
      </c>
      <c r="R1265" s="66" t="e">
        <f>IF(ISBLANK(M1265),0,Q1265*ROUND(N1265,2))</f>
        <v>#DIV/0!</v>
      </c>
      <c r="S1265" s="69" t="e">
        <f>ROUND(P1265,2)*Q1265</f>
        <v>#DIV/0!</v>
      </c>
      <c r="T1265" s="66" t="e">
        <f>Q1265*dagenperjaar1</f>
        <v>#DIV/0!</v>
      </c>
      <c r="U1265" s="70" t="e">
        <f>T1265*ROUND(P1265,2)</f>
        <v>#DIV/0!</v>
      </c>
    </row>
    <row r="1266" spans="1:21" x14ac:dyDescent="0.2">
      <c r="A1266" s="63" t="s">
        <v>1784</v>
      </c>
      <c r="B1266" s="64" t="s">
        <v>1799</v>
      </c>
      <c r="C1266" s="64" t="s">
        <v>323</v>
      </c>
      <c r="D1266" s="64" t="s">
        <v>1369</v>
      </c>
      <c r="E1266" s="64" t="s">
        <v>324</v>
      </c>
      <c r="F1266" s="65" t="s">
        <v>1790</v>
      </c>
      <c r="G1266" s="64" t="s">
        <v>458</v>
      </c>
      <c r="H1266" s="64" t="s">
        <v>229</v>
      </c>
      <c r="I1266" s="64" t="s">
        <v>10</v>
      </c>
      <c r="J1266" s="64" t="s">
        <v>201</v>
      </c>
      <c r="K1266" s="66">
        <v>50</v>
      </c>
      <c r="L1266" s="66">
        <f>K1266*VLOOKUP(I1266,dagsoorttabel1,2,FALSE)</f>
        <v>50</v>
      </c>
      <c r="M1266" s="67">
        <f>prodnorm43</f>
        <v>0</v>
      </c>
      <c r="N1266" s="68">
        <f>dagwerk43</f>
        <v>0</v>
      </c>
      <c r="O1266" s="64" t="s">
        <v>38</v>
      </c>
      <c r="P1266" s="69">
        <f>uurtarief43</f>
        <v>0</v>
      </c>
      <c r="Q1266" s="66" t="e">
        <f>IF(ISBLANK(M1266),0,L1266/ROUND(M1266,4))</f>
        <v>#DIV/0!</v>
      </c>
      <c r="R1266" s="66" t="e">
        <f>IF(ISBLANK(M1266),0,Q1266*ROUND(N1266,2))</f>
        <v>#DIV/0!</v>
      </c>
      <c r="S1266" s="69" t="e">
        <f>ROUND(P1266,2)*Q1266</f>
        <v>#DIV/0!</v>
      </c>
      <c r="T1266" s="66" t="e">
        <f>Q1266*dagenperjaar1</f>
        <v>#DIV/0!</v>
      </c>
      <c r="U1266" s="70" t="e">
        <f>T1266*ROUND(P1266,2)</f>
        <v>#DIV/0!</v>
      </c>
    </row>
    <row r="1267" spans="1:21" x14ac:dyDescent="0.2">
      <c r="A1267" s="63" t="s">
        <v>1784</v>
      </c>
      <c r="B1267" s="64" t="s">
        <v>1799</v>
      </c>
      <c r="C1267" s="64" t="s">
        <v>323</v>
      </c>
      <c r="D1267" s="64" t="s">
        <v>946</v>
      </c>
      <c r="E1267" s="64" t="s">
        <v>324</v>
      </c>
      <c r="F1267" s="65" t="s">
        <v>1790</v>
      </c>
      <c r="G1267" s="64" t="s">
        <v>458</v>
      </c>
      <c r="H1267" s="64" t="s">
        <v>229</v>
      </c>
      <c r="I1267" s="64" t="s">
        <v>10</v>
      </c>
      <c r="J1267" s="64" t="s">
        <v>201</v>
      </c>
      <c r="K1267" s="66">
        <v>46</v>
      </c>
      <c r="L1267" s="66">
        <f>K1267*VLOOKUP(I1267,dagsoorttabel1,2,FALSE)</f>
        <v>46</v>
      </c>
      <c r="M1267" s="67">
        <f>prodnorm43</f>
        <v>0</v>
      </c>
      <c r="N1267" s="68">
        <f>dagwerk43</f>
        <v>0</v>
      </c>
      <c r="O1267" s="64" t="s">
        <v>38</v>
      </c>
      <c r="P1267" s="69">
        <f>uurtarief43</f>
        <v>0</v>
      </c>
      <c r="Q1267" s="66" t="e">
        <f>IF(ISBLANK(M1267),0,L1267/ROUND(M1267,4))</f>
        <v>#DIV/0!</v>
      </c>
      <c r="R1267" s="66" t="e">
        <f>IF(ISBLANK(M1267),0,Q1267*ROUND(N1267,2))</f>
        <v>#DIV/0!</v>
      </c>
      <c r="S1267" s="69" t="e">
        <f>ROUND(P1267,2)*Q1267</f>
        <v>#DIV/0!</v>
      </c>
      <c r="T1267" s="66" t="e">
        <f>Q1267*dagenperjaar1</f>
        <v>#DIV/0!</v>
      </c>
      <c r="U1267" s="70" t="e">
        <f>T1267*ROUND(P1267,2)</f>
        <v>#DIV/0!</v>
      </c>
    </row>
    <row r="1268" spans="1:21" x14ac:dyDescent="0.2">
      <c r="A1268" s="63" t="s">
        <v>1784</v>
      </c>
      <c r="B1268" s="64" t="s">
        <v>1799</v>
      </c>
      <c r="C1268" s="64" t="s">
        <v>323</v>
      </c>
      <c r="D1268" s="64" t="s">
        <v>1371</v>
      </c>
      <c r="E1268" s="64" t="s">
        <v>324</v>
      </c>
      <c r="F1268" s="65" t="s">
        <v>641</v>
      </c>
      <c r="G1268" s="64" t="s">
        <v>365</v>
      </c>
      <c r="H1268" s="64" t="s">
        <v>255</v>
      </c>
      <c r="I1268" s="64" t="s">
        <v>10</v>
      </c>
      <c r="J1268" s="64" t="s">
        <v>201</v>
      </c>
      <c r="K1268" s="66">
        <v>7</v>
      </c>
      <c r="L1268" s="66">
        <f>K1268*VLOOKUP(I1268,dagsoorttabel1,2,FALSE)</f>
        <v>7</v>
      </c>
      <c r="M1268" s="67">
        <f>prodnorm59</f>
        <v>0</v>
      </c>
      <c r="N1268" s="68">
        <f>dagwerk59</f>
        <v>0</v>
      </c>
      <c r="O1268" s="64" t="s">
        <v>38</v>
      </c>
      <c r="P1268" s="69">
        <f>uurtarief59</f>
        <v>0</v>
      </c>
      <c r="Q1268" s="66" t="e">
        <f>IF(ISBLANK(M1268),0,L1268/ROUND(M1268,4))</f>
        <v>#DIV/0!</v>
      </c>
      <c r="R1268" s="66" t="e">
        <f>IF(ISBLANK(M1268),0,Q1268*ROUND(N1268,2))</f>
        <v>#DIV/0!</v>
      </c>
      <c r="S1268" s="69" t="e">
        <f>ROUND(P1268,2)*Q1268</f>
        <v>#DIV/0!</v>
      </c>
      <c r="T1268" s="66" t="e">
        <f>Q1268*dagenperjaar1</f>
        <v>#DIV/0!</v>
      </c>
      <c r="U1268" s="70" t="e">
        <f>T1268*ROUND(P1268,2)</f>
        <v>#DIV/0!</v>
      </c>
    </row>
    <row r="1269" spans="1:21" x14ac:dyDescent="0.2">
      <c r="A1269" s="63" t="s">
        <v>1784</v>
      </c>
      <c r="B1269" s="64" t="s">
        <v>1799</v>
      </c>
      <c r="C1269" s="64" t="s">
        <v>323</v>
      </c>
      <c r="D1269" s="64" t="s">
        <v>1371</v>
      </c>
      <c r="E1269" s="64" t="s">
        <v>324</v>
      </c>
      <c r="F1269" s="65" t="s">
        <v>641</v>
      </c>
      <c r="G1269" s="64" t="s">
        <v>365</v>
      </c>
      <c r="H1269" s="64" t="s">
        <v>257</v>
      </c>
      <c r="I1269" s="64" t="s">
        <v>10</v>
      </c>
      <c r="J1269" s="64" t="s">
        <v>201</v>
      </c>
      <c r="K1269" s="66">
        <v>7</v>
      </c>
      <c r="L1269" s="66">
        <f>K1269*VLOOKUP(I1269,dagsoorttabel1,2,FALSE)</f>
        <v>7</v>
      </c>
      <c r="M1269" s="67">
        <f>prodnorm60</f>
        <v>0</v>
      </c>
      <c r="N1269" s="68">
        <f>dagwerk60</f>
        <v>0</v>
      </c>
      <c r="O1269" s="64" t="s">
        <v>38</v>
      </c>
      <c r="P1269" s="69">
        <f>uurtarief60</f>
        <v>0</v>
      </c>
      <c r="Q1269" s="66" t="e">
        <f>IF(ISBLANK(M1269),0,L1269/ROUND(M1269,4))</f>
        <v>#DIV/0!</v>
      </c>
      <c r="R1269" s="66" t="e">
        <f>IF(ISBLANK(M1269),0,Q1269*ROUND(N1269,2))</f>
        <v>#DIV/0!</v>
      </c>
      <c r="S1269" s="69" t="e">
        <f>ROUND(P1269,2)*Q1269</f>
        <v>#DIV/0!</v>
      </c>
      <c r="T1269" s="66" t="e">
        <f>Q1269*dagenperjaar1</f>
        <v>#DIV/0!</v>
      </c>
      <c r="U1269" s="70" t="e">
        <f>T1269*ROUND(P1269,2)</f>
        <v>#DIV/0!</v>
      </c>
    </row>
    <row r="1270" spans="1:21" x14ac:dyDescent="0.2">
      <c r="A1270" s="63" t="s">
        <v>1784</v>
      </c>
      <c r="B1270" s="64" t="s">
        <v>1799</v>
      </c>
      <c r="C1270" s="64" t="s">
        <v>323</v>
      </c>
      <c r="D1270" s="64" t="s">
        <v>1372</v>
      </c>
      <c r="E1270" s="64" t="s">
        <v>324</v>
      </c>
      <c r="F1270" s="65" t="s">
        <v>1790</v>
      </c>
      <c r="G1270" s="64" t="s">
        <v>458</v>
      </c>
      <c r="H1270" s="64" t="s">
        <v>229</v>
      </c>
      <c r="I1270" s="64" t="s">
        <v>10</v>
      </c>
      <c r="J1270" s="64" t="s">
        <v>201</v>
      </c>
      <c r="K1270" s="66">
        <v>46</v>
      </c>
      <c r="L1270" s="66">
        <f>K1270*VLOOKUP(I1270,dagsoorttabel1,2,FALSE)</f>
        <v>46</v>
      </c>
      <c r="M1270" s="67">
        <f>prodnorm43</f>
        <v>0</v>
      </c>
      <c r="N1270" s="68">
        <f>dagwerk43</f>
        <v>0</v>
      </c>
      <c r="O1270" s="64" t="s">
        <v>38</v>
      </c>
      <c r="P1270" s="69">
        <f>uurtarief43</f>
        <v>0</v>
      </c>
      <c r="Q1270" s="66" t="e">
        <f>IF(ISBLANK(M1270),0,L1270/ROUND(M1270,4))</f>
        <v>#DIV/0!</v>
      </c>
      <c r="R1270" s="66" t="e">
        <f>IF(ISBLANK(M1270),0,Q1270*ROUND(N1270,2))</f>
        <v>#DIV/0!</v>
      </c>
      <c r="S1270" s="69" t="e">
        <f>ROUND(P1270,2)*Q1270</f>
        <v>#DIV/0!</v>
      </c>
      <c r="T1270" s="66" t="e">
        <f>Q1270*dagenperjaar1</f>
        <v>#DIV/0!</v>
      </c>
      <c r="U1270" s="70" t="e">
        <f>T1270*ROUND(P1270,2)</f>
        <v>#DIV/0!</v>
      </c>
    </row>
    <row r="1271" spans="1:21" x14ac:dyDescent="0.2">
      <c r="A1271" s="63" t="s">
        <v>1784</v>
      </c>
      <c r="B1271" s="64" t="s">
        <v>1799</v>
      </c>
      <c r="C1271" s="64" t="s">
        <v>323</v>
      </c>
      <c r="D1271" s="64" t="s">
        <v>947</v>
      </c>
      <c r="E1271" s="64" t="s">
        <v>324</v>
      </c>
      <c r="F1271" s="65" t="s">
        <v>1808</v>
      </c>
      <c r="G1271" s="64" t="s">
        <v>458</v>
      </c>
      <c r="H1271" s="64" t="s">
        <v>200</v>
      </c>
      <c r="I1271" s="64" t="s">
        <v>10</v>
      </c>
      <c r="J1271" s="64" t="s">
        <v>201</v>
      </c>
      <c r="K1271" s="66">
        <v>100</v>
      </c>
      <c r="L1271" s="66">
        <f>K1271*VLOOKUP(I1271,dagsoorttabel1,2,FALSE)</f>
        <v>100</v>
      </c>
      <c r="M1271" s="67">
        <f>prodnorm24</f>
        <v>0</v>
      </c>
      <c r="N1271" s="68">
        <f>dagwerk24</f>
        <v>0</v>
      </c>
      <c r="O1271" s="64" t="s">
        <v>38</v>
      </c>
      <c r="P1271" s="69">
        <f>uurtarief24</f>
        <v>0</v>
      </c>
      <c r="Q1271" s="66" t="e">
        <f>IF(ISBLANK(M1271),0,L1271/ROUND(M1271,4))</f>
        <v>#DIV/0!</v>
      </c>
      <c r="R1271" s="66" t="e">
        <f>IF(ISBLANK(M1271),0,Q1271*ROUND(N1271,2))</f>
        <v>#DIV/0!</v>
      </c>
      <c r="S1271" s="69" t="e">
        <f>ROUND(P1271,2)*Q1271</f>
        <v>#DIV/0!</v>
      </c>
      <c r="T1271" s="66" t="e">
        <f>Q1271*dagenperjaar1</f>
        <v>#DIV/0!</v>
      </c>
      <c r="U1271" s="70" t="e">
        <f>T1271*ROUND(P1271,2)</f>
        <v>#DIV/0!</v>
      </c>
    </row>
    <row r="1272" spans="1:21" x14ac:dyDescent="0.2">
      <c r="A1272" s="63" t="s">
        <v>1784</v>
      </c>
      <c r="B1272" s="64" t="s">
        <v>1799</v>
      </c>
      <c r="C1272" s="64" t="s">
        <v>323</v>
      </c>
      <c r="D1272" s="64" t="s">
        <v>948</v>
      </c>
      <c r="E1272" s="64" t="s">
        <v>324</v>
      </c>
      <c r="F1272" s="65" t="s">
        <v>335</v>
      </c>
      <c r="G1272" s="64" t="s">
        <v>458</v>
      </c>
      <c r="H1272" s="64" t="s">
        <v>267</v>
      </c>
      <c r="I1272" s="64" t="s">
        <v>10</v>
      </c>
      <c r="J1272" s="64" t="s">
        <v>201</v>
      </c>
      <c r="K1272" s="66">
        <v>44</v>
      </c>
      <c r="L1272" s="66">
        <f>K1272*VLOOKUP(I1272,dagsoorttabel1,2,FALSE)</f>
        <v>44</v>
      </c>
      <c r="M1272" s="67">
        <f>prodnorm65</f>
        <v>0</v>
      </c>
      <c r="N1272" s="68">
        <f>dagwerk65</f>
        <v>0</v>
      </c>
      <c r="O1272" s="64" t="s">
        <v>38</v>
      </c>
      <c r="P1272" s="69">
        <f>uurtarief65</f>
        <v>0</v>
      </c>
      <c r="Q1272" s="66" t="e">
        <f>IF(ISBLANK(M1272),0,L1272/ROUND(M1272,4))</f>
        <v>#DIV/0!</v>
      </c>
      <c r="R1272" s="66" t="e">
        <f>IF(ISBLANK(M1272),0,Q1272*ROUND(N1272,2))</f>
        <v>#DIV/0!</v>
      </c>
      <c r="S1272" s="69" t="e">
        <f>ROUND(P1272,2)*Q1272</f>
        <v>#DIV/0!</v>
      </c>
      <c r="T1272" s="66" t="e">
        <f>Q1272*dagenperjaar1</f>
        <v>#DIV/0!</v>
      </c>
      <c r="U1272" s="70" t="e">
        <f>T1272*ROUND(P1272,2)</f>
        <v>#DIV/0!</v>
      </c>
    </row>
    <row r="1273" spans="1:21" x14ac:dyDescent="0.2">
      <c r="A1273" s="63" t="s">
        <v>1784</v>
      </c>
      <c r="B1273" s="64" t="s">
        <v>1799</v>
      </c>
      <c r="C1273" s="64" t="s">
        <v>323</v>
      </c>
      <c r="D1273" s="64" t="s">
        <v>949</v>
      </c>
      <c r="E1273" s="64" t="s">
        <v>324</v>
      </c>
      <c r="F1273" s="65" t="s">
        <v>641</v>
      </c>
      <c r="G1273" s="64" t="s">
        <v>365</v>
      </c>
      <c r="H1273" s="64" t="s">
        <v>255</v>
      </c>
      <c r="I1273" s="64" t="s">
        <v>10</v>
      </c>
      <c r="J1273" s="64" t="s">
        <v>201</v>
      </c>
      <c r="K1273" s="66">
        <v>6</v>
      </c>
      <c r="L1273" s="66">
        <f>K1273*VLOOKUP(I1273,dagsoorttabel1,2,FALSE)</f>
        <v>6</v>
      </c>
      <c r="M1273" s="67">
        <f>prodnorm59</f>
        <v>0</v>
      </c>
      <c r="N1273" s="68">
        <f>dagwerk59</f>
        <v>0</v>
      </c>
      <c r="O1273" s="64" t="s">
        <v>38</v>
      </c>
      <c r="P1273" s="69">
        <f>uurtarief59</f>
        <v>0</v>
      </c>
      <c r="Q1273" s="66" t="e">
        <f>IF(ISBLANK(M1273),0,L1273/ROUND(M1273,4))</f>
        <v>#DIV/0!</v>
      </c>
      <c r="R1273" s="66" t="e">
        <f>IF(ISBLANK(M1273),0,Q1273*ROUND(N1273,2))</f>
        <v>#DIV/0!</v>
      </c>
      <c r="S1273" s="69" t="e">
        <f>ROUND(P1273,2)*Q1273</f>
        <v>#DIV/0!</v>
      </c>
      <c r="T1273" s="66" t="e">
        <f>Q1273*dagenperjaar1</f>
        <v>#DIV/0!</v>
      </c>
      <c r="U1273" s="70" t="e">
        <f>T1273*ROUND(P1273,2)</f>
        <v>#DIV/0!</v>
      </c>
    </row>
    <row r="1274" spans="1:21" x14ac:dyDescent="0.2">
      <c r="A1274" s="63" t="s">
        <v>1784</v>
      </c>
      <c r="B1274" s="64" t="s">
        <v>1799</v>
      </c>
      <c r="C1274" s="64" t="s">
        <v>323</v>
      </c>
      <c r="D1274" s="64" t="s">
        <v>949</v>
      </c>
      <c r="E1274" s="64" t="s">
        <v>324</v>
      </c>
      <c r="F1274" s="65" t="s">
        <v>641</v>
      </c>
      <c r="G1274" s="64" t="s">
        <v>365</v>
      </c>
      <c r="H1274" s="64" t="s">
        <v>257</v>
      </c>
      <c r="I1274" s="64" t="s">
        <v>10</v>
      </c>
      <c r="J1274" s="64" t="s">
        <v>201</v>
      </c>
      <c r="K1274" s="66">
        <v>6</v>
      </c>
      <c r="L1274" s="66">
        <f>K1274*VLOOKUP(I1274,dagsoorttabel1,2,FALSE)</f>
        <v>6</v>
      </c>
      <c r="M1274" s="67">
        <f>prodnorm60</f>
        <v>0</v>
      </c>
      <c r="N1274" s="68">
        <f>dagwerk60</f>
        <v>0</v>
      </c>
      <c r="O1274" s="64" t="s">
        <v>38</v>
      </c>
      <c r="P1274" s="69">
        <f>uurtarief60</f>
        <v>0</v>
      </c>
      <c r="Q1274" s="66" t="e">
        <f>IF(ISBLANK(M1274),0,L1274/ROUND(M1274,4))</f>
        <v>#DIV/0!</v>
      </c>
      <c r="R1274" s="66" t="e">
        <f>IF(ISBLANK(M1274),0,Q1274*ROUND(N1274,2))</f>
        <v>#DIV/0!</v>
      </c>
      <c r="S1274" s="69" t="e">
        <f>ROUND(P1274,2)*Q1274</f>
        <v>#DIV/0!</v>
      </c>
      <c r="T1274" s="66" t="e">
        <f>Q1274*dagenperjaar1</f>
        <v>#DIV/0!</v>
      </c>
      <c r="U1274" s="70" t="e">
        <f>T1274*ROUND(P1274,2)</f>
        <v>#DIV/0!</v>
      </c>
    </row>
    <row r="1275" spans="1:21" x14ac:dyDescent="0.2">
      <c r="A1275" s="63" t="s">
        <v>1784</v>
      </c>
      <c r="B1275" s="64" t="s">
        <v>1799</v>
      </c>
      <c r="C1275" s="64" t="s">
        <v>323</v>
      </c>
      <c r="D1275" s="64" t="s">
        <v>952</v>
      </c>
      <c r="E1275" s="64" t="s">
        <v>324</v>
      </c>
      <c r="F1275" s="65" t="s">
        <v>1809</v>
      </c>
      <c r="G1275" s="64" t="s">
        <v>458</v>
      </c>
      <c r="H1275" s="64" t="s">
        <v>243</v>
      </c>
      <c r="I1275" s="64" t="s">
        <v>10</v>
      </c>
      <c r="J1275" s="64" t="s">
        <v>201</v>
      </c>
      <c r="K1275" s="66">
        <v>67</v>
      </c>
      <c r="L1275" s="66">
        <f>K1275*VLOOKUP(I1275,dagsoorttabel1,2,FALSE)</f>
        <v>67</v>
      </c>
      <c r="M1275" s="67">
        <f>prodnorm52</f>
        <v>0</v>
      </c>
      <c r="N1275" s="68">
        <f>dagwerk52</f>
        <v>0</v>
      </c>
      <c r="O1275" s="64" t="s">
        <v>38</v>
      </c>
      <c r="P1275" s="69">
        <f>uurtarief52</f>
        <v>0</v>
      </c>
      <c r="Q1275" s="66" t="e">
        <f>IF(ISBLANK(M1275),0,L1275/ROUND(M1275,4))</f>
        <v>#DIV/0!</v>
      </c>
      <c r="R1275" s="66" t="e">
        <f>IF(ISBLANK(M1275),0,Q1275*ROUND(N1275,2))</f>
        <v>#DIV/0!</v>
      </c>
      <c r="S1275" s="69" t="e">
        <f>ROUND(P1275,2)*Q1275</f>
        <v>#DIV/0!</v>
      </c>
      <c r="T1275" s="66" t="e">
        <f>Q1275*dagenperjaar1</f>
        <v>#DIV/0!</v>
      </c>
      <c r="U1275" s="70" t="e">
        <f>T1275*ROUND(P1275,2)</f>
        <v>#DIV/0!</v>
      </c>
    </row>
    <row r="1276" spans="1:21" x14ac:dyDescent="0.2">
      <c r="A1276" s="63" t="s">
        <v>1784</v>
      </c>
      <c r="B1276" s="64" t="s">
        <v>1799</v>
      </c>
      <c r="C1276" s="64" t="s">
        <v>323</v>
      </c>
      <c r="D1276" s="64" t="s">
        <v>1810</v>
      </c>
      <c r="E1276" s="64" t="s">
        <v>324</v>
      </c>
      <c r="F1276" s="65" t="s">
        <v>381</v>
      </c>
      <c r="G1276" s="64" t="s">
        <v>351</v>
      </c>
      <c r="H1276" s="64" t="s">
        <v>207</v>
      </c>
      <c r="I1276" s="64" t="s">
        <v>10</v>
      </c>
      <c r="J1276" s="64" t="s">
        <v>201</v>
      </c>
      <c r="K1276" s="66">
        <v>9</v>
      </c>
      <c r="L1276" s="66">
        <f>K1276*VLOOKUP(I1276,dagsoorttabel1,2,FALSE)</f>
        <v>9</v>
      </c>
      <c r="M1276" s="67">
        <f>prodnorm28</f>
        <v>0</v>
      </c>
      <c r="N1276" s="68">
        <f>dagwerk28</f>
        <v>0</v>
      </c>
      <c r="O1276" s="64" t="s">
        <v>38</v>
      </c>
      <c r="P1276" s="69">
        <f>uurtarief28</f>
        <v>0</v>
      </c>
      <c r="Q1276" s="66" t="e">
        <f>IF(ISBLANK(M1276),0,L1276/ROUND(M1276,4))</f>
        <v>#DIV/0!</v>
      </c>
      <c r="R1276" s="66" t="e">
        <f>IF(ISBLANK(M1276),0,Q1276*ROUND(N1276,2))</f>
        <v>#DIV/0!</v>
      </c>
      <c r="S1276" s="69" t="e">
        <f>ROUND(P1276,2)*Q1276</f>
        <v>#DIV/0!</v>
      </c>
      <c r="T1276" s="66" t="e">
        <f>Q1276*dagenperjaar1</f>
        <v>#DIV/0!</v>
      </c>
      <c r="U1276" s="70" t="e">
        <f>T1276*ROUND(P1276,2)</f>
        <v>#DIV/0!</v>
      </c>
    </row>
    <row r="1277" spans="1:21" x14ac:dyDescent="0.2">
      <c r="A1277" s="63" t="s">
        <v>1784</v>
      </c>
      <c r="B1277" s="64" t="s">
        <v>1811</v>
      </c>
      <c r="C1277" s="64" t="s">
        <v>345</v>
      </c>
      <c r="D1277" s="64" t="s">
        <v>1812</v>
      </c>
      <c r="E1277" s="64" t="s">
        <v>324</v>
      </c>
      <c r="F1277" s="65" t="s">
        <v>354</v>
      </c>
      <c r="G1277" s="64" t="s">
        <v>328</v>
      </c>
      <c r="H1277" s="64" t="s">
        <v>215</v>
      </c>
      <c r="I1277" s="64" t="s">
        <v>10</v>
      </c>
      <c r="J1277" s="64" t="s">
        <v>201</v>
      </c>
      <c r="K1277" s="66">
        <v>32</v>
      </c>
      <c r="L1277" s="66">
        <f>K1277*VLOOKUP(I1277,dagsoorttabel1,2,FALSE)</f>
        <v>32</v>
      </c>
      <c r="M1277" s="67">
        <f>prodnorm34</f>
        <v>0</v>
      </c>
      <c r="N1277" s="68">
        <f>dagwerk34</f>
        <v>0</v>
      </c>
      <c r="O1277" s="64" t="s">
        <v>38</v>
      </c>
      <c r="P1277" s="69">
        <f>uurtarief34</f>
        <v>0</v>
      </c>
      <c r="Q1277" s="66" t="e">
        <f>IF(ISBLANK(M1277),0,L1277/ROUND(M1277,4))</f>
        <v>#DIV/0!</v>
      </c>
      <c r="R1277" s="66" t="e">
        <f>IF(ISBLANK(M1277),0,Q1277*ROUND(N1277,2))</f>
        <v>#DIV/0!</v>
      </c>
      <c r="S1277" s="69" t="e">
        <f>ROUND(P1277,2)*Q1277</f>
        <v>#DIV/0!</v>
      </c>
      <c r="T1277" s="66" t="e">
        <f>Q1277*dagenperjaar1</f>
        <v>#DIV/0!</v>
      </c>
      <c r="U1277" s="70" t="e">
        <f>T1277*ROUND(P1277,2)</f>
        <v>#DIV/0!</v>
      </c>
    </row>
    <row r="1278" spans="1:21" x14ac:dyDescent="0.2">
      <c r="A1278" s="63" t="s">
        <v>1784</v>
      </c>
      <c r="B1278" s="64" t="s">
        <v>1811</v>
      </c>
      <c r="C1278" s="64" t="s">
        <v>345</v>
      </c>
      <c r="D1278" s="64" t="s">
        <v>1813</v>
      </c>
      <c r="E1278" s="64" t="s">
        <v>324</v>
      </c>
      <c r="F1278" s="65" t="s">
        <v>335</v>
      </c>
      <c r="G1278" s="64" t="s">
        <v>328</v>
      </c>
      <c r="H1278" s="64" t="s">
        <v>267</v>
      </c>
      <c r="I1278" s="64" t="s">
        <v>10</v>
      </c>
      <c r="J1278" s="64" t="s">
        <v>201</v>
      </c>
      <c r="K1278" s="66">
        <v>49</v>
      </c>
      <c r="L1278" s="66">
        <f>K1278*VLOOKUP(I1278,dagsoorttabel1,2,FALSE)</f>
        <v>49</v>
      </c>
      <c r="M1278" s="67">
        <f>prodnorm65</f>
        <v>0</v>
      </c>
      <c r="N1278" s="68">
        <f>dagwerk65</f>
        <v>0</v>
      </c>
      <c r="O1278" s="64" t="s">
        <v>38</v>
      </c>
      <c r="P1278" s="69">
        <f>uurtarief65</f>
        <v>0</v>
      </c>
      <c r="Q1278" s="66" t="e">
        <f>IF(ISBLANK(M1278),0,L1278/ROUND(M1278,4))</f>
        <v>#DIV/0!</v>
      </c>
      <c r="R1278" s="66" t="e">
        <f>IF(ISBLANK(M1278),0,Q1278*ROUND(N1278,2))</f>
        <v>#DIV/0!</v>
      </c>
      <c r="S1278" s="69" t="e">
        <f>ROUND(P1278,2)*Q1278</f>
        <v>#DIV/0!</v>
      </c>
      <c r="T1278" s="66" t="e">
        <f>Q1278*dagenperjaar1</f>
        <v>#DIV/0!</v>
      </c>
      <c r="U1278" s="70" t="e">
        <f>T1278*ROUND(P1278,2)</f>
        <v>#DIV/0!</v>
      </c>
    </row>
    <row r="1279" spans="1:21" x14ac:dyDescent="0.2">
      <c r="A1279" s="63" t="s">
        <v>1784</v>
      </c>
      <c r="B1279" s="64" t="s">
        <v>1811</v>
      </c>
      <c r="C1279" s="64" t="s">
        <v>345</v>
      </c>
      <c r="D1279" s="64" t="s">
        <v>1814</v>
      </c>
      <c r="E1279" s="64" t="s">
        <v>324</v>
      </c>
      <c r="F1279" s="65" t="s">
        <v>1815</v>
      </c>
      <c r="G1279" s="64" t="s">
        <v>328</v>
      </c>
      <c r="H1279" s="64" t="s">
        <v>243</v>
      </c>
      <c r="I1279" s="64" t="s">
        <v>10</v>
      </c>
      <c r="J1279" s="64" t="s">
        <v>201</v>
      </c>
      <c r="K1279" s="66">
        <v>50</v>
      </c>
      <c r="L1279" s="66">
        <f>K1279*VLOOKUP(I1279,dagsoorttabel1,2,FALSE)</f>
        <v>50</v>
      </c>
      <c r="M1279" s="67">
        <f>prodnorm52</f>
        <v>0</v>
      </c>
      <c r="N1279" s="68">
        <f>dagwerk52</f>
        <v>0</v>
      </c>
      <c r="O1279" s="64" t="s">
        <v>38</v>
      </c>
      <c r="P1279" s="69">
        <f>uurtarief52</f>
        <v>0</v>
      </c>
      <c r="Q1279" s="66" t="e">
        <f>IF(ISBLANK(M1279),0,L1279/ROUND(M1279,4))</f>
        <v>#DIV/0!</v>
      </c>
      <c r="R1279" s="66" t="e">
        <f>IF(ISBLANK(M1279),0,Q1279*ROUND(N1279,2))</f>
        <v>#DIV/0!</v>
      </c>
      <c r="S1279" s="69" t="e">
        <f>ROUND(P1279,2)*Q1279</f>
        <v>#DIV/0!</v>
      </c>
      <c r="T1279" s="66" t="e">
        <f>Q1279*dagenperjaar1</f>
        <v>#DIV/0!</v>
      </c>
      <c r="U1279" s="70" t="e">
        <f>T1279*ROUND(P1279,2)</f>
        <v>#DIV/0!</v>
      </c>
    </row>
    <row r="1280" spans="1:21" x14ac:dyDescent="0.2">
      <c r="A1280" s="63" t="s">
        <v>1784</v>
      </c>
      <c r="B1280" s="64" t="s">
        <v>1811</v>
      </c>
      <c r="C1280" s="64" t="s">
        <v>345</v>
      </c>
      <c r="D1280" s="64" t="s">
        <v>1816</v>
      </c>
      <c r="E1280" s="64" t="s">
        <v>324</v>
      </c>
      <c r="F1280" s="65" t="s">
        <v>1817</v>
      </c>
      <c r="G1280" s="64" t="s">
        <v>328</v>
      </c>
      <c r="H1280" s="64" t="s">
        <v>229</v>
      </c>
      <c r="I1280" s="64" t="s">
        <v>10</v>
      </c>
      <c r="J1280" s="64" t="s">
        <v>201</v>
      </c>
      <c r="K1280" s="66">
        <v>50</v>
      </c>
      <c r="L1280" s="66">
        <f>K1280*VLOOKUP(I1280,dagsoorttabel1,2,FALSE)</f>
        <v>50</v>
      </c>
      <c r="M1280" s="67">
        <f>prodnorm43</f>
        <v>0</v>
      </c>
      <c r="N1280" s="68">
        <f>dagwerk43</f>
        <v>0</v>
      </c>
      <c r="O1280" s="64" t="s">
        <v>38</v>
      </c>
      <c r="P1280" s="69">
        <f>uurtarief43</f>
        <v>0</v>
      </c>
      <c r="Q1280" s="66" t="e">
        <f>IF(ISBLANK(M1280),0,L1280/ROUND(M1280,4))</f>
        <v>#DIV/0!</v>
      </c>
      <c r="R1280" s="66" t="e">
        <f>IF(ISBLANK(M1280),0,Q1280*ROUND(N1280,2))</f>
        <v>#DIV/0!</v>
      </c>
      <c r="S1280" s="69" t="e">
        <f>ROUND(P1280,2)*Q1280</f>
        <v>#DIV/0!</v>
      </c>
      <c r="T1280" s="66" t="e">
        <f>Q1280*dagenperjaar1</f>
        <v>#DIV/0!</v>
      </c>
      <c r="U1280" s="70" t="e">
        <f>T1280*ROUND(P1280,2)</f>
        <v>#DIV/0!</v>
      </c>
    </row>
    <row r="1281" spans="1:21" x14ac:dyDescent="0.2">
      <c r="A1281" s="63" t="s">
        <v>1784</v>
      </c>
      <c r="B1281" s="64" t="s">
        <v>1811</v>
      </c>
      <c r="C1281" s="64" t="s">
        <v>345</v>
      </c>
      <c r="D1281" s="64" t="s">
        <v>1614</v>
      </c>
      <c r="E1281" s="64" t="s">
        <v>324</v>
      </c>
      <c r="F1281" s="65" t="s">
        <v>1817</v>
      </c>
      <c r="G1281" s="64" t="s">
        <v>328</v>
      </c>
      <c r="H1281" s="64" t="s">
        <v>229</v>
      </c>
      <c r="I1281" s="64" t="s">
        <v>10</v>
      </c>
      <c r="J1281" s="64" t="s">
        <v>201</v>
      </c>
      <c r="K1281" s="66">
        <v>50</v>
      </c>
      <c r="L1281" s="66">
        <f>K1281*VLOOKUP(I1281,dagsoorttabel1,2,FALSE)</f>
        <v>50</v>
      </c>
      <c r="M1281" s="67">
        <f>prodnorm43</f>
        <v>0</v>
      </c>
      <c r="N1281" s="68">
        <f>dagwerk43</f>
        <v>0</v>
      </c>
      <c r="O1281" s="64" t="s">
        <v>38</v>
      </c>
      <c r="P1281" s="69">
        <f>uurtarief43</f>
        <v>0</v>
      </c>
      <c r="Q1281" s="66" t="e">
        <f>IF(ISBLANK(M1281),0,L1281/ROUND(M1281,4))</f>
        <v>#DIV/0!</v>
      </c>
      <c r="R1281" s="66" t="e">
        <f>IF(ISBLANK(M1281),0,Q1281*ROUND(N1281,2))</f>
        <v>#DIV/0!</v>
      </c>
      <c r="S1281" s="69" t="e">
        <f>ROUND(P1281,2)*Q1281</f>
        <v>#DIV/0!</v>
      </c>
      <c r="T1281" s="66" t="e">
        <f>Q1281*dagenperjaar1</f>
        <v>#DIV/0!</v>
      </c>
      <c r="U1281" s="70" t="e">
        <f>T1281*ROUND(P1281,2)</f>
        <v>#DIV/0!</v>
      </c>
    </row>
    <row r="1282" spans="1:21" x14ac:dyDescent="0.2">
      <c r="A1282" s="63" t="s">
        <v>1784</v>
      </c>
      <c r="B1282" s="64" t="s">
        <v>1811</v>
      </c>
      <c r="C1282" s="64" t="s">
        <v>345</v>
      </c>
      <c r="D1282" s="64" t="s">
        <v>1617</v>
      </c>
      <c r="E1282" s="64" t="s">
        <v>324</v>
      </c>
      <c r="F1282" s="65" t="s">
        <v>1817</v>
      </c>
      <c r="G1282" s="64" t="s">
        <v>328</v>
      </c>
      <c r="H1282" s="64" t="s">
        <v>229</v>
      </c>
      <c r="I1282" s="64" t="s">
        <v>10</v>
      </c>
      <c r="J1282" s="64" t="s">
        <v>201</v>
      </c>
      <c r="K1282" s="66">
        <v>50</v>
      </c>
      <c r="L1282" s="66">
        <f>K1282*VLOOKUP(I1282,dagsoorttabel1,2,FALSE)</f>
        <v>50</v>
      </c>
      <c r="M1282" s="67">
        <f>prodnorm43</f>
        <v>0</v>
      </c>
      <c r="N1282" s="68">
        <f>dagwerk43</f>
        <v>0</v>
      </c>
      <c r="O1282" s="64" t="s">
        <v>38</v>
      </c>
      <c r="P1282" s="69">
        <f>uurtarief43</f>
        <v>0</v>
      </c>
      <c r="Q1282" s="66" t="e">
        <f>IF(ISBLANK(M1282),0,L1282/ROUND(M1282,4))</f>
        <v>#DIV/0!</v>
      </c>
      <c r="R1282" s="66" t="e">
        <f>IF(ISBLANK(M1282),0,Q1282*ROUND(N1282,2))</f>
        <v>#DIV/0!</v>
      </c>
      <c r="S1282" s="69" t="e">
        <f>ROUND(P1282,2)*Q1282</f>
        <v>#DIV/0!</v>
      </c>
      <c r="T1282" s="66" t="e">
        <f>Q1282*dagenperjaar1</f>
        <v>#DIV/0!</v>
      </c>
      <c r="U1282" s="70" t="e">
        <f>T1282*ROUND(P1282,2)</f>
        <v>#DIV/0!</v>
      </c>
    </row>
    <row r="1283" spans="1:21" x14ac:dyDescent="0.2">
      <c r="A1283" s="63" t="s">
        <v>1784</v>
      </c>
      <c r="B1283" s="64" t="s">
        <v>1811</v>
      </c>
      <c r="C1283" s="64" t="s">
        <v>345</v>
      </c>
      <c r="D1283" s="64" t="s">
        <v>1619</v>
      </c>
      <c r="E1283" s="64" t="s">
        <v>324</v>
      </c>
      <c r="F1283" s="65" t="s">
        <v>1817</v>
      </c>
      <c r="G1283" s="64" t="s">
        <v>328</v>
      </c>
      <c r="H1283" s="64" t="s">
        <v>229</v>
      </c>
      <c r="I1283" s="64" t="s">
        <v>10</v>
      </c>
      <c r="J1283" s="64" t="s">
        <v>201</v>
      </c>
      <c r="K1283" s="66">
        <v>50</v>
      </c>
      <c r="L1283" s="66">
        <f>K1283*VLOOKUP(I1283,dagsoorttabel1,2,FALSE)</f>
        <v>50</v>
      </c>
      <c r="M1283" s="67">
        <f>prodnorm43</f>
        <v>0</v>
      </c>
      <c r="N1283" s="68">
        <f>dagwerk43</f>
        <v>0</v>
      </c>
      <c r="O1283" s="64" t="s">
        <v>38</v>
      </c>
      <c r="P1283" s="69">
        <f>uurtarief43</f>
        <v>0</v>
      </c>
      <c r="Q1283" s="66" t="e">
        <f>IF(ISBLANK(M1283),0,L1283/ROUND(M1283,4))</f>
        <v>#DIV/0!</v>
      </c>
      <c r="R1283" s="66" t="e">
        <f>IF(ISBLANK(M1283),0,Q1283*ROUND(N1283,2))</f>
        <v>#DIV/0!</v>
      </c>
      <c r="S1283" s="69" t="e">
        <f>ROUND(P1283,2)*Q1283</f>
        <v>#DIV/0!</v>
      </c>
      <c r="T1283" s="66" t="e">
        <f>Q1283*dagenperjaar1</f>
        <v>#DIV/0!</v>
      </c>
      <c r="U1283" s="70" t="e">
        <f>T1283*ROUND(P1283,2)</f>
        <v>#DIV/0!</v>
      </c>
    </row>
    <row r="1284" spans="1:21" x14ac:dyDescent="0.2">
      <c r="A1284" s="63" t="s">
        <v>1784</v>
      </c>
      <c r="B1284" s="64" t="s">
        <v>1811</v>
      </c>
      <c r="C1284" s="64" t="s">
        <v>345</v>
      </c>
      <c r="D1284" s="64" t="s">
        <v>1621</v>
      </c>
      <c r="E1284" s="64" t="s">
        <v>324</v>
      </c>
      <c r="F1284" s="65" t="s">
        <v>373</v>
      </c>
      <c r="G1284" s="64" t="s">
        <v>328</v>
      </c>
      <c r="H1284" s="64" t="s">
        <v>255</v>
      </c>
      <c r="I1284" s="64" t="s">
        <v>10</v>
      </c>
      <c r="J1284" s="64" t="s">
        <v>201</v>
      </c>
      <c r="K1284" s="66">
        <v>5</v>
      </c>
      <c r="L1284" s="66">
        <f>K1284*VLOOKUP(I1284,dagsoorttabel1,2,FALSE)</f>
        <v>5</v>
      </c>
      <c r="M1284" s="67">
        <f>prodnorm59</f>
        <v>0</v>
      </c>
      <c r="N1284" s="68">
        <f>dagwerk59</f>
        <v>0</v>
      </c>
      <c r="O1284" s="64" t="s">
        <v>38</v>
      </c>
      <c r="P1284" s="69">
        <f>uurtarief59</f>
        <v>0</v>
      </c>
      <c r="Q1284" s="66" t="e">
        <f>IF(ISBLANK(M1284),0,L1284/ROUND(M1284,4))</f>
        <v>#DIV/0!</v>
      </c>
      <c r="R1284" s="66" t="e">
        <f>IF(ISBLANK(M1284),0,Q1284*ROUND(N1284,2))</f>
        <v>#DIV/0!</v>
      </c>
      <c r="S1284" s="69" t="e">
        <f>ROUND(P1284,2)*Q1284</f>
        <v>#DIV/0!</v>
      </c>
      <c r="T1284" s="66" t="e">
        <f>Q1284*dagenperjaar1</f>
        <v>#DIV/0!</v>
      </c>
      <c r="U1284" s="70" t="e">
        <f>T1284*ROUND(P1284,2)</f>
        <v>#DIV/0!</v>
      </c>
    </row>
    <row r="1285" spans="1:21" x14ac:dyDescent="0.2">
      <c r="A1285" s="63" t="s">
        <v>1784</v>
      </c>
      <c r="B1285" s="64" t="s">
        <v>1811</v>
      </c>
      <c r="C1285" s="64" t="s">
        <v>345</v>
      </c>
      <c r="D1285" s="64" t="s">
        <v>1621</v>
      </c>
      <c r="E1285" s="64" t="s">
        <v>324</v>
      </c>
      <c r="F1285" s="65" t="s">
        <v>373</v>
      </c>
      <c r="G1285" s="64" t="s">
        <v>328</v>
      </c>
      <c r="H1285" s="64" t="s">
        <v>257</v>
      </c>
      <c r="I1285" s="64" t="s">
        <v>10</v>
      </c>
      <c r="J1285" s="64" t="s">
        <v>201</v>
      </c>
      <c r="K1285" s="66">
        <v>5</v>
      </c>
      <c r="L1285" s="66">
        <f>K1285*VLOOKUP(I1285,dagsoorttabel1,2,FALSE)</f>
        <v>5</v>
      </c>
      <c r="M1285" s="67">
        <f>prodnorm60</f>
        <v>0</v>
      </c>
      <c r="N1285" s="68">
        <f>dagwerk60</f>
        <v>0</v>
      </c>
      <c r="O1285" s="64" t="s">
        <v>38</v>
      </c>
      <c r="P1285" s="69">
        <f>uurtarief60</f>
        <v>0</v>
      </c>
      <c r="Q1285" s="66" t="e">
        <f>IF(ISBLANK(M1285),0,L1285/ROUND(M1285,4))</f>
        <v>#DIV/0!</v>
      </c>
      <c r="R1285" s="66" t="e">
        <f>IF(ISBLANK(M1285),0,Q1285*ROUND(N1285,2))</f>
        <v>#DIV/0!</v>
      </c>
      <c r="S1285" s="69" t="e">
        <f>ROUND(P1285,2)*Q1285</f>
        <v>#DIV/0!</v>
      </c>
      <c r="T1285" s="66" t="e">
        <f>Q1285*dagenperjaar1</f>
        <v>#DIV/0!</v>
      </c>
      <c r="U1285" s="70" t="e">
        <f>T1285*ROUND(P1285,2)</f>
        <v>#DIV/0!</v>
      </c>
    </row>
    <row r="1286" spans="1:21" x14ac:dyDescent="0.2">
      <c r="A1286" s="63" t="s">
        <v>1784</v>
      </c>
      <c r="B1286" s="64" t="s">
        <v>1811</v>
      </c>
      <c r="C1286" s="64" t="s">
        <v>345</v>
      </c>
      <c r="D1286" s="64" t="s">
        <v>1818</v>
      </c>
      <c r="E1286" s="64" t="s">
        <v>324</v>
      </c>
      <c r="F1286" s="65" t="s">
        <v>1052</v>
      </c>
      <c r="G1286" s="64" t="s">
        <v>328</v>
      </c>
      <c r="H1286" s="64" t="s">
        <v>255</v>
      </c>
      <c r="I1286" s="64" t="s">
        <v>10</v>
      </c>
      <c r="J1286" s="64" t="s">
        <v>201</v>
      </c>
      <c r="K1286" s="66">
        <v>5</v>
      </c>
      <c r="L1286" s="66">
        <f>K1286*VLOOKUP(I1286,dagsoorttabel1,2,FALSE)</f>
        <v>5</v>
      </c>
      <c r="M1286" s="67">
        <f>prodnorm59</f>
        <v>0</v>
      </c>
      <c r="N1286" s="68">
        <f>dagwerk59</f>
        <v>0</v>
      </c>
      <c r="O1286" s="64" t="s">
        <v>38</v>
      </c>
      <c r="P1286" s="69">
        <f>uurtarief59</f>
        <v>0</v>
      </c>
      <c r="Q1286" s="66" t="e">
        <f>IF(ISBLANK(M1286),0,L1286/ROUND(M1286,4))</f>
        <v>#DIV/0!</v>
      </c>
      <c r="R1286" s="66" t="e">
        <f>IF(ISBLANK(M1286),0,Q1286*ROUND(N1286,2))</f>
        <v>#DIV/0!</v>
      </c>
      <c r="S1286" s="69" t="e">
        <f>ROUND(P1286,2)*Q1286</f>
        <v>#DIV/0!</v>
      </c>
      <c r="T1286" s="66" t="e">
        <f>Q1286*dagenperjaar1</f>
        <v>#DIV/0!</v>
      </c>
      <c r="U1286" s="70" t="e">
        <f>T1286*ROUND(P1286,2)</f>
        <v>#DIV/0!</v>
      </c>
    </row>
    <row r="1287" spans="1:21" x14ac:dyDescent="0.2">
      <c r="A1287" s="63" t="s">
        <v>1784</v>
      </c>
      <c r="B1287" s="64" t="s">
        <v>1811</v>
      </c>
      <c r="C1287" s="64" t="s">
        <v>345</v>
      </c>
      <c r="D1287" s="64" t="s">
        <v>1818</v>
      </c>
      <c r="E1287" s="64" t="s">
        <v>324</v>
      </c>
      <c r="F1287" s="65" t="s">
        <v>1052</v>
      </c>
      <c r="G1287" s="64" t="s">
        <v>328</v>
      </c>
      <c r="H1287" s="64" t="s">
        <v>257</v>
      </c>
      <c r="I1287" s="64" t="s">
        <v>10</v>
      </c>
      <c r="J1287" s="64" t="s">
        <v>201</v>
      </c>
      <c r="K1287" s="66">
        <v>5</v>
      </c>
      <c r="L1287" s="66">
        <f>K1287*VLOOKUP(I1287,dagsoorttabel1,2,FALSE)</f>
        <v>5</v>
      </c>
      <c r="M1287" s="67">
        <f>prodnorm60</f>
        <v>0</v>
      </c>
      <c r="N1287" s="68">
        <f>dagwerk60</f>
        <v>0</v>
      </c>
      <c r="O1287" s="64" t="s">
        <v>38</v>
      </c>
      <c r="P1287" s="69">
        <f>uurtarief60</f>
        <v>0</v>
      </c>
      <c r="Q1287" s="66" t="e">
        <f>IF(ISBLANK(M1287),0,L1287/ROUND(M1287,4))</f>
        <v>#DIV/0!</v>
      </c>
      <c r="R1287" s="66" t="e">
        <f>IF(ISBLANK(M1287),0,Q1287*ROUND(N1287,2))</f>
        <v>#DIV/0!</v>
      </c>
      <c r="S1287" s="69" t="e">
        <f>ROUND(P1287,2)*Q1287</f>
        <v>#DIV/0!</v>
      </c>
      <c r="T1287" s="66" t="e">
        <f>Q1287*dagenperjaar1</f>
        <v>#DIV/0!</v>
      </c>
      <c r="U1287" s="70" t="e">
        <f>T1287*ROUND(P1287,2)</f>
        <v>#DIV/0!</v>
      </c>
    </row>
    <row r="1288" spans="1:21" x14ac:dyDescent="0.2">
      <c r="A1288" s="63" t="s">
        <v>1784</v>
      </c>
      <c r="B1288" s="64" t="s">
        <v>1811</v>
      </c>
      <c r="C1288" s="64" t="s">
        <v>323</v>
      </c>
      <c r="D1288" s="64" t="s">
        <v>1665</v>
      </c>
      <c r="E1288" s="64" t="s">
        <v>324</v>
      </c>
      <c r="F1288" s="65" t="s">
        <v>655</v>
      </c>
      <c r="G1288" s="64" t="s">
        <v>328</v>
      </c>
      <c r="H1288" s="64" t="s">
        <v>263</v>
      </c>
      <c r="I1288" s="64" t="s">
        <v>10</v>
      </c>
      <c r="J1288" s="64" t="s">
        <v>201</v>
      </c>
      <c r="K1288" s="66">
        <v>32</v>
      </c>
      <c r="L1288" s="66">
        <f>K1288*VLOOKUP(I1288,dagsoorttabel1,2,FALSE)</f>
        <v>32</v>
      </c>
      <c r="M1288" s="67">
        <f>prodnorm63</f>
        <v>0</v>
      </c>
      <c r="N1288" s="68">
        <f>dagwerk63</f>
        <v>0</v>
      </c>
      <c r="O1288" s="64" t="s">
        <v>38</v>
      </c>
      <c r="P1288" s="69">
        <f>uurtarief63</f>
        <v>0</v>
      </c>
      <c r="Q1288" s="66" t="e">
        <f>IF(ISBLANK(M1288),0,L1288/ROUND(M1288,4))</f>
        <v>#DIV/0!</v>
      </c>
      <c r="R1288" s="66" t="e">
        <f>IF(ISBLANK(M1288),0,Q1288*ROUND(N1288,2))</f>
        <v>#DIV/0!</v>
      </c>
      <c r="S1288" s="69" t="e">
        <f>ROUND(P1288,2)*Q1288</f>
        <v>#DIV/0!</v>
      </c>
      <c r="T1288" s="66" t="e">
        <f>Q1288*dagenperjaar1</f>
        <v>#DIV/0!</v>
      </c>
      <c r="U1288" s="70" t="e">
        <f>T1288*ROUND(P1288,2)</f>
        <v>#DIV/0!</v>
      </c>
    </row>
    <row r="1289" spans="1:21" x14ac:dyDescent="0.2">
      <c r="A1289" s="63" t="s">
        <v>1784</v>
      </c>
      <c r="B1289" s="64" t="s">
        <v>1811</v>
      </c>
      <c r="C1289" s="64" t="s">
        <v>323</v>
      </c>
      <c r="D1289" s="64" t="s">
        <v>1667</v>
      </c>
      <c r="E1289" s="64" t="s">
        <v>324</v>
      </c>
      <c r="F1289" s="65" t="s">
        <v>335</v>
      </c>
      <c r="G1289" s="64" t="s">
        <v>328</v>
      </c>
      <c r="H1289" s="64" t="s">
        <v>267</v>
      </c>
      <c r="I1289" s="64" t="s">
        <v>10</v>
      </c>
      <c r="J1289" s="64" t="s">
        <v>201</v>
      </c>
      <c r="K1289" s="66">
        <v>49</v>
      </c>
      <c r="L1289" s="66">
        <f>K1289*VLOOKUP(I1289,dagsoorttabel1,2,FALSE)</f>
        <v>49</v>
      </c>
      <c r="M1289" s="67">
        <f>prodnorm65</f>
        <v>0</v>
      </c>
      <c r="N1289" s="68">
        <f>dagwerk65</f>
        <v>0</v>
      </c>
      <c r="O1289" s="64" t="s">
        <v>38</v>
      </c>
      <c r="P1289" s="69">
        <f>uurtarief65</f>
        <v>0</v>
      </c>
      <c r="Q1289" s="66" t="e">
        <f>IF(ISBLANK(M1289),0,L1289/ROUND(M1289,4))</f>
        <v>#DIV/0!</v>
      </c>
      <c r="R1289" s="66" t="e">
        <f>IF(ISBLANK(M1289),0,Q1289*ROUND(N1289,2))</f>
        <v>#DIV/0!</v>
      </c>
      <c r="S1289" s="69" t="e">
        <f>ROUND(P1289,2)*Q1289</f>
        <v>#DIV/0!</v>
      </c>
      <c r="T1289" s="66" t="e">
        <f>Q1289*dagenperjaar1</f>
        <v>#DIV/0!</v>
      </c>
      <c r="U1289" s="70" t="e">
        <f>T1289*ROUND(P1289,2)</f>
        <v>#DIV/0!</v>
      </c>
    </row>
    <row r="1290" spans="1:21" x14ac:dyDescent="0.2">
      <c r="A1290" s="63" t="s">
        <v>1784</v>
      </c>
      <c r="B1290" s="64" t="s">
        <v>1811</v>
      </c>
      <c r="C1290" s="64" t="s">
        <v>323</v>
      </c>
      <c r="D1290" s="64" t="s">
        <v>1669</v>
      </c>
      <c r="E1290" s="64" t="s">
        <v>324</v>
      </c>
      <c r="F1290" s="65" t="s">
        <v>1819</v>
      </c>
      <c r="G1290" s="64" t="s">
        <v>328</v>
      </c>
      <c r="H1290" s="64" t="s">
        <v>205</v>
      </c>
      <c r="I1290" s="64" t="s">
        <v>10</v>
      </c>
      <c r="J1290" s="64" t="s">
        <v>201</v>
      </c>
      <c r="K1290" s="66">
        <v>33</v>
      </c>
      <c r="L1290" s="66">
        <f>K1290*VLOOKUP(I1290,dagsoorttabel1,2,FALSE)</f>
        <v>33</v>
      </c>
      <c r="M1290" s="67">
        <f>prodnorm26</f>
        <v>0</v>
      </c>
      <c r="N1290" s="68">
        <f>dagwerk26</f>
        <v>0</v>
      </c>
      <c r="O1290" s="64" t="s">
        <v>38</v>
      </c>
      <c r="P1290" s="69">
        <f>uurtarief26</f>
        <v>0</v>
      </c>
      <c r="Q1290" s="66" t="e">
        <f>IF(ISBLANK(M1290),0,L1290/ROUND(M1290,4))</f>
        <v>#DIV/0!</v>
      </c>
      <c r="R1290" s="66" t="e">
        <f>IF(ISBLANK(M1290),0,Q1290*ROUND(N1290,2))</f>
        <v>#DIV/0!</v>
      </c>
      <c r="S1290" s="69" t="e">
        <f>ROUND(P1290,2)*Q1290</f>
        <v>#DIV/0!</v>
      </c>
      <c r="T1290" s="66" t="e">
        <f>Q1290*dagenperjaar1</f>
        <v>#DIV/0!</v>
      </c>
      <c r="U1290" s="70" t="e">
        <f>T1290*ROUND(P1290,2)</f>
        <v>#DIV/0!</v>
      </c>
    </row>
    <row r="1291" spans="1:21" ht="25.5" x14ac:dyDescent="0.2">
      <c r="A1291" s="63" t="s">
        <v>1784</v>
      </c>
      <c r="B1291" s="64" t="s">
        <v>1811</v>
      </c>
      <c r="C1291" s="64" t="s">
        <v>323</v>
      </c>
      <c r="D1291" s="64" t="s">
        <v>1670</v>
      </c>
      <c r="E1291" s="64" t="s">
        <v>324</v>
      </c>
      <c r="F1291" s="65" t="s">
        <v>1820</v>
      </c>
      <c r="G1291" s="64" t="s">
        <v>328</v>
      </c>
      <c r="H1291" s="64" t="s">
        <v>247</v>
      </c>
      <c r="I1291" s="64" t="s">
        <v>10</v>
      </c>
      <c r="J1291" s="64" t="s">
        <v>201</v>
      </c>
      <c r="K1291" s="66">
        <v>50</v>
      </c>
      <c r="L1291" s="66">
        <f>K1291*VLOOKUP(I1291,dagsoorttabel1,2,FALSE)</f>
        <v>50</v>
      </c>
      <c r="M1291" s="67">
        <f>prodnorm55</f>
        <v>0</v>
      </c>
      <c r="N1291" s="68">
        <f>dagwerk55</f>
        <v>0</v>
      </c>
      <c r="O1291" s="64" t="s">
        <v>38</v>
      </c>
      <c r="P1291" s="69">
        <f>uurtarief55</f>
        <v>0</v>
      </c>
      <c r="Q1291" s="66" t="e">
        <f>IF(ISBLANK(M1291),0,L1291/ROUND(M1291,4))</f>
        <v>#DIV/0!</v>
      </c>
      <c r="R1291" s="66" t="e">
        <f>IF(ISBLANK(M1291),0,Q1291*ROUND(N1291,2))</f>
        <v>#DIV/0!</v>
      </c>
      <c r="S1291" s="69" t="e">
        <f>ROUND(P1291,2)*Q1291</f>
        <v>#DIV/0!</v>
      </c>
      <c r="T1291" s="66" t="e">
        <f>Q1291*dagenperjaar1</f>
        <v>#DIV/0!</v>
      </c>
      <c r="U1291" s="70" t="e">
        <f>T1291*ROUND(P1291,2)</f>
        <v>#DIV/0!</v>
      </c>
    </row>
    <row r="1292" spans="1:21" x14ac:dyDescent="0.2">
      <c r="A1292" s="63" t="s">
        <v>1784</v>
      </c>
      <c r="B1292" s="64" t="s">
        <v>1811</v>
      </c>
      <c r="C1292" s="64" t="s">
        <v>323</v>
      </c>
      <c r="D1292" s="64" t="s">
        <v>1671</v>
      </c>
      <c r="E1292" s="64" t="s">
        <v>324</v>
      </c>
      <c r="F1292" s="65" t="s">
        <v>1821</v>
      </c>
      <c r="G1292" s="64" t="s">
        <v>328</v>
      </c>
      <c r="H1292" s="64" t="s">
        <v>229</v>
      </c>
      <c r="I1292" s="64" t="s">
        <v>10</v>
      </c>
      <c r="J1292" s="64" t="s">
        <v>201</v>
      </c>
      <c r="K1292" s="66">
        <v>50</v>
      </c>
      <c r="L1292" s="66">
        <f>K1292*VLOOKUP(I1292,dagsoorttabel1,2,FALSE)</f>
        <v>50</v>
      </c>
      <c r="M1292" s="67">
        <f>prodnorm43</f>
        <v>0</v>
      </c>
      <c r="N1292" s="68">
        <f>dagwerk43</f>
        <v>0</v>
      </c>
      <c r="O1292" s="64" t="s">
        <v>38</v>
      </c>
      <c r="P1292" s="69">
        <f>uurtarief43</f>
        <v>0</v>
      </c>
      <c r="Q1292" s="66" t="e">
        <f>IF(ISBLANK(M1292),0,L1292/ROUND(M1292,4))</f>
        <v>#DIV/0!</v>
      </c>
      <c r="R1292" s="66" t="e">
        <f>IF(ISBLANK(M1292),0,Q1292*ROUND(N1292,2))</f>
        <v>#DIV/0!</v>
      </c>
      <c r="S1292" s="69" t="e">
        <f>ROUND(P1292,2)*Q1292</f>
        <v>#DIV/0!</v>
      </c>
      <c r="T1292" s="66" t="e">
        <f>Q1292*dagenperjaar1</f>
        <v>#DIV/0!</v>
      </c>
      <c r="U1292" s="70" t="e">
        <f>T1292*ROUND(P1292,2)</f>
        <v>#DIV/0!</v>
      </c>
    </row>
    <row r="1293" spans="1:21" x14ac:dyDescent="0.2">
      <c r="A1293" s="63" t="s">
        <v>1784</v>
      </c>
      <c r="B1293" s="64" t="s">
        <v>1811</v>
      </c>
      <c r="C1293" s="64" t="s">
        <v>323</v>
      </c>
      <c r="D1293" s="64" t="s">
        <v>1672</v>
      </c>
      <c r="E1293" s="64" t="s">
        <v>324</v>
      </c>
      <c r="F1293" s="65" t="s">
        <v>1821</v>
      </c>
      <c r="G1293" s="64" t="s">
        <v>328</v>
      </c>
      <c r="H1293" s="64" t="s">
        <v>229</v>
      </c>
      <c r="I1293" s="64" t="s">
        <v>10</v>
      </c>
      <c r="J1293" s="64" t="s">
        <v>201</v>
      </c>
      <c r="K1293" s="66">
        <v>50</v>
      </c>
      <c r="L1293" s="66">
        <f>K1293*VLOOKUP(I1293,dagsoorttabel1,2,FALSE)</f>
        <v>50</v>
      </c>
      <c r="M1293" s="67">
        <f>prodnorm43</f>
        <v>0</v>
      </c>
      <c r="N1293" s="68">
        <f>dagwerk43</f>
        <v>0</v>
      </c>
      <c r="O1293" s="64" t="s">
        <v>38</v>
      </c>
      <c r="P1293" s="69">
        <f>uurtarief43</f>
        <v>0</v>
      </c>
      <c r="Q1293" s="66" t="e">
        <f>IF(ISBLANK(M1293),0,L1293/ROUND(M1293,4))</f>
        <v>#DIV/0!</v>
      </c>
      <c r="R1293" s="66" t="e">
        <f>IF(ISBLANK(M1293),0,Q1293*ROUND(N1293,2))</f>
        <v>#DIV/0!</v>
      </c>
      <c r="S1293" s="69" t="e">
        <f>ROUND(P1293,2)*Q1293</f>
        <v>#DIV/0!</v>
      </c>
      <c r="T1293" s="66" t="e">
        <f>Q1293*dagenperjaar1</f>
        <v>#DIV/0!</v>
      </c>
      <c r="U1293" s="70" t="e">
        <f>T1293*ROUND(P1293,2)</f>
        <v>#DIV/0!</v>
      </c>
    </row>
    <row r="1294" spans="1:21" x14ac:dyDescent="0.2">
      <c r="A1294" s="63" t="s">
        <v>1784</v>
      </c>
      <c r="B1294" s="64" t="s">
        <v>1811</v>
      </c>
      <c r="C1294" s="64" t="s">
        <v>323</v>
      </c>
      <c r="D1294" s="64" t="s">
        <v>1674</v>
      </c>
      <c r="E1294" s="64" t="s">
        <v>324</v>
      </c>
      <c r="F1294" s="65" t="s">
        <v>1821</v>
      </c>
      <c r="G1294" s="64" t="s">
        <v>328</v>
      </c>
      <c r="H1294" s="64" t="s">
        <v>229</v>
      </c>
      <c r="I1294" s="64" t="s">
        <v>10</v>
      </c>
      <c r="J1294" s="64" t="s">
        <v>201</v>
      </c>
      <c r="K1294" s="66">
        <v>50</v>
      </c>
      <c r="L1294" s="66">
        <f>K1294*VLOOKUP(I1294,dagsoorttabel1,2,FALSE)</f>
        <v>50</v>
      </c>
      <c r="M1294" s="67">
        <f>prodnorm43</f>
        <v>0</v>
      </c>
      <c r="N1294" s="68">
        <f>dagwerk43</f>
        <v>0</v>
      </c>
      <c r="O1294" s="64" t="s">
        <v>38</v>
      </c>
      <c r="P1294" s="69">
        <f>uurtarief43</f>
        <v>0</v>
      </c>
      <c r="Q1294" s="66" t="e">
        <f>IF(ISBLANK(M1294),0,L1294/ROUND(M1294,4))</f>
        <v>#DIV/0!</v>
      </c>
      <c r="R1294" s="66" t="e">
        <f>IF(ISBLANK(M1294),0,Q1294*ROUND(N1294,2))</f>
        <v>#DIV/0!</v>
      </c>
      <c r="S1294" s="69" t="e">
        <f>ROUND(P1294,2)*Q1294</f>
        <v>#DIV/0!</v>
      </c>
      <c r="T1294" s="66" t="e">
        <f>Q1294*dagenperjaar1</f>
        <v>#DIV/0!</v>
      </c>
      <c r="U1294" s="70" t="e">
        <f>T1294*ROUND(P1294,2)</f>
        <v>#DIV/0!</v>
      </c>
    </row>
    <row r="1295" spans="1:21" x14ac:dyDescent="0.2">
      <c r="A1295" s="63" t="s">
        <v>1784</v>
      </c>
      <c r="B1295" s="64" t="s">
        <v>1811</v>
      </c>
      <c r="C1295" s="64" t="s">
        <v>323</v>
      </c>
      <c r="D1295" s="64" t="s">
        <v>1677</v>
      </c>
      <c r="E1295" s="64" t="s">
        <v>324</v>
      </c>
      <c r="F1295" s="65" t="s">
        <v>373</v>
      </c>
      <c r="G1295" s="64" t="s">
        <v>328</v>
      </c>
      <c r="H1295" s="64" t="s">
        <v>255</v>
      </c>
      <c r="I1295" s="64" t="s">
        <v>10</v>
      </c>
      <c r="J1295" s="64" t="s">
        <v>201</v>
      </c>
      <c r="K1295" s="66">
        <v>2</v>
      </c>
      <c r="L1295" s="66">
        <f>K1295*VLOOKUP(I1295,dagsoorttabel1,2,FALSE)</f>
        <v>2</v>
      </c>
      <c r="M1295" s="67">
        <f>prodnorm59</f>
        <v>0</v>
      </c>
      <c r="N1295" s="68">
        <f>dagwerk59</f>
        <v>0</v>
      </c>
      <c r="O1295" s="64" t="s">
        <v>38</v>
      </c>
      <c r="P1295" s="69">
        <f>uurtarief59</f>
        <v>0</v>
      </c>
      <c r="Q1295" s="66" t="e">
        <f>IF(ISBLANK(M1295),0,L1295/ROUND(M1295,4))</f>
        <v>#DIV/0!</v>
      </c>
      <c r="R1295" s="66" t="e">
        <f>IF(ISBLANK(M1295),0,Q1295*ROUND(N1295,2))</f>
        <v>#DIV/0!</v>
      </c>
      <c r="S1295" s="69" t="e">
        <f>ROUND(P1295,2)*Q1295</f>
        <v>#DIV/0!</v>
      </c>
      <c r="T1295" s="66" t="e">
        <f>Q1295*dagenperjaar1</f>
        <v>#DIV/0!</v>
      </c>
      <c r="U1295" s="70" t="e">
        <f>T1295*ROUND(P1295,2)</f>
        <v>#DIV/0!</v>
      </c>
    </row>
    <row r="1296" spans="1:21" x14ac:dyDescent="0.2">
      <c r="A1296" s="63" t="s">
        <v>1784</v>
      </c>
      <c r="B1296" s="64" t="s">
        <v>1811</v>
      </c>
      <c r="C1296" s="64" t="s">
        <v>323</v>
      </c>
      <c r="D1296" s="64" t="s">
        <v>1677</v>
      </c>
      <c r="E1296" s="64" t="s">
        <v>324</v>
      </c>
      <c r="F1296" s="65" t="s">
        <v>373</v>
      </c>
      <c r="G1296" s="64" t="s">
        <v>328</v>
      </c>
      <c r="H1296" s="64" t="s">
        <v>257</v>
      </c>
      <c r="I1296" s="64" t="s">
        <v>10</v>
      </c>
      <c r="J1296" s="64" t="s">
        <v>201</v>
      </c>
      <c r="K1296" s="66">
        <v>2</v>
      </c>
      <c r="L1296" s="66">
        <f>K1296*VLOOKUP(I1296,dagsoorttabel1,2,FALSE)</f>
        <v>2</v>
      </c>
      <c r="M1296" s="67">
        <f>prodnorm60</f>
        <v>0</v>
      </c>
      <c r="N1296" s="68">
        <f>dagwerk60</f>
        <v>0</v>
      </c>
      <c r="O1296" s="64" t="s">
        <v>38</v>
      </c>
      <c r="P1296" s="69">
        <f>uurtarief60</f>
        <v>0</v>
      </c>
      <c r="Q1296" s="66" t="e">
        <f>IF(ISBLANK(M1296),0,L1296/ROUND(M1296,4))</f>
        <v>#DIV/0!</v>
      </c>
      <c r="R1296" s="66" t="e">
        <f>IF(ISBLANK(M1296),0,Q1296*ROUND(N1296,2))</f>
        <v>#DIV/0!</v>
      </c>
      <c r="S1296" s="69" t="e">
        <f>ROUND(P1296,2)*Q1296</f>
        <v>#DIV/0!</v>
      </c>
      <c r="T1296" s="66" t="e">
        <f>Q1296*dagenperjaar1</f>
        <v>#DIV/0!</v>
      </c>
      <c r="U1296" s="70" t="e">
        <f>T1296*ROUND(P1296,2)</f>
        <v>#DIV/0!</v>
      </c>
    </row>
    <row r="1297" spans="1:21" x14ac:dyDescent="0.2">
      <c r="A1297" s="63" t="s">
        <v>1784</v>
      </c>
      <c r="B1297" s="64" t="s">
        <v>1811</v>
      </c>
      <c r="C1297" s="64" t="s">
        <v>323</v>
      </c>
      <c r="D1297" s="64" t="s">
        <v>1822</v>
      </c>
      <c r="E1297" s="64" t="s">
        <v>324</v>
      </c>
      <c r="F1297" s="65" t="s">
        <v>1052</v>
      </c>
      <c r="G1297" s="64" t="s">
        <v>328</v>
      </c>
      <c r="H1297" s="64" t="s">
        <v>255</v>
      </c>
      <c r="I1297" s="64" t="s">
        <v>10</v>
      </c>
      <c r="J1297" s="64" t="s">
        <v>201</v>
      </c>
      <c r="K1297" s="66">
        <v>2</v>
      </c>
      <c r="L1297" s="66">
        <f>K1297*VLOOKUP(I1297,dagsoorttabel1,2,FALSE)</f>
        <v>2</v>
      </c>
      <c r="M1297" s="67">
        <f>prodnorm59</f>
        <v>0</v>
      </c>
      <c r="N1297" s="68">
        <f>dagwerk59</f>
        <v>0</v>
      </c>
      <c r="O1297" s="64" t="s">
        <v>38</v>
      </c>
      <c r="P1297" s="69">
        <f>uurtarief59</f>
        <v>0</v>
      </c>
      <c r="Q1297" s="66" t="e">
        <f>IF(ISBLANK(M1297),0,L1297/ROUND(M1297,4))</f>
        <v>#DIV/0!</v>
      </c>
      <c r="R1297" s="66" t="e">
        <f>IF(ISBLANK(M1297),0,Q1297*ROUND(N1297,2))</f>
        <v>#DIV/0!</v>
      </c>
      <c r="S1297" s="69" t="e">
        <f>ROUND(P1297,2)*Q1297</f>
        <v>#DIV/0!</v>
      </c>
      <c r="T1297" s="66" t="e">
        <f>Q1297*dagenperjaar1</f>
        <v>#DIV/0!</v>
      </c>
      <c r="U1297" s="70" t="e">
        <f>T1297*ROUND(P1297,2)</f>
        <v>#DIV/0!</v>
      </c>
    </row>
    <row r="1298" spans="1:21" x14ac:dyDescent="0.2">
      <c r="A1298" s="63" t="s">
        <v>1784</v>
      </c>
      <c r="B1298" s="64" t="s">
        <v>1811</v>
      </c>
      <c r="C1298" s="64" t="s">
        <v>323</v>
      </c>
      <c r="D1298" s="64" t="s">
        <v>1822</v>
      </c>
      <c r="E1298" s="64" t="s">
        <v>324</v>
      </c>
      <c r="F1298" s="65" t="s">
        <v>1052</v>
      </c>
      <c r="G1298" s="64" t="s">
        <v>328</v>
      </c>
      <c r="H1298" s="64" t="s">
        <v>257</v>
      </c>
      <c r="I1298" s="64" t="s">
        <v>10</v>
      </c>
      <c r="J1298" s="64" t="s">
        <v>201</v>
      </c>
      <c r="K1298" s="66">
        <v>2</v>
      </c>
      <c r="L1298" s="66">
        <f>K1298*VLOOKUP(I1298,dagsoorttabel1,2,FALSE)</f>
        <v>2</v>
      </c>
      <c r="M1298" s="67">
        <f>prodnorm60</f>
        <v>0</v>
      </c>
      <c r="N1298" s="68">
        <f>dagwerk60</f>
        <v>0</v>
      </c>
      <c r="O1298" s="64" t="s">
        <v>38</v>
      </c>
      <c r="P1298" s="69">
        <f>uurtarief60</f>
        <v>0</v>
      </c>
      <c r="Q1298" s="66" t="e">
        <f>IF(ISBLANK(M1298),0,L1298/ROUND(M1298,4))</f>
        <v>#DIV/0!</v>
      </c>
      <c r="R1298" s="66" t="e">
        <f>IF(ISBLANK(M1298),0,Q1298*ROUND(N1298,2))</f>
        <v>#DIV/0!</v>
      </c>
      <c r="S1298" s="69" t="e">
        <f>ROUND(P1298,2)*Q1298</f>
        <v>#DIV/0!</v>
      </c>
      <c r="T1298" s="66" t="e">
        <f>Q1298*dagenperjaar1</f>
        <v>#DIV/0!</v>
      </c>
      <c r="U1298" s="70" t="e">
        <f>T1298*ROUND(P1298,2)</f>
        <v>#DIV/0!</v>
      </c>
    </row>
    <row r="1299" spans="1:21" x14ac:dyDescent="0.2">
      <c r="A1299" s="63" t="s">
        <v>1784</v>
      </c>
      <c r="B1299" s="64" t="s">
        <v>1811</v>
      </c>
      <c r="C1299" s="64" t="s">
        <v>323</v>
      </c>
      <c r="D1299" s="64" t="s">
        <v>1823</v>
      </c>
      <c r="E1299" s="64" t="s">
        <v>324</v>
      </c>
      <c r="F1299" s="65" t="s">
        <v>1368</v>
      </c>
      <c r="G1299" s="64" t="s">
        <v>328</v>
      </c>
      <c r="H1299" s="64" t="s">
        <v>255</v>
      </c>
      <c r="I1299" s="64" t="s">
        <v>10</v>
      </c>
      <c r="J1299" s="64" t="s">
        <v>201</v>
      </c>
      <c r="K1299" s="66">
        <v>2</v>
      </c>
      <c r="L1299" s="66">
        <f>K1299*VLOOKUP(I1299,dagsoorttabel1,2,FALSE)</f>
        <v>2</v>
      </c>
      <c r="M1299" s="67">
        <f>prodnorm59</f>
        <v>0</v>
      </c>
      <c r="N1299" s="68">
        <f>dagwerk59</f>
        <v>0</v>
      </c>
      <c r="O1299" s="64" t="s">
        <v>38</v>
      </c>
      <c r="P1299" s="69">
        <f>uurtarief59</f>
        <v>0</v>
      </c>
      <c r="Q1299" s="66" t="e">
        <f>IF(ISBLANK(M1299),0,L1299/ROUND(M1299,4))</f>
        <v>#DIV/0!</v>
      </c>
      <c r="R1299" s="66" t="e">
        <f>IF(ISBLANK(M1299),0,Q1299*ROUND(N1299,2))</f>
        <v>#DIV/0!</v>
      </c>
      <c r="S1299" s="69" t="e">
        <f>ROUND(P1299,2)*Q1299</f>
        <v>#DIV/0!</v>
      </c>
      <c r="T1299" s="66" t="e">
        <f>Q1299*dagenperjaar1</f>
        <v>#DIV/0!</v>
      </c>
      <c r="U1299" s="70" t="e">
        <f>T1299*ROUND(P1299,2)</f>
        <v>#DIV/0!</v>
      </c>
    </row>
    <row r="1300" spans="1:21" x14ac:dyDescent="0.2">
      <c r="A1300" s="63" t="s">
        <v>1784</v>
      </c>
      <c r="B1300" s="64" t="s">
        <v>1811</v>
      </c>
      <c r="C1300" s="64" t="s">
        <v>323</v>
      </c>
      <c r="D1300" s="64" t="s">
        <v>1823</v>
      </c>
      <c r="E1300" s="64" t="s">
        <v>324</v>
      </c>
      <c r="F1300" s="65" t="s">
        <v>1368</v>
      </c>
      <c r="G1300" s="64" t="s">
        <v>328</v>
      </c>
      <c r="H1300" s="64" t="s">
        <v>257</v>
      </c>
      <c r="I1300" s="64" t="s">
        <v>10</v>
      </c>
      <c r="J1300" s="64" t="s">
        <v>201</v>
      </c>
      <c r="K1300" s="66">
        <v>2</v>
      </c>
      <c r="L1300" s="66">
        <f>K1300*VLOOKUP(I1300,dagsoorttabel1,2,FALSE)</f>
        <v>2</v>
      </c>
      <c r="M1300" s="67">
        <f>prodnorm60</f>
        <v>0</v>
      </c>
      <c r="N1300" s="68">
        <f>dagwerk60</f>
        <v>0</v>
      </c>
      <c r="O1300" s="64" t="s">
        <v>38</v>
      </c>
      <c r="P1300" s="69">
        <f>uurtarief60</f>
        <v>0</v>
      </c>
      <c r="Q1300" s="66" t="e">
        <f>IF(ISBLANK(M1300),0,L1300/ROUND(M1300,4))</f>
        <v>#DIV/0!</v>
      </c>
      <c r="R1300" s="66" t="e">
        <f>IF(ISBLANK(M1300),0,Q1300*ROUND(N1300,2))</f>
        <v>#DIV/0!</v>
      </c>
      <c r="S1300" s="69" t="e">
        <f>ROUND(P1300,2)*Q1300</f>
        <v>#DIV/0!</v>
      </c>
      <c r="T1300" s="66" t="e">
        <f>Q1300*dagenperjaar1</f>
        <v>#DIV/0!</v>
      </c>
      <c r="U1300" s="70" t="e">
        <f>T1300*ROUND(P1300,2)</f>
        <v>#DIV/0!</v>
      </c>
    </row>
    <row r="1301" spans="1:21" x14ac:dyDescent="0.2">
      <c r="A1301" s="63" t="s">
        <v>1784</v>
      </c>
      <c r="B1301" s="64" t="s">
        <v>1824</v>
      </c>
      <c r="C1301" s="64" t="s">
        <v>345</v>
      </c>
      <c r="D1301" s="64" t="s">
        <v>1825</v>
      </c>
      <c r="E1301" s="64" t="s">
        <v>324</v>
      </c>
      <c r="F1301" s="65" t="s">
        <v>381</v>
      </c>
      <c r="G1301" s="64" t="s">
        <v>1756</v>
      </c>
      <c r="H1301" s="64" t="s">
        <v>207</v>
      </c>
      <c r="I1301" s="64" t="s">
        <v>10</v>
      </c>
      <c r="J1301" s="64" t="s">
        <v>201</v>
      </c>
      <c r="K1301" s="66">
        <v>11.5</v>
      </c>
      <c r="L1301" s="66">
        <f>K1301*VLOOKUP(I1301,dagsoorttabel1,2,FALSE)</f>
        <v>11.5</v>
      </c>
      <c r="M1301" s="67">
        <f>prodnorm28</f>
        <v>0</v>
      </c>
      <c r="N1301" s="68">
        <f>dagwerk28</f>
        <v>0</v>
      </c>
      <c r="O1301" s="64" t="s">
        <v>38</v>
      </c>
      <c r="P1301" s="69">
        <f>uurtarief28</f>
        <v>0</v>
      </c>
      <c r="Q1301" s="66" t="e">
        <f>IF(ISBLANK(M1301),0,L1301/ROUND(M1301,4))</f>
        <v>#DIV/0!</v>
      </c>
      <c r="R1301" s="66" t="e">
        <f>IF(ISBLANK(M1301),0,Q1301*ROUND(N1301,2))</f>
        <v>#DIV/0!</v>
      </c>
      <c r="S1301" s="69" t="e">
        <f>ROUND(P1301,2)*Q1301</f>
        <v>#DIV/0!</v>
      </c>
      <c r="T1301" s="66" t="e">
        <f>Q1301*dagenperjaar1</f>
        <v>#DIV/0!</v>
      </c>
      <c r="U1301" s="70" t="e">
        <f>T1301*ROUND(P1301,2)</f>
        <v>#DIV/0!</v>
      </c>
    </row>
    <row r="1302" spans="1:21" x14ac:dyDescent="0.2">
      <c r="A1302" s="63" t="s">
        <v>1784</v>
      </c>
      <c r="B1302" s="64" t="s">
        <v>1824</v>
      </c>
      <c r="C1302" s="64" t="s">
        <v>345</v>
      </c>
      <c r="D1302" s="64" t="s">
        <v>1826</v>
      </c>
      <c r="E1302" s="64" t="s">
        <v>324</v>
      </c>
      <c r="F1302" s="65" t="s">
        <v>1827</v>
      </c>
      <c r="G1302" s="64" t="s">
        <v>1756</v>
      </c>
      <c r="H1302" s="64" t="s">
        <v>207</v>
      </c>
      <c r="I1302" s="64" t="s">
        <v>10</v>
      </c>
      <c r="J1302" s="64" t="s">
        <v>201</v>
      </c>
      <c r="K1302" s="66">
        <v>113.5</v>
      </c>
      <c r="L1302" s="66">
        <f>K1302*VLOOKUP(I1302,dagsoorttabel1,2,FALSE)</f>
        <v>113.5</v>
      </c>
      <c r="M1302" s="67">
        <f>prodnorm28</f>
        <v>0</v>
      </c>
      <c r="N1302" s="68">
        <f>dagwerk28</f>
        <v>0</v>
      </c>
      <c r="O1302" s="64" t="s">
        <v>38</v>
      </c>
      <c r="P1302" s="69">
        <f>uurtarief28</f>
        <v>0</v>
      </c>
      <c r="Q1302" s="66" t="e">
        <f>IF(ISBLANK(M1302),0,L1302/ROUND(M1302,4))</f>
        <v>#DIV/0!</v>
      </c>
      <c r="R1302" s="66" t="e">
        <f>IF(ISBLANK(M1302),0,Q1302*ROUND(N1302,2))</f>
        <v>#DIV/0!</v>
      </c>
      <c r="S1302" s="69" t="e">
        <f>ROUND(P1302,2)*Q1302</f>
        <v>#DIV/0!</v>
      </c>
      <c r="T1302" s="66" t="e">
        <f>Q1302*dagenperjaar1</f>
        <v>#DIV/0!</v>
      </c>
      <c r="U1302" s="70" t="e">
        <f>T1302*ROUND(P1302,2)</f>
        <v>#DIV/0!</v>
      </c>
    </row>
    <row r="1303" spans="1:21" x14ac:dyDescent="0.2">
      <c r="A1303" s="63" t="s">
        <v>1784</v>
      </c>
      <c r="B1303" s="64" t="s">
        <v>1824</v>
      </c>
      <c r="C1303" s="64" t="s">
        <v>345</v>
      </c>
      <c r="D1303" s="64" t="s">
        <v>1828</v>
      </c>
      <c r="E1303" s="64" t="s">
        <v>1829</v>
      </c>
      <c r="F1303" s="65" t="s">
        <v>852</v>
      </c>
      <c r="G1303" s="64" t="s">
        <v>1756</v>
      </c>
      <c r="H1303" s="64" t="s">
        <v>231</v>
      </c>
      <c r="I1303" s="64" t="s">
        <v>10</v>
      </c>
      <c r="J1303" s="64" t="s">
        <v>201</v>
      </c>
      <c r="K1303" s="66">
        <v>54</v>
      </c>
      <c r="L1303" s="66">
        <f>K1303*VLOOKUP(I1303,dagsoorttabel1,2,FALSE)</f>
        <v>54</v>
      </c>
      <c r="M1303" s="67">
        <f>prodnorm44</f>
        <v>0</v>
      </c>
      <c r="N1303" s="68">
        <f>dagwerk44</f>
        <v>0</v>
      </c>
      <c r="O1303" s="64" t="s">
        <v>38</v>
      </c>
      <c r="P1303" s="69">
        <f>uurtarief44</f>
        <v>0</v>
      </c>
      <c r="Q1303" s="66" t="e">
        <f>IF(ISBLANK(M1303),0,L1303/ROUND(M1303,4))</f>
        <v>#DIV/0!</v>
      </c>
      <c r="R1303" s="66" t="e">
        <f>IF(ISBLANK(M1303),0,Q1303*ROUND(N1303,2))</f>
        <v>#DIV/0!</v>
      </c>
      <c r="S1303" s="69" t="e">
        <f>ROUND(P1303,2)*Q1303</f>
        <v>#DIV/0!</v>
      </c>
      <c r="T1303" s="66" t="e">
        <f>Q1303*dagenperjaar1</f>
        <v>#DIV/0!</v>
      </c>
      <c r="U1303" s="70" t="e">
        <f>T1303*ROUND(P1303,2)</f>
        <v>#DIV/0!</v>
      </c>
    </row>
    <row r="1304" spans="1:21" x14ac:dyDescent="0.2">
      <c r="A1304" s="63" t="s">
        <v>1784</v>
      </c>
      <c r="B1304" s="64" t="s">
        <v>1824</v>
      </c>
      <c r="C1304" s="64" t="s">
        <v>345</v>
      </c>
      <c r="D1304" s="64" t="s">
        <v>1830</v>
      </c>
      <c r="E1304" s="64" t="s">
        <v>324</v>
      </c>
      <c r="F1304" s="65" t="s">
        <v>618</v>
      </c>
      <c r="G1304" s="64" t="s">
        <v>1756</v>
      </c>
      <c r="H1304" s="64" t="s">
        <v>269</v>
      </c>
      <c r="I1304" s="64" t="s">
        <v>10</v>
      </c>
      <c r="J1304" s="64" t="s">
        <v>201</v>
      </c>
      <c r="K1304" s="66">
        <v>15</v>
      </c>
      <c r="L1304" s="66">
        <f>K1304*VLOOKUP(I1304,dagsoorttabel1,2,FALSE)</f>
        <v>15</v>
      </c>
      <c r="M1304" s="67">
        <f>prodnorm67</f>
        <v>0</v>
      </c>
      <c r="N1304" s="68">
        <f>dagwerk67</f>
        <v>0</v>
      </c>
      <c r="O1304" s="64" t="s">
        <v>38</v>
      </c>
      <c r="P1304" s="69">
        <f>uurtarief67</f>
        <v>0</v>
      </c>
      <c r="Q1304" s="66" t="e">
        <f>IF(ISBLANK(M1304),0,L1304/ROUND(M1304,4))</f>
        <v>#DIV/0!</v>
      </c>
      <c r="R1304" s="66" t="e">
        <f>IF(ISBLANK(M1304),0,Q1304*ROUND(N1304,2))</f>
        <v>#DIV/0!</v>
      </c>
      <c r="S1304" s="69" t="e">
        <f>ROUND(P1304,2)*Q1304</f>
        <v>#DIV/0!</v>
      </c>
      <c r="T1304" s="66" t="e">
        <f>Q1304*dagenperjaar1</f>
        <v>#DIV/0!</v>
      </c>
      <c r="U1304" s="70" t="e">
        <f>T1304*ROUND(P1304,2)</f>
        <v>#DIV/0!</v>
      </c>
    </row>
    <row r="1305" spans="1:21" x14ac:dyDescent="0.2">
      <c r="A1305" s="63" t="s">
        <v>1784</v>
      </c>
      <c r="B1305" s="64" t="s">
        <v>1824</v>
      </c>
      <c r="C1305" s="64" t="s">
        <v>345</v>
      </c>
      <c r="D1305" s="64" t="s">
        <v>1831</v>
      </c>
      <c r="E1305" s="64" t="s">
        <v>324</v>
      </c>
      <c r="F1305" s="65" t="s">
        <v>1832</v>
      </c>
      <c r="G1305" s="64" t="s">
        <v>1756</v>
      </c>
      <c r="H1305" s="64" t="s">
        <v>207</v>
      </c>
      <c r="I1305" s="64" t="s">
        <v>10</v>
      </c>
      <c r="J1305" s="64" t="s">
        <v>201</v>
      </c>
      <c r="K1305" s="66">
        <v>39.5</v>
      </c>
      <c r="L1305" s="66">
        <f>K1305*VLOOKUP(I1305,dagsoorttabel1,2,FALSE)</f>
        <v>39.5</v>
      </c>
      <c r="M1305" s="67">
        <f>prodnorm28</f>
        <v>0</v>
      </c>
      <c r="N1305" s="68">
        <f>dagwerk28</f>
        <v>0</v>
      </c>
      <c r="O1305" s="64" t="s">
        <v>38</v>
      </c>
      <c r="P1305" s="69">
        <f>uurtarief28</f>
        <v>0</v>
      </c>
      <c r="Q1305" s="66" t="e">
        <f>IF(ISBLANK(M1305),0,L1305/ROUND(M1305,4))</f>
        <v>#DIV/0!</v>
      </c>
      <c r="R1305" s="66" t="e">
        <f>IF(ISBLANK(M1305),0,Q1305*ROUND(N1305,2))</f>
        <v>#DIV/0!</v>
      </c>
      <c r="S1305" s="69" t="e">
        <f>ROUND(P1305,2)*Q1305</f>
        <v>#DIV/0!</v>
      </c>
      <c r="T1305" s="66" t="e">
        <f>Q1305*dagenperjaar1</f>
        <v>#DIV/0!</v>
      </c>
      <c r="U1305" s="70" t="e">
        <f>T1305*ROUND(P1305,2)</f>
        <v>#DIV/0!</v>
      </c>
    </row>
    <row r="1306" spans="1:21" x14ac:dyDescent="0.2">
      <c r="A1306" s="63" t="s">
        <v>1784</v>
      </c>
      <c r="B1306" s="64" t="s">
        <v>1824</v>
      </c>
      <c r="C1306" s="64" t="s">
        <v>345</v>
      </c>
      <c r="D1306" s="64" t="s">
        <v>1833</v>
      </c>
      <c r="E1306" s="64" t="s">
        <v>1834</v>
      </c>
      <c r="F1306" s="65" t="s">
        <v>852</v>
      </c>
      <c r="G1306" s="64" t="s">
        <v>1756</v>
      </c>
      <c r="H1306" s="64" t="s">
        <v>231</v>
      </c>
      <c r="I1306" s="64" t="s">
        <v>10</v>
      </c>
      <c r="J1306" s="64" t="s">
        <v>201</v>
      </c>
      <c r="K1306" s="66">
        <v>55.5</v>
      </c>
      <c r="L1306" s="66">
        <f>K1306*VLOOKUP(I1306,dagsoorttabel1,2,FALSE)</f>
        <v>55.5</v>
      </c>
      <c r="M1306" s="67">
        <f>prodnorm44</f>
        <v>0</v>
      </c>
      <c r="N1306" s="68">
        <f>dagwerk44</f>
        <v>0</v>
      </c>
      <c r="O1306" s="64" t="s">
        <v>38</v>
      </c>
      <c r="P1306" s="69">
        <f>uurtarief44</f>
        <v>0</v>
      </c>
      <c r="Q1306" s="66" t="e">
        <f>IF(ISBLANK(M1306),0,L1306/ROUND(M1306,4))</f>
        <v>#DIV/0!</v>
      </c>
      <c r="R1306" s="66" t="e">
        <f>IF(ISBLANK(M1306),0,Q1306*ROUND(N1306,2))</f>
        <v>#DIV/0!</v>
      </c>
      <c r="S1306" s="69" t="e">
        <f>ROUND(P1306,2)*Q1306</f>
        <v>#DIV/0!</v>
      </c>
      <c r="T1306" s="66" t="e">
        <f>Q1306*dagenperjaar1</f>
        <v>#DIV/0!</v>
      </c>
      <c r="U1306" s="70" t="e">
        <f>T1306*ROUND(P1306,2)</f>
        <v>#DIV/0!</v>
      </c>
    </row>
    <row r="1307" spans="1:21" x14ac:dyDescent="0.2">
      <c r="A1307" s="63" t="s">
        <v>1784</v>
      </c>
      <c r="B1307" s="64" t="s">
        <v>1824</v>
      </c>
      <c r="C1307" s="64" t="s">
        <v>345</v>
      </c>
      <c r="D1307" s="64" t="s">
        <v>1835</v>
      </c>
      <c r="E1307" s="64" t="s">
        <v>1836</v>
      </c>
      <c r="F1307" s="65" t="s">
        <v>852</v>
      </c>
      <c r="G1307" s="64" t="s">
        <v>1756</v>
      </c>
      <c r="H1307" s="64" t="s">
        <v>231</v>
      </c>
      <c r="I1307" s="64" t="s">
        <v>10</v>
      </c>
      <c r="J1307" s="64" t="s">
        <v>201</v>
      </c>
      <c r="K1307" s="66">
        <v>48</v>
      </c>
      <c r="L1307" s="66">
        <f>K1307*VLOOKUP(I1307,dagsoorttabel1,2,FALSE)</f>
        <v>48</v>
      </c>
      <c r="M1307" s="67">
        <f>prodnorm44</f>
        <v>0</v>
      </c>
      <c r="N1307" s="68">
        <f>dagwerk44</f>
        <v>0</v>
      </c>
      <c r="O1307" s="64" t="s">
        <v>38</v>
      </c>
      <c r="P1307" s="69">
        <f>uurtarief44</f>
        <v>0</v>
      </c>
      <c r="Q1307" s="66" t="e">
        <f>IF(ISBLANK(M1307),0,L1307/ROUND(M1307,4))</f>
        <v>#DIV/0!</v>
      </c>
      <c r="R1307" s="66" t="e">
        <f>IF(ISBLANK(M1307),0,Q1307*ROUND(N1307,2))</f>
        <v>#DIV/0!</v>
      </c>
      <c r="S1307" s="69" t="e">
        <f>ROUND(P1307,2)*Q1307</f>
        <v>#DIV/0!</v>
      </c>
      <c r="T1307" s="66" t="e">
        <f>Q1307*dagenperjaar1</f>
        <v>#DIV/0!</v>
      </c>
      <c r="U1307" s="70" t="e">
        <f>T1307*ROUND(P1307,2)</f>
        <v>#DIV/0!</v>
      </c>
    </row>
    <row r="1308" spans="1:21" x14ac:dyDescent="0.2">
      <c r="A1308" s="71" t="s">
        <v>1784</v>
      </c>
      <c r="B1308" s="72" t="s">
        <v>1824</v>
      </c>
      <c r="C1308" s="72" t="s">
        <v>345</v>
      </c>
      <c r="D1308" s="72" t="s">
        <v>1837</v>
      </c>
      <c r="E1308" s="72" t="s">
        <v>1838</v>
      </c>
      <c r="F1308" s="73" t="s">
        <v>852</v>
      </c>
      <c r="G1308" s="72" t="s">
        <v>1756</v>
      </c>
      <c r="H1308" s="72" t="s">
        <v>231</v>
      </c>
      <c r="I1308" s="72" t="s">
        <v>10</v>
      </c>
      <c r="J1308" s="72" t="s">
        <v>201</v>
      </c>
      <c r="K1308" s="74">
        <v>48</v>
      </c>
      <c r="L1308" s="74">
        <f>K1308*VLOOKUP(I1308,dagsoorttabel1,2,FALSE)</f>
        <v>48</v>
      </c>
      <c r="M1308" s="75">
        <f>prodnorm44</f>
        <v>0</v>
      </c>
      <c r="N1308" s="76">
        <f>dagwerk44</f>
        <v>0</v>
      </c>
      <c r="O1308" s="72" t="s">
        <v>38</v>
      </c>
      <c r="P1308" s="77">
        <f>uurtarief44</f>
        <v>0</v>
      </c>
      <c r="Q1308" s="74" t="e">
        <f>IF(ISBLANK(M1308),0,L1308/ROUND(M1308,4))</f>
        <v>#DIV/0!</v>
      </c>
      <c r="R1308" s="74" t="e">
        <f>IF(ISBLANK(M1308),0,Q1308*ROUND(N1308,2))</f>
        <v>#DIV/0!</v>
      </c>
      <c r="S1308" s="77" t="e">
        <f>ROUND(P1308,2)*Q1308</f>
        <v>#DIV/0!</v>
      </c>
      <c r="T1308" s="74" t="e">
        <f>Q1308*dagenperjaar1</f>
        <v>#DIV/0!</v>
      </c>
      <c r="U1308" s="78" t="e">
        <f>T1308*ROUND(P1308,2)</f>
        <v>#DIV/0!</v>
      </c>
    </row>
    <row r="1309" spans="1:21" x14ac:dyDescent="0.2">
      <c r="A1309" s="79" t="s">
        <v>602</v>
      </c>
      <c r="B1309" s="44"/>
      <c r="C1309" s="44"/>
      <c r="D1309" s="44"/>
      <c r="E1309" s="44"/>
      <c r="F1309" s="44"/>
      <c r="G1309" s="44"/>
      <c r="H1309" s="44"/>
      <c r="I1309" s="44"/>
      <c r="J1309" s="44"/>
      <c r="K1309" s="44"/>
      <c r="L1309" s="44"/>
      <c r="M1309" s="44"/>
      <c r="N1309" s="44"/>
      <c r="O1309" s="44"/>
      <c r="P1309" s="46" t="e">
        <f>IF(_xlfn.SINGLE(object10_urenjaar1)&gt;0,_xlfn.SINGLE(object10_prijsjaar1)/_xlfn.SINGLE(object10_urenjaar1),0)</f>
        <v>#DIV/0!</v>
      </c>
      <c r="Q1309" s="45" t="e">
        <f>SUM(Q1181:Q1308)</f>
        <v>#DIV/0!</v>
      </c>
      <c r="R1309" s="45" t="e">
        <f>SUM(R1181:R1308)</f>
        <v>#DIV/0!</v>
      </c>
      <c r="S1309" s="46" t="e">
        <f>SUM(S1181:S1308)</f>
        <v>#DIV/0!</v>
      </c>
      <c r="T1309" s="45" t="e">
        <f>SUM(T1181:T1308)</f>
        <v>#DIV/0!</v>
      </c>
      <c r="U1309" s="47" t="e">
        <f>SUM(U1181:U1308)</f>
        <v>#DIV/0!</v>
      </c>
    </row>
    <row r="1310" spans="1:21" x14ac:dyDescent="0.2">
      <c r="A1310" s="54" t="s">
        <v>1839</v>
      </c>
      <c r="B1310" s="13"/>
      <c r="C1310" s="13"/>
      <c r="D1310" s="13"/>
      <c r="E1310" s="13"/>
      <c r="F1310" s="13"/>
      <c r="G1310" s="13"/>
      <c r="H1310" s="13"/>
      <c r="I1310" s="13"/>
      <c r="J1310" s="13"/>
      <c r="K1310" s="13"/>
      <c r="L1310" s="13"/>
      <c r="M1310" s="13"/>
      <c r="N1310" s="13"/>
      <c r="O1310" s="13"/>
      <c r="P1310" s="13"/>
      <c r="Q1310" s="13"/>
      <c r="R1310" s="13"/>
      <c r="S1310" s="13"/>
      <c r="T1310" s="13"/>
      <c r="U1310" s="42"/>
    </row>
    <row r="1311" spans="1:21" x14ac:dyDescent="0.2">
      <c r="A1311" s="55" t="s">
        <v>1840</v>
      </c>
      <c r="B1311" s="56" t="s">
        <v>324</v>
      </c>
      <c r="C1311" s="56" t="s">
        <v>345</v>
      </c>
      <c r="D1311" s="56" t="s">
        <v>348</v>
      </c>
      <c r="E1311" s="56" t="s">
        <v>324</v>
      </c>
      <c r="F1311" s="57" t="s">
        <v>354</v>
      </c>
      <c r="G1311" s="56" t="s">
        <v>685</v>
      </c>
      <c r="H1311" s="56" t="s">
        <v>217</v>
      </c>
      <c r="I1311" s="56" t="s">
        <v>10</v>
      </c>
      <c r="J1311" s="56" t="s">
        <v>201</v>
      </c>
      <c r="K1311" s="58">
        <v>7.4</v>
      </c>
      <c r="L1311" s="58">
        <f>K1311*VLOOKUP(I1311,dagsoorttabel1,2,FALSE)</f>
        <v>7.4</v>
      </c>
      <c r="M1311" s="59">
        <f>prodnorm35</f>
        <v>0</v>
      </c>
      <c r="N1311" s="60">
        <f>dagwerk35</f>
        <v>0</v>
      </c>
      <c r="O1311" s="56" t="s">
        <v>38</v>
      </c>
      <c r="P1311" s="61">
        <f>uurtarief35</f>
        <v>0</v>
      </c>
      <c r="Q1311" s="58" t="e">
        <f>IF(ISBLANK(M1311),0,L1311/ROUND(M1311,4))</f>
        <v>#DIV/0!</v>
      </c>
      <c r="R1311" s="58" t="e">
        <f>IF(ISBLANK(M1311),0,Q1311*ROUND(N1311,2))</f>
        <v>#DIV/0!</v>
      </c>
      <c r="S1311" s="61" t="e">
        <f>ROUND(P1311,2)*Q1311</f>
        <v>#DIV/0!</v>
      </c>
      <c r="T1311" s="58" t="e">
        <f>Q1311*dagenperjaar1</f>
        <v>#DIV/0!</v>
      </c>
      <c r="U1311" s="62" t="e">
        <f>T1311*ROUND(P1311,2)</f>
        <v>#DIV/0!</v>
      </c>
    </row>
    <row r="1312" spans="1:21" x14ac:dyDescent="0.2">
      <c r="A1312" s="63" t="s">
        <v>1840</v>
      </c>
      <c r="B1312" s="64" t="s">
        <v>324</v>
      </c>
      <c r="C1312" s="64" t="s">
        <v>345</v>
      </c>
      <c r="D1312" s="64" t="s">
        <v>352</v>
      </c>
      <c r="E1312" s="64" t="s">
        <v>324</v>
      </c>
      <c r="F1312" s="65" t="s">
        <v>381</v>
      </c>
      <c r="G1312" s="64" t="s">
        <v>725</v>
      </c>
      <c r="H1312" s="64" t="s">
        <v>205</v>
      </c>
      <c r="I1312" s="64" t="s">
        <v>10</v>
      </c>
      <c r="J1312" s="64" t="s">
        <v>201</v>
      </c>
      <c r="K1312" s="66">
        <v>17.8</v>
      </c>
      <c r="L1312" s="66">
        <f>K1312*VLOOKUP(I1312,dagsoorttabel1,2,FALSE)</f>
        <v>17.8</v>
      </c>
      <c r="M1312" s="67">
        <f>prodnorm26</f>
        <v>0</v>
      </c>
      <c r="N1312" s="68">
        <f>dagwerk26</f>
        <v>0</v>
      </c>
      <c r="O1312" s="64" t="s">
        <v>38</v>
      </c>
      <c r="P1312" s="69">
        <f>uurtarief26</f>
        <v>0</v>
      </c>
      <c r="Q1312" s="66" t="e">
        <f>IF(ISBLANK(M1312),0,L1312/ROUND(M1312,4))</f>
        <v>#DIV/0!</v>
      </c>
      <c r="R1312" s="66" t="e">
        <f>IF(ISBLANK(M1312),0,Q1312*ROUND(N1312,2))</f>
        <v>#DIV/0!</v>
      </c>
      <c r="S1312" s="69" t="e">
        <f>ROUND(P1312,2)*Q1312</f>
        <v>#DIV/0!</v>
      </c>
      <c r="T1312" s="66" t="e">
        <f>Q1312*dagenperjaar1</f>
        <v>#DIV/0!</v>
      </c>
      <c r="U1312" s="70" t="e">
        <f>T1312*ROUND(P1312,2)</f>
        <v>#DIV/0!</v>
      </c>
    </row>
    <row r="1313" spans="1:21" x14ac:dyDescent="0.2">
      <c r="A1313" s="63" t="s">
        <v>1840</v>
      </c>
      <c r="B1313" s="64" t="s">
        <v>324</v>
      </c>
      <c r="C1313" s="64" t="s">
        <v>345</v>
      </c>
      <c r="D1313" s="64" t="s">
        <v>359</v>
      </c>
      <c r="E1313" s="64" t="s">
        <v>324</v>
      </c>
      <c r="F1313" s="65" t="s">
        <v>1841</v>
      </c>
      <c r="G1313" s="64" t="s">
        <v>725</v>
      </c>
      <c r="H1313" s="64" t="s">
        <v>259</v>
      </c>
      <c r="I1313" s="64" t="s">
        <v>10</v>
      </c>
      <c r="J1313" s="64" t="s">
        <v>201</v>
      </c>
      <c r="K1313" s="66">
        <v>55</v>
      </c>
      <c r="L1313" s="66">
        <f>K1313*VLOOKUP(I1313,dagsoorttabel1,2,FALSE)</f>
        <v>55</v>
      </c>
      <c r="M1313" s="67">
        <f>prodnorm61</f>
        <v>0</v>
      </c>
      <c r="N1313" s="68">
        <f>dagwerk61</f>
        <v>0</v>
      </c>
      <c r="O1313" s="64" t="s">
        <v>38</v>
      </c>
      <c r="P1313" s="69">
        <f>uurtarief61</f>
        <v>0</v>
      </c>
      <c r="Q1313" s="66" t="e">
        <f>IF(ISBLANK(M1313),0,L1313/ROUND(M1313,4))</f>
        <v>#DIV/0!</v>
      </c>
      <c r="R1313" s="66" t="e">
        <f>IF(ISBLANK(M1313),0,Q1313*ROUND(N1313,2))</f>
        <v>#DIV/0!</v>
      </c>
      <c r="S1313" s="69" t="e">
        <f>ROUND(P1313,2)*Q1313</f>
        <v>#DIV/0!</v>
      </c>
      <c r="T1313" s="66" t="e">
        <f>Q1313*dagenperjaar1</f>
        <v>#DIV/0!</v>
      </c>
      <c r="U1313" s="70" t="e">
        <f>T1313*ROUND(P1313,2)</f>
        <v>#DIV/0!</v>
      </c>
    </row>
    <row r="1314" spans="1:21" x14ac:dyDescent="0.2">
      <c r="A1314" s="63" t="s">
        <v>1840</v>
      </c>
      <c r="B1314" s="64" t="s">
        <v>324</v>
      </c>
      <c r="C1314" s="64" t="s">
        <v>345</v>
      </c>
      <c r="D1314" s="64" t="s">
        <v>853</v>
      </c>
      <c r="E1314" s="64" t="s">
        <v>324</v>
      </c>
      <c r="F1314" s="65" t="s">
        <v>1788</v>
      </c>
      <c r="G1314" s="64" t="s">
        <v>725</v>
      </c>
      <c r="H1314" s="64" t="s">
        <v>200</v>
      </c>
      <c r="I1314" s="64" t="s">
        <v>10</v>
      </c>
      <c r="J1314" s="64" t="s">
        <v>201</v>
      </c>
      <c r="K1314" s="66">
        <v>62.8</v>
      </c>
      <c r="L1314" s="66">
        <f>K1314*VLOOKUP(I1314,dagsoorttabel1,2,FALSE)</f>
        <v>62.8</v>
      </c>
      <c r="M1314" s="67">
        <f>prodnorm24</f>
        <v>0</v>
      </c>
      <c r="N1314" s="68">
        <f>dagwerk24</f>
        <v>0</v>
      </c>
      <c r="O1314" s="64" t="s">
        <v>38</v>
      </c>
      <c r="P1314" s="69">
        <f>uurtarief24</f>
        <v>0</v>
      </c>
      <c r="Q1314" s="66" t="e">
        <f>IF(ISBLANK(M1314),0,L1314/ROUND(M1314,4))</f>
        <v>#DIV/0!</v>
      </c>
      <c r="R1314" s="66" t="e">
        <f>IF(ISBLANK(M1314),0,Q1314*ROUND(N1314,2))</f>
        <v>#DIV/0!</v>
      </c>
      <c r="S1314" s="69" t="e">
        <f>ROUND(P1314,2)*Q1314</f>
        <v>#DIV/0!</v>
      </c>
      <c r="T1314" s="66" t="e">
        <f>Q1314*dagenperjaar1</f>
        <v>#DIV/0!</v>
      </c>
      <c r="U1314" s="70" t="e">
        <f>T1314*ROUND(P1314,2)</f>
        <v>#DIV/0!</v>
      </c>
    </row>
    <row r="1315" spans="1:21" x14ac:dyDescent="0.2">
      <c r="A1315" s="63" t="s">
        <v>1840</v>
      </c>
      <c r="B1315" s="64" t="s">
        <v>324</v>
      </c>
      <c r="C1315" s="64" t="s">
        <v>345</v>
      </c>
      <c r="D1315" s="64" t="s">
        <v>362</v>
      </c>
      <c r="E1315" s="64" t="s">
        <v>324</v>
      </c>
      <c r="F1315" s="65" t="s">
        <v>1842</v>
      </c>
      <c r="G1315" s="64" t="s">
        <v>725</v>
      </c>
      <c r="H1315" s="64" t="s">
        <v>241</v>
      </c>
      <c r="I1315" s="64" t="s">
        <v>10</v>
      </c>
      <c r="J1315" s="64" t="s">
        <v>201</v>
      </c>
      <c r="K1315" s="66">
        <v>11</v>
      </c>
      <c r="L1315" s="66">
        <f>K1315*VLOOKUP(I1315,dagsoorttabel1,2,FALSE)</f>
        <v>11</v>
      </c>
      <c r="M1315" s="67">
        <f>prodnorm51</f>
        <v>0</v>
      </c>
      <c r="N1315" s="68">
        <f>dagwerk51</f>
        <v>0</v>
      </c>
      <c r="O1315" s="64" t="s">
        <v>38</v>
      </c>
      <c r="P1315" s="69">
        <f>uurtarief51</f>
        <v>0</v>
      </c>
      <c r="Q1315" s="66" t="e">
        <f>IF(ISBLANK(M1315),0,L1315/ROUND(M1315,4))</f>
        <v>#DIV/0!</v>
      </c>
      <c r="R1315" s="66" t="e">
        <f>IF(ISBLANK(M1315),0,Q1315*ROUND(N1315,2))</f>
        <v>#DIV/0!</v>
      </c>
      <c r="S1315" s="69" t="e">
        <f>ROUND(P1315,2)*Q1315</f>
        <v>#DIV/0!</v>
      </c>
      <c r="T1315" s="66" t="e">
        <f>Q1315*dagenperjaar1</f>
        <v>#DIV/0!</v>
      </c>
      <c r="U1315" s="70" t="e">
        <f>T1315*ROUND(P1315,2)</f>
        <v>#DIV/0!</v>
      </c>
    </row>
    <row r="1316" spans="1:21" x14ac:dyDescent="0.2">
      <c r="A1316" s="63" t="s">
        <v>1840</v>
      </c>
      <c r="B1316" s="64" t="s">
        <v>324</v>
      </c>
      <c r="C1316" s="64" t="s">
        <v>345</v>
      </c>
      <c r="D1316" s="64" t="s">
        <v>371</v>
      </c>
      <c r="E1316" s="64" t="s">
        <v>324</v>
      </c>
      <c r="F1316" s="65" t="s">
        <v>327</v>
      </c>
      <c r="G1316" s="64" t="s">
        <v>328</v>
      </c>
      <c r="H1316" s="64" t="s">
        <v>223</v>
      </c>
      <c r="I1316" s="64" t="s">
        <v>10</v>
      </c>
      <c r="J1316" s="64" t="s">
        <v>201</v>
      </c>
      <c r="K1316" s="66">
        <v>2.6</v>
      </c>
      <c r="L1316" s="66">
        <f>K1316*VLOOKUP(I1316,dagsoorttabel1,2,FALSE)</f>
        <v>2.6</v>
      </c>
      <c r="M1316" s="67">
        <f>prodnorm39</f>
        <v>0</v>
      </c>
      <c r="N1316" s="68">
        <f>dagwerk39</f>
        <v>0</v>
      </c>
      <c r="O1316" s="64" t="s">
        <v>38</v>
      </c>
      <c r="P1316" s="69">
        <f>uurtarief39</f>
        <v>0</v>
      </c>
      <c r="Q1316" s="66" t="e">
        <f>IF(ISBLANK(M1316),0,L1316/ROUND(M1316,4))</f>
        <v>#DIV/0!</v>
      </c>
      <c r="R1316" s="66" t="e">
        <f>IF(ISBLANK(M1316),0,Q1316*ROUND(N1316,2))</f>
        <v>#DIV/0!</v>
      </c>
      <c r="S1316" s="69" t="e">
        <f>ROUND(P1316,2)*Q1316</f>
        <v>#DIV/0!</v>
      </c>
      <c r="T1316" s="66" t="e">
        <f>Q1316*dagenperjaar1</f>
        <v>#DIV/0!</v>
      </c>
      <c r="U1316" s="70" t="e">
        <f>T1316*ROUND(P1316,2)</f>
        <v>#DIV/0!</v>
      </c>
    </row>
    <row r="1317" spans="1:21" x14ac:dyDescent="0.2">
      <c r="A1317" s="63" t="s">
        <v>1840</v>
      </c>
      <c r="B1317" s="64" t="s">
        <v>324</v>
      </c>
      <c r="C1317" s="64" t="s">
        <v>345</v>
      </c>
      <c r="D1317" s="64" t="s">
        <v>374</v>
      </c>
      <c r="E1317" s="64" t="s">
        <v>324</v>
      </c>
      <c r="F1317" s="65" t="s">
        <v>638</v>
      </c>
      <c r="G1317" s="64" t="s">
        <v>328</v>
      </c>
      <c r="H1317" s="64" t="s">
        <v>263</v>
      </c>
      <c r="I1317" s="64" t="s">
        <v>10</v>
      </c>
      <c r="J1317" s="64" t="s">
        <v>201</v>
      </c>
      <c r="K1317" s="66">
        <v>25</v>
      </c>
      <c r="L1317" s="66">
        <f>K1317*VLOOKUP(I1317,dagsoorttabel1,2,FALSE)</f>
        <v>25</v>
      </c>
      <c r="M1317" s="67">
        <f>prodnorm63</f>
        <v>0</v>
      </c>
      <c r="N1317" s="68">
        <f>dagwerk63</f>
        <v>0</v>
      </c>
      <c r="O1317" s="64" t="s">
        <v>38</v>
      </c>
      <c r="P1317" s="69">
        <f>uurtarief63</f>
        <v>0</v>
      </c>
      <c r="Q1317" s="66" t="e">
        <f>IF(ISBLANK(M1317),0,L1317/ROUND(M1317,4))</f>
        <v>#DIV/0!</v>
      </c>
      <c r="R1317" s="66" t="e">
        <f>IF(ISBLANK(M1317),0,Q1317*ROUND(N1317,2))</f>
        <v>#DIV/0!</v>
      </c>
      <c r="S1317" s="69" t="e">
        <f>ROUND(P1317,2)*Q1317</f>
        <v>#DIV/0!</v>
      </c>
      <c r="T1317" s="66" t="e">
        <f>Q1317*dagenperjaar1</f>
        <v>#DIV/0!</v>
      </c>
      <c r="U1317" s="70" t="e">
        <f>T1317*ROUND(P1317,2)</f>
        <v>#DIV/0!</v>
      </c>
    </row>
    <row r="1318" spans="1:21" x14ac:dyDescent="0.2">
      <c r="A1318" s="63" t="s">
        <v>1840</v>
      </c>
      <c r="B1318" s="64" t="s">
        <v>324</v>
      </c>
      <c r="C1318" s="64" t="s">
        <v>345</v>
      </c>
      <c r="D1318" s="64" t="s">
        <v>377</v>
      </c>
      <c r="E1318" s="64" t="s">
        <v>324</v>
      </c>
      <c r="F1318" s="65" t="s">
        <v>1843</v>
      </c>
      <c r="G1318" s="64" t="s">
        <v>328</v>
      </c>
      <c r="H1318" s="64" t="s">
        <v>205</v>
      </c>
      <c r="I1318" s="64" t="s">
        <v>10</v>
      </c>
      <c r="J1318" s="64" t="s">
        <v>201</v>
      </c>
      <c r="K1318" s="66">
        <v>23</v>
      </c>
      <c r="L1318" s="66">
        <f>K1318*VLOOKUP(I1318,dagsoorttabel1,2,FALSE)</f>
        <v>23</v>
      </c>
      <c r="M1318" s="67">
        <f>prodnorm26</f>
        <v>0</v>
      </c>
      <c r="N1318" s="68">
        <f>dagwerk26</f>
        <v>0</v>
      </c>
      <c r="O1318" s="64" t="s">
        <v>38</v>
      </c>
      <c r="P1318" s="69">
        <f>uurtarief26</f>
        <v>0</v>
      </c>
      <c r="Q1318" s="66" t="e">
        <f>IF(ISBLANK(M1318),0,L1318/ROUND(M1318,4))</f>
        <v>#DIV/0!</v>
      </c>
      <c r="R1318" s="66" t="e">
        <f>IF(ISBLANK(M1318),0,Q1318*ROUND(N1318,2))</f>
        <v>#DIV/0!</v>
      </c>
      <c r="S1318" s="69" t="e">
        <f>ROUND(P1318,2)*Q1318</f>
        <v>#DIV/0!</v>
      </c>
      <c r="T1318" s="66" t="e">
        <f>Q1318*dagenperjaar1</f>
        <v>#DIV/0!</v>
      </c>
      <c r="U1318" s="70" t="e">
        <f>T1318*ROUND(P1318,2)</f>
        <v>#DIV/0!</v>
      </c>
    </row>
    <row r="1319" spans="1:21" x14ac:dyDescent="0.2">
      <c r="A1319" s="63" t="s">
        <v>1840</v>
      </c>
      <c r="B1319" s="64" t="s">
        <v>324</v>
      </c>
      <c r="C1319" s="64" t="s">
        <v>345</v>
      </c>
      <c r="D1319" s="64" t="s">
        <v>382</v>
      </c>
      <c r="E1319" s="64" t="s">
        <v>324</v>
      </c>
      <c r="F1319" s="65" t="s">
        <v>852</v>
      </c>
      <c r="G1319" s="64" t="s">
        <v>328</v>
      </c>
      <c r="H1319" s="64" t="s">
        <v>229</v>
      </c>
      <c r="I1319" s="64" t="s">
        <v>10</v>
      </c>
      <c r="J1319" s="64" t="s">
        <v>201</v>
      </c>
      <c r="K1319" s="66">
        <v>56</v>
      </c>
      <c r="L1319" s="66">
        <f>K1319*VLOOKUP(I1319,dagsoorttabel1,2,FALSE)</f>
        <v>56</v>
      </c>
      <c r="M1319" s="67">
        <f>prodnorm43</f>
        <v>0</v>
      </c>
      <c r="N1319" s="68">
        <f>dagwerk43</f>
        <v>0</v>
      </c>
      <c r="O1319" s="64" t="s">
        <v>38</v>
      </c>
      <c r="P1319" s="69">
        <f>uurtarief43</f>
        <v>0</v>
      </c>
      <c r="Q1319" s="66" t="e">
        <f>IF(ISBLANK(M1319),0,L1319/ROUND(M1319,4))</f>
        <v>#DIV/0!</v>
      </c>
      <c r="R1319" s="66" t="e">
        <f>IF(ISBLANK(M1319),0,Q1319*ROUND(N1319,2))</f>
        <v>#DIV/0!</v>
      </c>
      <c r="S1319" s="69" t="e">
        <f>ROUND(P1319,2)*Q1319</f>
        <v>#DIV/0!</v>
      </c>
      <c r="T1319" s="66" t="e">
        <f>Q1319*dagenperjaar1</f>
        <v>#DIV/0!</v>
      </c>
      <c r="U1319" s="70" t="e">
        <f>T1319*ROUND(P1319,2)</f>
        <v>#DIV/0!</v>
      </c>
    </row>
    <row r="1320" spans="1:21" x14ac:dyDescent="0.2">
      <c r="A1320" s="63" t="s">
        <v>1840</v>
      </c>
      <c r="B1320" s="64" t="s">
        <v>324</v>
      </c>
      <c r="C1320" s="64" t="s">
        <v>345</v>
      </c>
      <c r="D1320" s="64" t="s">
        <v>1317</v>
      </c>
      <c r="E1320" s="64" t="s">
        <v>324</v>
      </c>
      <c r="F1320" s="65" t="s">
        <v>852</v>
      </c>
      <c r="G1320" s="64" t="s">
        <v>328</v>
      </c>
      <c r="H1320" s="64" t="s">
        <v>229</v>
      </c>
      <c r="I1320" s="64" t="s">
        <v>10</v>
      </c>
      <c r="J1320" s="64" t="s">
        <v>201</v>
      </c>
      <c r="K1320" s="66">
        <v>55</v>
      </c>
      <c r="L1320" s="66">
        <f>K1320*VLOOKUP(I1320,dagsoorttabel1,2,FALSE)</f>
        <v>55</v>
      </c>
      <c r="M1320" s="67">
        <f>prodnorm43</f>
        <v>0</v>
      </c>
      <c r="N1320" s="68">
        <f>dagwerk43</f>
        <v>0</v>
      </c>
      <c r="O1320" s="64" t="s">
        <v>38</v>
      </c>
      <c r="P1320" s="69">
        <f>uurtarief43</f>
        <v>0</v>
      </c>
      <c r="Q1320" s="66" t="e">
        <f>IF(ISBLANK(M1320),0,L1320/ROUND(M1320,4))</f>
        <v>#DIV/0!</v>
      </c>
      <c r="R1320" s="66" t="e">
        <f>IF(ISBLANK(M1320),0,Q1320*ROUND(N1320,2))</f>
        <v>#DIV/0!</v>
      </c>
      <c r="S1320" s="69" t="e">
        <f>ROUND(P1320,2)*Q1320</f>
        <v>#DIV/0!</v>
      </c>
      <c r="T1320" s="66" t="e">
        <f>Q1320*dagenperjaar1</f>
        <v>#DIV/0!</v>
      </c>
      <c r="U1320" s="70" t="e">
        <f>T1320*ROUND(P1320,2)</f>
        <v>#DIV/0!</v>
      </c>
    </row>
    <row r="1321" spans="1:21" x14ac:dyDescent="0.2">
      <c r="A1321" s="63" t="s">
        <v>1840</v>
      </c>
      <c r="B1321" s="64" t="s">
        <v>324</v>
      </c>
      <c r="C1321" s="64" t="s">
        <v>345</v>
      </c>
      <c r="D1321" s="64" t="s">
        <v>868</v>
      </c>
      <c r="E1321" s="64" t="s">
        <v>324</v>
      </c>
      <c r="F1321" s="65" t="s">
        <v>852</v>
      </c>
      <c r="G1321" s="64" t="s">
        <v>328</v>
      </c>
      <c r="H1321" s="64" t="s">
        <v>229</v>
      </c>
      <c r="I1321" s="64" t="s">
        <v>10</v>
      </c>
      <c r="J1321" s="64" t="s">
        <v>201</v>
      </c>
      <c r="K1321" s="66">
        <v>55</v>
      </c>
      <c r="L1321" s="66">
        <f>K1321*VLOOKUP(I1321,dagsoorttabel1,2,FALSE)</f>
        <v>55</v>
      </c>
      <c r="M1321" s="67">
        <f>prodnorm43</f>
        <v>0</v>
      </c>
      <c r="N1321" s="68">
        <f>dagwerk43</f>
        <v>0</v>
      </c>
      <c r="O1321" s="64" t="s">
        <v>38</v>
      </c>
      <c r="P1321" s="69">
        <f>uurtarief43</f>
        <v>0</v>
      </c>
      <c r="Q1321" s="66" t="e">
        <f>IF(ISBLANK(M1321),0,L1321/ROUND(M1321,4))</f>
        <v>#DIV/0!</v>
      </c>
      <c r="R1321" s="66" t="e">
        <f>IF(ISBLANK(M1321),0,Q1321*ROUND(N1321,2))</f>
        <v>#DIV/0!</v>
      </c>
      <c r="S1321" s="69" t="e">
        <f>ROUND(P1321,2)*Q1321</f>
        <v>#DIV/0!</v>
      </c>
      <c r="T1321" s="66" t="e">
        <f>Q1321*dagenperjaar1</f>
        <v>#DIV/0!</v>
      </c>
      <c r="U1321" s="70" t="e">
        <f>T1321*ROUND(P1321,2)</f>
        <v>#DIV/0!</v>
      </c>
    </row>
    <row r="1322" spans="1:21" x14ac:dyDescent="0.2">
      <c r="A1322" s="63" t="s">
        <v>1840</v>
      </c>
      <c r="B1322" s="64" t="s">
        <v>324</v>
      </c>
      <c r="C1322" s="64" t="s">
        <v>345</v>
      </c>
      <c r="D1322" s="64" t="s">
        <v>387</v>
      </c>
      <c r="E1322" s="64" t="s">
        <v>324</v>
      </c>
      <c r="F1322" s="65" t="s">
        <v>1844</v>
      </c>
      <c r="G1322" s="64" t="s">
        <v>351</v>
      </c>
      <c r="H1322" s="64" t="s">
        <v>245</v>
      </c>
      <c r="I1322" s="64" t="s">
        <v>10</v>
      </c>
      <c r="J1322" s="64" t="s">
        <v>201</v>
      </c>
      <c r="K1322" s="66">
        <v>73</v>
      </c>
      <c r="L1322" s="66">
        <f>K1322*VLOOKUP(I1322,dagsoorttabel1,2,FALSE)</f>
        <v>73</v>
      </c>
      <c r="M1322" s="67">
        <f>prodnorm54</f>
        <v>0</v>
      </c>
      <c r="N1322" s="68">
        <f>dagwerk54</f>
        <v>0</v>
      </c>
      <c r="O1322" s="64" t="s">
        <v>38</v>
      </c>
      <c r="P1322" s="69">
        <f>uurtarief54</f>
        <v>0</v>
      </c>
      <c r="Q1322" s="66" t="e">
        <f>IF(ISBLANK(M1322),0,L1322/ROUND(M1322,4))</f>
        <v>#DIV/0!</v>
      </c>
      <c r="R1322" s="66" t="e">
        <f>IF(ISBLANK(M1322),0,Q1322*ROUND(N1322,2))</f>
        <v>#DIV/0!</v>
      </c>
      <c r="S1322" s="69" t="e">
        <f>ROUND(P1322,2)*Q1322</f>
        <v>#DIV/0!</v>
      </c>
      <c r="T1322" s="66" t="e">
        <f>Q1322*dagenperjaar1</f>
        <v>#DIV/0!</v>
      </c>
      <c r="U1322" s="70" t="e">
        <f>T1322*ROUND(P1322,2)</f>
        <v>#DIV/0!</v>
      </c>
    </row>
    <row r="1323" spans="1:21" x14ac:dyDescent="0.2">
      <c r="A1323" s="63" t="s">
        <v>1840</v>
      </c>
      <c r="B1323" s="64" t="s">
        <v>324</v>
      </c>
      <c r="C1323" s="64" t="s">
        <v>345</v>
      </c>
      <c r="D1323" s="64" t="s">
        <v>869</v>
      </c>
      <c r="E1323" s="64" t="s">
        <v>324</v>
      </c>
      <c r="F1323" s="65" t="s">
        <v>1845</v>
      </c>
      <c r="G1323" s="64" t="s">
        <v>328</v>
      </c>
      <c r="H1323" s="64" t="s">
        <v>243</v>
      </c>
      <c r="I1323" s="64" t="s">
        <v>10</v>
      </c>
      <c r="J1323" s="64" t="s">
        <v>201</v>
      </c>
      <c r="K1323" s="66">
        <v>80</v>
      </c>
      <c r="L1323" s="66">
        <f>K1323*VLOOKUP(I1323,dagsoorttabel1,2,FALSE)</f>
        <v>80</v>
      </c>
      <c r="M1323" s="67">
        <f>prodnorm52</f>
        <v>0</v>
      </c>
      <c r="N1323" s="68">
        <f>dagwerk52</f>
        <v>0</v>
      </c>
      <c r="O1323" s="64" t="s">
        <v>38</v>
      </c>
      <c r="P1323" s="69">
        <f>uurtarief52</f>
        <v>0</v>
      </c>
      <c r="Q1323" s="66" t="e">
        <f>IF(ISBLANK(M1323),0,L1323/ROUND(M1323,4))</f>
        <v>#DIV/0!</v>
      </c>
      <c r="R1323" s="66" t="e">
        <f>IF(ISBLANK(M1323),0,Q1323*ROUND(N1323,2))</f>
        <v>#DIV/0!</v>
      </c>
      <c r="S1323" s="69" t="e">
        <f>ROUND(P1323,2)*Q1323</f>
        <v>#DIV/0!</v>
      </c>
      <c r="T1323" s="66" t="e">
        <f>Q1323*dagenperjaar1</f>
        <v>#DIV/0!</v>
      </c>
      <c r="U1323" s="70" t="e">
        <f>T1323*ROUND(P1323,2)</f>
        <v>#DIV/0!</v>
      </c>
    </row>
    <row r="1324" spans="1:21" x14ac:dyDescent="0.2">
      <c r="A1324" s="63" t="s">
        <v>1840</v>
      </c>
      <c r="B1324" s="64" t="s">
        <v>324</v>
      </c>
      <c r="C1324" s="64" t="s">
        <v>345</v>
      </c>
      <c r="D1324" s="64" t="s">
        <v>400</v>
      </c>
      <c r="E1324" s="64" t="s">
        <v>324</v>
      </c>
      <c r="F1324" s="65" t="s">
        <v>1846</v>
      </c>
      <c r="G1324" s="64" t="s">
        <v>1847</v>
      </c>
      <c r="H1324" s="64" t="s">
        <v>229</v>
      </c>
      <c r="I1324" s="64" t="s">
        <v>10</v>
      </c>
      <c r="J1324" s="64" t="s">
        <v>201</v>
      </c>
      <c r="K1324" s="66">
        <v>24</v>
      </c>
      <c r="L1324" s="66">
        <f>K1324*VLOOKUP(I1324,dagsoorttabel1,2,FALSE)</f>
        <v>24</v>
      </c>
      <c r="M1324" s="67">
        <f>prodnorm43</f>
        <v>0</v>
      </c>
      <c r="N1324" s="68">
        <f>dagwerk43</f>
        <v>0</v>
      </c>
      <c r="O1324" s="64" t="s">
        <v>38</v>
      </c>
      <c r="P1324" s="69">
        <f>uurtarief43</f>
        <v>0</v>
      </c>
      <c r="Q1324" s="66" t="e">
        <f>IF(ISBLANK(M1324),0,L1324/ROUND(M1324,4))</f>
        <v>#DIV/0!</v>
      </c>
      <c r="R1324" s="66" t="e">
        <f>IF(ISBLANK(M1324),0,Q1324*ROUND(N1324,2))</f>
        <v>#DIV/0!</v>
      </c>
      <c r="S1324" s="69" t="e">
        <f>ROUND(P1324,2)*Q1324</f>
        <v>#DIV/0!</v>
      </c>
      <c r="T1324" s="66" t="e">
        <f>Q1324*dagenperjaar1</f>
        <v>#DIV/0!</v>
      </c>
      <c r="U1324" s="70" t="e">
        <f>T1324*ROUND(P1324,2)</f>
        <v>#DIV/0!</v>
      </c>
    </row>
    <row r="1325" spans="1:21" x14ac:dyDescent="0.2">
      <c r="A1325" s="63" t="s">
        <v>1840</v>
      </c>
      <c r="B1325" s="64" t="s">
        <v>324</v>
      </c>
      <c r="C1325" s="64" t="s">
        <v>345</v>
      </c>
      <c r="D1325" s="64" t="s">
        <v>1592</v>
      </c>
      <c r="E1325" s="64" t="s">
        <v>324</v>
      </c>
      <c r="F1325" s="65" t="s">
        <v>335</v>
      </c>
      <c r="G1325" s="64" t="s">
        <v>328</v>
      </c>
      <c r="H1325" s="64" t="s">
        <v>267</v>
      </c>
      <c r="I1325" s="64" t="s">
        <v>10</v>
      </c>
      <c r="J1325" s="64" t="s">
        <v>201</v>
      </c>
      <c r="K1325" s="66">
        <v>53.4</v>
      </c>
      <c r="L1325" s="66">
        <f>K1325*VLOOKUP(I1325,dagsoorttabel1,2,FALSE)</f>
        <v>53.4</v>
      </c>
      <c r="M1325" s="67">
        <f>prodnorm65</f>
        <v>0</v>
      </c>
      <c r="N1325" s="68">
        <f>dagwerk65</f>
        <v>0</v>
      </c>
      <c r="O1325" s="64" t="s">
        <v>38</v>
      </c>
      <c r="P1325" s="69">
        <f>uurtarief65</f>
        <v>0</v>
      </c>
      <c r="Q1325" s="66" t="e">
        <f>IF(ISBLANK(M1325),0,L1325/ROUND(M1325,4))</f>
        <v>#DIV/0!</v>
      </c>
      <c r="R1325" s="66" t="e">
        <f>IF(ISBLANK(M1325),0,Q1325*ROUND(N1325,2))</f>
        <v>#DIV/0!</v>
      </c>
      <c r="S1325" s="69" t="e">
        <f>ROUND(P1325,2)*Q1325</f>
        <v>#DIV/0!</v>
      </c>
      <c r="T1325" s="66" t="e">
        <f>Q1325*dagenperjaar1</f>
        <v>#DIV/0!</v>
      </c>
      <c r="U1325" s="70" t="e">
        <f>T1325*ROUND(P1325,2)</f>
        <v>#DIV/0!</v>
      </c>
    </row>
    <row r="1326" spans="1:21" x14ac:dyDescent="0.2">
      <c r="A1326" s="63" t="s">
        <v>1840</v>
      </c>
      <c r="B1326" s="64" t="s">
        <v>324</v>
      </c>
      <c r="C1326" s="64" t="s">
        <v>345</v>
      </c>
      <c r="D1326" s="64" t="s">
        <v>418</v>
      </c>
      <c r="E1326" s="64" t="s">
        <v>324</v>
      </c>
      <c r="F1326" s="65" t="s">
        <v>641</v>
      </c>
      <c r="G1326" s="64" t="s">
        <v>365</v>
      </c>
      <c r="H1326" s="64" t="s">
        <v>255</v>
      </c>
      <c r="I1326" s="64" t="s">
        <v>10</v>
      </c>
      <c r="J1326" s="64" t="s">
        <v>201</v>
      </c>
      <c r="K1326" s="66">
        <v>6</v>
      </c>
      <c r="L1326" s="66">
        <f>K1326*VLOOKUP(I1326,dagsoorttabel1,2,FALSE)</f>
        <v>6</v>
      </c>
      <c r="M1326" s="67">
        <f>prodnorm59</f>
        <v>0</v>
      </c>
      <c r="N1326" s="68">
        <f>dagwerk59</f>
        <v>0</v>
      </c>
      <c r="O1326" s="64" t="s">
        <v>38</v>
      </c>
      <c r="P1326" s="69">
        <f>uurtarief59</f>
        <v>0</v>
      </c>
      <c r="Q1326" s="66" t="e">
        <f>IF(ISBLANK(M1326),0,L1326/ROUND(M1326,4))</f>
        <v>#DIV/0!</v>
      </c>
      <c r="R1326" s="66" t="e">
        <f>IF(ISBLANK(M1326),0,Q1326*ROUND(N1326,2))</f>
        <v>#DIV/0!</v>
      </c>
      <c r="S1326" s="69" t="e">
        <f>ROUND(P1326,2)*Q1326</f>
        <v>#DIV/0!</v>
      </c>
      <c r="T1326" s="66" t="e">
        <f>Q1326*dagenperjaar1</f>
        <v>#DIV/0!</v>
      </c>
      <c r="U1326" s="70" t="e">
        <f>T1326*ROUND(P1326,2)</f>
        <v>#DIV/0!</v>
      </c>
    </row>
    <row r="1327" spans="1:21" x14ac:dyDescent="0.2">
      <c r="A1327" s="63" t="s">
        <v>1840</v>
      </c>
      <c r="B1327" s="64" t="s">
        <v>324</v>
      </c>
      <c r="C1327" s="64" t="s">
        <v>345</v>
      </c>
      <c r="D1327" s="64" t="s">
        <v>423</v>
      </c>
      <c r="E1327" s="64" t="s">
        <v>324</v>
      </c>
      <c r="F1327" s="65" t="s">
        <v>641</v>
      </c>
      <c r="G1327" s="64" t="s">
        <v>365</v>
      </c>
      <c r="H1327" s="64" t="s">
        <v>255</v>
      </c>
      <c r="I1327" s="64" t="s">
        <v>10</v>
      </c>
      <c r="J1327" s="64" t="s">
        <v>201</v>
      </c>
      <c r="K1327" s="66">
        <v>6</v>
      </c>
      <c r="L1327" s="66">
        <f>K1327*VLOOKUP(I1327,dagsoorttabel1,2,FALSE)</f>
        <v>6</v>
      </c>
      <c r="M1327" s="67">
        <f>prodnorm59</f>
        <v>0</v>
      </c>
      <c r="N1327" s="68">
        <f>dagwerk59</f>
        <v>0</v>
      </c>
      <c r="O1327" s="64" t="s">
        <v>38</v>
      </c>
      <c r="P1327" s="69">
        <f>uurtarief59</f>
        <v>0</v>
      </c>
      <c r="Q1327" s="66" t="e">
        <f>IF(ISBLANK(M1327),0,L1327/ROUND(M1327,4))</f>
        <v>#DIV/0!</v>
      </c>
      <c r="R1327" s="66" t="e">
        <f>IF(ISBLANK(M1327),0,Q1327*ROUND(N1327,2))</f>
        <v>#DIV/0!</v>
      </c>
      <c r="S1327" s="69" t="e">
        <f>ROUND(P1327,2)*Q1327</f>
        <v>#DIV/0!</v>
      </c>
      <c r="T1327" s="66" t="e">
        <f>Q1327*dagenperjaar1</f>
        <v>#DIV/0!</v>
      </c>
      <c r="U1327" s="70" t="e">
        <f>T1327*ROUND(P1327,2)</f>
        <v>#DIV/0!</v>
      </c>
    </row>
    <row r="1328" spans="1:21" x14ac:dyDescent="0.2">
      <c r="A1328" s="63" t="s">
        <v>1840</v>
      </c>
      <c r="B1328" s="64" t="s">
        <v>324</v>
      </c>
      <c r="C1328" s="64" t="s">
        <v>345</v>
      </c>
      <c r="D1328" s="64" t="s">
        <v>1594</v>
      </c>
      <c r="E1328" s="64" t="s">
        <v>324</v>
      </c>
      <c r="F1328" s="65" t="s">
        <v>364</v>
      </c>
      <c r="G1328" s="64" t="s">
        <v>365</v>
      </c>
      <c r="H1328" s="64" t="s">
        <v>255</v>
      </c>
      <c r="I1328" s="64" t="s">
        <v>10</v>
      </c>
      <c r="J1328" s="64" t="s">
        <v>201</v>
      </c>
      <c r="K1328" s="66">
        <v>4.2</v>
      </c>
      <c r="L1328" s="66">
        <f>K1328*VLOOKUP(I1328,dagsoorttabel1,2,FALSE)</f>
        <v>4.2</v>
      </c>
      <c r="M1328" s="67">
        <f>prodnorm59</f>
        <v>0</v>
      </c>
      <c r="N1328" s="68">
        <f>dagwerk59</f>
        <v>0</v>
      </c>
      <c r="O1328" s="64" t="s">
        <v>38</v>
      </c>
      <c r="P1328" s="69">
        <f>uurtarief59</f>
        <v>0</v>
      </c>
      <c r="Q1328" s="66" t="e">
        <f>IF(ISBLANK(M1328),0,L1328/ROUND(M1328,4))</f>
        <v>#DIV/0!</v>
      </c>
      <c r="R1328" s="66" t="e">
        <f>IF(ISBLANK(M1328),0,Q1328*ROUND(N1328,2))</f>
        <v>#DIV/0!</v>
      </c>
      <c r="S1328" s="69" t="e">
        <f>ROUND(P1328,2)*Q1328</f>
        <v>#DIV/0!</v>
      </c>
      <c r="T1328" s="66" t="e">
        <f>Q1328*dagenperjaar1</f>
        <v>#DIV/0!</v>
      </c>
      <c r="U1328" s="70" t="e">
        <f>T1328*ROUND(P1328,2)</f>
        <v>#DIV/0!</v>
      </c>
    </row>
    <row r="1329" spans="1:21" x14ac:dyDescent="0.2">
      <c r="A1329" s="63" t="s">
        <v>1840</v>
      </c>
      <c r="B1329" s="64" t="s">
        <v>324</v>
      </c>
      <c r="C1329" s="64" t="s">
        <v>323</v>
      </c>
      <c r="D1329" s="64" t="s">
        <v>426</v>
      </c>
      <c r="E1329" s="64" t="s">
        <v>324</v>
      </c>
      <c r="F1329" s="65" t="s">
        <v>632</v>
      </c>
      <c r="G1329" s="64" t="s">
        <v>328</v>
      </c>
      <c r="H1329" s="64" t="s">
        <v>205</v>
      </c>
      <c r="I1329" s="64" t="s">
        <v>10</v>
      </c>
      <c r="J1329" s="64" t="s">
        <v>201</v>
      </c>
      <c r="K1329" s="66">
        <v>24</v>
      </c>
      <c r="L1329" s="66">
        <f>K1329*VLOOKUP(I1329,dagsoorttabel1,2,FALSE)</f>
        <v>24</v>
      </c>
      <c r="M1329" s="67">
        <f>prodnorm26</f>
        <v>0</v>
      </c>
      <c r="N1329" s="68">
        <f>dagwerk26</f>
        <v>0</v>
      </c>
      <c r="O1329" s="64" t="s">
        <v>38</v>
      </c>
      <c r="P1329" s="69">
        <f>uurtarief26</f>
        <v>0</v>
      </c>
      <c r="Q1329" s="66" t="e">
        <f>IF(ISBLANK(M1329),0,L1329/ROUND(M1329,4))</f>
        <v>#DIV/0!</v>
      </c>
      <c r="R1329" s="66" t="e">
        <f>IF(ISBLANK(M1329),0,Q1329*ROUND(N1329,2))</f>
        <v>#DIV/0!</v>
      </c>
      <c r="S1329" s="69" t="e">
        <f>ROUND(P1329,2)*Q1329</f>
        <v>#DIV/0!</v>
      </c>
      <c r="T1329" s="66" t="e">
        <f>Q1329*dagenperjaar1</f>
        <v>#DIV/0!</v>
      </c>
      <c r="U1329" s="70" t="e">
        <f>T1329*ROUND(P1329,2)</f>
        <v>#DIV/0!</v>
      </c>
    </row>
    <row r="1330" spans="1:21" x14ac:dyDescent="0.2">
      <c r="A1330" s="63" t="s">
        <v>1840</v>
      </c>
      <c r="B1330" s="64" t="s">
        <v>324</v>
      </c>
      <c r="C1330" s="64" t="s">
        <v>323</v>
      </c>
      <c r="D1330" s="64" t="s">
        <v>441</v>
      </c>
      <c r="E1330" s="64" t="s">
        <v>324</v>
      </c>
      <c r="F1330" s="65" t="s">
        <v>1795</v>
      </c>
      <c r="G1330" s="64" t="s">
        <v>328</v>
      </c>
      <c r="H1330" s="64" t="s">
        <v>229</v>
      </c>
      <c r="I1330" s="64" t="s">
        <v>10</v>
      </c>
      <c r="J1330" s="64" t="s">
        <v>201</v>
      </c>
      <c r="K1330" s="66">
        <v>11</v>
      </c>
      <c r="L1330" s="66">
        <f>K1330*VLOOKUP(I1330,dagsoorttabel1,2,FALSE)</f>
        <v>11</v>
      </c>
      <c r="M1330" s="67">
        <f>prodnorm43</f>
        <v>0</v>
      </c>
      <c r="N1330" s="68">
        <f>dagwerk43</f>
        <v>0</v>
      </c>
      <c r="O1330" s="64" t="s">
        <v>38</v>
      </c>
      <c r="P1330" s="69">
        <f>uurtarief43</f>
        <v>0</v>
      </c>
      <c r="Q1330" s="66" t="e">
        <f>IF(ISBLANK(M1330),0,L1330/ROUND(M1330,4))</f>
        <v>#DIV/0!</v>
      </c>
      <c r="R1330" s="66" t="e">
        <f>IF(ISBLANK(M1330),0,Q1330*ROUND(N1330,2))</f>
        <v>#DIV/0!</v>
      </c>
      <c r="S1330" s="69" t="e">
        <f>ROUND(P1330,2)*Q1330</f>
        <v>#DIV/0!</v>
      </c>
      <c r="T1330" s="66" t="e">
        <f>Q1330*dagenperjaar1</f>
        <v>#DIV/0!</v>
      </c>
      <c r="U1330" s="70" t="e">
        <f>T1330*ROUND(P1330,2)</f>
        <v>#DIV/0!</v>
      </c>
    </row>
    <row r="1331" spans="1:21" x14ac:dyDescent="0.2">
      <c r="A1331" s="63" t="s">
        <v>1840</v>
      </c>
      <c r="B1331" s="64" t="s">
        <v>324</v>
      </c>
      <c r="C1331" s="64" t="s">
        <v>323</v>
      </c>
      <c r="D1331" s="64" t="s">
        <v>918</v>
      </c>
      <c r="E1331" s="64" t="s">
        <v>324</v>
      </c>
      <c r="F1331" s="65" t="s">
        <v>381</v>
      </c>
      <c r="G1331" s="64" t="s">
        <v>328</v>
      </c>
      <c r="H1331" s="64" t="s">
        <v>205</v>
      </c>
      <c r="I1331" s="64" t="s">
        <v>10</v>
      </c>
      <c r="J1331" s="64" t="s">
        <v>201</v>
      </c>
      <c r="K1331" s="66">
        <v>11</v>
      </c>
      <c r="L1331" s="66">
        <f>K1331*VLOOKUP(I1331,dagsoorttabel1,2,FALSE)</f>
        <v>11</v>
      </c>
      <c r="M1331" s="67">
        <f>prodnorm26</f>
        <v>0</v>
      </c>
      <c r="N1331" s="68">
        <f>dagwerk26</f>
        <v>0</v>
      </c>
      <c r="O1331" s="64" t="s">
        <v>38</v>
      </c>
      <c r="P1331" s="69">
        <f>uurtarief26</f>
        <v>0</v>
      </c>
      <c r="Q1331" s="66" t="e">
        <f>IF(ISBLANK(M1331),0,L1331/ROUND(M1331,4))</f>
        <v>#DIV/0!</v>
      </c>
      <c r="R1331" s="66" t="e">
        <f>IF(ISBLANK(M1331),0,Q1331*ROUND(N1331,2))</f>
        <v>#DIV/0!</v>
      </c>
      <c r="S1331" s="69" t="e">
        <f>ROUND(P1331,2)*Q1331</f>
        <v>#DIV/0!</v>
      </c>
      <c r="T1331" s="66" t="e">
        <f>Q1331*dagenperjaar1</f>
        <v>#DIV/0!</v>
      </c>
      <c r="U1331" s="70" t="e">
        <f>T1331*ROUND(P1331,2)</f>
        <v>#DIV/0!</v>
      </c>
    </row>
    <row r="1332" spans="1:21" x14ac:dyDescent="0.2">
      <c r="A1332" s="63" t="s">
        <v>1840</v>
      </c>
      <c r="B1332" s="64" t="s">
        <v>324</v>
      </c>
      <c r="C1332" s="64" t="s">
        <v>323</v>
      </c>
      <c r="D1332" s="64" t="s">
        <v>444</v>
      </c>
      <c r="E1332" s="64" t="s">
        <v>324</v>
      </c>
      <c r="F1332" s="65" t="s">
        <v>1848</v>
      </c>
      <c r="G1332" s="64" t="s">
        <v>328</v>
      </c>
      <c r="H1332" s="64" t="s">
        <v>247</v>
      </c>
      <c r="I1332" s="64" t="s">
        <v>10</v>
      </c>
      <c r="J1332" s="64" t="s">
        <v>201</v>
      </c>
      <c r="K1332" s="66">
        <v>60</v>
      </c>
      <c r="L1332" s="66">
        <f>K1332*VLOOKUP(I1332,dagsoorttabel1,2,FALSE)</f>
        <v>60</v>
      </c>
      <c r="M1332" s="67">
        <f>prodnorm55</f>
        <v>0</v>
      </c>
      <c r="N1332" s="68">
        <f>dagwerk55</f>
        <v>0</v>
      </c>
      <c r="O1332" s="64" t="s">
        <v>38</v>
      </c>
      <c r="P1332" s="69">
        <f>uurtarief55</f>
        <v>0</v>
      </c>
      <c r="Q1332" s="66" t="e">
        <f>IF(ISBLANK(M1332),0,L1332/ROUND(M1332,4))</f>
        <v>#DIV/0!</v>
      </c>
      <c r="R1332" s="66" t="e">
        <f>IF(ISBLANK(M1332),0,Q1332*ROUND(N1332,2))</f>
        <v>#DIV/0!</v>
      </c>
      <c r="S1332" s="69" t="e">
        <f>ROUND(P1332,2)*Q1332</f>
        <v>#DIV/0!</v>
      </c>
      <c r="T1332" s="66" t="e">
        <f>Q1332*dagenperjaar1</f>
        <v>#DIV/0!</v>
      </c>
      <c r="U1332" s="70" t="e">
        <f>T1332*ROUND(P1332,2)</f>
        <v>#DIV/0!</v>
      </c>
    </row>
    <row r="1333" spans="1:21" x14ac:dyDescent="0.2">
      <c r="A1333" s="63" t="s">
        <v>1840</v>
      </c>
      <c r="B1333" s="64" t="s">
        <v>324</v>
      </c>
      <c r="C1333" s="64" t="s">
        <v>323</v>
      </c>
      <c r="D1333" s="64" t="s">
        <v>446</v>
      </c>
      <c r="E1333" s="64" t="s">
        <v>324</v>
      </c>
      <c r="F1333" s="65" t="s">
        <v>852</v>
      </c>
      <c r="G1333" s="64" t="s">
        <v>328</v>
      </c>
      <c r="H1333" s="64" t="s">
        <v>229</v>
      </c>
      <c r="I1333" s="64" t="s">
        <v>10</v>
      </c>
      <c r="J1333" s="64" t="s">
        <v>201</v>
      </c>
      <c r="K1333" s="66">
        <v>55</v>
      </c>
      <c r="L1333" s="66">
        <f>K1333*VLOOKUP(I1333,dagsoorttabel1,2,FALSE)</f>
        <v>55</v>
      </c>
      <c r="M1333" s="67">
        <f>prodnorm43</f>
        <v>0</v>
      </c>
      <c r="N1333" s="68">
        <f>dagwerk43</f>
        <v>0</v>
      </c>
      <c r="O1333" s="64" t="s">
        <v>38</v>
      </c>
      <c r="P1333" s="69">
        <f>uurtarief43</f>
        <v>0</v>
      </c>
      <c r="Q1333" s="66" t="e">
        <f>IF(ISBLANK(M1333),0,L1333/ROUND(M1333,4))</f>
        <v>#DIV/0!</v>
      </c>
      <c r="R1333" s="66" t="e">
        <f>IF(ISBLANK(M1333),0,Q1333*ROUND(N1333,2))</f>
        <v>#DIV/0!</v>
      </c>
      <c r="S1333" s="69" t="e">
        <f>ROUND(P1333,2)*Q1333</f>
        <v>#DIV/0!</v>
      </c>
      <c r="T1333" s="66" t="e">
        <f>Q1333*dagenperjaar1</f>
        <v>#DIV/0!</v>
      </c>
      <c r="U1333" s="70" t="e">
        <f>T1333*ROUND(P1333,2)</f>
        <v>#DIV/0!</v>
      </c>
    </row>
    <row r="1334" spans="1:21" x14ac:dyDescent="0.2">
      <c r="A1334" s="63" t="s">
        <v>1840</v>
      </c>
      <c r="B1334" s="64" t="s">
        <v>324</v>
      </c>
      <c r="C1334" s="64" t="s">
        <v>323</v>
      </c>
      <c r="D1334" s="64" t="s">
        <v>921</v>
      </c>
      <c r="E1334" s="64" t="s">
        <v>324</v>
      </c>
      <c r="F1334" s="65" t="s">
        <v>641</v>
      </c>
      <c r="G1334" s="64" t="s">
        <v>365</v>
      </c>
      <c r="H1334" s="64" t="s">
        <v>255</v>
      </c>
      <c r="I1334" s="64" t="s">
        <v>10</v>
      </c>
      <c r="J1334" s="64" t="s">
        <v>201</v>
      </c>
      <c r="K1334" s="66">
        <v>3.8</v>
      </c>
      <c r="L1334" s="66">
        <f>K1334*VLOOKUP(I1334,dagsoorttabel1,2,FALSE)</f>
        <v>3.8</v>
      </c>
      <c r="M1334" s="67">
        <f>prodnorm59</f>
        <v>0</v>
      </c>
      <c r="N1334" s="68">
        <f>dagwerk59</f>
        <v>0</v>
      </c>
      <c r="O1334" s="64" t="s">
        <v>38</v>
      </c>
      <c r="P1334" s="69">
        <f>uurtarief59</f>
        <v>0</v>
      </c>
      <c r="Q1334" s="66" t="e">
        <f>IF(ISBLANK(M1334),0,L1334/ROUND(M1334,4))</f>
        <v>#DIV/0!</v>
      </c>
      <c r="R1334" s="66" t="e">
        <f>IF(ISBLANK(M1334),0,Q1334*ROUND(N1334,2))</f>
        <v>#DIV/0!</v>
      </c>
      <c r="S1334" s="69" t="e">
        <f>ROUND(P1334,2)*Q1334</f>
        <v>#DIV/0!</v>
      </c>
      <c r="T1334" s="66" t="e">
        <f>Q1334*dagenperjaar1</f>
        <v>#DIV/0!</v>
      </c>
      <c r="U1334" s="70" t="e">
        <f>T1334*ROUND(P1334,2)</f>
        <v>#DIV/0!</v>
      </c>
    </row>
    <row r="1335" spans="1:21" x14ac:dyDescent="0.2">
      <c r="A1335" s="63" t="s">
        <v>1840</v>
      </c>
      <c r="B1335" s="64" t="s">
        <v>324</v>
      </c>
      <c r="C1335" s="64" t="s">
        <v>323</v>
      </c>
      <c r="D1335" s="64" t="s">
        <v>448</v>
      </c>
      <c r="E1335" s="64" t="s">
        <v>324</v>
      </c>
      <c r="F1335" s="65" t="s">
        <v>641</v>
      </c>
      <c r="G1335" s="64" t="s">
        <v>365</v>
      </c>
      <c r="H1335" s="64" t="s">
        <v>255</v>
      </c>
      <c r="I1335" s="64" t="s">
        <v>10</v>
      </c>
      <c r="J1335" s="64" t="s">
        <v>201</v>
      </c>
      <c r="K1335" s="66">
        <v>3</v>
      </c>
      <c r="L1335" s="66">
        <f>K1335*VLOOKUP(I1335,dagsoorttabel1,2,FALSE)</f>
        <v>3</v>
      </c>
      <c r="M1335" s="67">
        <f>prodnorm59</f>
        <v>0</v>
      </c>
      <c r="N1335" s="68">
        <f>dagwerk59</f>
        <v>0</v>
      </c>
      <c r="O1335" s="64" t="s">
        <v>38</v>
      </c>
      <c r="P1335" s="69">
        <f>uurtarief59</f>
        <v>0</v>
      </c>
      <c r="Q1335" s="66" t="e">
        <f>IF(ISBLANK(M1335),0,L1335/ROUND(M1335,4))</f>
        <v>#DIV/0!</v>
      </c>
      <c r="R1335" s="66" t="e">
        <f>IF(ISBLANK(M1335),0,Q1335*ROUND(N1335,2))</f>
        <v>#DIV/0!</v>
      </c>
      <c r="S1335" s="69" t="e">
        <f>ROUND(P1335,2)*Q1335</f>
        <v>#DIV/0!</v>
      </c>
      <c r="T1335" s="66" t="e">
        <f>Q1335*dagenperjaar1</f>
        <v>#DIV/0!</v>
      </c>
      <c r="U1335" s="70" t="e">
        <f>T1335*ROUND(P1335,2)</f>
        <v>#DIV/0!</v>
      </c>
    </row>
    <row r="1336" spans="1:21" x14ac:dyDescent="0.2">
      <c r="A1336" s="63" t="s">
        <v>1840</v>
      </c>
      <c r="B1336" s="64" t="s">
        <v>324</v>
      </c>
      <c r="C1336" s="64" t="s">
        <v>323</v>
      </c>
      <c r="D1336" s="64" t="s">
        <v>451</v>
      </c>
      <c r="E1336" s="64" t="s">
        <v>324</v>
      </c>
      <c r="F1336" s="65" t="s">
        <v>641</v>
      </c>
      <c r="G1336" s="64" t="s">
        <v>365</v>
      </c>
      <c r="H1336" s="64" t="s">
        <v>255</v>
      </c>
      <c r="I1336" s="64" t="s">
        <v>10</v>
      </c>
      <c r="J1336" s="64" t="s">
        <v>201</v>
      </c>
      <c r="K1336" s="66">
        <v>6</v>
      </c>
      <c r="L1336" s="66">
        <f>K1336*VLOOKUP(I1336,dagsoorttabel1,2,FALSE)</f>
        <v>6</v>
      </c>
      <c r="M1336" s="67">
        <f>prodnorm59</f>
        <v>0</v>
      </c>
      <c r="N1336" s="68">
        <f>dagwerk59</f>
        <v>0</v>
      </c>
      <c r="O1336" s="64" t="s">
        <v>38</v>
      </c>
      <c r="P1336" s="69">
        <f>uurtarief59</f>
        <v>0</v>
      </c>
      <c r="Q1336" s="66" t="e">
        <f>IF(ISBLANK(M1336),0,L1336/ROUND(M1336,4))</f>
        <v>#DIV/0!</v>
      </c>
      <c r="R1336" s="66" t="e">
        <f>IF(ISBLANK(M1336),0,Q1336*ROUND(N1336,2))</f>
        <v>#DIV/0!</v>
      </c>
      <c r="S1336" s="69" t="e">
        <f>ROUND(P1336,2)*Q1336</f>
        <v>#DIV/0!</v>
      </c>
      <c r="T1336" s="66" t="e">
        <f>Q1336*dagenperjaar1</f>
        <v>#DIV/0!</v>
      </c>
      <c r="U1336" s="70" t="e">
        <f>T1336*ROUND(P1336,2)</f>
        <v>#DIV/0!</v>
      </c>
    </row>
    <row r="1337" spans="1:21" x14ac:dyDescent="0.2">
      <c r="A1337" s="63" t="s">
        <v>1840</v>
      </c>
      <c r="B1337" s="64" t="s">
        <v>324</v>
      </c>
      <c r="C1337" s="64" t="s">
        <v>323</v>
      </c>
      <c r="D1337" s="64" t="s">
        <v>453</v>
      </c>
      <c r="E1337" s="64" t="s">
        <v>324</v>
      </c>
      <c r="F1337" s="65" t="s">
        <v>852</v>
      </c>
      <c r="G1337" s="64" t="s">
        <v>328</v>
      </c>
      <c r="H1337" s="64" t="s">
        <v>229</v>
      </c>
      <c r="I1337" s="64" t="s">
        <v>10</v>
      </c>
      <c r="J1337" s="64" t="s">
        <v>201</v>
      </c>
      <c r="K1337" s="66">
        <v>61</v>
      </c>
      <c r="L1337" s="66">
        <f>K1337*VLOOKUP(I1337,dagsoorttabel1,2,FALSE)</f>
        <v>61</v>
      </c>
      <c r="M1337" s="67">
        <f>prodnorm43</f>
        <v>0</v>
      </c>
      <c r="N1337" s="68">
        <f>dagwerk43</f>
        <v>0</v>
      </c>
      <c r="O1337" s="64" t="s">
        <v>38</v>
      </c>
      <c r="P1337" s="69">
        <f>uurtarief43</f>
        <v>0</v>
      </c>
      <c r="Q1337" s="66" t="e">
        <f>IF(ISBLANK(M1337),0,L1337/ROUND(M1337,4))</f>
        <v>#DIV/0!</v>
      </c>
      <c r="R1337" s="66" t="e">
        <f>IF(ISBLANK(M1337),0,Q1337*ROUND(N1337,2))</f>
        <v>#DIV/0!</v>
      </c>
      <c r="S1337" s="69" t="e">
        <f>ROUND(P1337,2)*Q1337</f>
        <v>#DIV/0!</v>
      </c>
      <c r="T1337" s="66" t="e">
        <f>Q1337*dagenperjaar1</f>
        <v>#DIV/0!</v>
      </c>
      <c r="U1337" s="70" t="e">
        <f>T1337*ROUND(P1337,2)</f>
        <v>#DIV/0!</v>
      </c>
    </row>
    <row r="1338" spans="1:21" x14ac:dyDescent="0.2">
      <c r="A1338" s="63" t="s">
        <v>1840</v>
      </c>
      <c r="B1338" s="64" t="s">
        <v>324</v>
      </c>
      <c r="C1338" s="64" t="s">
        <v>323</v>
      </c>
      <c r="D1338" s="64" t="s">
        <v>455</v>
      </c>
      <c r="E1338" s="64" t="s">
        <v>324</v>
      </c>
      <c r="F1338" s="65" t="s">
        <v>852</v>
      </c>
      <c r="G1338" s="64" t="s">
        <v>328</v>
      </c>
      <c r="H1338" s="64" t="s">
        <v>229</v>
      </c>
      <c r="I1338" s="64" t="s">
        <v>10</v>
      </c>
      <c r="J1338" s="64" t="s">
        <v>201</v>
      </c>
      <c r="K1338" s="66">
        <v>55</v>
      </c>
      <c r="L1338" s="66">
        <f>K1338*VLOOKUP(I1338,dagsoorttabel1,2,FALSE)</f>
        <v>55</v>
      </c>
      <c r="M1338" s="67">
        <f>prodnorm43</f>
        <v>0</v>
      </c>
      <c r="N1338" s="68">
        <f>dagwerk43</f>
        <v>0</v>
      </c>
      <c r="O1338" s="64" t="s">
        <v>38</v>
      </c>
      <c r="P1338" s="69">
        <f>uurtarief43</f>
        <v>0</v>
      </c>
      <c r="Q1338" s="66" t="e">
        <f>IF(ISBLANK(M1338),0,L1338/ROUND(M1338,4))</f>
        <v>#DIV/0!</v>
      </c>
      <c r="R1338" s="66" t="e">
        <f>IF(ISBLANK(M1338),0,Q1338*ROUND(N1338,2))</f>
        <v>#DIV/0!</v>
      </c>
      <c r="S1338" s="69" t="e">
        <f>ROUND(P1338,2)*Q1338</f>
        <v>#DIV/0!</v>
      </c>
      <c r="T1338" s="66" t="e">
        <f>Q1338*dagenperjaar1</f>
        <v>#DIV/0!</v>
      </c>
      <c r="U1338" s="70" t="e">
        <f>T1338*ROUND(P1338,2)</f>
        <v>#DIV/0!</v>
      </c>
    </row>
    <row r="1339" spans="1:21" x14ac:dyDescent="0.2">
      <c r="A1339" s="63" t="s">
        <v>1840</v>
      </c>
      <c r="B1339" s="64" t="s">
        <v>324</v>
      </c>
      <c r="C1339" s="64" t="s">
        <v>323</v>
      </c>
      <c r="D1339" s="64" t="s">
        <v>459</v>
      </c>
      <c r="E1339" s="64" t="s">
        <v>324</v>
      </c>
      <c r="F1339" s="65" t="s">
        <v>852</v>
      </c>
      <c r="G1339" s="64" t="s">
        <v>328</v>
      </c>
      <c r="H1339" s="64" t="s">
        <v>229</v>
      </c>
      <c r="I1339" s="64" t="s">
        <v>10</v>
      </c>
      <c r="J1339" s="64" t="s">
        <v>201</v>
      </c>
      <c r="K1339" s="66">
        <v>55</v>
      </c>
      <c r="L1339" s="66">
        <f>K1339*VLOOKUP(I1339,dagsoorttabel1,2,FALSE)</f>
        <v>55</v>
      </c>
      <c r="M1339" s="67">
        <f>prodnorm43</f>
        <v>0</v>
      </c>
      <c r="N1339" s="68">
        <f>dagwerk43</f>
        <v>0</v>
      </c>
      <c r="O1339" s="64" t="s">
        <v>38</v>
      </c>
      <c r="P1339" s="69">
        <f>uurtarief43</f>
        <v>0</v>
      </c>
      <c r="Q1339" s="66" t="e">
        <f>IF(ISBLANK(M1339),0,L1339/ROUND(M1339,4))</f>
        <v>#DIV/0!</v>
      </c>
      <c r="R1339" s="66" t="e">
        <f>IF(ISBLANK(M1339),0,Q1339*ROUND(N1339,2))</f>
        <v>#DIV/0!</v>
      </c>
      <c r="S1339" s="69" t="e">
        <f>ROUND(P1339,2)*Q1339</f>
        <v>#DIV/0!</v>
      </c>
      <c r="T1339" s="66" t="e">
        <f>Q1339*dagenperjaar1</f>
        <v>#DIV/0!</v>
      </c>
      <c r="U1339" s="70" t="e">
        <f>T1339*ROUND(P1339,2)</f>
        <v>#DIV/0!</v>
      </c>
    </row>
    <row r="1340" spans="1:21" x14ac:dyDescent="0.2">
      <c r="A1340" s="71" t="s">
        <v>1840</v>
      </c>
      <c r="B1340" s="72" t="s">
        <v>324</v>
      </c>
      <c r="C1340" s="72" t="s">
        <v>323</v>
      </c>
      <c r="D1340" s="72" t="s">
        <v>461</v>
      </c>
      <c r="E1340" s="72" t="s">
        <v>324</v>
      </c>
      <c r="F1340" s="73" t="s">
        <v>335</v>
      </c>
      <c r="G1340" s="72" t="s">
        <v>725</v>
      </c>
      <c r="H1340" s="72" t="s">
        <v>267</v>
      </c>
      <c r="I1340" s="72" t="s">
        <v>10</v>
      </c>
      <c r="J1340" s="72" t="s">
        <v>201</v>
      </c>
      <c r="K1340" s="74">
        <v>63.1</v>
      </c>
      <c r="L1340" s="74">
        <f>K1340*VLOOKUP(I1340,dagsoorttabel1,2,FALSE)</f>
        <v>63.1</v>
      </c>
      <c r="M1340" s="75">
        <f>prodnorm65</f>
        <v>0</v>
      </c>
      <c r="N1340" s="76">
        <f>dagwerk65</f>
        <v>0</v>
      </c>
      <c r="O1340" s="72" t="s">
        <v>38</v>
      </c>
      <c r="P1340" s="77">
        <f>uurtarief65</f>
        <v>0</v>
      </c>
      <c r="Q1340" s="74" t="e">
        <f>IF(ISBLANK(M1340),0,L1340/ROUND(M1340,4))</f>
        <v>#DIV/0!</v>
      </c>
      <c r="R1340" s="74" t="e">
        <f>IF(ISBLANK(M1340),0,Q1340*ROUND(N1340,2))</f>
        <v>#DIV/0!</v>
      </c>
      <c r="S1340" s="77" t="e">
        <f>ROUND(P1340,2)*Q1340</f>
        <v>#DIV/0!</v>
      </c>
      <c r="T1340" s="74" t="e">
        <f>Q1340*dagenperjaar1</f>
        <v>#DIV/0!</v>
      </c>
      <c r="U1340" s="78" t="e">
        <f>T1340*ROUND(P1340,2)</f>
        <v>#DIV/0!</v>
      </c>
    </row>
    <row r="1341" spans="1:21" x14ac:dyDescent="0.2">
      <c r="A1341" s="79" t="s">
        <v>602</v>
      </c>
      <c r="B1341" s="44"/>
      <c r="C1341" s="44"/>
      <c r="D1341" s="44"/>
      <c r="E1341" s="44"/>
      <c r="F1341" s="44"/>
      <c r="G1341" s="44"/>
      <c r="H1341" s="44"/>
      <c r="I1341" s="44"/>
      <c r="J1341" s="44"/>
      <c r="K1341" s="44"/>
      <c r="L1341" s="44"/>
      <c r="M1341" s="44"/>
      <c r="N1341" s="44"/>
      <c r="O1341" s="44"/>
      <c r="P1341" s="46" t="e">
        <f>IF(_xlfn.SINGLE(object11_urenjaar1)&gt;0,_xlfn.SINGLE(object11_prijsjaar1)/_xlfn.SINGLE(object11_urenjaar1),0)</f>
        <v>#DIV/0!</v>
      </c>
      <c r="Q1341" s="45" t="e">
        <f>SUM(Q1311:Q1340)</f>
        <v>#DIV/0!</v>
      </c>
      <c r="R1341" s="45" t="e">
        <f>SUM(R1311:R1340)</f>
        <v>#DIV/0!</v>
      </c>
      <c r="S1341" s="46" t="e">
        <f>SUM(S1311:S1340)</f>
        <v>#DIV/0!</v>
      </c>
      <c r="T1341" s="45" t="e">
        <f>SUM(T1311:T1340)</f>
        <v>#DIV/0!</v>
      </c>
      <c r="U1341" s="47" t="e">
        <f>SUM(U1311:U1340)</f>
        <v>#DIV/0!</v>
      </c>
    </row>
    <row r="1342" spans="1:21" x14ac:dyDescent="0.2">
      <c r="A1342" s="54" t="s">
        <v>1849</v>
      </c>
      <c r="B1342" s="13"/>
      <c r="C1342" s="13"/>
      <c r="D1342" s="13"/>
      <c r="E1342" s="13"/>
      <c r="F1342" s="13"/>
      <c r="G1342" s="13"/>
      <c r="H1342" s="13"/>
      <c r="I1342" s="13"/>
      <c r="J1342" s="13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42"/>
    </row>
    <row r="1343" spans="1:21" x14ac:dyDescent="0.2">
      <c r="A1343" s="55" t="s">
        <v>1850</v>
      </c>
      <c r="B1343" s="56" t="s">
        <v>324</v>
      </c>
      <c r="C1343" s="56" t="s">
        <v>345</v>
      </c>
      <c r="D1343" s="56" t="s">
        <v>348</v>
      </c>
      <c r="E1343" s="56" t="s">
        <v>324</v>
      </c>
      <c r="F1343" s="57" t="s">
        <v>1851</v>
      </c>
      <c r="G1343" s="56" t="s">
        <v>624</v>
      </c>
      <c r="H1343" s="56" t="s">
        <v>205</v>
      </c>
      <c r="I1343" s="56" t="s">
        <v>10</v>
      </c>
      <c r="J1343" s="56" t="s">
        <v>201</v>
      </c>
      <c r="K1343" s="58">
        <v>42</v>
      </c>
      <c r="L1343" s="58">
        <f>K1343*VLOOKUP(I1343,dagsoorttabel1,2,FALSE)</f>
        <v>42</v>
      </c>
      <c r="M1343" s="59">
        <f>prodnorm26</f>
        <v>0</v>
      </c>
      <c r="N1343" s="60">
        <f>dagwerk26</f>
        <v>0</v>
      </c>
      <c r="O1343" s="56" t="s">
        <v>38</v>
      </c>
      <c r="P1343" s="61">
        <f>uurtarief26</f>
        <v>0</v>
      </c>
      <c r="Q1343" s="58" t="e">
        <f>IF(ISBLANK(M1343),0,L1343/ROUND(M1343,4))</f>
        <v>#DIV/0!</v>
      </c>
      <c r="R1343" s="58" t="e">
        <f>IF(ISBLANK(M1343),0,Q1343*ROUND(N1343,2))</f>
        <v>#DIV/0!</v>
      </c>
      <c r="S1343" s="61" t="e">
        <f>ROUND(P1343,2)*Q1343</f>
        <v>#DIV/0!</v>
      </c>
      <c r="T1343" s="58" t="e">
        <f>Q1343*dagenperjaar1</f>
        <v>#DIV/0!</v>
      </c>
      <c r="U1343" s="62" t="e">
        <f>T1343*ROUND(P1343,2)</f>
        <v>#DIV/0!</v>
      </c>
    </row>
    <row r="1344" spans="1:21" x14ac:dyDescent="0.2">
      <c r="A1344" s="63" t="s">
        <v>1850</v>
      </c>
      <c r="B1344" s="64" t="s">
        <v>324</v>
      </c>
      <c r="C1344" s="64" t="s">
        <v>345</v>
      </c>
      <c r="D1344" s="64" t="s">
        <v>1303</v>
      </c>
      <c r="E1344" s="64" t="s">
        <v>324</v>
      </c>
      <c r="F1344" s="65" t="s">
        <v>1852</v>
      </c>
      <c r="G1344" s="64" t="s">
        <v>1583</v>
      </c>
      <c r="H1344" s="64" t="s">
        <v>267</v>
      </c>
      <c r="I1344" s="64" t="s">
        <v>10</v>
      </c>
      <c r="J1344" s="64" t="s">
        <v>201</v>
      </c>
      <c r="K1344" s="66">
        <v>83</v>
      </c>
      <c r="L1344" s="66">
        <f>K1344*VLOOKUP(I1344,dagsoorttabel1,2,FALSE)</f>
        <v>83</v>
      </c>
      <c r="M1344" s="67">
        <f>prodnorm65</f>
        <v>0</v>
      </c>
      <c r="N1344" s="68">
        <f>dagwerk65</f>
        <v>0</v>
      </c>
      <c r="O1344" s="64" t="s">
        <v>38</v>
      </c>
      <c r="P1344" s="69">
        <f>uurtarief65</f>
        <v>0</v>
      </c>
      <c r="Q1344" s="66" t="e">
        <f>IF(ISBLANK(M1344),0,L1344/ROUND(M1344,4))</f>
        <v>#DIV/0!</v>
      </c>
      <c r="R1344" s="66" t="e">
        <f>IF(ISBLANK(M1344),0,Q1344*ROUND(N1344,2))</f>
        <v>#DIV/0!</v>
      </c>
      <c r="S1344" s="69" t="e">
        <f>ROUND(P1344,2)*Q1344</f>
        <v>#DIV/0!</v>
      </c>
      <c r="T1344" s="66" t="e">
        <f>Q1344*dagenperjaar1</f>
        <v>#DIV/0!</v>
      </c>
      <c r="U1344" s="70" t="e">
        <f>T1344*ROUND(P1344,2)</f>
        <v>#DIV/0!</v>
      </c>
    </row>
    <row r="1345" spans="1:21" x14ac:dyDescent="0.2">
      <c r="A1345" s="63" t="s">
        <v>1850</v>
      </c>
      <c r="B1345" s="64" t="s">
        <v>324</v>
      </c>
      <c r="C1345" s="64" t="s">
        <v>345</v>
      </c>
      <c r="D1345" s="64" t="s">
        <v>352</v>
      </c>
      <c r="E1345" s="64" t="s">
        <v>324</v>
      </c>
      <c r="F1345" s="65" t="s">
        <v>1851</v>
      </c>
      <c r="G1345" s="64" t="s">
        <v>351</v>
      </c>
      <c r="H1345" s="64" t="s">
        <v>207</v>
      </c>
      <c r="I1345" s="64" t="s">
        <v>10</v>
      </c>
      <c r="J1345" s="64" t="s">
        <v>201</v>
      </c>
      <c r="K1345" s="66">
        <v>19</v>
      </c>
      <c r="L1345" s="66">
        <f>K1345*VLOOKUP(I1345,dagsoorttabel1,2,FALSE)</f>
        <v>19</v>
      </c>
      <c r="M1345" s="67">
        <f>prodnorm28</f>
        <v>0</v>
      </c>
      <c r="N1345" s="68">
        <f>dagwerk28</f>
        <v>0</v>
      </c>
      <c r="O1345" s="64" t="s">
        <v>38</v>
      </c>
      <c r="P1345" s="69">
        <f>uurtarief28</f>
        <v>0</v>
      </c>
      <c r="Q1345" s="66" t="e">
        <f>IF(ISBLANK(M1345),0,L1345/ROUND(M1345,4))</f>
        <v>#DIV/0!</v>
      </c>
      <c r="R1345" s="66" t="e">
        <f>IF(ISBLANK(M1345),0,Q1345*ROUND(N1345,2))</f>
        <v>#DIV/0!</v>
      </c>
      <c r="S1345" s="69" t="e">
        <f>ROUND(P1345,2)*Q1345</f>
        <v>#DIV/0!</v>
      </c>
      <c r="T1345" s="66" t="e">
        <f>Q1345*dagenperjaar1</f>
        <v>#DIV/0!</v>
      </c>
      <c r="U1345" s="70" t="e">
        <f>T1345*ROUND(P1345,2)</f>
        <v>#DIV/0!</v>
      </c>
    </row>
    <row r="1346" spans="1:21" x14ac:dyDescent="0.2">
      <c r="A1346" s="63" t="s">
        <v>1850</v>
      </c>
      <c r="B1346" s="64" t="s">
        <v>324</v>
      </c>
      <c r="C1346" s="64" t="s">
        <v>345</v>
      </c>
      <c r="D1346" s="64" t="s">
        <v>359</v>
      </c>
      <c r="E1346" s="64" t="s">
        <v>324</v>
      </c>
      <c r="F1346" s="65" t="s">
        <v>1851</v>
      </c>
      <c r="G1346" s="64" t="s">
        <v>328</v>
      </c>
      <c r="H1346" s="64" t="s">
        <v>205</v>
      </c>
      <c r="I1346" s="64" t="s">
        <v>10</v>
      </c>
      <c r="J1346" s="64" t="s">
        <v>201</v>
      </c>
      <c r="K1346" s="66">
        <v>33</v>
      </c>
      <c r="L1346" s="66">
        <f>K1346*VLOOKUP(I1346,dagsoorttabel1,2,FALSE)</f>
        <v>33</v>
      </c>
      <c r="M1346" s="67">
        <f>prodnorm26</f>
        <v>0</v>
      </c>
      <c r="N1346" s="68">
        <f>dagwerk26</f>
        <v>0</v>
      </c>
      <c r="O1346" s="64" t="s">
        <v>38</v>
      </c>
      <c r="P1346" s="69">
        <f>uurtarief26</f>
        <v>0</v>
      </c>
      <c r="Q1346" s="66" t="e">
        <f>IF(ISBLANK(M1346),0,L1346/ROUND(M1346,4))</f>
        <v>#DIV/0!</v>
      </c>
      <c r="R1346" s="66" t="e">
        <f>IF(ISBLANK(M1346),0,Q1346*ROUND(N1346,2))</f>
        <v>#DIV/0!</v>
      </c>
      <c r="S1346" s="69" t="e">
        <f>ROUND(P1346,2)*Q1346</f>
        <v>#DIV/0!</v>
      </c>
      <c r="T1346" s="66" t="e">
        <f>Q1346*dagenperjaar1</f>
        <v>#DIV/0!</v>
      </c>
      <c r="U1346" s="70" t="e">
        <f>T1346*ROUND(P1346,2)</f>
        <v>#DIV/0!</v>
      </c>
    </row>
    <row r="1347" spans="1:21" x14ac:dyDescent="0.2">
      <c r="A1347" s="63" t="s">
        <v>1850</v>
      </c>
      <c r="B1347" s="64" t="s">
        <v>324</v>
      </c>
      <c r="C1347" s="64" t="s">
        <v>345</v>
      </c>
      <c r="D1347" s="64" t="s">
        <v>853</v>
      </c>
      <c r="E1347" s="64" t="s">
        <v>324</v>
      </c>
      <c r="F1347" s="65" t="s">
        <v>1851</v>
      </c>
      <c r="G1347" s="64" t="s">
        <v>351</v>
      </c>
      <c r="H1347" s="64" t="s">
        <v>207</v>
      </c>
      <c r="I1347" s="64" t="s">
        <v>10</v>
      </c>
      <c r="J1347" s="64" t="s">
        <v>201</v>
      </c>
      <c r="K1347" s="66">
        <v>18</v>
      </c>
      <c r="L1347" s="66">
        <f>K1347*VLOOKUP(I1347,dagsoorttabel1,2,FALSE)</f>
        <v>18</v>
      </c>
      <c r="M1347" s="67">
        <f>prodnorm28</f>
        <v>0</v>
      </c>
      <c r="N1347" s="68">
        <f>dagwerk28</f>
        <v>0</v>
      </c>
      <c r="O1347" s="64" t="s">
        <v>38</v>
      </c>
      <c r="P1347" s="69">
        <f>uurtarief28</f>
        <v>0</v>
      </c>
      <c r="Q1347" s="66" t="e">
        <f>IF(ISBLANK(M1347),0,L1347/ROUND(M1347,4))</f>
        <v>#DIV/0!</v>
      </c>
      <c r="R1347" s="66" t="e">
        <f>IF(ISBLANK(M1347),0,Q1347*ROUND(N1347,2))</f>
        <v>#DIV/0!</v>
      </c>
      <c r="S1347" s="69" t="e">
        <f>ROUND(P1347,2)*Q1347</f>
        <v>#DIV/0!</v>
      </c>
      <c r="T1347" s="66" t="e">
        <f>Q1347*dagenperjaar1</f>
        <v>#DIV/0!</v>
      </c>
      <c r="U1347" s="70" t="e">
        <f>T1347*ROUND(P1347,2)</f>
        <v>#DIV/0!</v>
      </c>
    </row>
    <row r="1348" spans="1:21" x14ac:dyDescent="0.2">
      <c r="A1348" s="63" t="s">
        <v>1850</v>
      </c>
      <c r="B1348" s="64" t="s">
        <v>324</v>
      </c>
      <c r="C1348" s="64" t="s">
        <v>345</v>
      </c>
      <c r="D1348" s="64" t="s">
        <v>362</v>
      </c>
      <c r="E1348" s="64" t="s">
        <v>324</v>
      </c>
      <c r="F1348" s="65" t="s">
        <v>1851</v>
      </c>
      <c r="G1348" s="64" t="s">
        <v>351</v>
      </c>
      <c r="H1348" s="64" t="s">
        <v>207</v>
      </c>
      <c r="I1348" s="64" t="s">
        <v>10</v>
      </c>
      <c r="J1348" s="64" t="s">
        <v>201</v>
      </c>
      <c r="K1348" s="66">
        <v>34</v>
      </c>
      <c r="L1348" s="66">
        <f>K1348*VLOOKUP(I1348,dagsoorttabel1,2,FALSE)</f>
        <v>34</v>
      </c>
      <c r="M1348" s="67">
        <f>prodnorm28</f>
        <v>0</v>
      </c>
      <c r="N1348" s="68">
        <f>dagwerk28</f>
        <v>0</v>
      </c>
      <c r="O1348" s="64" t="s">
        <v>38</v>
      </c>
      <c r="P1348" s="69">
        <f>uurtarief28</f>
        <v>0</v>
      </c>
      <c r="Q1348" s="66" t="e">
        <f>IF(ISBLANK(M1348),0,L1348/ROUND(M1348,4))</f>
        <v>#DIV/0!</v>
      </c>
      <c r="R1348" s="66" t="e">
        <f>IF(ISBLANK(M1348),0,Q1348*ROUND(N1348,2))</f>
        <v>#DIV/0!</v>
      </c>
      <c r="S1348" s="69" t="e">
        <f>ROUND(P1348,2)*Q1348</f>
        <v>#DIV/0!</v>
      </c>
      <c r="T1348" s="66" t="e">
        <f>Q1348*dagenperjaar1</f>
        <v>#DIV/0!</v>
      </c>
      <c r="U1348" s="70" t="e">
        <f>T1348*ROUND(P1348,2)</f>
        <v>#DIV/0!</v>
      </c>
    </row>
    <row r="1349" spans="1:21" x14ac:dyDescent="0.2">
      <c r="A1349" s="63" t="s">
        <v>1850</v>
      </c>
      <c r="B1349" s="64" t="s">
        <v>324</v>
      </c>
      <c r="C1349" s="64" t="s">
        <v>345</v>
      </c>
      <c r="D1349" s="64" t="s">
        <v>1853</v>
      </c>
      <c r="E1349" s="64" t="s">
        <v>324</v>
      </c>
      <c r="F1349" s="65" t="s">
        <v>1854</v>
      </c>
      <c r="G1349" s="64" t="s">
        <v>328</v>
      </c>
      <c r="H1349" s="64" t="s">
        <v>267</v>
      </c>
      <c r="I1349" s="64" t="s">
        <v>10</v>
      </c>
      <c r="J1349" s="64" t="s">
        <v>201</v>
      </c>
      <c r="K1349" s="66">
        <v>37</v>
      </c>
      <c r="L1349" s="66">
        <f>K1349*VLOOKUP(I1349,dagsoorttabel1,2,FALSE)</f>
        <v>37</v>
      </c>
      <c r="M1349" s="67">
        <f>prodnorm65</f>
        <v>0</v>
      </c>
      <c r="N1349" s="68">
        <f>dagwerk65</f>
        <v>0</v>
      </c>
      <c r="O1349" s="64" t="s">
        <v>38</v>
      </c>
      <c r="P1349" s="69">
        <f>uurtarief65</f>
        <v>0</v>
      </c>
      <c r="Q1349" s="66" t="e">
        <f>IF(ISBLANK(M1349),0,L1349/ROUND(M1349,4))</f>
        <v>#DIV/0!</v>
      </c>
      <c r="R1349" s="66" t="e">
        <f>IF(ISBLANK(M1349),0,Q1349*ROUND(N1349,2))</f>
        <v>#DIV/0!</v>
      </c>
      <c r="S1349" s="69" t="e">
        <f>ROUND(P1349,2)*Q1349</f>
        <v>#DIV/0!</v>
      </c>
      <c r="T1349" s="66" t="e">
        <f>Q1349*dagenperjaar1</f>
        <v>#DIV/0!</v>
      </c>
      <c r="U1349" s="70" t="e">
        <f>T1349*ROUND(P1349,2)</f>
        <v>#DIV/0!</v>
      </c>
    </row>
    <row r="1350" spans="1:21" x14ac:dyDescent="0.2">
      <c r="A1350" s="63" t="s">
        <v>1850</v>
      </c>
      <c r="B1350" s="64" t="s">
        <v>324</v>
      </c>
      <c r="C1350" s="64" t="s">
        <v>345</v>
      </c>
      <c r="D1350" s="64" t="s">
        <v>1855</v>
      </c>
      <c r="E1350" s="64" t="s">
        <v>324</v>
      </c>
      <c r="F1350" s="65" t="s">
        <v>1856</v>
      </c>
      <c r="G1350" s="64" t="s">
        <v>365</v>
      </c>
      <c r="H1350" s="64" t="s">
        <v>255</v>
      </c>
      <c r="I1350" s="64" t="s">
        <v>10</v>
      </c>
      <c r="J1350" s="64" t="s">
        <v>201</v>
      </c>
      <c r="K1350" s="66">
        <v>4</v>
      </c>
      <c r="L1350" s="66">
        <f>K1350*VLOOKUP(I1350,dagsoorttabel1,2,FALSE)</f>
        <v>4</v>
      </c>
      <c r="M1350" s="67">
        <f>prodnorm59</f>
        <v>0</v>
      </c>
      <c r="N1350" s="68">
        <f>dagwerk59</f>
        <v>0</v>
      </c>
      <c r="O1350" s="64" t="s">
        <v>38</v>
      </c>
      <c r="P1350" s="69">
        <f>uurtarief59</f>
        <v>0</v>
      </c>
      <c r="Q1350" s="66" t="e">
        <f>IF(ISBLANK(M1350),0,L1350/ROUND(M1350,4))</f>
        <v>#DIV/0!</v>
      </c>
      <c r="R1350" s="66" t="e">
        <f>IF(ISBLANK(M1350),0,Q1350*ROUND(N1350,2))</f>
        <v>#DIV/0!</v>
      </c>
      <c r="S1350" s="69" t="e">
        <f>ROUND(P1350,2)*Q1350</f>
        <v>#DIV/0!</v>
      </c>
      <c r="T1350" s="66" t="e">
        <f>Q1350*dagenperjaar1</f>
        <v>#DIV/0!</v>
      </c>
      <c r="U1350" s="70" t="e">
        <f>T1350*ROUND(P1350,2)</f>
        <v>#DIV/0!</v>
      </c>
    </row>
    <row r="1351" spans="1:21" x14ac:dyDescent="0.2">
      <c r="A1351" s="63" t="s">
        <v>1850</v>
      </c>
      <c r="B1351" s="64" t="s">
        <v>324</v>
      </c>
      <c r="C1351" s="64" t="s">
        <v>345</v>
      </c>
      <c r="D1351" s="64" t="s">
        <v>366</v>
      </c>
      <c r="E1351" s="64" t="s">
        <v>324</v>
      </c>
      <c r="F1351" s="65" t="s">
        <v>1788</v>
      </c>
      <c r="G1351" s="64" t="s">
        <v>328</v>
      </c>
      <c r="H1351" s="64" t="s">
        <v>200</v>
      </c>
      <c r="I1351" s="64" t="s">
        <v>10</v>
      </c>
      <c r="J1351" s="64" t="s">
        <v>201</v>
      </c>
      <c r="K1351" s="66">
        <v>364</v>
      </c>
      <c r="L1351" s="66">
        <f>K1351*VLOOKUP(I1351,dagsoorttabel1,2,FALSE)</f>
        <v>364</v>
      </c>
      <c r="M1351" s="67">
        <f>prodnorm24</f>
        <v>0</v>
      </c>
      <c r="N1351" s="68">
        <f>dagwerk24</f>
        <v>0</v>
      </c>
      <c r="O1351" s="64" t="s">
        <v>38</v>
      </c>
      <c r="P1351" s="69">
        <f>uurtarief24</f>
        <v>0</v>
      </c>
      <c r="Q1351" s="66" t="e">
        <f>IF(ISBLANK(M1351),0,L1351/ROUND(M1351,4))</f>
        <v>#DIV/0!</v>
      </c>
      <c r="R1351" s="66" t="e">
        <f>IF(ISBLANK(M1351),0,Q1351*ROUND(N1351,2))</f>
        <v>#DIV/0!</v>
      </c>
      <c r="S1351" s="69" t="e">
        <f>ROUND(P1351,2)*Q1351</f>
        <v>#DIV/0!</v>
      </c>
      <c r="T1351" s="66" t="e">
        <f>Q1351*dagenperjaar1</f>
        <v>#DIV/0!</v>
      </c>
      <c r="U1351" s="70" t="e">
        <f>T1351*ROUND(P1351,2)</f>
        <v>#DIV/0!</v>
      </c>
    </row>
    <row r="1352" spans="1:21" x14ac:dyDescent="0.2">
      <c r="A1352" s="63" t="s">
        <v>1850</v>
      </c>
      <c r="B1352" s="64" t="s">
        <v>324</v>
      </c>
      <c r="C1352" s="64" t="s">
        <v>345</v>
      </c>
      <c r="D1352" s="64" t="s">
        <v>1857</v>
      </c>
      <c r="E1352" s="64" t="s">
        <v>324</v>
      </c>
      <c r="F1352" s="65" t="s">
        <v>381</v>
      </c>
      <c r="G1352" s="64" t="s">
        <v>351</v>
      </c>
      <c r="H1352" s="64" t="s">
        <v>207</v>
      </c>
      <c r="I1352" s="64" t="s">
        <v>10</v>
      </c>
      <c r="J1352" s="64" t="s">
        <v>201</v>
      </c>
      <c r="K1352" s="66">
        <v>17.100000000000001</v>
      </c>
      <c r="L1352" s="66">
        <f>K1352*VLOOKUP(I1352,dagsoorttabel1,2,FALSE)</f>
        <v>17.100000000000001</v>
      </c>
      <c r="M1352" s="67">
        <f>prodnorm28</f>
        <v>0</v>
      </c>
      <c r="N1352" s="68">
        <f>dagwerk28</f>
        <v>0</v>
      </c>
      <c r="O1352" s="64" t="s">
        <v>38</v>
      </c>
      <c r="P1352" s="69">
        <f>uurtarief28</f>
        <v>0</v>
      </c>
      <c r="Q1352" s="66" t="e">
        <f>IF(ISBLANK(M1352),0,L1352/ROUND(M1352,4))</f>
        <v>#DIV/0!</v>
      </c>
      <c r="R1352" s="66" t="e">
        <f>IF(ISBLANK(M1352),0,Q1352*ROUND(N1352,2))</f>
        <v>#DIV/0!</v>
      </c>
      <c r="S1352" s="69" t="e">
        <f>ROUND(P1352,2)*Q1352</f>
        <v>#DIV/0!</v>
      </c>
      <c r="T1352" s="66" t="e">
        <f>Q1352*dagenperjaar1</f>
        <v>#DIV/0!</v>
      </c>
      <c r="U1352" s="70" t="e">
        <f>T1352*ROUND(P1352,2)</f>
        <v>#DIV/0!</v>
      </c>
    </row>
    <row r="1353" spans="1:21" x14ac:dyDescent="0.2">
      <c r="A1353" s="63" t="s">
        <v>1850</v>
      </c>
      <c r="B1353" s="64" t="s">
        <v>324</v>
      </c>
      <c r="C1353" s="64" t="s">
        <v>345</v>
      </c>
      <c r="D1353" s="64" t="s">
        <v>1858</v>
      </c>
      <c r="E1353" s="64" t="s">
        <v>324</v>
      </c>
      <c r="F1353" s="65" t="s">
        <v>381</v>
      </c>
      <c r="G1353" s="64" t="s">
        <v>351</v>
      </c>
      <c r="H1353" s="64" t="s">
        <v>207</v>
      </c>
      <c r="I1353" s="64" t="s">
        <v>10</v>
      </c>
      <c r="J1353" s="64" t="s">
        <v>201</v>
      </c>
      <c r="K1353" s="66">
        <v>27.09</v>
      </c>
      <c r="L1353" s="66">
        <f>K1353*VLOOKUP(I1353,dagsoorttabel1,2,FALSE)</f>
        <v>27.09</v>
      </c>
      <c r="M1353" s="67">
        <f>prodnorm28</f>
        <v>0</v>
      </c>
      <c r="N1353" s="68">
        <f>dagwerk28</f>
        <v>0</v>
      </c>
      <c r="O1353" s="64" t="s">
        <v>38</v>
      </c>
      <c r="P1353" s="69">
        <f>uurtarief28</f>
        <v>0</v>
      </c>
      <c r="Q1353" s="66" t="e">
        <f>IF(ISBLANK(M1353),0,L1353/ROUND(M1353,4))</f>
        <v>#DIV/0!</v>
      </c>
      <c r="R1353" s="66" t="e">
        <f>IF(ISBLANK(M1353),0,Q1353*ROUND(N1353,2))</f>
        <v>#DIV/0!</v>
      </c>
      <c r="S1353" s="69" t="e">
        <f>ROUND(P1353,2)*Q1353</f>
        <v>#DIV/0!</v>
      </c>
      <c r="T1353" s="66" t="e">
        <f>Q1353*dagenperjaar1</f>
        <v>#DIV/0!</v>
      </c>
      <c r="U1353" s="70" t="e">
        <f>T1353*ROUND(P1353,2)</f>
        <v>#DIV/0!</v>
      </c>
    </row>
    <row r="1354" spans="1:21" x14ac:dyDescent="0.2">
      <c r="A1354" s="63" t="s">
        <v>1850</v>
      </c>
      <c r="B1354" s="64" t="s">
        <v>324</v>
      </c>
      <c r="C1354" s="64" t="s">
        <v>345</v>
      </c>
      <c r="D1354" s="64" t="s">
        <v>1859</v>
      </c>
      <c r="E1354" s="64" t="s">
        <v>324</v>
      </c>
      <c r="F1354" s="65" t="s">
        <v>1860</v>
      </c>
      <c r="G1354" s="64" t="s">
        <v>328</v>
      </c>
      <c r="H1354" s="64" t="s">
        <v>229</v>
      </c>
      <c r="I1354" s="64" t="s">
        <v>10</v>
      </c>
      <c r="J1354" s="64" t="s">
        <v>201</v>
      </c>
      <c r="K1354" s="66">
        <v>77</v>
      </c>
      <c r="L1354" s="66">
        <f>K1354*VLOOKUP(I1354,dagsoorttabel1,2,FALSE)</f>
        <v>77</v>
      </c>
      <c r="M1354" s="67">
        <f>prodnorm43</f>
        <v>0</v>
      </c>
      <c r="N1354" s="68">
        <f>dagwerk43</f>
        <v>0</v>
      </c>
      <c r="O1354" s="64" t="s">
        <v>38</v>
      </c>
      <c r="P1354" s="69">
        <f>uurtarief43</f>
        <v>0</v>
      </c>
      <c r="Q1354" s="66" t="e">
        <f>IF(ISBLANK(M1354),0,L1354/ROUND(M1354,4))</f>
        <v>#DIV/0!</v>
      </c>
      <c r="R1354" s="66" t="e">
        <f>IF(ISBLANK(M1354),0,Q1354*ROUND(N1354,2))</f>
        <v>#DIV/0!</v>
      </c>
      <c r="S1354" s="69" t="e">
        <f>ROUND(P1354,2)*Q1354</f>
        <v>#DIV/0!</v>
      </c>
      <c r="T1354" s="66" t="e">
        <f>Q1354*dagenperjaar1</f>
        <v>#DIV/0!</v>
      </c>
      <c r="U1354" s="70" t="e">
        <f>T1354*ROUND(P1354,2)</f>
        <v>#DIV/0!</v>
      </c>
    </row>
    <row r="1355" spans="1:21" x14ac:dyDescent="0.2">
      <c r="A1355" s="63" t="s">
        <v>1850</v>
      </c>
      <c r="B1355" s="64" t="s">
        <v>324</v>
      </c>
      <c r="C1355" s="64" t="s">
        <v>345</v>
      </c>
      <c r="D1355" s="64" t="s">
        <v>1861</v>
      </c>
      <c r="E1355" s="64" t="s">
        <v>324</v>
      </c>
      <c r="F1355" s="65" t="s">
        <v>354</v>
      </c>
      <c r="G1355" s="64" t="s">
        <v>351</v>
      </c>
      <c r="H1355" s="64" t="s">
        <v>269</v>
      </c>
      <c r="I1355" s="64" t="s">
        <v>10</v>
      </c>
      <c r="J1355" s="64" t="s">
        <v>201</v>
      </c>
      <c r="K1355" s="66">
        <v>17</v>
      </c>
      <c r="L1355" s="66">
        <f>K1355*VLOOKUP(I1355,dagsoorttabel1,2,FALSE)</f>
        <v>17</v>
      </c>
      <c r="M1355" s="67">
        <f>prodnorm67</f>
        <v>0</v>
      </c>
      <c r="N1355" s="68">
        <f>dagwerk67</f>
        <v>0</v>
      </c>
      <c r="O1355" s="64" t="s">
        <v>38</v>
      </c>
      <c r="P1355" s="69">
        <f>uurtarief67</f>
        <v>0</v>
      </c>
      <c r="Q1355" s="66" t="e">
        <f>IF(ISBLANK(M1355),0,L1355/ROUND(M1355,4))</f>
        <v>#DIV/0!</v>
      </c>
      <c r="R1355" s="66" t="e">
        <f>IF(ISBLANK(M1355),0,Q1355*ROUND(N1355,2))</f>
        <v>#DIV/0!</v>
      </c>
      <c r="S1355" s="69" t="e">
        <f>ROUND(P1355,2)*Q1355</f>
        <v>#DIV/0!</v>
      </c>
      <c r="T1355" s="66" t="e">
        <f>Q1355*dagenperjaar1</f>
        <v>#DIV/0!</v>
      </c>
      <c r="U1355" s="70" t="e">
        <f>T1355*ROUND(P1355,2)</f>
        <v>#DIV/0!</v>
      </c>
    </row>
    <row r="1356" spans="1:21" x14ac:dyDescent="0.2">
      <c r="A1356" s="63" t="s">
        <v>1850</v>
      </c>
      <c r="B1356" s="64" t="s">
        <v>324</v>
      </c>
      <c r="C1356" s="64" t="s">
        <v>345</v>
      </c>
      <c r="D1356" s="64" t="s">
        <v>374</v>
      </c>
      <c r="E1356" s="64" t="s">
        <v>324</v>
      </c>
      <c r="F1356" s="65" t="s">
        <v>1638</v>
      </c>
      <c r="G1356" s="64" t="s">
        <v>328</v>
      </c>
      <c r="H1356" s="64" t="s">
        <v>200</v>
      </c>
      <c r="I1356" s="64" t="s">
        <v>10</v>
      </c>
      <c r="J1356" s="64" t="s">
        <v>201</v>
      </c>
      <c r="K1356" s="66">
        <v>486</v>
      </c>
      <c r="L1356" s="66">
        <f>K1356*VLOOKUP(I1356,dagsoorttabel1,2,FALSE)</f>
        <v>486</v>
      </c>
      <c r="M1356" s="67">
        <f>prodnorm24</f>
        <v>0</v>
      </c>
      <c r="N1356" s="68">
        <f>dagwerk24</f>
        <v>0</v>
      </c>
      <c r="O1356" s="64" t="s">
        <v>38</v>
      </c>
      <c r="P1356" s="69">
        <f>uurtarief24</f>
        <v>0</v>
      </c>
      <c r="Q1356" s="66" t="e">
        <f>IF(ISBLANK(M1356),0,L1356/ROUND(M1356,4))</f>
        <v>#DIV/0!</v>
      </c>
      <c r="R1356" s="66" t="e">
        <f>IF(ISBLANK(M1356),0,Q1356*ROUND(N1356,2))</f>
        <v>#DIV/0!</v>
      </c>
      <c r="S1356" s="69" t="e">
        <f>ROUND(P1356,2)*Q1356</f>
        <v>#DIV/0!</v>
      </c>
      <c r="T1356" s="66" t="e">
        <f>Q1356*dagenperjaar1</f>
        <v>#DIV/0!</v>
      </c>
      <c r="U1356" s="70" t="e">
        <f>T1356*ROUND(P1356,2)</f>
        <v>#DIV/0!</v>
      </c>
    </row>
    <row r="1357" spans="1:21" x14ac:dyDescent="0.2">
      <c r="A1357" s="63" t="s">
        <v>1850</v>
      </c>
      <c r="B1357" s="64" t="s">
        <v>324</v>
      </c>
      <c r="C1357" s="64" t="s">
        <v>345</v>
      </c>
      <c r="D1357" s="64" t="s">
        <v>380</v>
      </c>
      <c r="E1357" s="64" t="s">
        <v>324</v>
      </c>
      <c r="F1357" s="65" t="s">
        <v>1862</v>
      </c>
      <c r="G1357" s="64" t="s">
        <v>365</v>
      </c>
      <c r="H1357" s="64" t="s">
        <v>255</v>
      </c>
      <c r="I1357" s="64" t="s">
        <v>10</v>
      </c>
      <c r="J1357" s="64" t="s">
        <v>201</v>
      </c>
      <c r="K1357" s="66">
        <v>25</v>
      </c>
      <c r="L1357" s="66">
        <f>K1357*VLOOKUP(I1357,dagsoorttabel1,2,FALSE)</f>
        <v>25</v>
      </c>
      <c r="M1357" s="67">
        <f>prodnorm59</f>
        <v>0</v>
      </c>
      <c r="N1357" s="68">
        <f>dagwerk59</f>
        <v>0</v>
      </c>
      <c r="O1357" s="64" t="s">
        <v>38</v>
      </c>
      <c r="P1357" s="69">
        <f>uurtarief59</f>
        <v>0</v>
      </c>
      <c r="Q1357" s="66" t="e">
        <f>IF(ISBLANK(M1357),0,L1357/ROUND(M1357,4))</f>
        <v>#DIV/0!</v>
      </c>
      <c r="R1357" s="66" t="e">
        <f>IF(ISBLANK(M1357),0,Q1357*ROUND(N1357,2))</f>
        <v>#DIV/0!</v>
      </c>
      <c r="S1357" s="69" t="e">
        <f>ROUND(P1357,2)*Q1357</f>
        <v>#DIV/0!</v>
      </c>
      <c r="T1357" s="66" t="e">
        <f>Q1357*dagenperjaar1</f>
        <v>#DIV/0!</v>
      </c>
      <c r="U1357" s="70" t="e">
        <f>T1357*ROUND(P1357,2)</f>
        <v>#DIV/0!</v>
      </c>
    </row>
    <row r="1358" spans="1:21" x14ac:dyDescent="0.2">
      <c r="A1358" s="63" t="s">
        <v>1850</v>
      </c>
      <c r="B1358" s="64" t="s">
        <v>324</v>
      </c>
      <c r="C1358" s="64" t="s">
        <v>345</v>
      </c>
      <c r="D1358" s="64" t="s">
        <v>1863</v>
      </c>
      <c r="E1358" s="64" t="s">
        <v>324</v>
      </c>
      <c r="F1358" s="65" t="s">
        <v>1864</v>
      </c>
      <c r="G1358" s="64" t="s">
        <v>365</v>
      </c>
      <c r="H1358" s="64" t="s">
        <v>255</v>
      </c>
      <c r="I1358" s="64" t="s">
        <v>10</v>
      </c>
      <c r="J1358" s="64" t="s">
        <v>201</v>
      </c>
      <c r="K1358" s="66">
        <v>16</v>
      </c>
      <c r="L1358" s="66">
        <f>K1358*VLOOKUP(I1358,dagsoorttabel1,2,FALSE)</f>
        <v>16</v>
      </c>
      <c r="M1358" s="67">
        <f>prodnorm59</f>
        <v>0</v>
      </c>
      <c r="N1358" s="68">
        <f>dagwerk59</f>
        <v>0</v>
      </c>
      <c r="O1358" s="64" t="s">
        <v>38</v>
      </c>
      <c r="P1358" s="69">
        <f>uurtarief59</f>
        <v>0</v>
      </c>
      <c r="Q1358" s="66" t="e">
        <f>IF(ISBLANK(M1358),0,L1358/ROUND(M1358,4))</f>
        <v>#DIV/0!</v>
      </c>
      <c r="R1358" s="66" t="e">
        <f>IF(ISBLANK(M1358),0,Q1358*ROUND(N1358,2))</f>
        <v>#DIV/0!</v>
      </c>
      <c r="S1358" s="69" t="e">
        <f>ROUND(P1358,2)*Q1358</f>
        <v>#DIV/0!</v>
      </c>
      <c r="T1358" s="66" t="e">
        <f>Q1358*dagenperjaar1</f>
        <v>#DIV/0!</v>
      </c>
      <c r="U1358" s="70" t="e">
        <f>T1358*ROUND(P1358,2)</f>
        <v>#DIV/0!</v>
      </c>
    </row>
    <row r="1359" spans="1:21" x14ac:dyDescent="0.2">
      <c r="A1359" s="63" t="s">
        <v>1850</v>
      </c>
      <c r="B1359" s="64" t="s">
        <v>324</v>
      </c>
      <c r="C1359" s="64" t="s">
        <v>345</v>
      </c>
      <c r="D1359" s="64" t="s">
        <v>1865</v>
      </c>
      <c r="E1359" s="64" t="s">
        <v>324</v>
      </c>
      <c r="F1359" s="65" t="s">
        <v>1866</v>
      </c>
      <c r="G1359" s="64" t="s">
        <v>365</v>
      </c>
      <c r="H1359" s="64" t="s">
        <v>255</v>
      </c>
      <c r="I1359" s="64" t="s">
        <v>10</v>
      </c>
      <c r="J1359" s="64" t="s">
        <v>201</v>
      </c>
      <c r="K1359" s="66">
        <v>5.8199999999999994</v>
      </c>
      <c r="L1359" s="66">
        <f>K1359*VLOOKUP(I1359,dagsoorttabel1,2,FALSE)</f>
        <v>5.8199999999999994</v>
      </c>
      <c r="M1359" s="67">
        <f>prodnorm59</f>
        <v>0</v>
      </c>
      <c r="N1359" s="68">
        <f>dagwerk59</f>
        <v>0</v>
      </c>
      <c r="O1359" s="64" t="s">
        <v>38</v>
      </c>
      <c r="P1359" s="69">
        <f>uurtarief59</f>
        <v>0</v>
      </c>
      <c r="Q1359" s="66" t="e">
        <f>IF(ISBLANK(M1359),0,L1359/ROUND(M1359,4))</f>
        <v>#DIV/0!</v>
      </c>
      <c r="R1359" s="66" t="e">
        <f>IF(ISBLANK(M1359),0,Q1359*ROUND(N1359,2))</f>
        <v>#DIV/0!</v>
      </c>
      <c r="S1359" s="69" t="e">
        <f>ROUND(P1359,2)*Q1359</f>
        <v>#DIV/0!</v>
      </c>
      <c r="T1359" s="66" t="e">
        <f>Q1359*dagenperjaar1</f>
        <v>#DIV/0!</v>
      </c>
      <c r="U1359" s="70" t="e">
        <f>T1359*ROUND(P1359,2)</f>
        <v>#DIV/0!</v>
      </c>
    </row>
    <row r="1360" spans="1:21" x14ac:dyDescent="0.2">
      <c r="A1360" s="63" t="s">
        <v>1850</v>
      </c>
      <c r="B1360" s="64" t="s">
        <v>324</v>
      </c>
      <c r="C1360" s="64" t="s">
        <v>345</v>
      </c>
      <c r="D1360" s="64" t="s">
        <v>1867</v>
      </c>
      <c r="E1360" s="64" t="s">
        <v>324</v>
      </c>
      <c r="F1360" s="65" t="s">
        <v>335</v>
      </c>
      <c r="G1360" s="64" t="s">
        <v>328</v>
      </c>
      <c r="H1360" s="64" t="s">
        <v>267</v>
      </c>
      <c r="I1360" s="64" t="s">
        <v>10</v>
      </c>
      <c r="J1360" s="64" t="s">
        <v>201</v>
      </c>
      <c r="K1360" s="66">
        <v>64</v>
      </c>
      <c r="L1360" s="66">
        <f>K1360*VLOOKUP(I1360,dagsoorttabel1,2,FALSE)</f>
        <v>64</v>
      </c>
      <c r="M1360" s="67">
        <f>prodnorm65</f>
        <v>0</v>
      </c>
      <c r="N1360" s="68">
        <f>dagwerk65</f>
        <v>0</v>
      </c>
      <c r="O1360" s="64" t="s">
        <v>38</v>
      </c>
      <c r="P1360" s="69">
        <f>uurtarief65</f>
        <v>0</v>
      </c>
      <c r="Q1360" s="66" t="e">
        <f>IF(ISBLANK(M1360),0,L1360/ROUND(M1360,4))</f>
        <v>#DIV/0!</v>
      </c>
      <c r="R1360" s="66" t="e">
        <f>IF(ISBLANK(M1360),0,Q1360*ROUND(N1360,2))</f>
        <v>#DIV/0!</v>
      </c>
      <c r="S1360" s="69" t="e">
        <f>ROUND(P1360,2)*Q1360</f>
        <v>#DIV/0!</v>
      </c>
      <c r="T1360" s="66" t="e">
        <f>Q1360*dagenperjaar1</f>
        <v>#DIV/0!</v>
      </c>
      <c r="U1360" s="70" t="e">
        <f>T1360*ROUND(P1360,2)</f>
        <v>#DIV/0!</v>
      </c>
    </row>
    <row r="1361" spans="1:21" x14ac:dyDescent="0.2">
      <c r="A1361" s="63" t="s">
        <v>1850</v>
      </c>
      <c r="B1361" s="64" t="s">
        <v>324</v>
      </c>
      <c r="C1361" s="64" t="s">
        <v>345</v>
      </c>
      <c r="D1361" s="64" t="s">
        <v>382</v>
      </c>
      <c r="E1361" s="64" t="s">
        <v>324</v>
      </c>
      <c r="F1361" s="65" t="s">
        <v>1868</v>
      </c>
      <c r="G1361" s="64" t="s">
        <v>328</v>
      </c>
      <c r="H1361" s="64" t="s">
        <v>267</v>
      </c>
      <c r="I1361" s="64" t="s">
        <v>10</v>
      </c>
      <c r="J1361" s="64" t="s">
        <v>201</v>
      </c>
      <c r="K1361" s="66">
        <v>72</v>
      </c>
      <c r="L1361" s="66">
        <f>K1361*VLOOKUP(I1361,dagsoorttabel1,2,FALSE)</f>
        <v>72</v>
      </c>
      <c r="M1361" s="67">
        <f>prodnorm65</f>
        <v>0</v>
      </c>
      <c r="N1361" s="68">
        <f>dagwerk65</f>
        <v>0</v>
      </c>
      <c r="O1361" s="64" t="s">
        <v>38</v>
      </c>
      <c r="P1361" s="69">
        <f>uurtarief65</f>
        <v>0</v>
      </c>
      <c r="Q1361" s="66" t="e">
        <f>IF(ISBLANK(M1361),0,L1361/ROUND(M1361,4))</f>
        <v>#DIV/0!</v>
      </c>
      <c r="R1361" s="66" t="e">
        <f>IF(ISBLANK(M1361),0,Q1361*ROUND(N1361,2))</f>
        <v>#DIV/0!</v>
      </c>
      <c r="S1361" s="69" t="e">
        <f>ROUND(P1361,2)*Q1361</f>
        <v>#DIV/0!</v>
      </c>
      <c r="T1361" s="66" t="e">
        <f>Q1361*dagenperjaar1</f>
        <v>#DIV/0!</v>
      </c>
      <c r="U1361" s="70" t="e">
        <f>T1361*ROUND(P1361,2)</f>
        <v>#DIV/0!</v>
      </c>
    </row>
    <row r="1362" spans="1:21" x14ac:dyDescent="0.2">
      <c r="A1362" s="63" t="s">
        <v>1850</v>
      </c>
      <c r="B1362" s="64" t="s">
        <v>324</v>
      </c>
      <c r="C1362" s="64" t="s">
        <v>345</v>
      </c>
      <c r="D1362" s="64" t="s">
        <v>1869</v>
      </c>
      <c r="E1362" s="64" t="s">
        <v>324</v>
      </c>
      <c r="F1362" s="65" t="s">
        <v>327</v>
      </c>
      <c r="G1362" s="64" t="s">
        <v>328</v>
      </c>
      <c r="H1362" s="64" t="s">
        <v>223</v>
      </c>
      <c r="I1362" s="64" t="s">
        <v>10</v>
      </c>
      <c r="J1362" s="64" t="s">
        <v>201</v>
      </c>
      <c r="K1362" s="66">
        <v>1.3800000000000001</v>
      </c>
      <c r="L1362" s="66">
        <f>K1362*VLOOKUP(I1362,dagsoorttabel1,2,FALSE)</f>
        <v>1.3800000000000001</v>
      </c>
      <c r="M1362" s="67">
        <f>prodnorm39</f>
        <v>0</v>
      </c>
      <c r="N1362" s="68">
        <f>dagwerk39</f>
        <v>0</v>
      </c>
      <c r="O1362" s="64" t="s">
        <v>38</v>
      </c>
      <c r="P1362" s="69">
        <f>uurtarief39</f>
        <v>0</v>
      </c>
      <c r="Q1362" s="66" t="e">
        <f>IF(ISBLANK(M1362),0,L1362/ROUND(M1362,4))</f>
        <v>#DIV/0!</v>
      </c>
      <c r="R1362" s="66" t="e">
        <f>IF(ISBLANK(M1362),0,Q1362*ROUND(N1362,2))</f>
        <v>#DIV/0!</v>
      </c>
      <c r="S1362" s="69" t="e">
        <f>ROUND(P1362,2)*Q1362</f>
        <v>#DIV/0!</v>
      </c>
      <c r="T1362" s="66" t="e">
        <f>Q1362*dagenperjaar1</f>
        <v>#DIV/0!</v>
      </c>
      <c r="U1362" s="70" t="e">
        <f>T1362*ROUND(P1362,2)</f>
        <v>#DIV/0!</v>
      </c>
    </row>
    <row r="1363" spans="1:21" x14ac:dyDescent="0.2">
      <c r="A1363" s="63" t="s">
        <v>1850</v>
      </c>
      <c r="B1363" s="64" t="s">
        <v>324</v>
      </c>
      <c r="C1363" s="64" t="s">
        <v>345</v>
      </c>
      <c r="D1363" s="64" t="s">
        <v>1317</v>
      </c>
      <c r="E1363" s="64" t="s">
        <v>324</v>
      </c>
      <c r="F1363" s="65" t="s">
        <v>1870</v>
      </c>
      <c r="G1363" s="64" t="s">
        <v>624</v>
      </c>
      <c r="H1363" s="64" t="s">
        <v>205</v>
      </c>
      <c r="I1363" s="64" t="s">
        <v>10</v>
      </c>
      <c r="J1363" s="64" t="s">
        <v>201</v>
      </c>
      <c r="K1363" s="66">
        <v>45</v>
      </c>
      <c r="L1363" s="66">
        <f>K1363*VLOOKUP(I1363,dagsoorttabel1,2,FALSE)</f>
        <v>45</v>
      </c>
      <c r="M1363" s="67">
        <f>prodnorm26</f>
        <v>0</v>
      </c>
      <c r="N1363" s="68">
        <f>dagwerk26</f>
        <v>0</v>
      </c>
      <c r="O1363" s="64" t="s">
        <v>38</v>
      </c>
      <c r="P1363" s="69">
        <f>uurtarief26</f>
        <v>0</v>
      </c>
      <c r="Q1363" s="66" t="e">
        <f>IF(ISBLANK(M1363),0,L1363/ROUND(M1363,4))</f>
        <v>#DIV/0!</v>
      </c>
      <c r="R1363" s="66" t="e">
        <f>IF(ISBLANK(M1363),0,Q1363*ROUND(N1363,2))</f>
        <v>#DIV/0!</v>
      </c>
      <c r="S1363" s="69" t="e">
        <f>ROUND(P1363,2)*Q1363</f>
        <v>#DIV/0!</v>
      </c>
      <c r="T1363" s="66" t="e">
        <f>Q1363*dagenperjaar1</f>
        <v>#DIV/0!</v>
      </c>
      <c r="U1363" s="70" t="e">
        <f>T1363*ROUND(P1363,2)</f>
        <v>#DIV/0!</v>
      </c>
    </row>
    <row r="1364" spans="1:21" x14ac:dyDescent="0.2">
      <c r="A1364" s="63" t="s">
        <v>1850</v>
      </c>
      <c r="B1364" s="64" t="s">
        <v>324</v>
      </c>
      <c r="C1364" s="64" t="s">
        <v>345</v>
      </c>
      <c r="D1364" s="64" t="s">
        <v>864</v>
      </c>
      <c r="E1364" s="64" t="s">
        <v>324</v>
      </c>
      <c r="F1364" s="65" t="s">
        <v>354</v>
      </c>
      <c r="G1364" s="64" t="s">
        <v>351</v>
      </c>
      <c r="H1364" s="64" t="s">
        <v>217</v>
      </c>
      <c r="I1364" s="64" t="s">
        <v>10</v>
      </c>
      <c r="J1364" s="64" t="s">
        <v>201</v>
      </c>
      <c r="K1364" s="66">
        <v>4</v>
      </c>
      <c r="L1364" s="66">
        <f>K1364*VLOOKUP(I1364,dagsoorttabel1,2,FALSE)</f>
        <v>4</v>
      </c>
      <c r="M1364" s="67">
        <f>prodnorm35</f>
        <v>0</v>
      </c>
      <c r="N1364" s="68">
        <f>dagwerk35</f>
        <v>0</v>
      </c>
      <c r="O1364" s="64" t="s">
        <v>38</v>
      </c>
      <c r="P1364" s="69">
        <f>uurtarief35</f>
        <v>0</v>
      </c>
      <c r="Q1364" s="66" t="e">
        <f>IF(ISBLANK(M1364),0,L1364/ROUND(M1364,4))</f>
        <v>#DIV/0!</v>
      </c>
      <c r="R1364" s="66" t="e">
        <f>IF(ISBLANK(M1364),0,Q1364*ROUND(N1364,2))</f>
        <v>#DIV/0!</v>
      </c>
      <c r="S1364" s="69" t="e">
        <f>ROUND(P1364,2)*Q1364</f>
        <v>#DIV/0!</v>
      </c>
      <c r="T1364" s="66" t="e">
        <f>Q1364*dagenperjaar1</f>
        <v>#DIV/0!</v>
      </c>
      <c r="U1364" s="70" t="e">
        <f>T1364*ROUND(P1364,2)</f>
        <v>#DIV/0!</v>
      </c>
    </row>
    <row r="1365" spans="1:21" x14ac:dyDescent="0.2">
      <c r="A1365" s="63" t="s">
        <v>1850</v>
      </c>
      <c r="B1365" s="64" t="s">
        <v>324</v>
      </c>
      <c r="C1365" s="64" t="s">
        <v>345</v>
      </c>
      <c r="D1365" s="64" t="s">
        <v>868</v>
      </c>
      <c r="E1365" s="64" t="s">
        <v>324</v>
      </c>
      <c r="F1365" s="65" t="s">
        <v>1871</v>
      </c>
      <c r="G1365" s="64" t="s">
        <v>328</v>
      </c>
      <c r="H1365" s="64" t="s">
        <v>267</v>
      </c>
      <c r="I1365" s="64" t="s">
        <v>10</v>
      </c>
      <c r="J1365" s="64" t="s">
        <v>201</v>
      </c>
      <c r="K1365" s="66">
        <v>110</v>
      </c>
      <c r="L1365" s="66">
        <f>K1365*VLOOKUP(I1365,dagsoorttabel1,2,FALSE)</f>
        <v>110</v>
      </c>
      <c r="M1365" s="67">
        <f>prodnorm65</f>
        <v>0</v>
      </c>
      <c r="N1365" s="68">
        <f>dagwerk65</f>
        <v>0</v>
      </c>
      <c r="O1365" s="64" t="s">
        <v>38</v>
      </c>
      <c r="P1365" s="69">
        <f>uurtarief65</f>
        <v>0</v>
      </c>
      <c r="Q1365" s="66" t="e">
        <f>IF(ISBLANK(M1365),0,L1365/ROUND(M1365,4))</f>
        <v>#DIV/0!</v>
      </c>
      <c r="R1365" s="66" t="e">
        <f>IF(ISBLANK(M1365),0,Q1365*ROUND(N1365,2))</f>
        <v>#DIV/0!</v>
      </c>
      <c r="S1365" s="69" t="e">
        <f>ROUND(P1365,2)*Q1365</f>
        <v>#DIV/0!</v>
      </c>
      <c r="T1365" s="66" t="e">
        <f>Q1365*dagenperjaar1</f>
        <v>#DIV/0!</v>
      </c>
      <c r="U1365" s="70" t="e">
        <f>T1365*ROUND(P1365,2)</f>
        <v>#DIV/0!</v>
      </c>
    </row>
    <row r="1366" spans="1:21" x14ac:dyDescent="0.2">
      <c r="A1366" s="63" t="s">
        <v>1850</v>
      </c>
      <c r="B1366" s="64" t="s">
        <v>324</v>
      </c>
      <c r="C1366" s="64" t="s">
        <v>345</v>
      </c>
      <c r="D1366" s="64" t="s">
        <v>1872</v>
      </c>
      <c r="E1366" s="64" t="s">
        <v>324</v>
      </c>
      <c r="F1366" s="65" t="s">
        <v>364</v>
      </c>
      <c r="G1366" s="64" t="s">
        <v>365</v>
      </c>
      <c r="H1366" s="64" t="s">
        <v>255</v>
      </c>
      <c r="I1366" s="64" t="s">
        <v>10</v>
      </c>
      <c r="J1366" s="64" t="s">
        <v>201</v>
      </c>
      <c r="K1366" s="66">
        <v>4</v>
      </c>
      <c r="L1366" s="66">
        <f>K1366*VLOOKUP(I1366,dagsoorttabel1,2,FALSE)</f>
        <v>4</v>
      </c>
      <c r="M1366" s="67">
        <f>prodnorm59</f>
        <v>0</v>
      </c>
      <c r="N1366" s="68">
        <f>dagwerk59</f>
        <v>0</v>
      </c>
      <c r="O1366" s="64" t="s">
        <v>38</v>
      </c>
      <c r="P1366" s="69">
        <f>uurtarief59</f>
        <v>0</v>
      </c>
      <c r="Q1366" s="66" t="e">
        <f>IF(ISBLANK(M1366),0,L1366/ROUND(M1366,4))</f>
        <v>#DIV/0!</v>
      </c>
      <c r="R1366" s="66" t="e">
        <f>IF(ISBLANK(M1366),0,Q1366*ROUND(N1366,2))</f>
        <v>#DIV/0!</v>
      </c>
      <c r="S1366" s="69" t="e">
        <f>ROUND(P1366,2)*Q1366</f>
        <v>#DIV/0!</v>
      </c>
      <c r="T1366" s="66" t="e">
        <f>Q1366*dagenperjaar1</f>
        <v>#DIV/0!</v>
      </c>
      <c r="U1366" s="70" t="e">
        <f>T1366*ROUND(P1366,2)</f>
        <v>#DIV/0!</v>
      </c>
    </row>
    <row r="1367" spans="1:21" x14ac:dyDescent="0.2">
      <c r="A1367" s="63" t="s">
        <v>1850</v>
      </c>
      <c r="B1367" s="64" t="s">
        <v>324</v>
      </c>
      <c r="C1367" s="64" t="s">
        <v>345</v>
      </c>
      <c r="D1367" s="64" t="s">
        <v>1873</v>
      </c>
      <c r="E1367" s="64" t="s">
        <v>324</v>
      </c>
      <c r="F1367" s="65" t="s">
        <v>1874</v>
      </c>
      <c r="G1367" s="64" t="s">
        <v>328</v>
      </c>
      <c r="H1367" s="64" t="s">
        <v>267</v>
      </c>
      <c r="I1367" s="64" t="s">
        <v>10</v>
      </c>
      <c r="J1367" s="64" t="s">
        <v>201</v>
      </c>
      <c r="K1367" s="66">
        <v>82</v>
      </c>
      <c r="L1367" s="66">
        <f>K1367*VLOOKUP(I1367,dagsoorttabel1,2,FALSE)</f>
        <v>82</v>
      </c>
      <c r="M1367" s="67">
        <f>prodnorm65</f>
        <v>0</v>
      </c>
      <c r="N1367" s="68">
        <f>dagwerk65</f>
        <v>0</v>
      </c>
      <c r="O1367" s="64" t="s">
        <v>38</v>
      </c>
      <c r="P1367" s="69">
        <f>uurtarief65</f>
        <v>0</v>
      </c>
      <c r="Q1367" s="66" t="e">
        <f>IF(ISBLANK(M1367),0,L1367/ROUND(M1367,4))</f>
        <v>#DIV/0!</v>
      </c>
      <c r="R1367" s="66" t="e">
        <f>IF(ISBLANK(M1367),0,Q1367*ROUND(N1367,2))</f>
        <v>#DIV/0!</v>
      </c>
      <c r="S1367" s="69" t="e">
        <f>ROUND(P1367,2)*Q1367</f>
        <v>#DIV/0!</v>
      </c>
      <c r="T1367" s="66" t="e">
        <f>Q1367*dagenperjaar1</f>
        <v>#DIV/0!</v>
      </c>
      <c r="U1367" s="70" t="e">
        <f>T1367*ROUND(P1367,2)</f>
        <v>#DIV/0!</v>
      </c>
    </row>
    <row r="1368" spans="1:21" x14ac:dyDescent="0.2">
      <c r="A1368" s="63" t="s">
        <v>1850</v>
      </c>
      <c r="B1368" s="64" t="s">
        <v>324</v>
      </c>
      <c r="C1368" s="64" t="s">
        <v>345</v>
      </c>
      <c r="D1368" s="64" t="s">
        <v>1875</v>
      </c>
      <c r="E1368" s="64" t="s">
        <v>324</v>
      </c>
      <c r="F1368" s="65" t="s">
        <v>335</v>
      </c>
      <c r="G1368" s="64" t="s">
        <v>328</v>
      </c>
      <c r="H1368" s="64" t="s">
        <v>267</v>
      </c>
      <c r="I1368" s="64" t="s">
        <v>10</v>
      </c>
      <c r="J1368" s="64" t="s">
        <v>201</v>
      </c>
      <c r="K1368" s="66">
        <v>132</v>
      </c>
      <c r="L1368" s="66">
        <f>K1368*VLOOKUP(I1368,dagsoorttabel1,2,FALSE)</f>
        <v>132</v>
      </c>
      <c r="M1368" s="67">
        <f>prodnorm65</f>
        <v>0</v>
      </c>
      <c r="N1368" s="68">
        <f>dagwerk65</f>
        <v>0</v>
      </c>
      <c r="O1368" s="64" t="s">
        <v>38</v>
      </c>
      <c r="P1368" s="69">
        <f>uurtarief65</f>
        <v>0</v>
      </c>
      <c r="Q1368" s="66" t="e">
        <f>IF(ISBLANK(M1368),0,L1368/ROUND(M1368,4))</f>
        <v>#DIV/0!</v>
      </c>
      <c r="R1368" s="66" t="e">
        <f>IF(ISBLANK(M1368),0,Q1368*ROUND(N1368,2))</f>
        <v>#DIV/0!</v>
      </c>
      <c r="S1368" s="69" t="e">
        <f>ROUND(P1368,2)*Q1368</f>
        <v>#DIV/0!</v>
      </c>
      <c r="T1368" s="66" t="e">
        <f>Q1368*dagenperjaar1</f>
        <v>#DIV/0!</v>
      </c>
      <c r="U1368" s="70" t="e">
        <f>T1368*ROUND(P1368,2)</f>
        <v>#DIV/0!</v>
      </c>
    </row>
    <row r="1369" spans="1:21" x14ac:dyDescent="0.2">
      <c r="A1369" s="63" t="s">
        <v>1850</v>
      </c>
      <c r="B1369" s="64" t="s">
        <v>324</v>
      </c>
      <c r="C1369" s="64" t="s">
        <v>345</v>
      </c>
      <c r="D1369" s="64" t="s">
        <v>418</v>
      </c>
      <c r="E1369" s="64" t="s">
        <v>324</v>
      </c>
      <c r="F1369" s="65" t="s">
        <v>457</v>
      </c>
      <c r="G1369" s="64" t="s">
        <v>328</v>
      </c>
      <c r="H1369" s="64" t="s">
        <v>229</v>
      </c>
      <c r="I1369" s="64" t="s">
        <v>10</v>
      </c>
      <c r="J1369" s="64" t="s">
        <v>201</v>
      </c>
      <c r="K1369" s="66">
        <v>56</v>
      </c>
      <c r="L1369" s="66">
        <f>K1369*VLOOKUP(I1369,dagsoorttabel1,2,FALSE)</f>
        <v>56</v>
      </c>
      <c r="M1369" s="67">
        <f>prodnorm43</f>
        <v>0</v>
      </c>
      <c r="N1369" s="68">
        <f>dagwerk43</f>
        <v>0</v>
      </c>
      <c r="O1369" s="64" t="s">
        <v>38</v>
      </c>
      <c r="P1369" s="69">
        <f>uurtarief43</f>
        <v>0</v>
      </c>
      <c r="Q1369" s="66" t="e">
        <f>IF(ISBLANK(M1369),0,L1369/ROUND(M1369,4))</f>
        <v>#DIV/0!</v>
      </c>
      <c r="R1369" s="66" t="e">
        <f>IF(ISBLANK(M1369),0,Q1369*ROUND(N1369,2))</f>
        <v>#DIV/0!</v>
      </c>
      <c r="S1369" s="69" t="e">
        <f>ROUND(P1369,2)*Q1369</f>
        <v>#DIV/0!</v>
      </c>
      <c r="T1369" s="66" t="e">
        <f>Q1369*dagenperjaar1</f>
        <v>#DIV/0!</v>
      </c>
      <c r="U1369" s="70" t="e">
        <f>T1369*ROUND(P1369,2)</f>
        <v>#DIV/0!</v>
      </c>
    </row>
    <row r="1370" spans="1:21" x14ac:dyDescent="0.2">
      <c r="A1370" s="63" t="s">
        <v>1850</v>
      </c>
      <c r="B1370" s="64" t="s">
        <v>324</v>
      </c>
      <c r="C1370" s="64" t="s">
        <v>345</v>
      </c>
      <c r="D1370" s="64" t="s">
        <v>423</v>
      </c>
      <c r="E1370" s="64" t="s">
        <v>324</v>
      </c>
      <c r="F1370" s="65" t="s">
        <v>457</v>
      </c>
      <c r="G1370" s="64" t="s">
        <v>328</v>
      </c>
      <c r="H1370" s="64" t="s">
        <v>229</v>
      </c>
      <c r="I1370" s="64" t="s">
        <v>10</v>
      </c>
      <c r="J1370" s="64" t="s">
        <v>201</v>
      </c>
      <c r="K1370" s="66">
        <v>55</v>
      </c>
      <c r="L1370" s="66">
        <f>K1370*VLOOKUP(I1370,dagsoorttabel1,2,FALSE)</f>
        <v>55</v>
      </c>
      <c r="M1370" s="67">
        <f>prodnorm43</f>
        <v>0</v>
      </c>
      <c r="N1370" s="68">
        <f>dagwerk43</f>
        <v>0</v>
      </c>
      <c r="O1370" s="64" t="s">
        <v>38</v>
      </c>
      <c r="P1370" s="69">
        <f>uurtarief43</f>
        <v>0</v>
      </c>
      <c r="Q1370" s="66" t="e">
        <f>IF(ISBLANK(M1370),0,L1370/ROUND(M1370,4))</f>
        <v>#DIV/0!</v>
      </c>
      <c r="R1370" s="66" t="e">
        <f>IF(ISBLANK(M1370),0,Q1370*ROUND(N1370,2))</f>
        <v>#DIV/0!</v>
      </c>
      <c r="S1370" s="69" t="e">
        <f>ROUND(P1370,2)*Q1370</f>
        <v>#DIV/0!</v>
      </c>
      <c r="T1370" s="66" t="e">
        <f>Q1370*dagenperjaar1</f>
        <v>#DIV/0!</v>
      </c>
      <c r="U1370" s="70" t="e">
        <f>T1370*ROUND(P1370,2)</f>
        <v>#DIV/0!</v>
      </c>
    </row>
    <row r="1371" spans="1:21" x14ac:dyDescent="0.2">
      <c r="A1371" s="63" t="s">
        <v>1850</v>
      </c>
      <c r="B1371" s="64" t="s">
        <v>324</v>
      </c>
      <c r="C1371" s="64" t="s">
        <v>345</v>
      </c>
      <c r="D1371" s="64" t="s">
        <v>1594</v>
      </c>
      <c r="E1371" s="64" t="s">
        <v>324</v>
      </c>
      <c r="F1371" s="65" t="s">
        <v>457</v>
      </c>
      <c r="G1371" s="64" t="s">
        <v>328</v>
      </c>
      <c r="H1371" s="64" t="s">
        <v>229</v>
      </c>
      <c r="I1371" s="64" t="s">
        <v>10</v>
      </c>
      <c r="J1371" s="64" t="s">
        <v>201</v>
      </c>
      <c r="K1371" s="66">
        <v>56</v>
      </c>
      <c r="L1371" s="66">
        <f>K1371*VLOOKUP(I1371,dagsoorttabel1,2,FALSE)</f>
        <v>56</v>
      </c>
      <c r="M1371" s="67">
        <f>prodnorm43</f>
        <v>0</v>
      </c>
      <c r="N1371" s="68">
        <f>dagwerk43</f>
        <v>0</v>
      </c>
      <c r="O1371" s="64" t="s">
        <v>38</v>
      </c>
      <c r="P1371" s="69">
        <f>uurtarief43</f>
        <v>0</v>
      </c>
      <c r="Q1371" s="66" t="e">
        <f>IF(ISBLANK(M1371),0,L1371/ROUND(M1371,4))</f>
        <v>#DIV/0!</v>
      </c>
      <c r="R1371" s="66" t="e">
        <f>IF(ISBLANK(M1371),0,Q1371*ROUND(N1371,2))</f>
        <v>#DIV/0!</v>
      </c>
      <c r="S1371" s="69" t="e">
        <f>ROUND(P1371,2)*Q1371</f>
        <v>#DIV/0!</v>
      </c>
      <c r="T1371" s="66" t="e">
        <f>Q1371*dagenperjaar1</f>
        <v>#DIV/0!</v>
      </c>
      <c r="U1371" s="70" t="e">
        <f>T1371*ROUND(P1371,2)</f>
        <v>#DIV/0!</v>
      </c>
    </row>
    <row r="1372" spans="1:21" x14ac:dyDescent="0.2">
      <c r="A1372" s="63" t="s">
        <v>1850</v>
      </c>
      <c r="B1372" s="64" t="s">
        <v>324</v>
      </c>
      <c r="C1372" s="64" t="s">
        <v>345</v>
      </c>
      <c r="D1372" s="64" t="s">
        <v>1596</v>
      </c>
      <c r="E1372" s="64" t="s">
        <v>324</v>
      </c>
      <c r="F1372" s="65" t="s">
        <v>457</v>
      </c>
      <c r="G1372" s="64" t="s">
        <v>328</v>
      </c>
      <c r="H1372" s="64" t="s">
        <v>229</v>
      </c>
      <c r="I1372" s="64" t="s">
        <v>10</v>
      </c>
      <c r="J1372" s="64" t="s">
        <v>201</v>
      </c>
      <c r="K1372" s="66">
        <v>56</v>
      </c>
      <c r="L1372" s="66">
        <f>K1372*VLOOKUP(I1372,dagsoorttabel1,2,FALSE)</f>
        <v>56</v>
      </c>
      <c r="M1372" s="67">
        <f>prodnorm43</f>
        <v>0</v>
      </c>
      <c r="N1372" s="68">
        <f>dagwerk43</f>
        <v>0</v>
      </c>
      <c r="O1372" s="64" t="s">
        <v>38</v>
      </c>
      <c r="P1372" s="69">
        <f>uurtarief43</f>
        <v>0</v>
      </c>
      <c r="Q1372" s="66" t="e">
        <f>IF(ISBLANK(M1372),0,L1372/ROUND(M1372,4))</f>
        <v>#DIV/0!</v>
      </c>
      <c r="R1372" s="66" t="e">
        <f>IF(ISBLANK(M1372),0,Q1372*ROUND(N1372,2))</f>
        <v>#DIV/0!</v>
      </c>
      <c r="S1372" s="69" t="e">
        <f>ROUND(P1372,2)*Q1372</f>
        <v>#DIV/0!</v>
      </c>
      <c r="T1372" s="66" t="e">
        <f>Q1372*dagenperjaar1</f>
        <v>#DIV/0!</v>
      </c>
      <c r="U1372" s="70" t="e">
        <f>T1372*ROUND(P1372,2)</f>
        <v>#DIV/0!</v>
      </c>
    </row>
    <row r="1373" spans="1:21" x14ac:dyDescent="0.2">
      <c r="A1373" s="63" t="s">
        <v>1850</v>
      </c>
      <c r="B1373" s="64" t="s">
        <v>324</v>
      </c>
      <c r="C1373" s="64" t="s">
        <v>345</v>
      </c>
      <c r="D1373" s="64" t="s">
        <v>873</v>
      </c>
      <c r="E1373" s="64" t="s">
        <v>324</v>
      </c>
      <c r="F1373" s="65" t="s">
        <v>457</v>
      </c>
      <c r="G1373" s="64" t="s">
        <v>328</v>
      </c>
      <c r="H1373" s="64" t="s">
        <v>229</v>
      </c>
      <c r="I1373" s="64" t="s">
        <v>10</v>
      </c>
      <c r="J1373" s="64" t="s">
        <v>201</v>
      </c>
      <c r="K1373" s="66">
        <v>56</v>
      </c>
      <c r="L1373" s="66">
        <f>K1373*VLOOKUP(I1373,dagsoorttabel1,2,FALSE)</f>
        <v>56</v>
      </c>
      <c r="M1373" s="67">
        <f>prodnorm43</f>
        <v>0</v>
      </c>
      <c r="N1373" s="68">
        <f>dagwerk43</f>
        <v>0</v>
      </c>
      <c r="O1373" s="64" t="s">
        <v>38</v>
      </c>
      <c r="P1373" s="69">
        <f>uurtarief43</f>
        <v>0</v>
      </c>
      <c r="Q1373" s="66" t="e">
        <f>IF(ISBLANK(M1373),0,L1373/ROUND(M1373,4))</f>
        <v>#DIV/0!</v>
      </c>
      <c r="R1373" s="66" t="e">
        <f>IF(ISBLANK(M1373),0,Q1373*ROUND(N1373,2))</f>
        <v>#DIV/0!</v>
      </c>
      <c r="S1373" s="69" t="e">
        <f>ROUND(P1373,2)*Q1373</f>
        <v>#DIV/0!</v>
      </c>
      <c r="T1373" s="66" t="e">
        <f>Q1373*dagenperjaar1</f>
        <v>#DIV/0!</v>
      </c>
      <c r="U1373" s="70" t="e">
        <f>T1373*ROUND(P1373,2)</f>
        <v>#DIV/0!</v>
      </c>
    </row>
    <row r="1374" spans="1:21" x14ac:dyDescent="0.2">
      <c r="A1374" s="63" t="s">
        <v>1850</v>
      </c>
      <c r="B1374" s="64" t="s">
        <v>324</v>
      </c>
      <c r="C1374" s="64" t="s">
        <v>345</v>
      </c>
      <c r="D1374" s="64" t="s">
        <v>1876</v>
      </c>
      <c r="E1374" s="64" t="s">
        <v>324</v>
      </c>
      <c r="F1374" s="65" t="s">
        <v>655</v>
      </c>
      <c r="G1374" s="64" t="s">
        <v>328</v>
      </c>
      <c r="H1374" s="64" t="s">
        <v>263</v>
      </c>
      <c r="I1374" s="64" t="s">
        <v>10</v>
      </c>
      <c r="J1374" s="64" t="s">
        <v>201</v>
      </c>
      <c r="K1374" s="66">
        <v>21</v>
      </c>
      <c r="L1374" s="66">
        <f>K1374*VLOOKUP(I1374,dagsoorttabel1,2,FALSE)</f>
        <v>21</v>
      </c>
      <c r="M1374" s="67">
        <f>prodnorm63</f>
        <v>0</v>
      </c>
      <c r="N1374" s="68">
        <f>dagwerk63</f>
        <v>0</v>
      </c>
      <c r="O1374" s="64" t="s">
        <v>38</v>
      </c>
      <c r="P1374" s="69">
        <f>uurtarief63</f>
        <v>0</v>
      </c>
      <c r="Q1374" s="66" t="e">
        <f>IF(ISBLANK(M1374),0,L1374/ROUND(M1374,4))</f>
        <v>#DIV/0!</v>
      </c>
      <c r="R1374" s="66" t="e">
        <f>IF(ISBLANK(M1374),0,Q1374*ROUND(N1374,2))</f>
        <v>#DIV/0!</v>
      </c>
      <c r="S1374" s="69" t="e">
        <f>ROUND(P1374,2)*Q1374</f>
        <v>#DIV/0!</v>
      </c>
      <c r="T1374" s="66" t="e">
        <f>Q1374*dagenperjaar1</f>
        <v>#DIV/0!</v>
      </c>
      <c r="U1374" s="70" t="e">
        <f>T1374*ROUND(P1374,2)</f>
        <v>#DIV/0!</v>
      </c>
    </row>
    <row r="1375" spans="1:21" x14ac:dyDescent="0.2">
      <c r="A1375" s="63" t="s">
        <v>1850</v>
      </c>
      <c r="B1375" s="64" t="s">
        <v>324</v>
      </c>
      <c r="C1375" s="64" t="s">
        <v>345</v>
      </c>
      <c r="D1375" s="64" t="s">
        <v>1877</v>
      </c>
      <c r="E1375" s="64" t="s">
        <v>324</v>
      </c>
      <c r="F1375" s="65" t="s">
        <v>335</v>
      </c>
      <c r="G1375" s="64" t="s">
        <v>328</v>
      </c>
      <c r="H1375" s="64" t="s">
        <v>267</v>
      </c>
      <c r="I1375" s="64" t="s">
        <v>10</v>
      </c>
      <c r="J1375" s="64" t="s">
        <v>201</v>
      </c>
      <c r="K1375" s="66">
        <v>18.95</v>
      </c>
      <c r="L1375" s="66">
        <f>K1375*VLOOKUP(I1375,dagsoorttabel1,2,FALSE)</f>
        <v>18.95</v>
      </c>
      <c r="M1375" s="67">
        <f>prodnorm65</f>
        <v>0</v>
      </c>
      <c r="N1375" s="68">
        <f>dagwerk65</f>
        <v>0</v>
      </c>
      <c r="O1375" s="64" t="s">
        <v>38</v>
      </c>
      <c r="P1375" s="69">
        <f>uurtarief65</f>
        <v>0</v>
      </c>
      <c r="Q1375" s="66" t="e">
        <f>IF(ISBLANK(M1375),0,L1375/ROUND(M1375,4))</f>
        <v>#DIV/0!</v>
      </c>
      <c r="R1375" s="66" t="e">
        <f>IF(ISBLANK(M1375),0,Q1375*ROUND(N1375,2))</f>
        <v>#DIV/0!</v>
      </c>
      <c r="S1375" s="69" t="e">
        <f>ROUND(P1375,2)*Q1375</f>
        <v>#DIV/0!</v>
      </c>
      <c r="T1375" s="66" t="e">
        <f>Q1375*dagenperjaar1</f>
        <v>#DIV/0!</v>
      </c>
      <c r="U1375" s="70" t="e">
        <f>T1375*ROUND(P1375,2)</f>
        <v>#DIV/0!</v>
      </c>
    </row>
    <row r="1376" spans="1:21" x14ac:dyDescent="0.2">
      <c r="A1376" s="63" t="s">
        <v>1850</v>
      </c>
      <c r="B1376" s="64" t="s">
        <v>324</v>
      </c>
      <c r="C1376" s="64" t="s">
        <v>345</v>
      </c>
      <c r="D1376" s="64" t="s">
        <v>1324</v>
      </c>
      <c r="E1376" s="64" t="s">
        <v>324</v>
      </c>
      <c r="F1376" s="65" t="s">
        <v>1878</v>
      </c>
      <c r="G1376" s="64" t="s">
        <v>1879</v>
      </c>
      <c r="H1376" s="64" t="s">
        <v>227</v>
      </c>
      <c r="I1376" s="64" t="s">
        <v>10</v>
      </c>
      <c r="J1376" s="64" t="s">
        <v>201</v>
      </c>
      <c r="K1376" s="66">
        <v>68</v>
      </c>
      <c r="L1376" s="66">
        <f>K1376*VLOOKUP(I1376,dagsoorttabel1,2,FALSE)</f>
        <v>68</v>
      </c>
      <c r="M1376" s="67">
        <f>prodnorm42</f>
        <v>0</v>
      </c>
      <c r="N1376" s="68">
        <f>dagwerk42</f>
        <v>0</v>
      </c>
      <c r="O1376" s="64" t="s">
        <v>38</v>
      </c>
      <c r="P1376" s="69">
        <f>uurtarief42</f>
        <v>0</v>
      </c>
      <c r="Q1376" s="66" t="e">
        <f>IF(ISBLANK(M1376),0,L1376/ROUND(M1376,4))</f>
        <v>#DIV/0!</v>
      </c>
      <c r="R1376" s="66" t="e">
        <f>IF(ISBLANK(M1376),0,Q1376*ROUND(N1376,2))</f>
        <v>#DIV/0!</v>
      </c>
      <c r="S1376" s="69" t="e">
        <f>ROUND(P1376,2)*Q1376</f>
        <v>#DIV/0!</v>
      </c>
      <c r="T1376" s="66" t="e">
        <f>Q1376*dagenperjaar1</f>
        <v>#DIV/0!</v>
      </c>
      <c r="U1376" s="70" t="e">
        <f>T1376*ROUND(P1376,2)</f>
        <v>#DIV/0!</v>
      </c>
    </row>
    <row r="1377" spans="1:21" x14ac:dyDescent="0.2">
      <c r="A1377" s="63" t="s">
        <v>1850</v>
      </c>
      <c r="B1377" s="64" t="s">
        <v>324</v>
      </c>
      <c r="C1377" s="64" t="s">
        <v>345</v>
      </c>
      <c r="D1377" s="64" t="s">
        <v>876</v>
      </c>
      <c r="E1377" s="64" t="s">
        <v>324</v>
      </c>
      <c r="F1377" s="65" t="s">
        <v>1880</v>
      </c>
      <c r="G1377" s="64" t="s">
        <v>1879</v>
      </c>
      <c r="H1377" s="64" t="s">
        <v>205</v>
      </c>
      <c r="I1377" s="64" t="s">
        <v>10</v>
      </c>
      <c r="J1377" s="64" t="s">
        <v>201</v>
      </c>
      <c r="K1377" s="66">
        <v>12</v>
      </c>
      <c r="L1377" s="66">
        <f>K1377*VLOOKUP(I1377,dagsoorttabel1,2,FALSE)</f>
        <v>12</v>
      </c>
      <c r="M1377" s="67">
        <f>prodnorm26</f>
        <v>0</v>
      </c>
      <c r="N1377" s="68">
        <f>dagwerk26</f>
        <v>0</v>
      </c>
      <c r="O1377" s="64" t="s">
        <v>38</v>
      </c>
      <c r="P1377" s="69">
        <f>uurtarief26</f>
        <v>0</v>
      </c>
      <c r="Q1377" s="66" t="e">
        <f>IF(ISBLANK(M1377),0,L1377/ROUND(M1377,4))</f>
        <v>#DIV/0!</v>
      </c>
      <c r="R1377" s="66" t="e">
        <f>IF(ISBLANK(M1377),0,Q1377*ROUND(N1377,2))</f>
        <v>#DIV/0!</v>
      </c>
      <c r="S1377" s="69" t="e">
        <f>ROUND(P1377,2)*Q1377</f>
        <v>#DIV/0!</v>
      </c>
      <c r="T1377" s="66" t="e">
        <f>Q1377*dagenperjaar1</f>
        <v>#DIV/0!</v>
      </c>
      <c r="U1377" s="70" t="e">
        <f>T1377*ROUND(P1377,2)</f>
        <v>#DIV/0!</v>
      </c>
    </row>
    <row r="1378" spans="1:21" x14ac:dyDescent="0.2">
      <c r="A1378" s="63" t="s">
        <v>1850</v>
      </c>
      <c r="B1378" s="64" t="s">
        <v>324</v>
      </c>
      <c r="C1378" s="64" t="s">
        <v>345</v>
      </c>
      <c r="D1378" s="64" t="s">
        <v>877</v>
      </c>
      <c r="E1378" s="64" t="s">
        <v>324</v>
      </c>
      <c r="F1378" s="65" t="s">
        <v>1878</v>
      </c>
      <c r="G1378" s="64" t="s">
        <v>1879</v>
      </c>
      <c r="H1378" s="64" t="s">
        <v>227</v>
      </c>
      <c r="I1378" s="64" t="s">
        <v>10</v>
      </c>
      <c r="J1378" s="64" t="s">
        <v>201</v>
      </c>
      <c r="K1378" s="66">
        <v>68</v>
      </c>
      <c r="L1378" s="66">
        <f>K1378*VLOOKUP(I1378,dagsoorttabel1,2,FALSE)</f>
        <v>68</v>
      </c>
      <c r="M1378" s="67">
        <f>prodnorm42</f>
        <v>0</v>
      </c>
      <c r="N1378" s="68">
        <f>dagwerk42</f>
        <v>0</v>
      </c>
      <c r="O1378" s="64" t="s">
        <v>38</v>
      </c>
      <c r="P1378" s="69">
        <f>uurtarief42</f>
        <v>0</v>
      </c>
      <c r="Q1378" s="66" t="e">
        <f>IF(ISBLANK(M1378),0,L1378/ROUND(M1378,4))</f>
        <v>#DIV/0!</v>
      </c>
      <c r="R1378" s="66" t="e">
        <f>IF(ISBLANK(M1378),0,Q1378*ROUND(N1378,2))</f>
        <v>#DIV/0!</v>
      </c>
      <c r="S1378" s="69" t="e">
        <f>ROUND(P1378,2)*Q1378</f>
        <v>#DIV/0!</v>
      </c>
      <c r="T1378" s="66" t="e">
        <f>Q1378*dagenperjaar1</f>
        <v>#DIV/0!</v>
      </c>
      <c r="U1378" s="70" t="e">
        <f>T1378*ROUND(P1378,2)</f>
        <v>#DIV/0!</v>
      </c>
    </row>
    <row r="1379" spans="1:21" x14ac:dyDescent="0.2">
      <c r="A1379" s="63" t="s">
        <v>1850</v>
      </c>
      <c r="B1379" s="64" t="s">
        <v>324</v>
      </c>
      <c r="C1379" s="64" t="s">
        <v>345</v>
      </c>
      <c r="D1379" s="64" t="s">
        <v>1328</v>
      </c>
      <c r="E1379" s="64" t="s">
        <v>324</v>
      </c>
      <c r="F1379" s="65" t="s">
        <v>1336</v>
      </c>
      <c r="G1379" s="64" t="s">
        <v>1881</v>
      </c>
      <c r="H1379" s="64" t="s">
        <v>219</v>
      </c>
      <c r="I1379" s="64" t="s">
        <v>10</v>
      </c>
      <c r="J1379" s="64" t="s">
        <v>201</v>
      </c>
      <c r="K1379" s="66">
        <v>253</v>
      </c>
      <c r="L1379" s="66">
        <f>K1379*VLOOKUP(I1379,dagsoorttabel1,2,FALSE)</f>
        <v>253</v>
      </c>
      <c r="M1379" s="67">
        <f>prodnorm36</f>
        <v>0</v>
      </c>
      <c r="N1379" s="68">
        <f>dagwerk36</f>
        <v>0</v>
      </c>
      <c r="O1379" s="64" t="s">
        <v>38</v>
      </c>
      <c r="P1379" s="69">
        <f>uurtarief36</f>
        <v>0</v>
      </c>
      <c r="Q1379" s="66" t="e">
        <f>IF(ISBLANK(M1379),0,L1379/ROUND(M1379,4))</f>
        <v>#DIV/0!</v>
      </c>
      <c r="R1379" s="66" t="e">
        <f>IF(ISBLANK(M1379),0,Q1379*ROUND(N1379,2))</f>
        <v>#DIV/0!</v>
      </c>
      <c r="S1379" s="69" t="e">
        <f>ROUND(P1379,2)*Q1379</f>
        <v>#DIV/0!</v>
      </c>
      <c r="T1379" s="66" t="e">
        <f>Q1379*dagenperjaar1</f>
        <v>#DIV/0!</v>
      </c>
      <c r="U1379" s="70" t="e">
        <f>T1379*ROUND(P1379,2)</f>
        <v>#DIV/0!</v>
      </c>
    </row>
    <row r="1380" spans="1:21" x14ac:dyDescent="0.2">
      <c r="A1380" s="63" t="s">
        <v>1850</v>
      </c>
      <c r="B1380" s="64" t="s">
        <v>324</v>
      </c>
      <c r="C1380" s="64" t="s">
        <v>345</v>
      </c>
      <c r="D1380" s="64" t="s">
        <v>1882</v>
      </c>
      <c r="E1380" s="64" t="s">
        <v>324</v>
      </c>
      <c r="F1380" s="65" t="s">
        <v>780</v>
      </c>
      <c r="G1380" s="64" t="s">
        <v>1881</v>
      </c>
      <c r="H1380" s="64" t="s">
        <v>219</v>
      </c>
      <c r="I1380" s="64" t="s">
        <v>10</v>
      </c>
      <c r="J1380" s="64" t="s">
        <v>201</v>
      </c>
      <c r="K1380" s="66">
        <v>33</v>
      </c>
      <c r="L1380" s="66">
        <f>K1380*VLOOKUP(I1380,dagsoorttabel1,2,FALSE)</f>
        <v>33</v>
      </c>
      <c r="M1380" s="67">
        <f>prodnorm36</f>
        <v>0</v>
      </c>
      <c r="N1380" s="68">
        <f>dagwerk36</f>
        <v>0</v>
      </c>
      <c r="O1380" s="64" t="s">
        <v>38</v>
      </c>
      <c r="P1380" s="69">
        <f>uurtarief36</f>
        <v>0</v>
      </c>
      <c r="Q1380" s="66" t="e">
        <f>IF(ISBLANK(M1380),0,L1380/ROUND(M1380,4))</f>
        <v>#DIV/0!</v>
      </c>
      <c r="R1380" s="66" t="e">
        <f>IF(ISBLANK(M1380),0,Q1380*ROUND(N1380,2))</f>
        <v>#DIV/0!</v>
      </c>
      <c r="S1380" s="69" t="e">
        <f>ROUND(P1380,2)*Q1380</f>
        <v>#DIV/0!</v>
      </c>
      <c r="T1380" s="66" t="e">
        <f>Q1380*dagenperjaar1</f>
        <v>#DIV/0!</v>
      </c>
      <c r="U1380" s="70" t="e">
        <f>T1380*ROUND(P1380,2)</f>
        <v>#DIV/0!</v>
      </c>
    </row>
    <row r="1381" spans="1:21" x14ac:dyDescent="0.2">
      <c r="A1381" s="63" t="s">
        <v>1850</v>
      </c>
      <c r="B1381" s="64" t="s">
        <v>324</v>
      </c>
      <c r="C1381" s="64" t="s">
        <v>345</v>
      </c>
      <c r="D1381" s="64" t="s">
        <v>879</v>
      </c>
      <c r="E1381" s="64" t="s">
        <v>324</v>
      </c>
      <c r="F1381" s="65" t="s">
        <v>1338</v>
      </c>
      <c r="G1381" s="64" t="s">
        <v>1881</v>
      </c>
      <c r="H1381" s="64" t="s">
        <v>219</v>
      </c>
      <c r="I1381" s="64" t="s">
        <v>10</v>
      </c>
      <c r="J1381" s="64" t="s">
        <v>201</v>
      </c>
      <c r="K1381" s="66">
        <v>253</v>
      </c>
      <c r="L1381" s="66">
        <f>K1381*VLOOKUP(I1381,dagsoorttabel1,2,FALSE)</f>
        <v>253</v>
      </c>
      <c r="M1381" s="67">
        <f>prodnorm36</f>
        <v>0</v>
      </c>
      <c r="N1381" s="68">
        <f>dagwerk36</f>
        <v>0</v>
      </c>
      <c r="O1381" s="64" t="s">
        <v>38</v>
      </c>
      <c r="P1381" s="69">
        <f>uurtarief36</f>
        <v>0</v>
      </c>
      <c r="Q1381" s="66" t="e">
        <f>IF(ISBLANK(M1381),0,L1381/ROUND(M1381,4))</f>
        <v>#DIV/0!</v>
      </c>
      <c r="R1381" s="66" t="e">
        <f>IF(ISBLANK(M1381),0,Q1381*ROUND(N1381,2))</f>
        <v>#DIV/0!</v>
      </c>
      <c r="S1381" s="69" t="e">
        <f>ROUND(P1381,2)*Q1381</f>
        <v>#DIV/0!</v>
      </c>
      <c r="T1381" s="66" t="e">
        <f>Q1381*dagenperjaar1</f>
        <v>#DIV/0!</v>
      </c>
      <c r="U1381" s="70" t="e">
        <f>T1381*ROUND(P1381,2)</f>
        <v>#DIV/0!</v>
      </c>
    </row>
    <row r="1382" spans="1:21" x14ac:dyDescent="0.2">
      <c r="A1382" s="63" t="s">
        <v>1850</v>
      </c>
      <c r="B1382" s="64" t="s">
        <v>324</v>
      </c>
      <c r="C1382" s="64" t="s">
        <v>345</v>
      </c>
      <c r="D1382" s="64" t="s">
        <v>1883</v>
      </c>
      <c r="E1382" s="64" t="s">
        <v>324</v>
      </c>
      <c r="F1382" s="65" t="s">
        <v>780</v>
      </c>
      <c r="G1382" s="64" t="s">
        <v>1881</v>
      </c>
      <c r="H1382" s="64" t="s">
        <v>219</v>
      </c>
      <c r="I1382" s="64" t="s">
        <v>10</v>
      </c>
      <c r="J1382" s="64" t="s">
        <v>201</v>
      </c>
      <c r="K1382" s="66">
        <v>33</v>
      </c>
      <c r="L1382" s="66">
        <f>K1382*VLOOKUP(I1382,dagsoorttabel1,2,FALSE)</f>
        <v>33</v>
      </c>
      <c r="M1382" s="67">
        <f>prodnorm36</f>
        <v>0</v>
      </c>
      <c r="N1382" s="68">
        <f>dagwerk36</f>
        <v>0</v>
      </c>
      <c r="O1382" s="64" t="s">
        <v>38</v>
      </c>
      <c r="P1382" s="69">
        <f>uurtarief36</f>
        <v>0</v>
      </c>
      <c r="Q1382" s="66" t="e">
        <f>IF(ISBLANK(M1382),0,L1382/ROUND(M1382,4))</f>
        <v>#DIV/0!</v>
      </c>
      <c r="R1382" s="66" t="e">
        <f>IF(ISBLANK(M1382),0,Q1382*ROUND(N1382,2))</f>
        <v>#DIV/0!</v>
      </c>
      <c r="S1382" s="69" t="e">
        <f>ROUND(P1382,2)*Q1382</f>
        <v>#DIV/0!</v>
      </c>
      <c r="T1382" s="66" t="e">
        <f>Q1382*dagenperjaar1</f>
        <v>#DIV/0!</v>
      </c>
      <c r="U1382" s="70" t="e">
        <f>T1382*ROUND(P1382,2)</f>
        <v>#DIV/0!</v>
      </c>
    </row>
    <row r="1383" spans="1:21" x14ac:dyDescent="0.2">
      <c r="A1383" s="63" t="s">
        <v>1850</v>
      </c>
      <c r="B1383" s="64" t="s">
        <v>324</v>
      </c>
      <c r="C1383" s="64" t="s">
        <v>345</v>
      </c>
      <c r="D1383" s="64" t="s">
        <v>885</v>
      </c>
      <c r="E1383" s="64" t="s">
        <v>324</v>
      </c>
      <c r="F1383" s="65" t="s">
        <v>573</v>
      </c>
      <c r="G1383" s="64" t="s">
        <v>328</v>
      </c>
      <c r="H1383" s="64" t="s">
        <v>267</v>
      </c>
      <c r="I1383" s="64" t="s">
        <v>10</v>
      </c>
      <c r="J1383" s="64" t="s">
        <v>201</v>
      </c>
      <c r="K1383" s="66">
        <v>8.48</v>
      </c>
      <c r="L1383" s="66">
        <f>K1383*VLOOKUP(I1383,dagsoorttabel1,2,FALSE)</f>
        <v>8.48</v>
      </c>
      <c r="M1383" s="67">
        <f>prodnorm65</f>
        <v>0</v>
      </c>
      <c r="N1383" s="68">
        <f>dagwerk65</f>
        <v>0</v>
      </c>
      <c r="O1383" s="64" t="s">
        <v>38</v>
      </c>
      <c r="P1383" s="69">
        <f>uurtarief65</f>
        <v>0</v>
      </c>
      <c r="Q1383" s="66" t="e">
        <f>IF(ISBLANK(M1383),0,L1383/ROUND(M1383,4))</f>
        <v>#DIV/0!</v>
      </c>
      <c r="R1383" s="66" t="e">
        <f>IF(ISBLANK(M1383),0,Q1383*ROUND(N1383,2))</f>
        <v>#DIV/0!</v>
      </c>
      <c r="S1383" s="69" t="e">
        <f>ROUND(P1383,2)*Q1383</f>
        <v>#DIV/0!</v>
      </c>
      <c r="T1383" s="66" t="e">
        <f>Q1383*dagenperjaar1</f>
        <v>#DIV/0!</v>
      </c>
      <c r="U1383" s="70" t="e">
        <f>T1383*ROUND(P1383,2)</f>
        <v>#DIV/0!</v>
      </c>
    </row>
    <row r="1384" spans="1:21" x14ac:dyDescent="0.2">
      <c r="A1384" s="63" t="s">
        <v>1850</v>
      </c>
      <c r="B1384" s="64" t="s">
        <v>324</v>
      </c>
      <c r="C1384" s="64" t="s">
        <v>345</v>
      </c>
      <c r="D1384" s="64" t="s">
        <v>1884</v>
      </c>
      <c r="E1384" s="64" t="s">
        <v>324</v>
      </c>
      <c r="F1384" s="65" t="s">
        <v>655</v>
      </c>
      <c r="G1384" s="64" t="s">
        <v>328</v>
      </c>
      <c r="H1384" s="64" t="s">
        <v>263</v>
      </c>
      <c r="I1384" s="64" t="s">
        <v>10</v>
      </c>
      <c r="J1384" s="64" t="s">
        <v>201</v>
      </c>
      <c r="K1384" s="66">
        <v>21</v>
      </c>
      <c r="L1384" s="66">
        <f>K1384*VLOOKUP(I1384,dagsoorttabel1,2,FALSE)</f>
        <v>21</v>
      </c>
      <c r="M1384" s="67">
        <f>prodnorm63</f>
        <v>0</v>
      </c>
      <c r="N1384" s="68">
        <f>dagwerk63</f>
        <v>0</v>
      </c>
      <c r="O1384" s="64" t="s">
        <v>38</v>
      </c>
      <c r="P1384" s="69">
        <f>uurtarief63</f>
        <v>0</v>
      </c>
      <c r="Q1384" s="66" t="e">
        <f>IF(ISBLANK(M1384),0,L1384/ROUND(M1384,4))</f>
        <v>#DIV/0!</v>
      </c>
      <c r="R1384" s="66" t="e">
        <f>IF(ISBLANK(M1384),0,Q1384*ROUND(N1384,2))</f>
        <v>#DIV/0!</v>
      </c>
      <c r="S1384" s="69" t="e">
        <f>ROUND(P1384,2)*Q1384</f>
        <v>#DIV/0!</v>
      </c>
      <c r="T1384" s="66" t="e">
        <f>Q1384*dagenperjaar1</f>
        <v>#DIV/0!</v>
      </c>
      <c r="U1384" s="70" t="e">
        <f>T1384*ROUND(P1384,2)</f>
        <v>#DIV/0!</v>
      </c>
    </row>
    <row r="1385" spans="1:21" x14ac:dyDescent="0.2">
      <c r="A1385" s="63" t="s">
        <v>1850</v>
      </c>
      <c r="B1385" s="64" t="s">
        <v>324</v>
      </c>
      <c r="C1385" s="64" t="s">
        <v>345</v>
      </c>
      <c r="D1385" s="64" t="s">
        <v>1885</v>
      </c>
      <c r="E1385" s="64" t="s">
        <v>324</v>
      </c>
      <c r="F1385" s="65" t="s">
        <v>335</v>
      </c>
      <c r="G1385" s="64" t="s">
        <v>328</v>
      </c>
      <c r="H1385" s="64" t="s">
        <v>267</v>
      </c>
      <c r="I1385" s="64" t="s">
        <v>10</v>
      </c>
      <c r="J1385" s="64" t="s">
        <v>201</v>
      </c>
      <c r="K1385" s="66">
        <v>83</v>
      </c>
      <c r="L1385" s="66">
        <f>K1385*VLOOKUP(I1385,dagsoorttabel1,2,FALSE)</f>
        <v>83</v>
      </c>
      <c r="M1385" s="67">
        <f>prodnorm65</f>
        <v>0</v>
      </c>
      <c r="N1385" s="68">
        <f>dagwerk65</f>
        <v>0</v>
      </c>
      <c r="O1385" s="64" t="s">
        <v>38</v>
      </c>
      <c r="P1385" s="69">
        <f>uurtarief65</f>
        <v>0</v>
      </c>
      <c r="Q1385" s="66" t="e">
        <f>IF(ISBLANK(M1385),0,L1385/ROUND(M1385,4))</f>
        <v>#DIV/0!</v>
      </c>
      <c r="R1385" s="66" t="e">
        <f>IF(ISBLANK(M1385),0,Q1385*ROUND(N1385,2))</f>
        <v>#DIV/0!</v>
      </c>
      <c r="S1385" s="69" t="e">
        <f>ROUND(P1385,2)*Q1385</f>
        <v>#DIV/0!</v>
      </c>
      <c r="T1385" s="66" t="e">
        <f>Q1385*dagenperjaar1</f>
        <v>#DIV/0!</v>
      </c>
      <c r="U1385" s="70" t="e">
        <f>T1385*ROUND(P1385,2)</f>
        <v>#DIV/0!</v>
      </c>
    </row>
    <row r="1386" spans="1:21" x14ac:dyDescent="0.2">
      <c r="A1386" s="63" t="s">
        <v>1850</v>
      </c>
      <c r="B1386" s="64" t="s">
        <v>324</v>
      </c>
      <c r="C1386" s="64" t="s">
        <v>345</v>
      </c>
      <c r="D1386" s="64" t="s">
        <v>886</v>
      </c>
      <c r="E1386" s="64" t="s">
        <v>324</v>
      </c>
      <c r="F1386" s="65" t="s">
        <v>457</v>
      </c>
      <c r="G1386" s="64" t="s">
        <v>328</v>
      </c>
      <c r="H1386" s="64" t="s">
        <v>229</v>
      </c>
      <c r="I1386" s="64" t="s">
        <v>10</v>
      </c>
      <c r="J1386" s="64" t="s">
        <v>201</v>
      </c>
      <c r="K1386" s="66">
        <v>13</v>
      </c>
      <c r="L1386" s="66">
        <f>K1386*VLOOKUP(I1386,dagsoorttabel1,2,FALSE)</f>
        <v>13</v>
      </c>
      <c r="M1386" s="67">
        <f>prodnorm43</f>
        <v>0</v>
      </c>
      <c r="N1386" s="68">
        <f>dagwerk43</f>
        <v>0</v>
      </c>
      <c r="O1386" s="64" t="s">
        <v>38</v>
      </c>
      <c r="P1386" s="69">
        <f>uurtarief43</f>
        <v>0</v>
      </c>
      <c r="Q1386" s="66" t="e">
        <f>IF(ISBLANK(M1386),0,L1386/ROUND(M1386,4))</f>
        <v>#DIV/0!</v>
      </c>
      <c r="R1386" s="66" t="e">
        <f>IF(ISBLANK(M1386),0,Q1386*ROUND(N1386,2))</f>
        <v>#DIV/0!</v>
      </c>
      <c r="S1386" s="69" t="e">
        <f>ROUND(P1386,2)*Q1386</f>
        <v>#DIV/0!</v>
      </c>
      <c r="T1386" s="66" t="e">
        <f>Q1386*dagenperjaar1</f>
        <v>#DIV/0!</v>
      </c>
      <c r="U1386" s="70" t="e">
        <f>T1386*ROUND(P1386,2)</f>
        <v>#DIV/0!</v>
      </c>
    </row>
    <row r="1387" spans="1:21" x14ac:dyDescent="0.2">
      <c r="A1387" s="63" t="s">
        <v>1850</v>
      </c>
      <c r="B1387" s="64" t="s">
        <v>324</v>
      </c>
      <c r="C1387" s="64" t="s">
        <v>345</v>
      </c>
      <c r="D1387" s="64" t="s">
        <v>1886</v>
      </c>
      <c r="E1387" s="64" t="s">
        <v>324</v>
      </c>
      <c r="F1387" s="65" t="s">
        <v>457</v>
      </c>
      <c r="G1387" s="64" t="s">
        <v>328</v>
      </c>
      <c r="H1387" s="64" t="s">
        <v>229</v>
      </c>
      <c r="I1387" s="64" t="s">
        <v>10</v>
      </c>
      <c r="J1387" s="64" t="s">
        <v>201</v>
      </c>
      <c r="K1387" s="66">
        <v>13</v>
      </c>
      <c r="L1387" s="66">
        <f>K1387*VLOOKUP(I1387,dagsoorttabel1,2,FALSE)</f>
        <v>13</v>
      </c>
      <c r="M1387" s="67">
        <f>prodnorm43</f>
        <v>0</v>
      </c>
      <c r="N1387" s="68">
        <f>dagwerk43</f>
        <v>0</v>
      </c>
      <c r="O1387" s="64" t="s">
        <v>38</v>
      </c>
      <c r="P1387" s="69">
        <f>uurtarief43</f>
        <v>0</v>
      </c>
      <c r="Q1387" s="66" t="e">
        <f>IF(ISBLANK(M1387),0,L1387/ROUND(M1387,4))</f>
        <v>#DIV/0!</v>
      </c>
      <c r="R1387" s="66" t="e">
        <f>IF(ISBLANK(M1387),0,Q1387*ROUND(N1387,2))</f>
        <v>#DIV/0!</v>
      </c>
      <c r="S1387" s="69" t="e">
        <f>ROUND(P1387,2)*Q1387</f>
        <v>#DIV/0!</v>
      </c>
      <c r="T1387" s="66" t="e">
        <f>Q1387*dagenperjaar1</f>
        <v>#DIV/0!</v>
      </c>
      <c r="U1387" s="70" t="e">
        <f>T1387*ROUND(P1387,2)</f>
        <v>#DIV/0!</v>
      </c>
    </row>
    <row r="1388" spans="1:21" x14ac:dyDescent="0.2">
      <c r="A1388" s="63" t="s">
        <v>1850</v>
      </c>
      <c r="B1388" s="64" t="s">
        <v>324</v>
      </c>
      <c r="C1388" s="64" t="s">
        <v>345</v>
      </c>
      <c r="D1388" s="64" t="s">
        <v>1337</v>
      </c>
      <c r="E1388" s="64" t="s">
        <v>324</v>
      </c>
      <c r="F1388" s="65" t="s">
        <v>457</v>
      </c>
      <c r="G1388" s="64" t="s">
        <v>328</v>
      </c>
      <c r="H1388" s="64" t="s">
        <v>229</v>
      </c>
      <c r="I1388" s="64" t="s">
        <v>10</v>
      </c>
      <c r="J1388" s="64" t="s">
        <v>201</v>
      </c>
      <c r="K1388" s="66">
        <v>55</v>
      </c>
      <c r="L1388" s="66">
        <f>K1388*VLOOKUP(I1388,dagsoorttabel1,2,FALSE)</f>
        <v>55</v>
      </c>
      <c r="M1388" s="67">
        <f>prodnorm43</f>
        <v>0</v>
      </c>
      <c r="N1388" s="68">
        <f>dagwerk43</f>
        <v>0</v>
      </c>
      <c r="O1388" s="64" t="s">
        <v>38</v>
      </c>
      <c r="P1388" s="69">
        <f>uurtarief43</f>
        <v>0</v>
      </c>
      <c r="Q1388" s="66" t="e">
        <f>IF(ISBLANK(M1388),0,L1388/ROUND(M1388,4))</f>
        <v>#DIV/0!</v>
      </c>
      <c r="R1388" s="66" t="e">
        <f>IF(ISBLANK(M1388),0,Q1388*ROUND(N1388,2))</f>
        <v>#DIV/0!</v>
      </c>
      <c r="S1388" s="69" t="e">
        <f>ROUND(P1388,2)*Q1388</f>
        <v>#DIV/0!</v>
      </c>
      <c r="T1388" s="66" t="e">
        <f>Q1388*dagenperjaar1</f>
        <v>#DIV/0!</v>
      </c>
      <c r="U1388" s="70" t="e">
        <f>T1388*ROUND(P1388,2)</f>
        <v>#DIV/0!</v>
      </c>
    </row>
    <row r="1389" spans="1:21" x14ac:dyDescent="0.2">
      <c r="A1389" s="63" t="s">
        <v>1850</v>
      </c>
      <c r="B1389" s="64" t="s">
        <v>324</v>
      </c>
      <c r="C1389" s="64" t="s">
        <v>345</v>
      </c>
      <c r="D1389" s="64" t="s">
        <v>1768</v>
      </c>
      <c r="E1389" s="64" t="s">
        <v>324</v>
      </c>
      <c r="F1389" s="65" t="s">
        <v>457</v>
      </c>
      <c r="G1389" s="64" t="s">
        <v>328</v>
      </c>
      <c r="H1389" s="64" t="s">
        <v>229</v>
      </c>
      <c r="I1389" s="64" t="s">
        <v>10</v>
      </c>
      <c r="J1389" s="64" t="s">
        <v>201</v>
      </c>
      <c r="K1389" s="66">
        <v>63</v>
      </c>
      <c r="L1389" s="66">
        <f>K1389*VLOOKUP(I1389,dagsoorttabel1,2,FALSE)</f>
        <v>63</v>
      </c>
      <c r="M1389" s="67">
        <f>prodnorm43</f>
        <v>0</v>
      </c>
      <c r="N1389" s="68">
        <f>dagwerk43</f>
        <v>0</v>
      </c>
      <c r="O1389" s="64" t="s">
        <v>38</v>
      </c>
      <c r="P1389" s="69">
        <f>uurtarief43</f>
        <v>0</v>
      </c>
      <c r="Q1389" s="66" t="e">
        <f>IF(ISBLANK(M1389),0,L1389/ROUND(M1389,4))</f>
        <v>#DIV/0!</v>
      </c>
      <c r="R1389" s="66" t="e">
        <f>IF(ISBLANK(M1389),0,Q1389*ROUND(N1389,2))</f>
        <v>#DIV/0!</v>
      </c>
      <c r="S1389" s="69" t="e">
        <f>ROUND(P1389,2)*Q1389</f>
        <v>#DIV/0!</v>
      </c>
      <c r="T1389" s="66" t="e">
        <f>Q1389*dagenperjaar1</f>
        <v>#DIV/0!</v>
      </c>
      <c r="U1389" s="70" t="e">
        <f>T1389*ROUND(P1389,2)</f>
        <v>#DIV/0!</v>
      </c>
    </row>
    <row r="1390" spans="1:21" x14ac:dyDescent="0.2">
      <c r="A1390" s="63" t="s">
        <v>1850</v>
      </c>
      <c r="B1390" s="64" t="s">
        <v>324</v>
      </c>
      <c r="C1390" s="64" t="s">
        <v>345</v>
      </c>
      <c r="D1390" s="64" t="s">
        <v>1887</v>
      </c>
      <c r="E1390" s="64" t="s">
        <v>324</v>
      </c>
      <c r="F1390" s="65" t="s">
        <v>1888</v>
      </c>
      <c r="G1390" s="64" t="s">
        <v>328</v>
      </c>
      <c r="H1390" s="64" t="s">
        <v>267</v>
      </c>
      <c r="I1390" s="64" t="s">
        <v>10</v>
      </c>
      <c r="J1390" s="64" t="s">
        <v>201</v>
      </c>
      <c r="K1390" s="66">
        <v>11</v>
      </c>
      <c r="L1390" s="66">
        <f>K1390*VLOOKUP(I1390,dagsoorttabel1,2,FALSE)</f>
        <v>11</v>
      </c>
      <c r="M1390" s="67">
        <f>prodnorm65</f>
        <v>0</v>
      </c>
      <c r="N1390" s="68">
        <f>dagwerk65</f>
        <v>0</v>
      </c>
      <c r="O1390" s="64" t="s">
        <v>38</v>
      </c>
      <c r="P1390" s="69">
        <f>uurtarief65</f>
        <v>0</v>
      </c>
      <c r="Q1390" s="66" t="e">
        <f>IF(ISBLANK(M1390),0,L1390/ROUND(M1390,4))</f>
        <v>#DIV/0!</v>
      </c>
      <c r="R1390" s="66" t="e">
        <f>IF(ISBLANK(M1390),0,Q1390*ROUND(N1390,2))</f>
        <v>#DIV/0!</v>
      </c>
      <c r="S1390" s="69" t="e">
        <f>ROUND(P1390,2)*Q1390</f>
        <v>#DIV/0!</v>
      </c>
      <c r="T1390" s="66" t="e">
        <f>Q1390*dagenperjaar1</f>
        <v>#DIV/0!</v>
      </c>
      <c r="U1390" s="70" t="e">
        <f>T1390*ROUND(P1390,2)</f>
        <v>#DIV/0!</v>
      </c>
    </row>
    <row r="1391" spans="1:21" x14ac:dyDescent="0.2">
      <c r="A1391" s="63" t="s">
        <v>1850</v>
      </c>
      <c r="B1391" s="64" t="s">
        <v>324</v>
      </c>
      <c r="C1391" s="64" t="s">
        <v>345</v>
      </c>
      <c r="D1391" s="64" t="s">
        <v>1339</v>
      </c>
      <c r="E1391" s="64" t="s">
        <v>324</v>
      </c>
      <c r="F1391" s="65" t="s">
        <v>457</v>
      </c>
      <c r="G1391" s="64" t="s">
        <v>328</v>
      </c>
      <c r="H1391" s="64" t="s">
        <v>229</v>
      </c>
      <c r="I1391" s="64" t="s">
        <v>10</v>
      </c>
      <c r="J1391" s="64" t="s">
        <v>201</v>
      </c>
      <c r="K1391" s="66">
        <v>63</v>
      </c>
      <c r="L1391" s="66">
        <f>K1391*VLOOKUP(I1391,dagsoorttabel1,2,FALSE)</f>
        <v>63</v>
      </c>
      <c r="M1391" s="67">
        <f>prodnorm43</f>
        <v>0</v>
      </c>
      <c r="N1391" s="68">
        <f>dagwerk43</f>
        <v>0</v>
      </c>
      <c r="O1391" s="64" t="s">
        <v>38</v>
      </c>
      <c r="P1391" s="69">
        <f>uurtarief43</f>
        <v>0</v>
      </c>
      <c r="Q1391" s="66" t="e">
        <f>IF(ISBLANK(M1391),0,L1391/ROUND(M1391,4))</f>
        <v>#DIV/0!</v>
      </c>
      <c r="R1391" s="66" t="e">
        <f>IF(ISBLANK(M1391),0,Q1391*ROUND(N1391,2))</f>
        <v>#DIV/0!</v>
      </c>
      <c r="S1391" s="69" t="e">
        <f>ROUND(P1391,2)*Q1391</f>
        <v>#DIV/0!</v>
      </c>
      <c r="T1391" s="66" t="e">
        <f>Q1391*dagenperjaar1</f>
        <v>#DIV/0!</v>
      </c>
      <c r="U1391" s="70" t="e">
        <f>T1391*ROUND(P1391,2)</f>
        <v>#DIV/0!</v>
      </c>
    </row>
    <row r="1392" spans="1:21" x14ac:dyDescent="0.2">
      <c r="A1392" s="63" t="s">
        <v>1850</v>
      </c>
      <c r="B1392" s="64" t="s">
        <v>324</v>
      </c>
      <c r="C1392" s="64" t="s">
        <v>345</v>
      </c>
      <c r="D1392" s="64" t="s">
        <v>1340</v>
      </c>
      <c r="E1392" s="64" t="s">
        <v>324</v>
      </c>
      <c r="F1392" s="65" t="s">
        <v>457</v>
      </c>
      <c r="G1392" s="64" t="s">
        <v>328</v>
      </c>
      <c r="H1392" s="64" t="s">
        <v>229</v>
      </c>
      <c r="I1392" s="64" t="s">
        <v>10</v>
      </c>
      <c r="J1392" s="64" t="s">
        <v>201</v>
      </c>
      <c r="K1392" s="66">
        <v>80</v>
      </c>
      <c r="L1392" s="66">
        <f>K1392*VLOOKUP(I1392,dagsoorttabel1,2,FALSE)</f>
        <v>80</v>
      </c>
      <c r="M1392" s="67">
        <f>prodnorm43</f>
        <v>0</v>
      </c>
      <c r="N1392" s="68">
        <f>dagwerk43</f>
        <v>0</v>
      </c>
      <c r="O1392" s="64" t="s">
        <v>38</v>
      </c>
      <c r="P1392" s="69">
        <f>uurtarief43</f>
        <v>0</v>
      </c>
      <c r="Q1392" s="66" t="e">
        <f>IF(ISBLANK(M1392),0,L1392/ROUND(M1392,4))</f>
        <v>#DIV/0!</v>
      </c>
      <c r="R1392" s="66" t="e">
        <f>IF(ISBLANK(M1392),0,Q1392*ROUND(N1392,2))</f>
        <v>#DIV/0!</v>
      </c>
      <c r="S1392" s="69" t="e">
        <f>ROUND(P1392,2)*Q1392</f>
        <v>#DIV/0!</v>
      </c>
      <c r="T1392" s="66" t="e">
        <f>Q1392*dagenperjaar1</f>
        <v>#DIV/0!</v>
      </c>
      <c r="U1392" s="70" t="e">
        <f>T1392*ROUND(P1392,2)</f>
        <v>#DIV/0!</v>
      </c>
    </row>
    <row r="1393" spans="1:21" x14ac:dyDescent="0.2">
      <c r="A1393" s="63" t="s">
        <v>1850</v>
      </c>
      <c r="B1393" s="64" t="s">
        <v>324</v>
      </c>
      <c r="C1393" s="64" t="s">
        <v>345</v>
      </c>
      <c r="D1393" s="64" t="s">
        <v>1889</v>
      </c>
      <c r="E1393" s="64" t="s">
        <v>324</v>
      </c>
      <c r="F1393" s="65" t="s">
        <v>457</v>
      </c>
      <c r="G1393" s="64" t="s">
        <v>328</v>
      </c>
      <c r="H1393" s="64" t="s">
        <v>229</v>
      </c>
      <c r="I1393" s="64" t="s">
        <v>10</v>
      </c>
      <c r="J1393" s="64" t="s">
        <v>201</v>
      </c>
      <c r="K1393" s="66">
        <v>78</v>
      </c>
      <c r="L1393" s="66">
        <f>K1393*VLOOKUP(I1393,dagsoorttabel1,2,FALSE)</f>
        <v>78</v>
      </c>
      <c r="M1393" s="67">
        <f>prodnorm43</f>
        <v>0</v>
      </c>
      <c r="N1393" s="68">
        <f>dagwerk43</f>
        <v>0</v>
      </c>
      <c r="O1393" s="64" t="s">
        <v>38</v>
      </c>
      <c r="P1393" s="69">
        <f>uurtarief43</f>
        <v>0</v>
      </c>
      <c r="Q1393" s="66" t="e">
        <f>IF(ISBLANK(M1393),0,L1393/ROUND(M1393,4))</f>
        <v>#DIV/0!</v>
      </c>
      <c r="R1393" s="66" t="e">
        <f>IF(ISBLANK(M1393),0,Q1393*ROUND(N1393,2))</f>
        <v>#DIV/0!</v>
      </c>
      <c r="S1393" s="69" t="e">
        <f>ROUND(P1393,2)*Q1393</f>
        <v>#DIV/0!</v>
      </c>
      <c r="T1393" s="66" t="e">
        <f>Q1393*dagenperjaar1</f>
        <v>#DIV/0!</v>
      </c>
      <c r="U1393" s="70" t="e">
        <f>T1393*ROUND(P1393,2)</f>
        <v>#DIV/0!</v>
      </c>
    </row>
    <row r="1394" spans="1:21" x14ac:dyDescent="0.2">
      <c r="A1394" s="63" t="s">
        <v>1850</v>
      </c>
      <c r="B1394" s="64" t="s">
        <v>324</v>
      </c>
      <c r="C1394" s="64" t="s">
        <v>345</v>
      </c>
      <c r="D1394" s="64" t="s">
        <v>1890</v>
      </c>
      <c r="E1394" s="64" t="s">
        <v>324</v>
      </c>
      <c r="F1394" s="65" t="s">
        <v>335</v>
      </c>
      <c r="G1394" s="64" t="s">
        <v>1891</v>
      </c>
      <c r="H1394" s="64" t="s">
        <v>267</v>
      </c>
      <c r="I1394" s="64" t="s">
        <v>10</v>
      </c>
      <c r="J1394" s="64" t="s">
        <v>201</v>
      </c>
      <c r="K1394" s="66">
        <v>92</v>
      </c>
      <c r="L1394" s="66">
        <f>K1394*VLOOKUP(I1394,dagsoorttabel1,2,FALSE)</f>
        <v>92</v>
      </c>
      <c r="M1394" s="67">
        <f>prodnorm65</f>
        <v>0</v>
      </c>
      <c r="N1394" s="68">
        <f>dagwerk65</f>
        <v>0</v>
      </c>
      <c r="O1394" s="64" t="s">
        <v>38</v>
      </c>
      <c r="P1394" s="69">
        <f>uurtarief65</f>
        <v>0</v>
      </c>
      <c r="Q1394" s="66" t="e">
        <f>IF(ISBLANK(M1394),0,L1394/ROUND(M1394,4))</f>
        <v>#DIV/0!</v>
      </c>
      <c r="R1394" s="66" t="e">
        <f>IF(ISBLANK(M1394),0,Q1394*ROUND(N1394,2))</f>
        <v>#DIV/0!</v>
      </c>
      <c r="S1394" s="69" t="e">
        <f>ROUND(P1394,2)*Q1394</f>
        <v>#DIV/0!</v>
      </c>
      <c r="T1394" s="66" t="e">
        <f>Q1394*dagenperjaar1</f>
        <v>#DIV/0!</v>
      </c>
      <c r="U1394" s="70" t="e">
        <f>T1394*ROUND(P1394,2)</f>
        <v>#DIV/0!</v>
      </c>
    </row>
    <row r="1395" spans="1:21" x14ac:dyDescent="0.2">
      <c r="A1395" s="63" t="s">
        <v>1850</v>
      </c>
      <c r="B1395" s="64" t="s">
        <v>324</v>
      </c>
      <c r="C1395" s="64" t="s">
        <v>345</v>
      </c>
      <c r="D1395" s="64" t="s">
        <v>1892</v>
      </c>
      <c r="E1395" s="64" t="s">
        <v>324</v>
      </c>
      <c r="F1395" s="65" t="s">
        <v>1893</v>
      </c>
      <c r="G1395" s="64" t="s">
        <v>857</v>
      </c>
      <c r="H1395" s="64" t="s">
        <v>251</v>
      </c>
      <c r="I1395" s="64" t="s">
        <v>10</v>
      </c>
      <c r="J1395" s="64" t="s">
        <v>201</v>
      </c>
      <c r="K1395" s="66">
        <v>74</v>
      </c>
      <c r="L1395" s="66">
        <f>K1395*VLOOKUP(I1395,dagsoorttabel1,2,FALSE)</f>
        <v>74</v>
      </c>
      <c r="M1395" s="67">
        <f>prodnorm57</f>
        <v>0</v>
      </c>
      <c r="N1395" s="68">
        <f>dagwerk57</f>
        <v>0</v>
      </c>
      <c r="O1395" s="64" t="s">
        <v>38</v>
      </c>
      <c r="P1395" s="69">
        <f>uurtarief57</f>
        <v>0</v>
      </c>
      <c r="Q1395" s="66" t="e">
        <f>IF(ISBLANK(M1395),0,L1395/ROUND(M1395,4))</f>
        <v>#DIV/0!</v>
      </c>
      <c r="R1395" s="66" t="e">
        <f>IF(ISBLANK(M1395),0,Q1395*ROUND(N1395,2))</f>
        <v>#DIV/0!</v>
      </c>
      <c r="S1395" s="69" t="e">
        <f>ROUND(P1395,2)*Q1395</f>
        <v>#DIV/0!</v>
      </c>
      <c r="T1395" s="66" t="e">
        <f>Q1395*dagenperjaar1</f>
        <v>#DIV/0!</v>
      </c>
      <c r="U1395" s="70" t="e">
        <f>T1395*ROUND(P1395,2)</f>
        <v>#DIV/0!</v>
      </c>
    </row>
    <row r="1396" spans="1:21" x14ac:dyDescent="0.2">
      <c r="A1396" s="63" t="s">
        <v>1850</v>
      </c>
      <c r="B1396" s="64" t="s">
        <v>324</v>
      </c>
      <c r="C1396" s="64" t="s">
        <v>345</v>
      </c>
      <c r="D1396" s="64" t="s">
        <v>1894</v>
      </c>
      <c r="E1396" s="64" t="s">
        <v>324</v>
      </c>
      <c r="F1396" s="65" t="s">
        <v>1895</v>
      </c>
      <c r="G1396" s="64" t="s">
        <v>1421</v>
      </c>
      <c r="H1396" s="64" t="s">
        <v>255</v>
      </c>
      <c r="I1396" s="64" t="s">
        <v>10</v>
      </c>
      <c r="J1396" s="64" t="s">
        <v>201</v>
      </c>
      <c r="K1396" s="66">
        <v>6</v>
      </c>
      <c r="L1396" s="66">
        <f>K1396*VLOOKUP(I1396,dagsoorttabel1,2,FALSE)</f>
        <v>6</v>
      </c>
      <c r="M1396" s="67">
        <f>prodnorm59</f>
        <v>0</v>
      </c>
      <c r="N1396" s="68">
        <f>dagwerk59</f>
        <v>0</v>
      </c>
      <c r="O1396" s="64" t="s">
        <v>38</v>
      </c>
      <c r="P1396" s="69">
        <f>uurtarief59</f>
        <v>0</v>
      </c>
      <c r="Q1396" s="66" t="e">
        <f>IF(ISBLANK(M1396),0,L1396/ROUND(M1396,4))</f>
        <v>#DIV/0!</v>
      </c>
      <c r="R1396" s="66" t="e">
        <f>IF(ISBLANK(M1396),0,Q1396*ROUND(N1396,2))</f>
        <v>#DIV/0!</v>
      </c>
      <c r="S1396" s="69" t="e">
        <f>ROUND(P1396,2)*Q1396</f>
        <v>#DIV/0!</v>
      </c>
      <c r="T1396" s="66" t="e">
        <f>Q1396*dagenperjaar1</f>
        <v>#DIV/0!</v>
      </c>
      <c r="U1396" s="70" t="e">
        <f>T1396*ROUND(P1396,2)</f>
        <v>#DIV/0!</v>
      </c>
    </row>
    <row r="1397" spans="1:21" ht="25.5" x14ac:dyDescent="0.2">
      <c r="A1397" s="63" t="s">
        <v>1850</v>
      </c>
      <c r="B1397" s="64" t="s">
        <v>324</v>
      </c>
      <c r="C1397" s="64" t="s">
        <v>345</v>
      </c>
      <c r="D1397" s="64" t="s">
        <v>1896</v>
      </c>
      <c r="E1397" s="64" t="s">
        <v>324</v>
      </c>
      <c r="F1397" s="65" t="s">
        <v>1897</v>
      </c>
      <c r="G1397" s="64" t="s">
        <v>857</v>
      </c>
      <c r="H1397" s="64" t="s">
        <v>247</v>
      </c>
      <c r="I1397" s="64" t="s">
        <v>10</v>
      </c>
      <c r="J1397" s="64" t="s">
        <v>201</v>
      </c>
      <c r="K1397" s="66">
        <v>24</v>
      </c>
      <c r="L1397" s="66">
        <f>K1397*VLOOKUP(I1397,dagsoorttabel1,2,FALSE)</f>
        <v>24</v>
      </c>
      <c r="M1397" s="67">
        <f>prodnorm55</f>
        <v>0</v>
      </c>
      <c r="N1397" s="68">
        <f>dagwerk55</f>
        <v>0</v>
      </c>
      <c r="O1397" s="64" t="s">
        <v>38</v>
      </c>
      <c r="P1397" s="69">
        <f>uurtarief55</f>
        <v>0</v>
      </c>
      <c r="Q1397" s="66" t="e">
        <f>IF(ISBLANK(M1397),0,L1397/ROUND(M1397,4))</f>
        <v>#DIV/0!</v>
      </c>
      <c r="R1397" s="66" t="e">
        <f>IF(ISBLANK(M1397),0,Q1397*ROUND(N1397,2))</f>
        <v>#DIV/0!</v>
      </c>
      <c r="S1397" s="69" t="e">
        <f>ROUND(P1397,2)*Q1397</f>
        <v>#DIV/0!</v>
      </c>
      <c r="T1397" s="66" t="e">
        <f>Q1397*dagenperjaar1</f>
        <v>#DIV/0!</v>
      </c>
      <c r="U1397" s="70" t="e">
        <f>T1397*ROUND(P1397,2)</f>
        <v>#DIV/0!</v>
      </c>
    </row>
    <row r="1398" spans="1:21" x14ac:dyDescent="0.2">
      <c r="A1398" s="63" t="s">
        <v>1850</v>
      </c>
      <c r="B1398" s="64" t="s">
        <v>324</v>
      </c>
      <c r="C1398" s="64" t="s">
        <v>345</v>
      </c>
      <c r="D1398" s="64" t="s">
        <v>908</v>
      </c>
      <c r="E1398" s="64" t="s">
        <v>324</v>
      </c>
      <c r="F1398" s="65" t="s">
        <v>457</v>
      </c>
      <c r="G1398" s="64" t="s">
        <v>328</v>
      </c>
      <c r="H1398" s="64" t="s">
        <v>229</v>
      </c>
      <c r="I1398" s="64" t="s">
        <v>10</v>
      </c>
      <c r="J1398" s="64" t="s">
        <v>201</v>
      </c>
      <c r="K1398" s="66">
        <v>74</v>
      </c>
      <c r="L1398" s="66">
        <f>K1398*VLOOKUP(I1398,dagsoorttabel1,2,FALSE)</f>
        <v>74</v>
      </c>
      <c r="M1398" s="67">
        <f>prodnorm43</f>
        <v>0</v>
      </c>
      <c r="N1398" s="68">
        <f>dagwerk43</f>
        <v>0</v>
      </c>
      <c r="O1398" s="64" t="s">
        <v>38</v>
      </c>
      <c r="P1398" s="69">
        <f>uurtarief43</f>
        <v>0</v>
      </c>
      <c r="Q1398" s="66" t="e">
        <f>IF(ISBLANK(M1398),0,L1398/ROUND(M1398,4))</f>
        <v>#DIV/0!</v>
      </c>
      <c r="R1398" s="66" t="e">
        <f>IF(ISBLANK(M1398),0,Q1398*ROUND(N1398,2))</f>
        <v>#DIV/0!</v>
      </c>
      <c r="S1398" s="69" t="e">
        <f>ROUND(P1398,2)*Q1398</f>
        <v>#DIV/0!</v>
      </c>
      <c r="T1398" s="66" t="e">
        <f>Q1398*dagenperjaar1</f>
        <v>#DIV/0!</v>
      </c>
      <c r="U1398" s="70" t="e">
        <f>T1398*ROUND(P1398,2)</f>
        <v>#DIV/0!</v>
      </c>
    </row>
    <row r="1399" spans="1:21" x14ac:dyDescent="0.2">
      <c r="A1399" s="63" t="s">
        <v>1850</v>
      </c>
      <c r="B1399" s="64" t="s">
        <v>324</v>
      </c>
      <c r="C1399" s="64" t="s">
        <v>345</v>
      </c>
      <c r="D1399" s="64" t="s">
        <v>1898</v>
      </c>
      <c r="E1399" s="64" t="s">
        <v>324</v>
      </c>
      <c r="F1399" s="65" t="s">
        <v>457</v>
      </c>
      <c r="G1399" s="64" t="s">
        <v>328</v>
      </c>
      <c r="H1399" s="64" t="s">
        <v>251</v>
      </c>
      <c r="I1399" s="64" t="s">
        <v>10</v>
      </c>
      <c r="J1399" s="64" t="s">
        <v>201</v>
      </c>
      <c r="K1399" s="66">
        <v>37</v>
      </c>
      <c r="L1399" s="66">
        <f>K1399*VLOOKUP(I1399,dagsoorttabel1,2,FALSE)</f>
        <v>37</v>
      </c>
      <c r="M1399" s="67">
        <f>prodnorm57</f>
        <v>0</v>
      </c>
      <c r="N1399" s="68">
        <f>dagwerk57</f>
        <v>0</v>
      </c>
      <c r="O1399" s="64" t="s">
        <v>38</v>
      </c>
      <c r="P1399" s="69">
        <f>uurtarief57</f>
        <v>0</v>
      </c>
      <c r="Q1399" s="66" t="e">
        <f>IF(ISBLANK(M1399),0,L1399/ROUND(M1399,4))</f>
        <v>#DIV/0!</v>
      </c>
      <c r="R1399" s="66" t="e">
        <f>IF(ISBLANK(M1399),0,Q1399*ROUND(N1399,2))</f>
        <v>#DIV/0!</v>
      </c>
      <c r="S1399" s="69" t="e">
        <f>ROUND(P1399,2)*Q1399</f>
        <v>#DIV/0!</v>
      </c>
      <c r="T1399" s="66" t="e">
        <f>Q1399*dagenperjaar1</f>
        <v>#DIV/0!</v>
      </c>
      <c r="U1399" s="70" t="e">
        <f>T1399*ROUND(P1399,2)</f>
        <v>#DIV/0!</v>
      </c>
    </row>
    <row r="1400" spans="1:21" x14ac:dyDescent="0.2">
      <c r="A1400" s="63" t="s">
        <v>1850</v>
      </c>
      <c r="B1400" s="64" t="s">
        <v>324</v>
      </c>
      <c r="C1400" s="64" t="s">
        <v>345</v>
      </c>
      <c r="D1400" s="64" t="s">
        <v>909</v>
      </c>
      <c r="E1400" s="64" t="s">
        <v>324</v>
      </c>
      <c r="F1400" s="65" t="s">
        <v>457</v>
      </c>
      <c r="G1400" s="64" t="s">
        <v>328</v>
      </c>
      <c r="H1400" s="64" t="s">
        <v>229</v>
      </c>
      <c r="I1400" s="64" t="s">
        <v>10</v>
      </c>
      <c r="J1400" s="64" t="s">
        <v>201</v>
      </c>
      <c r="K1400" s="66">
        <v>86</v>
      </c>
      <c r="L1400" s="66">
        <f>K1400*VLOOKUP(I1400,dagsoorttabel1,2,FALSE)</f>
        <v>86</v>
      </c>
      <c r="M1400" s="67">
        <f>prodnorm43</f>
        <v>0</v>
      </c>
      <c r="N1400" s="68">
        <f>dagwerk43</f>
        <v>0</v>
      </c>
      <c r="O1400" s="64" t="s">
        <v>38</v>
      </c>
      <c r="P1400" s="69">
        <f>uurtarief43</f>
        <v>0</v>
      </c>
      <c r="Q1400" s="66" t="e">
        <f>IF(ISBLANK(M1400),0,L1400/ROUND(M1400,4))</f>
        <v>#DIV/0!</v>
      </c>
      <c r="R1400" s="66" t="e">
        <f>IF(ISBLANK(M1400),0,Q1400*ROUND(N1400,2))</f>
        <v>#DIV/0!</v>
      </c>
      <c r="S1400" s="69" t="e">
        <f>ROUND(P1400,2)*Q1400</f>
        <v>#DIV/0!</v>
      </c>
      <c r="T1400" s="66" t="e">
        <f>Q1400*dagenperjaar1</f>
        <v>#DIV/0!</v>
      </c>
      <c r="U1400" s="70" t="e">
        <f>T1400*ROUND(P1400,2)</f>
        <v>#DIV/0!</v>
      </c>
    </row>
    <row r="1401" spans="1:21" x14ac:dyDescent="0.2">
      <c r="A1401" s="63" t="s">
        <v>1850</v>
      </c>
      <c r="B1401" s="64" t="s">
        <v>324</v>
      </c>
      <c r="C1401" s="64" t="s">
        <v>345</v>
      </c>
      <c r="D1401" s="64" t="s">
        <v>1899</v>
      </c>
      <c r="E1401" s="64" t="s">
        <v>324</v>
      </c>
      <c r="F1401" s="65" t="s">
        <v>1878</v>
      </c>
      <c r="G1401" s="64" t="s">
        <v>1879</v>
      </c>
      <c r="H1401" s="64" t="s">
        <v>227</v>
      </c>
      <c r="I1401" s="64" t="s">
        <v>10</v>
      </c>
      <c r="J1401" s="64" t="s">
        <v>201</v>
      </c>
      <c r="K1401" s="66">
        <v>56</v>
      </c>
      <c r="L1401" s="66">
        <f>K1401*VLOOKUP(I1401,dagsoorttabel1,2,FALSE)</f>
        <v>56</v>
      </c>
      <c r="M1401" s="67">
        <f>prodnorm42</f>
        <v>0</v>
      </c>
      <c r="N1401" s="68">
        <f>dagwerk42</f>
        <v>0</v>
      </c>
      <c r="O1401" s="64" t="s">
        <v>38</v>
      </c>
      <c r="P1401" s="69">
        <f>uurtarief42</f>
        <v>0</v>
      </c>
      <c r="Q1401" s="66" t="e">
        <f>IF(ISBLANK(M1401),0,L1401/ROUND(M1401,4))</f>
        <v>#DIV/0!</v>
      </c>
      <c r="R1401" s="66" t="e">
        <f>IF(ISBLANK(M1401),0,Q1401*ROUND(N1401,2))</f>
        <v>#DIV/0!</v>
      </c>
      <c r="S1401" s="69" t="e">
        <f>ROUND(P1401,2)*Q1401</f>
        <v>#DIV/0!</v>
      </c>
      <c r="T1401" s="66" t="e">
        <f>Q1401*dagenperjaar1</f>
        <v>#DIV/0!</v>
      </c>
      <c r="U1401" s="70" t="e">
        <f>T1401*ROUND(P1401,2)</f>
        <v>#DIV/0!</v>
      </c>
    </row>
    <row r="1402" spans="1:21" x14ac:dyDescent="0.2">
      <c r="A1402" s="63" t="s">
        <v>1850</v>
      </c>
      <c r="B1402" s="64" t="s">
        <v>324</v>
      </c>
      <c r="C1402" s="64" t="s">
        <v>345</v>
      </c>
      <c r="D1402" s="64" t="s">
        <v>1900</v>
      </c>
      <c r="E1402" s="64" t="s">
        <v>324</v>
      </c>
      <c r="F1402" s="65" t="s">
        <v>335</v>
      </c>
      <c r="G1402" s="64" t="s">
        <v>328</v>
      </c>
      <c r="H1402" s="64" t="s">
        <v>267</v>
      </c>
      <c r="I1402" s="64" t="s">
        <v>10</v>
      </c>
      <c r="J1402" s="64" t="s">
        <v>201</v>
      </c>
      <c r="K1402" s="66">
        <v>33.620000000000005</v>
      </c>
      <c r="L1402" s="66">
        <f>K1402*VLOOKUP(I1402,dagsoorttabel1,2,FALSE)</f>
        <v>33.620000000000005</v>
      </c>
      <c r="M1402" s="67">
        <f>prodnorm65</f>
        <v>0</v>
      </c>
      <c r="N1402" s="68">
        <f>dagwerk65</f>
        <v>0</v>
      </c>
      <c r="O1402" s="64" t="s">
        <v>38</v>
      </c>
      <c r="P1402" s="69">
        <f>uurtarief65</f>
        <v>0</v>
      </c>
      <c r="Q1402" s="66" t="e">
        <f>IF(ISBLANK(M1402),0,L1402/ROUND(M1402,4))</f>
        <v>#DIV/0!</v>
      </c>
      <c r="R1402" s="66" t="e">
        <f>IF(ISBLANK(M1402),0,Q1402*ROUND(N1402,2))</f>
        <v>#DIV/0!</v>
      </c>
      <c r="S1402" s="69" t="e">
        <f>ROUND(P1402,2)*Q1402</f>
        <v>#DIV/0!</v>
      </c>
      <c r="T1402" s="66" t="e">
        <f>Q1402*dagenperjaar1</f>
        <v>#DIV/0!</v>
      </c>
      <c r="U1402" s="70" t="e">
        <f>T1402*ROUND(P1402,2)</f>
        <v>#DIV/0!</v>
      </c>
    </row>
    <row r="1403" spans="1:21" x14ac:dyDescent="0.2">
      <c r="A1403" s="63" t="s">
        <v>1850</v>
      </c>
      <c r="B1403" s="64" t="s">
        <v>324</v>
      </c>
      <c r="C1403" s="64" t="s">
        <v>345</v>
      </c>
      <c r="D1403" s="64" t="s">
        <v>1901</v>
      </c>
      <c r="E1403" s="64" t="s">
        <v>324</v>
      </c>
      <c r="F1403" s="65" t="s">
        <v>1880</v>
      </c>
      <c r="G1403" s="64" t="s">
        <v>328</v>
      </c>
      <c r="H1403" s="64" t="s">
        <v>205</v>
      </c>
      <c r="I1403" s="64" t="s">
        <v>10</v>
      </c>
      <c r="J1403" s="64" t="s">
        <v>201</v>
      </c>
      <c r="K1403" s="66">
        <v>17</v>
      </c>
      <c r="L1403" s="66">
        <f>K1403*VLOOKUP(I1403,dagsoorttabel1,2,FALSE)</f>
        <v>17</v>
      </c>
      <c r="M1403" s="67">
        <f>prodnorm26</f>
        <v>0</v>
      </c>
      <c r="N1403" s="68">
        <f>dagwerk26</f>
        <v>0</v>
      </c>
      <c r="O1403" s="64" t="s">
        <v>38</v>
      </c>
      <c r="P1403" s="69">
        <f>uurtarief26</f>
        <v>0</v>
      </c>
      <c r="Q1403" s="66" t="e">
        <f>IF(ISBLANK(M1403),0,L1403/ROUND(M1403,4))</f>
        <v>#DIV/0!</v>
      </c>
      <c r="R1403" s="66" t="e">
        <f>IF(ISBLANK(M1403),0,Q1403*ROUND(N1403,2))</f>
        <v>#DIV/0!</v>
      </c>
      <c r="S1403" s="69" t="e">
        <f>ROUND(P1403,2)*Q1403</f>
        <v>#DIV/0!</v>
      </c>
      <c r="T1403" s="66" t="e">
        <f>Q1403*dagenperjaar1</f>
        <v>#DIV/0!</v>
      </c>
      <c r="U1403" s="70" t="e">
        <f>T1403*ROUND(P1403,2)</f>
        <v>#DIV/0!</v>
      </c>
    </row>
    <row r="1404" spans="1:21" x14ac:dyDescent="0.2">
      <c r="A1404" s="63" t="s">
        <v>1850</v>
      </c>
      <c r="B1404" s="64" t="s">
        <v>324</v>
      </c>
      <c r="C1404" s="64" t="s">
        <v>345</v>
      </c>
      <c r="D1404" s="64" t="s">
        <v>1902</v>
      </c>
      <c r="E1404" s="64" t="s">
        <v>324</v>
      </c>
      <c r="F1404" s="65" t="s">
        <v>1878</v>
      </c>
      <c r="G1404" s="64" t="s">
        <v>1879</v>
      </c>
      <c r="H1404" s="64" t="s">
        <v>227</v>
      </c>
      <c r="I1404" s="64" t="s">
        <v>10</v>
      </c>
      <c r="J1404" s="64" t="s">
        <v>201</v>
      </c>
      <c r="K1404" s="66">
        <v>54</v>
      </c>
      <c r="L1404" s="66">
        <f>K1404*VLOOKUP(I1404,dagsoorttabel1,2,FALSE)</f>
        <v>54</v>
      </c>
      <c r="M1404" s="67">
        <f>prodnorm42</f>
        <v>0</v>
      </c>
      <c r="N1404" s="68">
        <f>dagwerk42</f>
        <v>0</v>
      </c>
      <c r="O1404" s="64" t="s">
        <v>38</v>
      </c>
      <c r="P1404" s="69">
        <f>uurtarief42</f>
        <v>0</v>
      </c>
      <c r="Q1404" s="66" t="e">
        <f>IF(ISBLANK(M1404),0,L1404/ROUND(M1404,4))</f>
        <v>#DIV/0!</v>
      </c>
      <c r="R1404" s="66" t="e">
        <f>IF(ISBLANK(M1404),0,Q1404*ROUND(N1404,2))</f>
        <v>#DIV/0!</v>
      </c>
      <c r="S1404" s="69" t="e">
        <f>ROUND(P1404,2)*Q1404</f>
        <v>#DIV/0!</v>
      </c>
      <c r="T1404" s="66" t="e">
        <f>Q1404*dagenperjaar1</f>
        <v>#DIV/0!</v>
      </c>
      <c r="U1404" s="70" t="e">
        <f>T1404*ROUND(P1404,2)</f>
        <v>#DIV/0!</v>
      </c>
    </row>
    <row r="1405" spans="1:21" x14ac:dyDescent="0.2">
      <c r="A1405" s="63" t="s">
        <v>1850</v>
      </c>
      <c r="B1405" s="64" t="s">
        <v>324</v>
      </c>
      <c r="C1405" s="64" t="s">
        <v>345</v>
      </c>
      <c r="D1405" s="64" t="s">
        <v>1903</v>
      </c>
      <c r="E1405" s="64" t="s">
        <v>324</v>
      </c>
      <c r="F1405" s="65" t="s">
        <v>1904</v>
      </c>
      <c r="G1405" s="64" t="s">
        <v>1881</v>
      </c>
      <c r="H1405" s="64" t="s">
        <v>219</v>
      </c>
      <c r="I1405" s="64" t="s">
        <v>10</v>
      </c>
      <c r="J1405" s="64" t="s">
        <v>201</v>
      </c>
      <c r="K1405" s="66">
        <v>252</v>
      </c>
      <c r="L1405" s="66">
        <f>K1405*VLOOKUP(I1405,dagsoorttabel1,2,FALSE)</f>
        <v>252</v>
      </c>
      <c r="M1405" s="67">
        <f>prodnorm36</f>
        <v>0</v>
      </c>
      <c r="N1405" s="68">
        <f>dagwerk36</f>
        <v>0</v>
      </c>
      <c r="O1405" s="64" t="s">
        <v>38</v>
      </c>
      <c r="P1405" s="69">
        <f>uurtarief36</f>
        <v>0</v>
      </c>
      <c r="Q1405" s="66" t="e">
        <f>IF(ISBLANK(M1405),0,L1405/ROUND(M1405,4))</f>
        <v>#DIV/0!</v>
      </c>
      <c r="R1405" s="66" t="e">
        <f>IF(ISBLANK(M1405),0,Q1405*ROUND(N1405,2))</f>
        <v>#DIV/0!</v>
      </c>
      <c r="S1405" s="69" t="e">
        <f>ROUND(P1405,2)*Q1405</f>
        <v>#DIV/0!</v>
      </c>
      <c r="T1405" s="66" t="e">
        <f>Q1405*dagenperjaar1</f>
        <v>#DIV/0!</v>
      </c>
      <c r="U1405" s="70" t="e">
        <f>T1405*ROUND(P1405,2)</f>
        <v>#DIV/0!</v>
      </c>
    </row>
    <row r="1406" spans="1:21" x14ac:dyDescent="0.2">
      <c r="A1406" s="63" t="s">
        <v>1850</v>
      </c>
      <c r="B1406" s="64" t="s">
        <v>324</v>
      </c>
      <c r="C1406" s="64" t="s">
        <v>345</v>
      </c>
      <c r="D1406" s="64" t="s">
        <v>1905</v>
      </c>
      <c r="E1406" s="64" t="s">
        <v>324</v>
      </c>
      <c r="F1406" s="65" t="s">
        <v>780</v>
      </c>
      <c r="G1406" s="64" t="s">
        <v>1881</v>
      </c>
      <c r="H1406" s="64" t="s">
        <v>219</v>
      </c>
      <c r="I1406" s="64" t="s">
        <v>10</v>
      </c>
      <c r="J1406" s="64" t="s">
        <v>201</v>
      </c>
      <c r="K1406" s="66">
        <v>33</v>
      </c>
      <c r="L1406" s="66">
        <f>K1406*VLOOKUP(I1406,dagsoorttabel1,2,FALSE)</f>
        <v>33</v>
      </c>
      <c r="M1406" s="67">
        <f>prodnorm36</f>
        <v>0</v>
      </c>
      <c r="N1406" s="68">
        <f>dagwerk36</f>
        <v>0</v>
      </c>
      <c r="O1406" s="64" t="s">
        <v>38</v>
      </c>
      <c r="P1406" s="69">
        <f>uurtarief36</f>
        <v>0</v>
      </c>
      <c r="Q1406" s="66" t="e">
        <f>IF(ISBLANK(M1406),0,L1406/ROUND(M1406,4))</f>
        <v>#DIV/0!</v>
      </c>
      <c r="R1406" s="66" t="e">
        <f>IF(ISBLANK(M1406),0,Q1406*ROUND(N1406,2))</f>
        <v>#DIV/0!</v>
      </c>
      <c r="S1406" s="69" t="e">
        <f>ROUND(P1406,2)*Q1406</f>
        <v>#DIV/0!</v>
      </c>
      <c r="T1406" s="66" t="e">
        <f>Q1406*dagenperjaar1</f>
        <v>#DIV/0!</v>
      </c>
      <c r="U1406" s="70" t="e">
        <f>T1406*ROUND(P1406,2)</f>
        <v>#DIV/0!</v>
      </c>
    </row>
    <row r="1407" spans="1:21" x14ac:dyDescent="0.2">
      <c r="A1407" s="63" t="s">
        <v>1850</v>
      </c>
      <c r="B1407" s="64" t="s">
        <v>324</v>
      </c>
      <c r="C1407" s="64" t="s">
        <v>345</v>
      </c>
      <c r="D1407" s="64" t="s">
        <v>1906</v>
      </c>
      <c r="E1407" s="64" t="s">
        <v>324</v>
      </c>
      <c r="F1407" s="65" t="s">
        <v>1907</v>
      </c>
      <c r="G1407" s="64" t="s">
        <v>1881</v>
      </c>
      <c r="H1407" s="64" t="s">
        <v>219</v>
      </c>
      <c r="I1407" s="64" t="s">
        <v>10</v>
      </c>
      <c r="J1407" s="64" t="s">
        <v>201</v>
      </c>
      <c r="K1407" s="66">
        <v>252</v>
      </c>
      <c r="L1407" s="66">
        <f>K1407*VLOOKUP(I1407,dagsoorttabel1,2,FALSE)</f>
        <v>252</v>
      </c>
      <c r="M1407" s="67">
        <f>prodnorm36</f>
        <v>0</v>
      </c>
      <c r="N1407" s="68">
        <f>dagwerk36</f>
        <v>0</v>
      </c>
      <c r="O1407" s="64" t="s">
        <v>38</v>
      </c>
      <c r="P1407" s="69">
        <f>uurtarief36</f>
        <v>0</v>
      </c>
      <c r="Q1407" s="66" t="e">
        <f>IF(ISBLANK(M1407),0,L1407/ROUND(M1407,4))</f>
        <v>#DIV/0!</v>
      </c>
      <c r="R1407" s="66" t="e">
        <f>IF(ISBLANK(M1407),0,Q1407*ROUND(N1407,2))</f>
        <v>#DIV/0!</v>
      </c>
      <c r="S1407" s="69" t="e">
        <f>ROUND(P1407,2)*Q1407</f>
        <v>#DIV/0!</v>
      </c>
      <c r="T1407" s="66" t="e">
        <f>Q1407*dagenperjaar1</f>
        <v>#DIV/0!</v>
      </c>
      <c r="U1407" s="70" t="e">
        <f>T1407*ROUND(P1407,2)</f>
        <v>#DIV/0!</v>
      </c>
    </row>
    <row r="1408" spans="1:21" x14ac:dyDescent="0.2">
      <c r="A1408" s="63" t="s">
        <v>1850</v>
      </c>
      <c r="B1408" s="64" t="s">
        <v>324</v>
      </c>
      <c r="C1408" s="64" t="s">
        <v>345</v>
      </c>
      <c r="D1408" s="64" t="s">
        <v>1908</v>
      </c>
      <c r="E1408" s="64" t="s">
        <v>324</v>
      </c>
      <c r="F1408" s="65" t="s">
        <v>1493</v>
      </c>
      <c r="G1408" s="64" t="s">
        <v>328</v>
      </c>
      <c r="H1408" s="64" t="s">
        <v>219</v>
      </c>
      <c r="I1408" s="64" t="s">
        <v>10</v>
      </c>
      <c r="J1408" s="64" t="s">
        <v>201</v>
      </c>
      <c r="K1408" s="66">
        <v>27</v>
      </c>
      <c r="L1408" s="66">
        <f>K1408*VLOOKUP(I1408,dagsoorttabel1,2,FALSE)</f>
        <v>27</v>
      </c>
      <c r="M1408" s="67">
        <f>prodnorm36</f>
        <v>0</v>
      </c>
      <c r="N1408" s="68">
        <f>dagwerk36</f>
        <v>0</v>
      </c>
      <c r="O1408" s="64" t="s">
        <v>38</v>
      </c>
      <c r="P1408" s="69">
        <f>uurtarief36</f>
        <v>0</v>
      </c>
      <c r="Q1408" s="66" t="e">
        <f>IF(ISBLANK(M1408),0,L1408/ROUND(M1408,4))</f>
        <v>#DIV/0!</v>
      </c>
      <c r="R1408" s="66" t="e">
        <f>IF(ISBLANK(M1408),0,Q1408*ROUND(N1408,2))</f>
        <v>#DIV/0!</v>
      </c>
      <c r="S1408" s="69" t="e">
        <f>ROUND(P1408,2)*Q1408</f>
        <v>#DIV/0!</v>
      </c>
      <c r="T1408" s="66" t="e">
        <f>Q1408*dagenperjaar1</f>
        <v>#DIV/0!</v>
      </c>
      <c r="U1408" s="70" t="e">
        <f>T1408*ROUND(P1408,2)</f>
        <v>#DIV/0!</v>
      </c>
    </row>
    <row r="1409" spans="1:21" x14ac:dyDescent="0.2">
      <c r="A1409" s="63" t="s">
        <v>1850</v>
      </c>
      <c r="B1409" s="64" t="s">
        <v>324</v>
      </c>
      <c r="C1409" s="64" t="s">
        <v>345</v>
      </c>
      <c r="D1409" s="64" t="s">
        <v>1909</v>
      </c>
      <c r="E1409" s="64" t="s">
        <v>324</v>
      </c>
      <c r="F1409" s="65" t="s">
        <v>354</v>
      </c>
      <c r="G1409" s="64" t="s">
        <v>328</v>
      </c>
      <c r="H1409" s="64" t="s">
        <v>267</v>
      </c>
      <c r="I1409" s="64" t="s">
        <v>10</v>
      </c>
      <c r="J1409" s="64" t="s">
        <v>201</v>
      </c>
      <c r="K1409" s="66">
        <v>4</v>
      </c>
      <c r="L1409" s="66">
        <f>K1409*VLOOKUP(I1409,dagsoorttabel1,2,FALSE)</f>
        <v>4</v>
      </c>
      <c r="M1409" s="67">
        <f>prodnorm65</f>
        <v>0</v>
      </c>
      <c r="N1409" s="68">
        <f>dagwerk65</f>
        <v>0</v>
      </c>
      <c r="O1409" s="64" t="s">
        <v>38</v>
      </c>
      <c r="P1409" s="69">
        <f>uurtarief65</f>
        <v>0</v>
      </c>
      <c r="Q1409" s="66" t="e">
        <f>IF(ISBLANK(M1409),0,L1409/ROUND(M1409,4))</f>
        <v>#DIV/0!</v>
      </c>
      <c r="R1409" s="66" t="e">
        <f>IF(ISBLANK(M1409),0,Q1409*ROUND(N1409,2))</f>
        <v>#DIV/0!</v>
      </c>
      <c r="S1409" s="69" t="e">
        <f>ROUND(P1409,2)*Q1409</f>
        <v>#DIV/0!</v>
      </c>
      <c r="T1409" s="66" t="e">
        <f>Q1409*dagenperjaar1</f>
        <v>#DIV/0!</v>
      </c>
      <c r="U1409" s="70" t="e">
        <f>T1409*ROUND(P1409,2)</f>
        <v>#DIV/0!</v>
      </c>
    </row>
    <row r="1410" spans="1:21" x14ac:dyDescent="0.2">
      <c r="A1410" s="63" t="s">
        <v>1850</v>
      </c>
      <c r="B1410" s="64" t="s">
        <v>324</v>
      </c>
      <c r="C1410" s="64" t="s">
        <v>345</v>
      </c>
      <c r="D1410" s="64" t="s">
        <v>1910</v>
      </c>
      <c r="E1410" s="64" t="s">
        <v>324</v>
      </c>
      <c r="F1410" s="65" t="s">
        <v>638</v>
      </c>
      <c r="G1410" s="64" t="s">
        <v>1583</v>
      </c>
      <c r="H1410" s="64" t="s">
        <v>263</v>
      </c>
      <c r="I1410" s="64" t="s">
        <v>10</v>
      </c>
      <c r="J1410" s="64" t="s">
        <v>201</v>
      </c>
      <c r="K1410" s="66">
        <v>14</v>
      </c>
      <c r="L1410" s="66">
        <f>K1410*VLOOKUP(I1410,dagsoorttabel1,2,FALSE)</f>
        <v>14</v>
      </c>
      <c r="M1410" s="67">
        <f>prodnorm63</f>
        <v>0</v>
      </c>
      <c r="N1410" s="68">
        <f>dagwerk63</f>
        <v>0</v>
      </c>
      <c r="O1410" s="64" t="s">
        <v>38</v>
      </c>
      <c r="P1410" s="69">
        <f>uurtarief63</f>
        <v>0</v>
      </c>
      <c r="Q1410" s="66" t="e">
        <f>IF(ISBLANK(M1410),0,L1410/ROUND(M1410,4))</f>
        <v>#DIV/0!</v>
      </c>
      <c r="R1410" s="66" t="e">
        <f>IF(ISBLANK(M1410),0,Q1410*ROUND(N1410,2))</f>
        <v>#DIV/0!</v>
      </c>
      <c r="S1410" s="69" t="e">
        <f>ROUND(P1410,2)*Q1410</f>
        <v>#DIV/0!</v>
      </c>
      <c r="T1410" s="66" t="e">
        <f>Q1410*dagenperjaar1</f>
        <v>#DIV/0!</v>
      </c>
      <c r="U1410" s="70" t="e">
        <f>T1410*ROUND(P1410,2)</f>
        <v>#DIV/0!</v>
      </c>
    </row>
    <row r="1411" spans="1:21" x14ac:dyDescent="0.2">
      <c r="A1411" s="63" t="s">
        <v>1850</v>
      </c>
      <c r="B1411" s="64" t="s">
        <v>324</v>
      </c>
      <c r="C1411" s="64" t="s">
        <v>345</v>
      </c>
      <c r="D1411" s="64" t="s">
        <v>1911</v>
      </c>
      <c r="E1411" s="64" t="s">
        <v>324</v>
      </c>
      <c r="F1411" s="65" t="s">
        <v>834</v>
      </c>
      <c r="G1411" s="64" t="s">
        <v>328</v>
      </c>
      <c r="H1411" s="64" t="s">
        <v>267</v>
      </c>
      <c r="I1411" s="64" t="s">
        <v>10</v>
      </c>
      <c r="J1411" s="64" t="s">
        <v>201</v>
      </c>
      <c r="K1411" s="66">
        <v>294</v>
      </c>
      <c r="L1411" s="66">
        <f>K1411*VLOOKUP(I1411,dagsoorttabel1,2,FALSE)</f>
        <v>294</v>
      </c>
      <c r="M1411" s="67">
        <f>prodnorm65</f>
        <v>0</v>
      </c>
      <c r="N1411" s="68">
        <f>dagwerk65</f>
        <v>0</v>
      </c>
      <c r="O1411" s="64" t="s">
        <v>38</v>
      </c>
      <c r="P1411" s="69">
        <f>uurtarief65</f>
        <v>0</v>
      </c>
      <c r="Q1411" s="66" t="e">
        <f>IF(ISBLANK(M1411),0,L1411/ROUND(M1411,4))</f>
        <v>#DIV/0!</v>
      </c>
      <c r="R1411" s="66" t="e">
        <f>IF(ISBLANK(M1411),0,Q1411*ROUND(N1411,2))</f>
        <v>#DIV/0!</v>
      </c>
      <c r="S1411" s="69" t="e">
        <f>ROUND(P1411,2)*Q1411</f>
        <v>#DIV/0!</v>
      </c>
      <c r="T1411" s="66" t="e">
        <f>Q1411*dagenperjaar1</f>
        <v>#DIV/0!</v>
      </c>
      <c r="U1411" s="70" t="e">
        <f>T1411*ROUND(P1411,2)</f>
        <v>#DIV/0!</v>
      </c>
    </row>
    <row r="1412" spans="1:21" x14ac:dyDescent="0.2">
      <c r="A1412" s="63" t="s">
        <v>1850</v>
      </c>
      <c r="B1412" s="64" t="s">
        <v>324</v>
      </c>
      <c r="C1412" s="64" t="s">
        <v>345</v>
      </c>
      <c r="D1412" s="64" t="s">
        <v>1912</v>
      </c>
      <c r="E1412" s="64" t="s">
        <v>324</v>
      </c>
      <c r="F1412" s="65" t="s">
        <v>457</v>
      </c>
      <c r="G1412" s="64" t="s">
        <v>857</v>
      </c>
      <c r="H1412" s="64" t="s">
        <v>229</v>
      </c>
      <c r="I1412" s="64" t="s">
        <v>10</v>
      </c>
      <c r="J1412" s="64" t="s">
        <v>201</v>
      </c>
      <c r="K1412" s="66">
        <v>48</v>
      </c>
      <c r="L1412" s="66">
        <f>K1412*VLOOKUP(I1412,dagsoorttabel1,2,FALSE)</f>
        <v>48</v>
      </c>
      <c r="M1412" s="67">
        <f>prodnorm43</f>
        <v>0</v>
      </c>
      <c r="N1412" s="68">
        <f>dagwerk43</f>
        <v>0</v>
      </c>
      <c r="O1412" s="64" t="s">
        <v>38</v>
      </c>
      <c r="P1412" s="69">
        <f>uurtarief43</f>
        <v>0</v>
      </c>
      <c r="Q1412" s="66" t="e">
        <f>IF(ISBLANK(M1412),0,L1412/ROUND(M1412,4))</f>
        <v>#DIV/0!</v>
      </c>
      <c r="R1412" s="66" t="e">
        <f>IF(ISBLANK(M1412),0,Q1412*ROUND(N1412,2))</f>
        <v>#DIV/0!</v>
      </c>
      <c r="S1412" s="69" t="e">
        <f>ROUND(P1412,2)*Q1412</f>
        <v>#DIV/0!</v>
      </c>
      <c r="T1412" s="66" t="e">
        <f>Q1412*dagenperjaar1</f>
        <v>#DIV/0!</v>
      </c>
      <c r="U1412" s="70" t="e">
        <f>T1412*ROUND(P1412,2)</f>
        <v>#DIV/0!</v>
      </c>
    </row>
    <row r="1413" spans="1:21" x14ac:dyDescent="0.2">
      <c r="A1413" s="63" t="s">
        <v>1850</v>
      </c>
      <c r="B1413" s="64" t="s">
        <v>324</v>
      </c>
      <c r="C1413" s="64" t="s">
        <v>345</v>
      </c>
      <c r="D1413" s="64" t="s">
        <v>1913</v>
      </c>
      <c r="E1413" s="64" t="s">
        <v>324</v>
      </c>
      <c r="F1413" s="65" t="s">
        <v>1636</v>
      </c>
      <c r="G1413" s="64" t="s">
        <v>857</v>
      </c>
      <c r="H1413" s="64" t="s">
        <v>247</v>
      </c>
      <c r="I1413" s="64" t="s">
        <v>10</v>
      </c>
      <c r="J1413" s="64" t="s">
        <v>201</v>
      </c>
      <c r="K1413" s="66">
        <v>103</v>
      </c>
      <c r="L1413" s="66">
        <f>K1413*VLOOKUP(I1413,dagsoorttabel1,2,FALSE)</f>
        <v>103</v>
      </c>
      <c r="M1413" s="67">
        <f>prodnorm55</f>
        <v>0</v>
      </c>
      <c r="N1413" s="68">
        <f>dagwerk55</f>
        <v>0</v>
      </c>
      <c r="O1413" s="64" t="s">
        <v>38</v>
      </c>
      <c r="P1413" s="69">
        <f>uurtarief55</f>
        <v>0</v>
      </c>
      <c r="Q1413" s="66" t="e">
        <f>IF(ISBLANK(M1413),0,L1413/ROUND(M1413,4))</f>
        <v>#DIV/0!</v>
      </c>
      <c r="R1413" s="66" t="e">
        <f>IF(ISBLANK(M1413),0,Q1413*ROUND(N1413,2))</f>
        <v>#DIV/0!</v>
      </c>
      <c r="S1413" s="69" t="e">
        <f>ROUND(P1413,2)*Q1413</f>
        <v>#DIV/0!</v>
      </c>
      <c r="T1413" s="66" t="e">
        <f>Q1413*dagenperjaar1</f>
        <v>#DIV/0!</v>
      </c>
      <c r="U1413" s="70" t="e">
        <f>T1413*ROUND(P1413,2)</f>
        <v>#DIV/0!</v>
      </c>
    </row>
    <row r="1414" spans="1:21" x14ac:dyDescent="0.2">
      <c r="A1414" s="63" t="s">
        <v>1850</v>
      </c>
      <c r="B1414" s="64" t="s">
        <v>324</v>
      </c>
      <c r="C1414" s="64" t="s">
        <v>345</v>
      </c>
      <c r="D1414" s="64" t="s">
        <v>1914</v>
      </c>
      <c r="E1414" s="64" t="s">
        <v>324</v>
      </c>
      <c r="F1414" s="65" t="s">
        <v>1862</v>
      </c>
      <c r="G1414" s="64" t="s">
        <v>365</v>
      </c>
      <c r="H1414" s="64" t="s">
        <v>255</v>
      </c>
      <c r="I1414" s="64" t="s">
        <v>10</v>
      </c>
      <c r="J1414" s="64" t="s">
        <v>201</v>
      </c>
      <c r="K1414" s="66">
        <v>15</v>
      </c>
      <c r="L1414" s="66">
        <f>K1414*VLOOKUP(I1414,dagsoorttabel1,2,FALSE)</f>
        <v>15</v>
      </c>
      <c r="M1414" s="67">
        <f>prodnorm59</f>
        <v>0</v>
      </c>
      <c r="N1414" s="68">
        <f>dagwerk59</f>
        <v>0</v>
      </c>
      <c r="O1414" s="64" t="s">
        <v>38</v>
      </c>
      <c r="P1414" s="69">
        <f>uurtarief59</f>
        <v>0</v>
      </c>
      <c r="Q1414" s="66" t="e">
        <f>IF(ISBLANK(M1414),0,L1414/ROUND(M1414,4))</f>
        <v>#DIV/0!</v>
      </c>
      <c r="R1414" s="66" t="e">
        <f>IF(ISBLANK(M1414),0,Q1414*ROUND(N1414,2))</f>
        <v>#DIV/0!</v>
      </c>
      <c r="S1414" s="69" t="e">
        <f>ROUND(P1414,2)*Q1414</f>
        <v>#DIV/0!</v>
      </c>
      <c r="T1414" s="66" t="e">
        <f>Q1414*dagenperjaar1</f>
        <v>#DIV/0!</v>
      </c>
      <c r="U1414" s="70" t="e">
        <f>T1414*ROUND(P1414,2)</f>
        <v>#DIV/0!</v>
      </c>
    </row>
    <row r="1415" spans="1:21" x14ac:dyDescent="0.2">
      <c r="A1415" s="63" t="s">
        <v>1850</v>
      </c>
      <c r="B1415" s="64" t="s">
        <v>324</v>
      </c>
      <c r="C1415" s="64" t="s">
        <v>345</v>
      </c>
      <c r="D1415" s="64" t="s">
        <v>1915</v>
      </c>
      <c r="E1415" s="64" t="s">
        <v>324</v>
      </c>
      <c r="F1415" s="65" t="s">
        <v>1864</v>
      </c>
      <c r="G1415" s="64" t="s">
        <v>365</v>
      </c>
      <c r="H1415" s="64" t="s">
        <v>255</v>
      </c>
      <c r="I1415" s="64" t="s">
        <v>10</v>
      </c>
      <c r="J1415" s="64" t="s">
        <v>201</v>
      </c>
      <c r="K1415" s="66">
        <v>20</v>
      </c>
      <c r="L1415" s="66">
        <f>K1415*VLOOKUP(I1415,dagsoorttabel1,2,FALSE)</f>
        <v>20</v>
      </c>
      <c r="M1415" s="67">
        <f>prodnorm59</f>
        <v>0</v>
      </c>
      <c r="N1415" s="68">
        <f>dagwerk59</f>
        <v>0</v>
      </c>
      <c r="O1415" s="64" t="s">
        <v>38</v>
      </c>
      <c r="P1415" s="69">
        <f>uurtarief59</f>
        <v>0</v>
      </c>
      <c r="Q1415" s="66" t="e">
        <f>IF(ISBLANK(M1415),0,L1415/ROUND(M1415,4))</f>
        <v>#DIV/0!</v>
      </c>
      <c r="R1415" s="66" t="e">
        <f>IF(ISBLANK(M1415),0,Q1415*ROUND(N1415,2))</f>
        <v>#DIV/0!</v>
      </c>
      <c r="S1415" s="69" t="e">
        <f>ROUND(P1415,2)*Q1415</f>
        <v>#DIV/0!</v>
      </c>
      <c r="T1415" s="66" t="e">
        <f>Q1415*dagenperjaar1</f>
        <v>#DIV/0!</v>
      </c>
      <c r="U1415" s="70" t="e">
        <f>T1415*ROUND(P1415,2)</f>
        <v>#DIV/0!</v>
      </c>
    </row>
    <row r="1416" spans="1:21" x14ac:dyDescent="0.2">
      <c r="A1416" s="63" t="s">
        <v>1850</v>
      </c>
      <c r="B1416" s="64" t="s">
        <v>324</v>
      </c>
      <c r="C1416" s="64" t="s">
        <v>345</v>
      </c>
      <c r="D1416" s="64" t="s">
        <v>1916</v>
      </c>
      <c r="E1416" s="64" t="s">
        <v>324</v>
      </c>
      <c r="F1416" s="65" t="s">
        <v>335</v>
      </c>
      <c r="G1416" s="64" t="s">
        <v>328</v>
      </c>
      <c r="H1416" s="64" t="s">
        <v>267</v>
      </c>
      <c r="I1416" s="64" t="s">
        <v>10</v>
      </c>
      <c r="J1416" s="64" t="s">
        <v>201</v>
      </c>
      <c r="K1416" s="66">
        <v>63</v>
      </c>
      <c r="L1416" s="66">
        <f>K1416*VLOOKUP(I1416,dagsoorttabel1,2,FALSE)</f>
        <v>63</v>
      </c>
      <c r="M1416" s="67">
        <f>prodnorm65</f>
        <v>0</v>
      </c>
      <c r="N1416" s="68">
        <f>dagwerk65</f>
        <v>0</v>
      </c>
      <c r="O1416" s="64" t="s">
        <v>38</v>
      </c>
      <c r="P1416" s="69">
        <f>uurtarief65</f>
        <v>0</v>
      </c>
      <c r="Q1416" s="66" t="e">
        <f>IF(ISBLANK(M1416),0,L1416/ROUND(M1416,4))</f>
        <v>#DIV/0!</v>
      </c>
      <c r="R1416" s="66" t="e">
        <f>IF(ISBLANK(M1416),0,Q1416*ROUND(N1416,2))</f>
        <v>#DIV/0!</v>
      </c>
      <c r="S1416" s="69" t="e">
        <f>ROUND(P1416,2)*Q1416</f>
        <v>#DIV/0!</v>
      </c>
      <c r="T1416" s="66" t="e">
        <f>Q1416*dagenperjaar1</f>
        <v>#DIV/0!</v>
      </c>
      <c r="U1416" s="70" t="e">
        <f>T1416*ROUND(P1416,2)</f>
        <v>#DIV/0!</v>
      </c>
    </row>
    <row r="1417" spans="1:21" x14ac:dyDescent="0.2">
      <c r="A1417" s="63" t="s">
        <v>1850</v>
      </c>
      <c r="B1417" s="64" t="s">
        <v>324</v>
      </c>
      <c r="C1417" s="64" t="s">
        <v>345</v>
      </c>
      <c r="D1417" s="64" t="s">
        <v>1917</v>
      </c>
      <c r="E1417" s="64" t="s">
        <v>324</v>
      </c>
      <c r="F1417" s="65" t="s">
        <v>457</v>
      </c>
      <c r="G1417" s="64" t="s">
        <v>328</v>
      </c>
      <c r="H1417" s="64" t="s">
        <v>229</v>
      </c>
      <c r="I1417" s="64" t="s">
        <v>10</v>
      </c>
      <c r="J1417" s="64" t="s">
        <v>201</v>
      </c>
      <c r="K1417" s="66">
        <v>88</v>
      </c>
      <c r="L1417" s="66">
        <f>K1417*VLOOKUP(I1417,dagsoorttabel1,2,FALSE)</f>
        <v>88</v>
      </c>
      <c r="M1417" s="67">
        <f>prodnorm43</f>
        <v>0</v>
      </c>
      <c r="N1417" s="68">
        <f>dagwerk43</f>
        <v>0</v>
      </c>
      <c r="O1417" s="64" t="s">
        <v>38</v>
      </c>
      <c r="P1417" s="69">
        <f>uurtarief43</f>
        <v>0</v>
      </c>
      <c r="Q1417" s="66" t="e">
        <f>IF(ISBLANK(M1417),0,L1417/ROUND(M1417,4))</f>
        <v>#DIV/0!</v>
      </c>
      <c r="R1417" s="66" t="e">
        <f>IF(ISBLANK(M1417),0,Q1417*ROUND(N1417,2))</f>
        <v>#DIV/0!</v>
      </c>
      <c r="S1417" s="69" t="e">
        <f>ROUND(P1417,2)*Q1417</f>
        <v>#DIV/0!</v>
      </c>
      <c r="T1417" s="66" t="e">
        <f>Q1417*dagenperjaar1</f>
        <v>#DIV/0!</v>
      </c>
      <c r="U1417" s="70" t="e">
        <f>T1417*ROUND(P1417,2)</f>
        <v>#DIV/0!</v>
      </c>
    </row>
    <row r="1418" spans="1:21" x14ac:dyDescent="0.2">
      <c r="A1418" s="63" t="s">
        <v>1850</v>
      </c>
      <c r="B1418" s="64" t="s">
        <v>324</v>
      </c>
      <c r="C1418" s="64" t="s">
        <v>345</v>
      </c>
      <c r="D1418" s="64" t="s">
        <v>1918</v>
      </c>
      <c r="E1418" s="64" t="s">
        <v>324</v>
      </c>
      <c r="F1418" s="65" t="s">
        <v>457</v>
      </c>
      <c r="G1418" s="64" t="s">
        <v>328</v>
      </c>
      <c r="H1418" s="64" t="s">
        <v>229</v>
      </c>
      <c r="I1418" s="64" t="s">
        <v>10</v>
      </c>
      <c r="J1418" s="64" t="s">
        <v>201</v>
      </c>
      <c r="K1418" s="66">
        <v>55</v>
      </c>
      <c r="L1418" s="66">
        <f>K1418*VLOOKUP(I1418,dagsoorttabel1,2,FALSE)</f>
        <v>55</v>
      </c>
      <c r="M1418" s="67">
        <f>prodnorm43</f>
        <v>0</v>
      </c>
      <c r="N1418" s="68">
        <f>dagwerk43</f>
        <v>0</v>
      </c>
      <c r="O1418" s="64" t="s">
        <v>38</v>
      </c>
      <c r="P1418" s="69">
        <f>uurtarief43</f>
        <v>0</v>
      </c>
      <c r="Q1418" s="66" t="e">
        <f>IF(ISBLANK(M1418),0,L1418/ROUND(M1418,4))</f>
        <v>#DIV/0!</v>
      </c>
      <c r="R1418" s="66" t="e">
        <f>IF(ISBLANK(M1418),0,Q1418*ROUND(N1418,2))</f>
        <v>#DIV/0!</v>
      </c>
      <c r="S1418" s="69" t="e">
        <f>ROUND(P1418,2)*Q1418</f>
        <v>#DIV/0!</v>
      </c>
      <c r="T1418" s="66" t="e">
        <f>Q1418*dagenperjaar1</f>
        <v>#DIV/0!</v>
      </c>
      <c r="U1418" s="70" t="e">
        <f>T1418*ROUND(P1418,2)</f>
        <v>#DIV/0!</v>
      </c>
    </row>
    <row r="1419" spans="1:21" x14ac:dyDescent="0.2">
      <c r="A1419" s="63" t="s">
        <v>1850</v>
      </c>
      <c r="B1419" s="64" t="s">
        <v>324</v>
      </c>
      <c r="C1419" s="64" t="s">
        <v>345</v>
      </c>
      <c r="D1419" s="64" t="s">
        <v>1919</v>
      </c>
      <c r="E1419" s="64" t="s">
        <v>324</v>
      </c>
      <c r="F1419" s="65" t="s">
        <v>655</v>
      </c>
      <c r="G1419" s="64" t="s">
        <v>1920</v>
      </c>
      <c r="H1419" s="64" t="s">
        <v>263</v>
      </c>
      <c r="I1419" s="64" t="s">
        <v>10</v>
      </c>
      <c r="J1419" s="64" t="s">
        <v>201</v>
      </c>
      <c r="K1419" s="66">
        <v>14</v>
      </c>
      <c r="L1419" s="66">
        <f>K1419*VLOOKUP(I1419,dagsoorttabel1,2,FALSE)</f>
        <v>14</v>
      </c>
      <c r="M1419" s="67">
        <f>prodnorm63</f>
        <v>0</v>
      </c>
      <c r="N1419" s="68">
        <f>dagwerk63</f>
        <v>0</v>
      </c>
      <c r="O1419" s="64" t="s">
        <v>38</v>
      </c>
      <c r="P1419" s="69">
        <f>uurtarief63</f>
        <v>0</v>
      </c>
      <c r="Q1419" s="66" t="e">
        <f>IF(ISBLANK(M1419),0,L1419/ROUND(M1419,4))</f>
        <v>#DIV/0!</v>
      </c>
      <c r="R1419" s="66" t="e">
        <f>IF(ISBLANK(M1419),0,Q1419*ROUND(N1419,2))</f>
        <v>#DIV/0!</v>
      </c>
      <c r="S1419" s="69" t="e">
        <f>ROUND(P1419,2)*Q1419</f>
        <v>#DIV/0!</v>
      </c>
      <c r="T1419" s="66" t="e">
        <f>Q1419*dagenperjaar1</f>
        <v>#DIV/0!</v>
      </c>
      <c r="U1419" s="70" t="e">
        <f>T1419*ROUND(P1419,2)</f>
        <v>#DIV/0!</v>
      </c>
    </row>
    <row r="1420" spans="1:21" x14ac:dyDescent="0.2">
      <c r="A1420" s="63" t="s">
        <v>1850</v>
      </c>
      <c r="B1420" s="64" t="s">
        <v>324</v>
      </c>
      <c r="C1420" s="64" t="s">
        <v>345</v>
      </c>
      <c r="D1420" s="64" t="s">
        <v>1921</v>
      </c>
      <c r="E1420" s="64" t="s">
        <v>324</v>
      </c>
      <c r="F1420" s="65" t="s">
        <v>457</v>
      </c>
      <c r="G1420" s="64" t="s">
        <v>328</v>
      </c>
      <c r="H1420" s="64" t="s">
        <v>229</v>
      </c>
      <c r="I1420" s="64" t="s">
        <v>10</v>
      </c>
      <c r="J1420" s="64" t="s">
        <v>201</v>
      </c>
      <c r="K1420" s="66">
        <v>74</v>
      </c>
      <c r="L1420" s="66">
        <f>K1420*VLOOKUP(I1420,dagsoorttabel1,2,FALSE)</f>
        <v>74</v>
      </c>
      <c r="M1420" s="67">
        <f>prodnorm43</f>
        <v>0</v>
      </c>
      <c r="N1420" s="68">
        <f>dagwerk43</f>
        <v>0</v>
      </c>
      <c r="O1420" s="64" t="s">
        <v>38</v>
      </c>
      <c r="P1420" s="69">
        <f>uurtarief43</f>
        <v>0</v>
      </c>
      <c r="Q1420" s="66" t="e">
        <f>IF(ISBLANK(M1420),0,L1420/ROUND(M1420,4))</f>
        <v>#DIV/0!</v>
      </c>
      <c r="R1420" s="66" t="e">
        <f>IF(ISBLANK(M1420),0,Q1420*ROUND(N1420,2))</f>
        <v>#DIV/0!</v>
      </c>
      <c r="S1420" s="69" t="e">
        <f>ROUND(P1420,2)*Q1420</f>
        <v>#DIV/0!</v>
      </c>
      <c r="T1420" s="66" t="e">
        <f>Q1420*dagenperjaar1</f>
        <v>#DIV/0!</v>
      </c>
      <c r="U1420" s="70" t="e">
        <f>T1420*ROUND(P1420,2)</f>
        <v>#DIV/0!</v>
      </c>
    </row>
    <row r="1421" spans="1:21" x14ac:dyDescent="0.2">
      <c r="A1421" s="63" t="s">
        <v>1850</v>
      </c>
      <c r="B1421" s="64" t="s">
        <v>324</v>
      </c>
      <c r="C1421" s="64" t="s">
        <v>345</v>
      </c>
      <c r="D1421" s="64" t="s">
        <v>1922</v>
      </c>
      <c r="E1421" s="64" t="s">
        <v>324</v>
      </c>
      <c r="F1421" s="65" t="s">
        <v>1923</v>
      </c>
      <c r="G1421" s="64" t="s">
        <v>328</v>
      </c>
      <c r="H1421" s="64" t="s">
        <v>205</v>
      </c>
      <c r="I1421" s="64" t="s">
        <v>10</v>
      </c>
      <c r="J1421" s="64" t="s">
        <v>201</v>
      </c>
      <c r="K1421" s="66">
        <v>49</v>
      </c>
      <c r="L1421" s="66">
        <f>K1421*VLOOKUP(I1421,dagsoorttabel1,2,FALSE)</f>
        <v>49</v>
      </c>
      <c r="M1421" s="67">
        <f>prodnorm26</f>
        <v>0</v>
      </c>
      <c r="N1421" s="68">
        <f>dagwerk26</f>
        <v>0</v>
      </c>
      <c r="O1421" s="64" t="s">
        <v>38</v>
      </c>
      <c r="P1421" s="69">
        <f>uurtarief26</f>
        <v>0</v>
      </c>
      <c r="Q1421" s="66" t="e">
        <f>IF(ISBLANK(M1421),0,L1421/ROUND(M1421,4))</f>
        <v>#DIV/0!</v>
      </c>
      <c r="R1421" s="66" t="e">
        <f>IF(ISBLANK(M1421),0,Q1421*ROUND(N1421,2))</f>
        <v>#DIV/0!</v>
      </c>
      <c r="S1421" s="69" t="e">
        <f>ROUND(P1421,2)*Q1421</f>
        <v>#DIV/0!</v>
      </c>
      <c r="T1421" s="66" t="e">
        <f>Q1421*dagenperjaar1</f>
        <v>#DIV/0!</v>
      </c>
      <c r="U1421" s="70" t="e">
        <f>T1421*ROUND(P1421,2)</f>
        <v>#DIV/0!</v>
      </c>
    </row>
    <row r="1422" spans="1:21" x14ac:dyDescent="0.2">
      <c r="A1422" s="63" t="s">
        <v>1850</v>
      </c>
      <c r="B1422" s="64" t="s">
        <v>324</v>
      </c>
      <c r="C1422" s="64" t="s">
        <v>345</v>
      </c>
      <c r="D1422" s="64" t="s">
        <v>1924</v>
      </c>
      <c r="E1422" s="64" t="s">
        <v>324</v>
      </c>
      <c r="F1422" s="65" t="s">
        <v>457</v>
      </c>
      <c r="G1422" s="64" t="s">
        <v>328</v>
      </c>
      <c r="H1422" s="64" t="s">
        <v>229</v>
      </c>
      <c r="I1422" s="64" t="s">
        <v>10</v>
      </c>
      <c r="J1422" s="64" t="s">
        <v>201</v>
      </c>
      <c r="K1422" s="66">
        <v>73</v>
      </c>
      <c r="L1422" s="66">
        <f>K1422*VLOOKUP(I1422,dagsoorttabel1,2,FALSE)</f>
        <v>73</v>
      </c>
      <c r="M1422" s="67">
        <f>prodnorm43</f>
        <v>0</v>
      </c>
      <c r="N1422" s="68">
        <f>dagwerk43</f>
        <v>0</v>
      </c>
      <c r="O1422" s="64" t="s">
        <v>38</v>
      </c>
      <c r="P1422" s="69">
        <f>uurtarief43</f>
        <v>0</v>
      </c>
      <c r="Q1422" s="66" t="e">
        <f>IF(ISBLANK(M1422),0,L1422/ROUND(M1422,4))</f>
        <v>#DIV/0!</v>
      </c>
      <c r="R1422" s="66" t="e">
        <f>IF(ISBLANK(M1422),0,Q1422*ROUND(N1422,2))</f>
        <v>#DIV/0!</v>
      </c>
      <c r="S1422" s="69" t="e">
        <f>ROUND(P1422,2)*Q1422</f>
        <v>#DIV/0!</v>
      </c>
      <c r="T1422" s="66" t="e">
        <f>Q1422*dagenperjaar1</f>
        <v>#DIV/0!</v>
      </c>
      <c r="U1422" s="70" t="e">
        <f>T1422*ROUND(P1422,2)</f>
        <v>#DIV/0!</v>
      </c>
    </row>
    <row r="1423" spans="1:21" x14ac:dyDescent="0.2">
      <c r="A1423" s="63" t="s">
        <v>1850</v>
      </c>
      <c r="B1423" s="64" t="s">
        <v>324</v>
      </c>
      <c r="C1423" s="64" t="s">
        <v>345</v>
      </c>
      <c r="D1423" s="64" t="s">
        <v>1925</v>
      </c>
      <c r="E1423" s="64" t="s">
        <v>324</v>
      </c>
      <c r="F1423" s="65" t="s">
        <v>1926</v>
      </c>
      <c r="G1423" s="64" t="s">
        <v>328</v>
      </c>
      <c r="H1423" s="64" t="s">
        <v>267</v>
      </c>
      <c r="I1423" s="64" t="s">
        <v>10</v>
      </c>
      <c r="J1423" s="64" t="s">
        <v>201</v>
      </c>
      <c r="K1423" s="66">
        <v>49</v>
      </c>
      <c r="L1423" s="66">
        <f>K1423*VLOOKUP(I1423,dagsoorttabel1,2,FALSE)</f>
        <v>49</v>
      </c>
      <c r="M1423" s="67">
        <f>prodnorm65</f>
        <v>0</v>
      </c>
      <c r="N1423" s="68">
        <f>dagwerk65</f>
        <v>0</v>
      </c>
      <c r="O1423" s="64" t="s">
        <v>38</v>
      </c>
      <c r="P1423" s="69">
        <f>uurtarief65</f>
        <v>0</v>
      </c>
      <c r="Q1423" s="66" t="e">
        <f>IF(ISBLANK(M1423),0,L1423/ROUND(M1423,4))</f>
        <v>#DIV/0!</v>
      </c>
      <c r="R1423" s="66" t="e">
        <f>IF(ISBLANK(M1423),0,Q1423*ROUND(N1423,2))</f>
        <v>#DIV/0!</v>
      </c>
      <c r="S1423" s="69" t="e">
        <f>ROUND(P1423,2)*Q1423</f>
        <v>#DIV/0!</v>
      </c>
      <c r="T1423" s="66" t="e">
        <f>Q1423*dagenperjaar1</f>
        <v>#DIV/0!</v>
      </c>
      <c r="U1423" s="70" t="e">
        <f>T1423*ROUND(P1423,2)</f>
        <v>#DIV/0!</v>
      </c>
    </row>
    <row r="1424" spans="1:21" x14ac:dyDescent="0.2">
      <c r="A1424" s="63" t="s">
        <v>1850</v>
      </c>
      <c r="B1424" s="64" t="s">
        <v>324</v>
      </c>
      <c r="C1424" s="64" t="s">
        <v>345</v>
      </c>
      <c r="D1424" s="64" t="s">
        <v>1927</v>
      </c>
      <c r="E1424" s="64" t="s">
        <v>324</v>
      </c>
      <c r="F1424" s="65" t="s">
        <v>457</v>
      </c>
      <c r="G1424" s="64" t="s">
        <v>328</v>
      </c>
      <c r="H1424" s="64" t="s">
        <v>229</v>
      </c>
      <c r="I1424" s="64" t="s">
        <v>10</v>
      </c>
      <c r="J1424" s="64" t="s">
        <v>201</v>
      </c>
      <c r="K1424" s="66">
        <v>89</v>
      </c>
      <c r="L1424" s="66">
        <f>K1424*VLOOKUP(I1424,dagsoorttabel1,2,FALSE)</f>
        <v>89</v>
      </c>
      <c r="M1424" s="67">
        <f>prodnorm43</f>
        <v>0</v>
      </c>
      <c r="N1424" s="68">
        <f>dagwerk43</f>
        <v>0</v>
      </c>
      <c r="O1424" s="64" t="s">
        <v>38</v>
      </c>
      <c r="P1424" s="69">
        <f>uurtarief43</f>
        <v>0</v>
      </c>
      <c r="Q1424" s="66" t="e">
        <f>IF(ISBLANK(M1424),0,L1424/ROUND(M1424,4))</f>
        <v>#DIV/0!</v>
      </c>
      <c r="R1424" s="66" t="e">
        <f>IF(ISBLANK(M1424),0,Q1424*ROUND(N1424,2))</f>
        <v>#DIV/0!</v>
      </c>
      <c r="S1424" s="69" t="e">
        <f>ROUND(P1424,2)*Q1424</f>
        <v>#DIV/0!</v>
      </c>
      <c r="T1424" s="66" t="e">
        <f>Q1424*dagenperjaar1</f>
        <v>#DIV/0!</v>
      </c>
      <c r="U1424" s="70" t="e">
        <f>T1424*ROUND(P1424,2)</f>
        <v>#DIV/0!</v>
      </c>
    </row>
    <row r="1425" spans="1:21" x14ac:dyDescent="0.2">
      <c r="A1425" s="63" t="s">
        <v>1850</v>
      </c>
      <c r="B1425" s="64" t="s">
        <v>324</v>
      </c>
      <c r="C1425" s="64" t="s">
        <v>345</v>
      </c>
      <c r="D1425" s="64" t="s">
        <v>1928</v>
      </c>
      <c r="E1425" s="64" t="s">
        <v>324</v>
      </c>
      <c r="F1425" s="65" t="s">
        <v>834</v>
      </c>
      <c r="G1425" s="64" t="s">
        <v>328</v>
      </c>
      <c r="H1425" s="64" t="s">
        <v>267</v>
      </c>
      <c r="I1425" s="64" t="s">
        <v>10</v>
      </c>
      <c r="J1425" s="64" t="s">
        <v>201</v>
      </c>
      <c r="K1425" s="66">
        <v>13</v>
      </c>
      <c r="L1425" s="66">
        <f>K1425*VLOOKUP(I1425,dagsoorttabel1,2,FALSE)</f>
        <v>13</v>
      </c>
      <c r="M1425" s="67">
        <f>prodnorm65</f>
        <v>0</v>
      </c>
      <c r="N1425" s="68">
        <f>dagwerk65</f>
        <v>0</v>
      </c>
      <c r="O1425" s="64" t="s">
        <v>38</v>
      </c>
      <c r="P1425" s="69">
        <f>uurtarief65</f>
        <v>0</v>
      </c>
      <c r="Q1425" s="66" t="e">
        <f>IF(ISBLANK(M1425),0,L1425/ROUND(M1425,4))</f>
        <v>#DIV/0!</v>
      </c>
      <c r="R1425" s="66" t="e">
        <f>IF(ISBLANK(M1425),0,Q1425*ROUND(N1425,2))</f>
        <v>#DIV/0!</v>
      </c>
      <c r="S1425" s="69" t="e">
        <f>ROUND(P1425,2)*Q1425</f>
        <v>#DIV/0!</v>
      </c>
      <c r="T1425" s="66" t="e">
        <f>Q1425*dagenperjaar1</f>
        <v>#DIV/0!</v>
      </c>
      <c r="U1425" s="70" t="e">
        <f>T1425*ROUND(P1425,2)</f>
        <v>#DIV/0!</v>
      </c>
    </row>
    <row r="1426" spans="1:21" x14ac:dyDescent="0.2">
      <c r="A1426" s="63" t="s">
        <v>1850</v>
      </c>
      <c r="B1426" s="64" t="s">
        <v>324</v>
      </c>
      <c r="C1426" s="64" t="s">
        <v>345</v>
      </c>
      <c r="D1426" s="64" t="s">
        <v>1929</v>
      </c>
      <c r="E1426" s="64" t="s">
        <v>324</v>
      </c>
      <c r="F1426" s="65" t="s">
        <v>457</v>
      </c>
      <c r="G1426" s="64" t="s">
        <v>328</v>
      </c>
      <c r="H1426" s="64" t="s">
        <v>229</v>
      </c>
      <c r="I1426" s="64" t="s">
        <v>10</v>
      </c>
      <c r="J1426" s="64" t="s">
        <v>201</v>
      </c>
      <c r="K1426" s="66">
        <v>118</v>
      </c>
      <c r="L1426" s="66">
        <f>K1426*VLOOKUP(I1426,dagsoorttabel1,2,FALSE)</f>
        <v>118</v>
      </c>
      <c r="M1426" s="67">
        <f>prodnorm43</f>
        <v>0</v>
      </c>
      <c r="N1426" s="68">
        <f>dagwerk43</f>
        <v>0</v>
      </c>
      <c r="O1426" s="64" t="s">
        <v>38</v>
      </c>
      <c r="P1426" s="69">
        <f>uurtarief43</f>
        <v>0</v>
      </c>
      <c r="Q1426" s="66" t="e">
        <f>IF(ISBLANK(M1426),0,L1426/ROUND(M1426,4))</f>
        <v>#DIV/0!</v>
      </c>
      <c r="R1426" s="66" t="e">
        <f>IF(ISBLANK(M1426),0,Q1426*ROUND(N1426,2))</f>
        <v>#DIV/0!</v>
      </c>
      <c r="S1426" s="69" t="e">
        <f>ROUND(P1426,2)*Q1426</f>
        <v>#DIV/0!</v>
      </c>
      <c r="T1426" s="66" t="e">
        <f>Q1426*dagenperjaar1</f>
        <v>#DIV/0!</v>
      </c>
      <c r="U1426" s="70" t="e">
        <f>T1426*ROUND(P1426,2)</f>
        <v>#DIV/0!</v>
      </c>
    </row>
    <row r="1427" spans="1:21" x14ac:dyDescent="0.2">
      <c r="A1427" s="63" t="s">
        <v>1850</v>
      </c>
      <c r="B1427" s="64" t="s">
        <v>324</v>
      </c>
      <c r="C1427" s="64" t="s">
        <v>323</v>
      </c>
      <c r="D1427" s="64" t="s">
        <v>1303</v>
      </c>
      <c r="E1427" s="64" t="s">
        <v>324</v>
      </c>
      <c r="F1427" s="65" t="s">
        <v>655</v>
      </c>
      <c r="G1427" s="64" t="s">
        <v>328</v>
      </c>
      <c r="H1427" s="64" t="s">
        <v>263</v>
      </c>
      <c r="I1427" s="64" t="s">
        <v>10</v>
      </c>
      <c r="J1427" s="64" t="s">
        <v>201</v>
      </c>
      <c r="K1427" s="66">
        <v>14</v>
      </c>
      <c r="L1427" s="66">
        <f>K1427*VLOOKUP(I1427,dagsoorttabel1,2,FALSE)</f>
        <v>14</v>
      </c>
      <c r="M1427" s="67">
        <f>prodnorm63</f>
        <v>0</v>
      </c>
      <c r="N1427" s="68">
        <f>dagwerk63</f>
        <v>0</v>
      </c>
      <c r="O1427" s="64" t="s">
        <v>38</v>
      </c>
      <c r="P1427" s="69">
        <f>uurtarief63</f>
        <v>0</v>
      </c>
      <c r="Q1427" s="66" t="e">
        <f>IF(ISBLANK(M1427),0,L1427/ROUND(M1427,4))</f>
        <v>#DIV/0!</v>
      </c>
      <c r="R1427" s="66" t="e">
        <f>IF(ISBLANK(M1427),0,Q1427*ROUND(N1427,2))</f>
        <v>#DIV/0!</v>
      </c>
      <c r="S1427" s="69" t="e">
        <f>ROUND(P1427,2)*Q1427</f>
        <v>#DIV/0!</v>
      </c>
      <c r="T1427" s="66" t="e">
        <f>Q1427*dagenperjaar1</f>
        <v>#DIV/0!</v>
      </c>
      <c r="U1427" s="70" t="e">
        <f>T1427*ROUND(P1427,2)</f>
        <v>#DIV/0!</v>
      </c>
    </row>
    <row r="1428" spans="1:21" x14ac:dyDescent="0.2">
      <c r="A1428" s="63" t="s">
        <v>1850</v>
      </c>
      <c r="B1428" s="64" t="s">
        <v>324</v>
      </c>
      <c r="C1428" s="64" t="s">
        <v>323</v>
      </c>
      <c r="D1428" s="64" t="s">
        <v>426</v>
      </c>
      <c r="E1428" s="64" t="s">
        <v>324</v>
      </c>
      <c r="F1428" s="65" t="s">
        <v>1930</v>
      </c>
      <c r="G1428" s="64" t="s">
        <v>328</v>
      </c>
      <c r="H1428" s="64" t="s">
        <v>200</v>
      </c>
      <c r="I1428" s="64" t="s">
        <v>10</v>
      </c>
      <c r="J1428" s="64" t="s">
        <v>201</v>
      </c>
      <c r="K1428" s="66">
        <v>205</v>
      </c>
      <c r="L1428" s="66">
        <f>K1428*VLOOKUP(I1428,dagsoorttabel1,2,FALSE)</f>
        <v>205</v>
      </c>
      <c r="M1428" s="67">
        <f>prodnorm24</f>
        <v>0</v>
      </c>
      <c r="N1428" s="68">
        <f>dagwerk24</f>
        <v>0</v>
      </c>
      <c r="O1428" s="64" t="s">
        <v>38</v>
      </c>
      <c r="P1428" s="69">
        <f>uurtarief24</f>
        <v>0</v>
      </c>
      <c r="Q1428" s="66" t="e">
        <f>IF(ISBLANK(M1428),0,L1428/ROUND(M1428,4))</f>
        <v>#DIV/0!</v>
      </c>
      <c r="R1428" s="66" t="e">
        <f>IF(ISBLANK(M1428),0,Q1428*ROUND(N1428,2))</f>
        <v>#DIV/0!</v>
      </c>
      <c r="S1428" s="69" t="e">
        <f>ROUND(P1428,2)*Q1428</f>
        <v>#DIV/0!</v>
      </c>
      <c r="T1428" s="66" t="e">
        <f>Q1428*dagenperjaar1</f>
        <v>#DIV/0!</v>
      </c>
      <c r="U1428" s="70" t="e">
        <f>T1428*ROUND(P1428,2)</f>
        <v>#DIV/0!</v>
      </c>
    </row>
    <row r="1429" spans="1:21" x14ac:dyDescent="0.2">
      <c r="A1429" s="63" t="s">
        <v>1850</v>
      </c>
      <c r="B1429" s="64" t="s">
        <v>324</v>
      </c>
      <c r="C1429" s="64" t="s">
        <v>323</v>
      </c>
      <c r="D1429" s="64" t="s">
        <v>438</v>
      </c>
      <c r="E1429" s="64" t="s">
        <v>324</v>
      </c>
      <c r="F1429" s="65" t="s">
        <v>1931</v>
      </c>
      <c r="G1429" s="64" t="s">
        <v>328</v>
      </c>
      <c r="H1429" s="64" t="s">
        <v>267</v>
      </c>
      <c r="I1429" s="64" t="s">
        <v>10</v>
      </c>
      <c r="J1429" s="64" t="s">
        <v>201</v>
      </c>
      <c r="K1429" s="66">
        <v>70</v>
      </c>
      <c r="L1429" s="66">
        <f>K1429*VLOOKUP(I1429,dagsoorttabel1,2,FALSE)</f>
        <v>70</v>
      </c>
      <c r="M1429" s="67">
        <f>prodnorm65</f>
        <v>0</v>
      </c>
      <c r="N1429" s="68">
        <f>dagwerk65</f>
        <v>0</v>
      </c>
      <c r="O1429" s="64" t="s">
        <v>38</v>
      </c>
      <c r="P1429" s="69">
        <f>uurtarief65</f>
        <v>0</v>
      </c>
      <c r="Q1429" s="66" t="e">
        <f>IF(ISBLANK(M1429),0,L1429/ROUND(M1429,4))</f>
        <v>#DIV/0!</v>
      </c>
      <c r="R1429" s="66" t="e">
        <f>IF(ISBLANK(M1429),0,Q1429*ROUND(N1429,2))</f>
        <v>#DIV/0!</v>
      </c>
      <c r="S1429" s="69" t="e">
        <f>ROUND(P1429,2)*Q1429</f>
        <v>#DIV/0!</v>
      </c>
      <c r="T1429" s="66" t="e">
        <f>Q1429*dagenperjaar1</f>
        <v>#DIV/0!</v>
      </c>
      <c r="U1429" s="70" t="e">
        <f>T1429*ROUND(P1429,2)</f>
        <v>#DIV/0!</v>
      </c>
    </row>
    <row r="1430" spans="1:21" x14ac:dyDescent="0.2">
      <c r="A1430" s="63" t="s">
        <v>1850</v>
      </c>
      <c r="B1430" s="64" t="s">
        <v>324</v>
      </c>
      <c r="C1430" s="64" t="s">
        <v>323</v>
      </c>
      <c r="D1430" s="64" t="s">
        <v>441</v>
      </c>
      <c r="E1430" s="64" t="s">
        <v>324</v>
      </c>
      <c r="F1430" s="65" t="s">
        <v>381</v>
      </c>
      <c r="G1430" s="64" t="s">
        <v>351</v>
      </c>
      <c r="H1430" s="64" t="s">
        <v>207</v>
      </c>
      <c r="I1430" s="64" t="s">
        <v>10</v>
      </c>
      <c r="J1430" s="64" t="s">
        <v>201</v>
      </c>
      <c r="K1430" s="66">
        <v>17</v>
      </c>
      <c r="L1430" s="66">
        <f>K1430*VLOOKUP(I1430,dagsoorttabel1,2,FALSE)</f>
        <v>17</v>
      </c>
      <c r="M1430" s="67">
        <f>prodnorm28</f>
        <v>0</v>
      </c>
      <c r="N1430" s="68">
        <f>dagwerk28</f>
        <v>0</v>
      </c>
      <c r="O1430" s="64" t="s">
        <v>38</v>
      </c>
      <c r="P1430" s="69">
        <f>uurtarief28</f>
        <v>0</v>
      </c>
      <c r="Q1430" s="66" t="e">
        <f>IF(ISBLANK(M1430),0,L1430/ROUND(M1430,4))</f>
        <v>#DIV/0!</v>
      </c>
      <c r="R1430" s="66" t="e">
        <f>IF(ISBLANK(M1430),0,Q1430*ROUND(N1430,2))</f>
        <v>#DIV/0!</v>
      </c>
      <c r="S1430" s="69" t="e">
        <f>ROUND(P1430,2)*Q1430</f>
        <v>#DIV/0!</v>
      </c>
      <c r="T1430" s="66" t="e">
        <f>Q1430*dagenperjaar1</f>
        <v>#DIV/0!</v>
      </c>
      <c r="U1430" s="70" t="e">
        <f>T1430*ROUND(P1430,2)</f>
        <v>#DIV/0!</v>
      </c>
    </row>
    <row r="1431" spans="1:21" x14ac:dyDescent="0.2">
      <c r="A1431" s="63" t="s">
        <v>1850</v>
      </c>
      <c r="B1431" s="64" t="s">
        <v>324</v>
      </c>
      <c r="C1431" s="64" t="s">
        <v>323</v>
      </c>
      <c r="D1431" s="64" t="s">
        <v>1932</v>
      </c>
      <c r="E1431" s="64" t="s">
        <v>324</v>
      </c>
      <c r="F1431" s="65" t="s">
        <v>335</v>
      </c>
      <c r="G1431" s="64" t="s">
        <v>328</v>
      </c>
      <c r="H1431" s="64" t="s">
        <v>267</v>
      </c>
      <c r="I1431" s="64" t="s">
        <v>10</v>
      </c>
      <c r="J1431" s="64" t="s">
        <v>201</v>
      </c>
      <c r="K1431" s="66">
        <v>52</v>
      </c>
      <c r="L1431" s="66">
        <f>K1431*VLOOKUP(I1431,dagsoorttabel1,2,FALSE)</f>
        <v>52</v>
      </c>
      <c r="M1431" s="67">
        <f>prodnorm65</f>
        <v>0</v>
      </c>
      <c r="N1431" s="68">
        <f>dagwerk65</f>
        <v>0</v>
      </c>
      <c r="O1431" s="64" t="s">
        <v>38</v>
      </c>
      <c r="P1431" s="69">
        <f>uurtarief65</f>
        <v>0</v>
      </c>
      <c r="Q1431" s="66" t="e">
        <f>IF(ISBLANK(M1431),0,L1431/ROUND(M1431,4))</f>
        <v>#DIV/0!</v>
      </c>
      <c r="R1431" s="66" t="e">
        <f>IF(ISBLANK(M1431),0,Q1431*ROUND(N1431,2))</f>
        <v>#DIV/0!</v>
      </c>
      <c r="S1431" s="69" t="e">
        <f>ROUND(P1431,2)*Q1431</f>
        <v>#DIV/0!</v>
      </c>
      <c r="T1431" s="66" t="e">
        <f>Q1431*dagenperjaar1</f>
        <v>#DIV/0!</v>
      </c>
      <c r="U1431" s="70" t="e">
        <f>T1431*ROUND(P1431,2)</f>
        <v>#DIV/0!</v>
      </c>
    </row>
    <row r="1432" spans="1:21" x14ac:dyDescent="0.2">
      <c r="A1432" s="63" t="s">
        <v>1850</v>
      </c>
      <c r="B1432" s="64" t="s">
        <v>324</v>
      </c>
      <c r="C1432" s="64" t="s">
        <v>323</v>
      </c>
      <c r="D1432" s="64" t="s">
        <v>1343</v>
      </c>
      <c r="E1432" s="64" t="s">
        <v>324</v>
      </c>
      <c r="F1432" s="65" t="s">
        <v>381</v>
      </c>
      <c r="G1432" s="64" t="s">
        <v>351</v>
      </c>
      <c r="H1432" s="64" t="s">
        <v>207</v>
      </c>
      <c r="I1432" s="64" t="s">
        <v>10</v>
      </c>
      <c r="J1432" s="64" t="s">
        <v>201</v>
      </c>
      <c r="K1432" s="66">
        <v>17</v>
      </c>
      <c r="L1432" s="66">
        <f>K1432*VLOOKUP(I1432,dagsoorttabel1,2,FALSE)</f>
        <v>17</v>
      </c>
      <c r="M1432" s="67">
        <f>prodnorm28</f>
        <v>0</v>
      </c>
      <c r="N1432" s="68">
        <f>dagwerk28</f>
        <v>0</v>
      </c>
      <c r="O1432" s="64" t="s">
        <v>38</v>
      </c>
      <c r="P1432" s="69">
        <f>uurtarief28</f>
        <v>0</v>
      </c>
      <c r="Q1432" s="66" t="e">
        <f>IF(ISBLANK(M1432),0,L1432/ROUND(M1432,4))</f>
        <v>#DIV/0!</v>
      </c>
      <c r="R1432" s="66" t="e">
        <f>IF(ISBLANK(M1432),0,Q1432*ROUND(N1432,2))</f>
        <v>#DIV/0!</v>
      </c>
      <c r="S1432" s="69" t="e">
        <f>ROUND(P1432,2)*Q1432</f>
        <v>#DIV/0!</v>
      </c>
      <c r="T1432" s="66" t="e">
        <f>Q1432*dagenperjaar1</f>
        <v>#DIV/0!</v>
      </c>
      <c r="U1432" s="70" t="e">
        <f>T1432*ROUND(P1432,2)</f>
        <v>#DIV/0!</v>
      </c>
    </row>
    <row r="1433" spans="1:21" x14ac:dyDescent="0.2">
      <c r="A1433" s="63" t="s">
        <v>1850</v>
      </c>
      <c r="B1433" s="64" t="s">
        <v>324</v>
      </c>
      <c r="C1433" s="64" t="s">
        <v>323</v>
      </c>
      <c r="D1433" s="64" t="s">
        <v>442</v>
      </c>
      <c r="E1433" s="64" t="s">
        <v>324</v>
      </c>
      <c r="F1433" s="65" t="s">
        <v>381</v>
      </c>
      <c r="G1433" s="64" t="s">
        <v>351</v>
      </c>
      <c r="H1433" s="64" t="s">
        <v>207</v>
      </c>
      <c r="I1433" s="64" t="s">
        <v>10</v>
      </c>
      <c r="J1433" s="64" t="s">
        <v>201</v>
      </c>
      <c r="K1433" s="66">
        <v>17</v>
      </c>
      <c r="L1433" s="66">
        <f>K1433*VLOOKUP(I1433,dagsoorttabel1,2,FALSE)</f>
        <v>17</v>
      </c>
      <c r="M1433" s="67">
        <f>prodnorm28</f>
        <v>0</v>
      </c>
      <c r="N1433" s="68">
        <f>dagwerk28</f>
        <v>0</v>
      </c>
      <c r="O1433" s="64" t="s">
        <v>38</v>
      </c>
      <c r="P1433" s="69">
        <f>uurtarief28</f>
        <v>0</v>
      </c>
      <c r="Q1433" s="66" t="e">
        <f>IF(ISBLANK(M1433),0,L1433/ROUND(M1433,4))</f>
        <v>#DIV/0!</v>
      </c>
      <c r="R1433" s="66" t="e">
        <f>IF(ISBLANK(M1433),0,Q1433*ROUND(N1433,2))</f>
        <v>#DIV/0!</v>
      </c>
      <c r="S1433" s="69" t="e">
        <f>ROUND(P1433,2)*Q1433</f>
        <v>#DIV/0!</v>
      </c>
      <c r="T1433" s="66" t="e">
        <f>Q1433*dagenperjaar1</f>
        <v>#DIV/0!</v>
      </c>
      <c r="U1433" s="70" t="e">
        <f>T1433*ROUND(P1433,2)</f>
        <v>#DIV/0!</v>
      </c>
    </row>
    <row r="1434" spans="1:21" x14ac:dyDescent="0.2">
      <c r="A1434" s="63" t="s">
        <v>1850</v>
      </c>
      <c r="B1434" s="64" t="s">
        <v>324</v>
      </c>
      <c r="C1434" s="64" t="s">
        <v>323</v>
      </c>
      <c r="D1434" s="64" t="s">
        <v>918</v>
      </c>
      <c r="E1434" s="64" t="s">
        <v>324</v>
      </c>
      <c r="F1434" s="65" t="s">
        <v>381</v>
      </c>
      <c r="G1434" s="64" t="s">
        <v>351</v>
      </c>
      <c r="H1434" s="64" t="s">
        <v>207</v>
      </c>
      <c r="I1434" s="64" t="s">
        <v>10</v>
      </c>
      <c r="J1434" s="64" t="s">
        <v>201</v>
      </c>
      <c r="K1434" s="66">
        <v>17</v>
      </c>
      <c r="L1434" s="66">
        <f>K1434*VLOOKUP(I1434,dagsoorttabel1,2,FALSE)</f>
        <v>17</v>
      </c>
      <c r="M1434" s="67">
        <f>prodnorm28</f>
        <v>0</v>
      </c>
      <c r="N1434" s="68">
        <f>dagwerk28</f>
        <v>0</v>
      </c>
      <c r="O1434" s="64" t="s">
        <v>38</v>
      </c>
      <c r="P1434" s="69">
        <f>uurtarief28</f>
        <v>0</v>
      </c>
      <c r="Q1434" s="66" t="e">
        <f>IF(ISBLANK(M1434),0,L1434/ROUND(M1434,4))</f>
        <v>#DIV/0!</v>
      </c>
      <c r="R1434" s="66" t="e">
        <f>IF(ISBLANK(M1434),0,Q1434*ROUND(N1434,2))</f>
        <v>#DIV/0!</v>
      </c>
      <c r="S1434" s="69" t="e">
        <f>ROUND(P1434,2)*Q1434</f>
        <v>#DIV/0!</v>
      </c>
      <c r="T1434" s="66" t="e">
        <f>Q1434*dagenperjaar1</f>
        <v>#DIV/0!</v>
      </c>
      <c r="U1434" s="70" t="e">
        <f>T1434*ROUND(P1434,2)</f>
        <v>#DIV/0!</v>
      </c>
    </row>
    <row r="1435" spans="1:21" x14ac:dyDescent="0.2">
      <c r="A1435" s="63" t="s">
        <v>1850</v>
      </c>
      <c r="B1435" s="64" t="s">
        <v>324</v>
      </c>
      <c r="C1435" s="64" t="s">
        <v>323</v>
      </c>
      <c r="D1435" s="64" t="s">
        <v>444</v>
      </c>
      <c r="E1435" s="64" t="s">
        <v>324</v>
      </c>
      <c r="F1435" s="65" t="s">
        <v>381</v>
      </c>
      <c r="G1435" s="64" t="s">
        <v>351</v>
      </c>
      <c r="H1435" s="64" t="s">
        <v>207</v>
      </c>
      <c r="I1435" s="64" t="s">
        <v>10</v>
      </c>
      <c r="J1435" s="64" t="s">
        <v>201</v>
      </c>
      <c r="K1435" s="66">
        <v>17</v>
      </c>
      <c r="L1435" s="66">
        <f>K1435*VLOOKUP(I1435,dagsoorttabel1,2,FALSE)</f>
        <v>17</v>
      </c>
      <c r="M1435" s="67">
        <f>prodnorm28</f>
        <v>0</v>
      </c>
      <c r="N1435" s="68">
        <f>dagwerk28</f>
        <v>0</v>
      </c>
      <c r="O1435" s="64" t="s">
        <v>38</v>
      </c>
      <c r="P1435" s="69">
        <f>uurtarief28</f>
        <v>0</v>
      </c>
      <c r="Q1435" s="66" t="e">
        <f>IF(ISBLANK(M1435),0,L1435/ROUND(M1435,4))</f>
        <v>#DIV/0!</v>
      </c>
      <c r="R1435" s="66" t="e">
        <f>IF(ISBLANK(M1435),0,Q1435*ROUND(N1435,2))</f>
        <v>#DIV/0!</v>
      </c>
      <c r="S1435" s="69" t="e">
        <f>ROUND(P1435,2)*Q1435</f>
        <v>#DIV/0!</v>
      </c>
      <c r="T1435" s="66" t="e">
        <f>Q1435*dagenperjaar1</f>
        <v>#DIV/0!</v>
      </c>
      <c r="U1435" s="70" t="e">
        <f>T1435*ROUND(P1435,2)</f>
        <v>#DIV/0!</v>
      </c>
    </row>
    <row r="1436" spans="1:21" x14ac:dyDescent="0.2">
      <c r="A1436" s="63" t="s">
        <v>1850</v>
      </c>
      <c r="B1436" s="64" t="s">
        <v>324</v>
      </c>
      <c r="C1436" s="64" t="s">
        <v>323</v>
      </c>
      <c r="D1436" s="64" t="s">
        <v>446</v>
      </c>
      <c r="E1436" s="64" t="s">
        <v>324</v>
      </c>
      <c r="F1436" s="65" t="s">
        <v>381</v>
      </c>
      <c r="G1436" s="64" t="s">
        <v>351</v>
      </c>
      <c r="H1436" s="64" t="s">
        <v>207</v>
      </c>
      <c r="I1436" s="64" t="s">
        <v>10</v>
      </c>
      <c r="J1436" s="64" t="s">
        <v>201</v>
      </c>
      <c r="K1436" s="66">
        <v>17</v>
      </c>
      <c r="L1436" s="66">
        <f>K1436*VLOOKUP(I1436,dagsoorttabel1,2,FALSE)</f>
        <v>17</v>
      </c>
      <c r="M1436" s="67">
        <f>prodnorm28</f>
        <v>0</v>
      </c>
      <c r="N1436" s="68">
        <f>dagwerk28</f>
        <v>0</v>
      </c>
      <c r="O1436" s="64" t="s">
        <v>38</v>
      </c>
      <c r="P1436" s="69">
        <f>uurtarief28</f>
        <v>0</v>
      </c>
      <c r="Q1436" s="66" t="e">
        <f>IF(ISBLANK(M1436),0,L1436/ROUND(M1436,4))</f>
        <v>#DIV/0!</v>
      </c>
      <c r="R1436" s="66" t="e">
        <f>IF(ISBLANK(M1436),0,Q1436*ROUND(N1436,2))</f>
        <v>#DIV/0!</v>
      </c>
      <c r="S1436" s="69" t="e">
        <f>ROUND(P1436,2)*Q1436</f>
        <v>#DIV/0!</v>
      </c>
      <c r="T1436" s="66" t="e">
        <f>Q1436*dagenperjaar1</f>
        <v>#DIV/0!</v>
      </c>
      <c r="U1436" s="70" t="e">
        <f>T1436*ROUND(P1436,2)</f>
        <v>#DIV/0!</v>
      </c>
    </row>
    <row r="1437" spans="1:21" x14ac:dyDescent="0.2">
      <c r="A1437" s="63" t="s">
        <v>1850</v>
      </c>
      <c r="B1437" s="64" t="s">
        <v>324</v>
      </c>
      <c r="C1437" s="64" t="s">
        <v>323</v>
      </c>
      <c r="D1437" s="64" t="s">
        <v>921</v>
      </c>
      <c r="E1437" s="64" t="s">
        <v>324</v>
      </c>
      <c r="F1437" s="65" t="s">
        <v>623</v>
      </c>
      <c r="G1437" s="64" t="s">
        <v>328</v>
      </c>
      <c r="H1437" s="64" t="s">
        <v>205</v>
      </c>
      <c r="I1437" s="64" t="s">
        <v>10</v>
      </c>
      <c r="J1437" s="64" t="s">
        <v>201</v>
      </c>
      <c r="K1437" s="66">
        <v>106.5</v>
      </c>
      <c r="L1437" s="66">
        <f>K1437*VLOOKUP(I1437,dagsoorttabel1,2,FALSE)</f>
        <v>106.5</v>
      </c>
      <c r="M1437" s="67">
        <f>prodnorm26</f>
        <v>0</v>
      </c>
      <c r="N1437" s="68">
        <f>dagwerk26</f>
        <v>0</v>
      </c>
      <c r="O1437" s="64" t="s">
        <v>38</v>
      </c>
      <c r="P1437" s="69">
        <f>uurtarief26</f>
        <v>0</v>
      </c>
      <c r="Q1437" s="66" t="e">
        <f>IF(ISBLANK(M1437),0,L1437/ROUND(M1437,4))</f>
        <v>#DIV/0!</v>
      </c>
      <c r="R1437" s="66" t="e">
        <f>IF(ISBLANK(M1437),0,Q1437*ROUND(N1437,2))</f>
        <v>#DIV/0!</v>
      </c>
      <c r="S1437" s="69" t="e">
        <f>ROUND(P1437,2)*Q1437</f>
        <v>#DIV/0!</v>
      </c>
      <c r="T1437" s="66" t="e">
        <f>Q1437*dagenperjaar1</f>
        <v>#DIV/0!</v>
      </c>
      <c r="U1437" s="70" t="e">
        <f>T1437*ROUND(P1437,2)</f>
        <v>#DIV/0!</v>
      </c>
    </row>
    <row r="1438" spans="1:21" x14ac:dyDescent="0.2">
      <c r="A1438" s="63" t="s">
        <v>1850</v>
      </c>
      <c r="B1438" s="64" t="s">
        <v>324</v>
      </c>
      <c r="C1438" s="64" t="s">
        <v>323</v>
      </c>
      <c r="D1438" s="64" t="s">
        <v>1933</v>
      </c>
      <c r="E1438" s="64" t="s">
        <v>324</v>
      </c>
      <c r="F1438" s="65" t="s">
        <v>618</v>
      </c>
      <c r="G1438" s="64" t="s">
        <v>328</v>
      </c>
      <c r="H1438" s="64" t="s">
        <v>267</v>
      </c>
      <c r="I1438" s="64" t="s">
        <v>10</v>
      </c>
      <c r="J1438" s="64" t="s">
        <v>201</v>
      </c>
      <c r="K1438" s="66">
        <v>6.5</v>
      </c>
      <c r="L1438" s="66">
        <f>K1438*VLOOKUP(I1438,dagsoorttabel1,2,FALSE)</f>
        <v>6.5</v>
      </c>
      <c r="M1438" s="67">
        <f>prodnorm65</f>
        <v>0</v>
      </c>
      <c r="N1438" s="68">
        <f>dagwerk65</f>
        <v>0</v>
      </c>
      <c r="O1438" s="64" t="s">
        <v>38</v>
      </c>
      <c r="P1438" s="69">
        <f>uurtarief65</f>
        <v>0</v>
      </c>
      <c r="Q1438" s="66" t="e">
        <f>IF(ISBLANK(M1438),0,L1438/ROUND(M1438,4))</f>
        <v>#DIV/0!</v>
      </c>
      <c r="R1438" s="66" t="e">
        <f>IF(ISBLANK(M1438),0,Q1438*ROUND(N1438,2))</f>
        <v>#DIV/0!</v>
      </c>
      <c r="S1438" s="69" t="e">
        <f>ROUND(P1438,2)*Q1438</f>
        <v>#DIV/0!</v>
      </c>
      <c r="T1438" s="66" t="e">
        <f>Q1438*dagenperjaar1</f>
        <v>#DIV/0!</v>
      </c>
      <c r="U1438" s="70" t="e">
        <f>T1438*ROUND(P1438,2)</f>
        <v>#DIV/0!</v>
      </c>
    </row>
    <row r="1439" spans="1:21" x14ac:dyDescent="0.2">
      <c r="A1439" s="63" t="s">
        <v>1850</v>
      </c>
      <c r="B1439" s="64" t="s">
        <v>324</v>
      </c>
      <c r="C1439" s="64" t="s">
        <v>323</v>
      </c>
      <c r="D1439" s="64" t="s">
        <v>1934</v>
      </c>
      <c r="E1439" s="64" t="s">
        <v>324</v>
      </c>
      <c r="F1439" s="65" t="s">
        <v>1832</v>
      </c>
      <c r="G1439" s="64" t="s">
        <v>328</v>
      </c>
      <c r="H1439" s="64" t="s">
        <v>205</v>
      </c>
      <c r="I1439" s="64" t="s">
        <v>10</v>
      </c>
      <c r="J1439" s="64" t="s">
        <v>201</v>
      </c>
      <c r="K1439" s="66">
        <v>25</v>
      </c>
      <c r="L1439" s="66">
        <f>K1439*VLOOKUP(I1439,dagsoorttabel1,2,FALSE)</f>
        <v>25</v>
      </c>
      <c r="M1439" s="67">
        <f>prodnorm26</f>
        <v>0</v>
      </c>
      <c r="N1439" s="68">
        <f>dagwerk26</f>
        <v>0</v>
      </c>
      <c r="O1439" s="64" t="s">
        <v>38</v>
      </c>
      <c r="P1439" s="69">
        <f>uurtarief26</f>
        <v>0</v>
      </c>
      <c r="Q1439" s="66" t="e">
        <f>IF(ISBLANK(M1439),0,L1439/ROUND(M1439,4))</f>
        <v>#DIV/0!</v>
      </c>
      <c r="R1439" s="66" t="e">
        <f>IF(ISBLANK(M1439),0,Q1439*ROUND(N1439,2))</f>
        <v>#DIV/0!</v>
      </c>
      <c r="S1439" s="69" t="e">
        <f>ROUND(P1439,2)*Q1439</f>
        <v>#DIV/0!</v>
      </c>
      <c r="T1439" s="66" t="e">
        <f>Q1439*dagenperjaar1</f>
        <v>#DIV/0!</v>
      </c>
      <c r="U1439" s="70" t="e">
        <f>T1439*ROUND(P1439,2)</f>
        <v>#DIV/0!</v>
      </c>
    </row>
    <row r="1440" spans="1:21" x14ac:dyDescent="0.2">
      <c r="A1440" s="63" t="s">
        <v>1850</v>
      </c>
      <c r="B1440" s="64" t="s">
        <v>324</v>
      </c>
      <c r="C1440" s="64" t="s">
        <v>323</v>
      </c>
      <c r="D1440" s="64" t="s">
        <v>448</v>
      </c>
      <c r="E1440" s="64" t="s">
        <v>324</v>
      </c>
      <c r="F1440" s="65" t="s">
        <v>381</v>
      </c>
      <c r="G1440" s="64" t="s">
        <v>351</v>
      </c>
      <c r="H1440" s="64" t="s">
        <v>207</v>
      </c>
      <c r="I1440" s="64" t="s">
        <v>10</v>
      </c>
      <c r="J1440" s="64" t="s">
        <v>201</v>
      </c>
      <c r="K1440" s="66">
        <v>33</v>
      </c>
      <c r="L1440" s="66">
        <f>K1440*VLOOKUP(I1440,dagsoorttabel1,2,FALSE)</f>
        <v>33</v>
      </c>
      <c r="M1440" s="67">
        <f>prodnorm28</f>
        <v>0</v>
      </c>
      <c r="N1440" s="68">
        <f>dagwerk28</f>
        <v>0</v>
      </c>
      <c r="O1440" s="64" t="s">
        <v>38</v>
      </c>
      <c r="P1440" s="69">
        <f>uurtarief28</f>
        <v>0</v>
      </c>
      <c r="Q1440" s="66" t="e">
        <f>IF(ISBLANK(M1440),0,L1440/ROUND(M1440,4))</f>
        <v>#DIV/0!</v>
      </c>
      <c r="R1440" s="66" t="e">
        <f>IF(ISBLANK(M1440),0,Q1440*ROUND(N1440,2))</f>
        <v>#DIV/0!</v>
      </c>
      <c r="S1440" s="69" t="e">
        <f>ROUND(P1440,2)*Q1440</f>
        <v>#DIV/0!</v>
      </c>
      <c r="T1440" s="66" t="e">
        <f>Q1440*dagenperjaar1</f>
        <v>#DIV/0!</v>
      </c>
      <c r="U1440" s="70" t="e">
        <f>T1440*ROUND(P1440,2)</f>
        <v>#DIV/0!</v>
      </c>
    </row>
    <row r="1441" spans="1:21" x14ac:dyDescent="0.2">
      <c r="A1441" s="63" t="s">
        <v>1850</v>
      </c>
      <c r="B1441" s="64" t="s">
        <v>324</v>
      </c>
      <c r="C1441" s="64" t="s">
        <v>323</v>
      </c>
      <c r="D1441" s="64" t="s">
        <v>1935</v>
      </c>
      <c r="E1441" s="64" t="s">
        <v>324</v>
      </c>
      <c r="F1441" s="65" t="s">
        <v>381</v>
      </c>
      <c r="G1441" s="64" t="s">
        <v>351</v>
      </c>
      <c r="H1441" s="64" t="s">
        <v>207</v>
      </c>
      <c r="I1441" s="64" t="s">
        <v>10</v>
      </c>
      <c r="J1441" s="64" t="s">
        <v>201</v>
      </c>
      <c r="K1441" s="66">
        <v>19</v>
      </c>
      <c r="L1441" s="66">
        <f>K1441*VLOOKUP(I1441,dagsoorttabel1,2,FALSE)</f>
        <v>19</v>
      </c>
      <c r="M1441" s="67">
        <f>prodnorm28</f>
        <v>0</v>
      </c>
      <c r="N1441" s="68">
        <f>dagwerk28</f>
        <v>0</v>
      </c>
      <c r="O1441" s="64" t="s">
        <v>38</v>
      </c>
      <c r="P1441" s="69">
        <f>uurtarief28</f>
        <v>0</v>
      </c>
      <c r="Q1441" s="66" t="e">
        <f>IF(ISBLANK(M1441),0,L1441/ROUND(M1441,4))</f>
        <v>#DIV/0!</v>
      </c>
      <c r="R1441" s="66" t="e">
        <f>IF(ISBLANK(M1441),0,Q1441*ROUND(N1441,2))</f>
        <v>#DIV/0!</v>
      </c>
      <c r="S1441" s="69" t="e">
        <f>ROUND(P1441,2)*Q1441</f>
        <v>#DIV/0!</v>
      </c>
      <c r="T1441" s="66" t="e">
        <f>Q1441*dagenperjaar1</f>
        <v>#DIV/0!</v>
      </c>
      <c r="U1441" s="70" t="e">
        <f>T1441*ROUND(P1441,2)</f>
        <v>#DIV/0!</v>
      </c>
    </row>
    <row r="1442" spans="1:21" x14ac:dyDescent="0.2">
      <c r="A1442" s="63" t="s">
        <v>1850</v>
      </c>
      <c r="B1442" s="64" t="s">
        <v>324</v>
      </c>
      <c r="C1442" s="64" t="s">
        <v>323</v>
      </c>
      <c r="D1442" s="64" t="s">
        <v>1936</v>
      </c>
      <c r="E1442" s="64" t="s">
        <v>324</v>
      </c>
      <c r="F1442" s="65" t="s">
        <v>1937</v>
      </c>
      <c r="G1442" s="64" t="s">
        <v>328</v>
      </c>
      <c r="H1442" s="64" t="s">
        <v>267</v>
      </c>
      <c r="I1442" s="64" t="s">
        <v>10</v>
      </c>
      <c r="J1442" s="64" t="s">
        <v>201</v>
      </c>
      <c r="K1442" s="66">
        <v>5</v>
      </c>
      <c r="L1442" s="66">
        <f>K1442*VLOOKUP(I1442,dagsoorttabel1,2,FALSE)</f>
        <v>5</v>
      </c>
      <c r="M1442" s="67">
        <f>prodnorm65</f>
        <v>0</v>
      </c>
      <c r="N1442" s="68">
        <f>dagwerk65</f>
        <v>0</v>
      </c>
      <c r="O1442" s="64" t="s">
        <v>38</v>
      </c>
      <c r="P1442" s="69">
        <f>uurtarief65</f>
        <v>0</v>
      </c>
      <c r="Q1442" s="66" t="e">
        <f>IF(ISBLANK(M1442),0,L1442/ROUND(M1442,4))</f>
        <v>#DIV/0!</v>
      </c>
      <c r="R1442" s="66" t="e">
        <f>IF(ISBLANK(M1442),0,Q1442*ROUND(N1442,2))</f>
        <v>#DIV/0!</v>
      </c>
      <c r="S1442" s="69" t="e">
        <f>ROUND(P1442,2)*Q1442</f>
        <v>#DIV/0!</v>
      </c>
      <c r="T1442" s="66" t="e">
        <f>Q1442*dagenperjaar1</f>
        <v>#DIV/0!</v>
      </c>
      <c r="U1442" s="70" t="e">
        <f>T1442*ROUND(P1442,2)</f>
        <v>#DIV/0!</v>
      </c>
    </row>
    <row r="1443" spans="1:21" x14ac:dyDescent="0.2">
      <c r="A1443" s="63" t="s">
        <v>1850</v>
      </c>
      <c r="B1443" s="64" t="s">
        <v>324</v>
      </c>
      <c r="C1443" s="64" t="s">
        <v>323</v>
      </c>
      <c r="D1443" s="64" t="s">
        <v>1938</v>
      </c>
      <c r="E1443" s="64" t="s">
        <v>324</v>
      </c>
      <c r="F1443" s="65" t="s">
        <v>373</v>
      </c>
      <c r="G1443" s="64" t="s">
        <v>365</v>
      </c>
      <c r="H1443" s="64" t="s">
        <v>255</v>
      </c>
      <c r="I1443" s="64" t="s">
        <v>10</v>
      </c>
      <c r="J1443" s="64" t="s">
        <v>201</v>
      </c>
      <c r="K1443" s="66">
        <v>12</v>
      </c>
      <c r="L1443" s="66">
        <f>K1443*VLOOKUP(I1443,dagsoorttabel1,2,FALSE)</f>
        <v>12</v>
      </c>
      <c r="M1443" s="67">
        <f>prodnorm59</f>
        <v>0</v>
      </c>
      <c r="N1443" s="68">
        <f>dagwerk59</f>
        <v>0</v>
      </c>
      <c r="O1443" s="64" t="s">
        <v>38</v>
      </c>
      <c r="P1443" s="69">
        <f>uurtarief59</f>
        <v>0</v>
      </c>
      <c r="Q1443" s="66" t="e">
        <f>IF(ISBLANK(M1443),0,L1443/ROUND(M1443,4))</f>
        <v>#DIV/0!</v>
      </c>
      <c r="R1443" s="66" t="e">
        <f>IF(ISBLANK(M1443),0,Q1443*ROUND(N1443,2))</f>
        <v>#DIV/0!</v>
      </c>
      <c r="S1443" s="69" t="e">
        <f>ROUND(P1443,2)*Q1443</f>
        <v>#DIV/0!</v>
      </c>
      <c r="T1443" s="66" t="e">
        <f>Q1443*dagenperjaar1</f>
        <v>#DIV/0!</v>
      </c>
      <c r="U1443" s="70" t="e">
        <f>T1443*ROUND(P1443,2)</f>
        <v>#DIV/0!</v>
      </c>
    </row>
    <row r="1444" spans="1:21" x14ac:dyDescent="0.2">
      <c r="A1444" s="63" t="s">
        <v>1850</v>
      </c>
      <c r="B1444" s="64" t="s">
        <v>324</v>
      </c>
      <c r="C1444" s="64" t="s">
        <v>323</v>
      </c>
      <c r="D1444" s="64" t="s">
        <v>1939</v>
      </c>
      <c r="E1444" s="64" t="s">
        <v>324</v>
      </c>
      <c r="F1444" s="65" t="s">
        <v>370</v>
      </c>
      <c r="G1444" s="64" t="s">
        <v>365</v>
      </c>
      <c r="H1444" s="64" t="s">
        <v>255</v>
      </c>
      <c r="I1444" s="64" t="s">
        <v>10</v>
      </c>
      <c r="J1444" s="64" t="s">
        <v>201</v>
      </c>
      <c r="K1444" s="66">
        <v>16</v>
      </c>
      <c r="L1444" s="66">
        <f>K1444*VLOOKUP(I1444,dagsoorttabel1,2,FALSE)</f>
        <v>16</v>
      </c>
      <c r="M1444" s="67">
        <f>prodnorm59</f>
        <v>0</v>
      </c>
      <c r="N1444" s="68">
        <f>dagwerk59</f>
        <v>0</v>
      </c>
      <c r="O1444" s="64" t="s">
        <v>38</v>
      </c>
      <c r="P1444" s="69">
        <f>uurtarief59</f>
        <v>0</v>
      </c>
      <c r="Q1444" s="66" t="e">
        <f>IF(ISBLANK(M1444),0,L1444/ROUND(M1444,4))</f>
        <v>#DIV/0!</v>
      </c>
      <c r="R1444" s="66" t="e">
        <f>IF(ISBLANK(M1444),0,Q1444*ROUND(N1444,2))</f>
        <v>#DIV/0!</v>
      </c>
      <c r="S1444" s="69" t="e">
        <f>ROUND(P1444,2)*Q1444</f>
        <v>#DIV/0!</v>
      </c>
      <c r="T1444" s="66" t="e">
        <f>Q1444*dagenperjaar1</f>
        <v>#DIV/0!</v>
      </c>
      <c r="U1444" s="70" t="e">
        <f>T1444*ROUND(P1444,2)</f>
        <v>#DIV/0!</v>
      </c>
    </row>
    <row r="1445" spans="1:21" x14ac:dyDescent="0.2">
      <c r="A1445" s="63" t="s">
        <v>1850</v>
      </c>
      <c r="B1445" s="64" t="s">
        <v>324</v>
      </c>
      <c r="C1445" s="64" t="s">
        <v>323</v>
      </c>
      <c r="D1445" s="64" t="s">
        <v>451</v>
      </c>
      <c r="E1445" s="64" t="s">
        <v>324</v>
      </c>
      <c r="F1445" s="65" t="s">
        <v>1805</v>
      </c>
      <c r="G1445" s="64" t="s">
        <v>351</v>
      </c>
      <c r="H1445" s="64" t="s">
        <v>231</v>
      </c>
      <c r="I1445" s="64" t="s">
        <v>10</v>
      </c>
      <c r="J1445" s="64" t="s">
        <v>201</v>
      </c>
      <c r="K1445" s="66">
        <v>110</v>
      </c>
      <c r="L1445" s="66">
        <f>K1445*VLOOKUP(I1445,dagsoorttabel1,2,FALSE)</f>
        <v>110</v>
      </c>
      <c r="M1445" s="67">
        <f>prodnorm44</f>
        <v>0</v>
      </c>
      <c r="N1445" s="68">
        <f>dagwerk44</f>
        <v>0</v>
      </c>
      <c r="O1445" s="64" t="s">
        <v>38</v>
      </c>
      <c r="P1445" s="69">
        <f>uurtarief44</f>
        <v>0</v>
      </c>
      <c r="Q1445" s="66" t="e">
        <f>IF(ISBLANK(M1445),0,L1445/ROUND(M1445,4))</f>
        <v>#DIV/0!</v>
      </c>
      <c r="R1445" s="66" t="e">
        <f>IF(ISBLANK(M1445),0,Q1445*ROUND(N1445,2))</f>
        <v>#DIV/0!</v>
      </c>
      <c r="S1445" s="69" t="e">
        <f>ROUND(P1445,2)*Q1445</f>
        <v>#DIV/0!</v>
      </c>
      <c r="T1445" s="66" t="e">
        <f>Q1445*dagenperjaar1</f>
        <v>#DIV/0!</v>
      </c>
      <c r="U1445" s="70" t="e">
        <f>T1445*ROUND(P1445,2)</f>
        <v>#DIV/0!</v>
      </c>
    </row>
    <row r="1446" spans="1:21" x14ac:dyDescent="0.2">
      <c r="A1446" s="63" t="s">
        <v>1850</v>
      </c>
      <c r="B1446" s="64" t="s">
        <v>324</v>
      </c>
      <c r="C1446" s="64" t="s">
        <v>323</v>
      </c>
      <c r="D1446" s="64" t="s">
        <v>1940</v>
      </c>
      <c r="E1446" s="64" t="s">
        <v>324</v>
      </c>
      <c r="F1446" s="65" t="s">
        <v>335</v>
      </c>
      <c r="G1446" s="64" t="s">
        <v>328</v>
      </c>
      <c r="H1446" s="64" t="s">
        <v>267</v>
      </c>
      <c r="I1446" s="64" t="s">
        <v>10</v>
      </c>
      <c r="J1446" s="64" t="s">
        <v>201</v>
      </c>
      <c r="K1446" s="66">
        <v>186</v>
      </c>
      <c r="L1446" s="66">
        <f>K1446*VLOOKUP(I1446,dagsoorttabel1,2,FALSE)</f>
        <v>186</v>
      </c>
      <c r="M1446" s="67">
        <f>prodnorm65</f>
        <v>0</v>
      </c>
      <c r="N1446" s="68">
        <f>dagwerk65</f>
        <v>0</v>
      </c>
      <c r="O1446" s="64" t="s">
        <v>38</v>
      </c>
      <c r="P1446" s="69">
        <f>uurtarief65</f>
        <v>0</v>
      </c>
      <c r="Q1446" s="66" t="e">
        <f>IF(ISBLANK(M1446),0,L1446/ROUND(M1446,4))</f>
        <v>#DIV/0!</v>
      </c>
      <c r="R1446" s="66" t="e">
        <f>IF(ISBLANK(M1446),0,Q1446*ROUND(N1446,2))</f>
        <v>#DIV/0!</v>
      </c>
      <c r="S1446" s="69" t="e">
        <f>ROUND(P1446,2)*Q1446</f>
        <v>#DIV/0!</v>
      </c>
      <c r="T1446" s="66" t="e">
        <f>Q1446*dagenperjaar1</f>
        <v>#DIV/0!</v>
      </c>
      <c r="U1446" s="70" t="e">
        <f>T1446*ROUND(P1446,2)</f>
        <v>#DIV/0!</v>
      </c>
    </row>
    <row r="1447" spans="1:21" x14ac:dyDescent="0.2">
      <c r="A1447" s="63" t="s">
        <v>1850</v>
      </c>
      <c r="B1447" s="64" t="s">
        <v>324</v>
      </c>
      <c r="C1447" s="64" t="s">
        <v>323</v>
      </c>
      <c r="D1447" s="64" t="s">
        <v>453</v>
      </c>
      <c r="E1447" s="64" t="s">
        <v>324</v>
      </c>
      <c r="F1447" s="65" t="s">
        <v>1941</v>
      </c>
      <c r="G1447" s="64" t="s">
        <v>624</v>
      </c>
      <c r="H1447" s="64" t="s">
        <v>205</v>
      </c>
      <c r="I1447" s="64" t="s">
        <v>10</v>
      </c>
      <c r="J1447" s="64" t="s">
        <v>201</v>
      </c>
      <c r="K1447" s="66">
        <v>39</v>
      </c>
      <c r="L1447" s="66">
        <f>K1447*VLOOKUP(I1447,dagsoorttabel1,2,FALSE)</f>
        <v>39</v>
      </c>
      <c r="M1447" s="67">
        <f>prodnorm26</f>
        <v>0</v>
      </c>
      <c r="N1447" s="68">
        <f>dagwerk26</f>
        <v>0</v>
      </c>
      <c r="O1447" s="64" t="s">
        <v>38</v>
      </c>
      <c r="P1447" s="69">
        <f>uurtarief26</f>
        <v>0</v>
      </c>
      <c r="Q1447" s="66" t="e">
        <f>IF(ISBLANK(M1447),0,L1447/ROUND(M1447,4))</f>
        <v>#DIV/0!</v>
      </c>
      <c r="R1447" s="66" t="e">
        <f>IF(ISBLANK(M1447),0,Q1447*ROUND(N1447,2))</f>
        <v>#DIV/0!</v>
      </c>
      <c r="S1447" s="69" t="e">
        <f>ROUND(P1447,2)*Q1447</f>
        <v>#DIV/0!</v>
      </c>
      <c r="T1447" s="66" t="e">
        <f>Q1447*dagenperjaar1</f>
        <v>#DIV/0!</v>
      </c>
      <c r="U1447" s="70" t="e">
        <f>T1447*ROUND(P1447,2)</f>
        <v>#DIV/0!</v>
      </c>
    </row>
    <row r="1448" spans="1:21" x14ac:dyDescent="0.2">
      <c r="A1448" s="63" t="s">
        <v>1850</v>
      </c>
      <c r="B1448" s="64" t="s">
        <v>324</v>
      </c>
      <c r="C1448" s="64" t="s">
        <v>323</v>
      </c>
      <c r="D1448" s="64" t="s">
        <v>1942</v>
      </c>
      <c r="E1448" s="64" t="s">
        <v>324</v>
      </c>
      <c r="F1448" s="65" t="s">
        <v>335</v>
      </c>
      <c r="G1448" s="64" t="s">
        <v>328</v>
      </c>
      <c r="H1448" s="64" t="s">
        <v>267</v>
      </c>
      <c r="I1448" s="64" t="s">
        <v>10</v>
      </c>
      <c r="J1448" s="64" t="s">
        <v>201</v>
      </c>
      <c r="K1448" s="66">
        <v>18</v>
      </c>
      <c r="L1448" s="66">
        <f>K1448*VLOOKUP(I1448,dagsoorttabel1,2,FALSE)</f>
        <v>18</v>
      </c>
      <c r="M1448" s="67">
        <f>prodnorm65</f>
        <v>0</v>
      </c>
      <c r="N1448" s="68">
        <f>dagwerk65</f>
        <v>0</v>
      </c>
      <c r="O1448" s="64" t="s">
        <v>38</v>
      </c>
      <c r="P1448" s="69">
        <f>uurtarief65</f>
        <v>0</v>
      </c>
      <c r="Q1448" s="66" t="e">
        <f>IF(ISBLANK(M1448),0,L1448/ROUND(M1448,4))</f>
        <v>#DIV/0!</v>
      </c>
      <c r="R1448" s="66" t="e">
        <f>IF(ISBLANK(M1448),0,Q1448*ROUND(N1448,2))</f>
        <v>#DIV/0!</v>
      </c>
      <c r="S1448" s="69" t="e">
        <f>ROUND(P1448,2)*Q1448</f>
        <v>#DIV/0!</v>
      </c>
      <c r="T1448" s="66" t="e">
        <f>Q1448*dagenperjaar1</f>
        <v>#DIV/0!</v>
      </c>
      <c r="U1448" s="70" t="e">
        <f>T1448*ROUND(P1448,2)</f>
        <v>#DIV/0!</v>
      </c>
    </row>
    <row r="1449" spans="1:21" x14ac:dyDescent="0.2">
      <c r="A1449" s="63" t="s">
        <v>1850</v>
      </c>
      <c r="B1449" s="64" t="s">
        <v>324</v>
      </c>
      <c r="C1449" s="64" t="s">
        <v>323</v>
      </c>
      <c r="D1449" s="64" t="s">
        <v>455</v>
      </c>
      <c r="E1449" s="64" t="s">
        <v>324</v>
      </c>
      <c r="F1449" s="65" t="s">
        <v>1566</v>
      </c>
      <c r="G1449" s="64" t="s">
        <v>328</v>
      </c>
      <c r="H1449" s="64" t="s">
        <v>239</v>
      </c>
      <c r="I1449" s="64" t="s">
        <v>10</v>
      </c>
      <c r="J1449" s="64" t="s">
        <v>201</v>
      </c>
      <c r="K1449" s="66">
        <v>123.5</v>
      </c>
      <c r="L1449" s="66">
        <f>K1449*VLOOKUP(I1449,dagsoorttabel1,2,FALSE)</f>
        <v>123.5</v>
      </c>
      <c r="M1449" s="67">
        <f>prodnorm50</f>
        <v>0</v>
      </c>
      <c r="N1449" s="68">
        <f>dagwerk50</f>
        <v>0</v>
      </c>
      <c r="O1449" s="64" t="s">
        <v>38</v>
      </c>
      <c r="P1449" s="69">
        <f>uurtarief50</f>
        <v>0</v>
      </c>
      <c r="Q1449" s="66" t="e">
        <f>IF(ISBLANK(M1449),0,L1449/ROUND(M1449,4))</f>
        <v>#DIV/0!</v>
      </c>
      <c r="R1449" s="66" t="e">
        <f>IF(ISBLANK(M1449),0,Q1449*ROUND(N1449,2))</f>
        <v>#DIV/0!</v>
      </c>
      <c r="S1449" s="69" t="e">
        <f>ROUND(P1449,2)*Q1449</f>
        <v>#DIV/0!</v>
      </c>
      <c r="T1449" s="66" t="e">
        <f>Q1449*dagenperjaar1</f>
        <v>#DIV/0!</v>
      </c>
      <c r="U1449" s="70" t="e">
        <f>T1449*ROUND(P1449,2)</f>
        <v>#DIV/0!</v>
      </c>
    </row>
    <row r="1450" spans="1:21" x14ac:dyDescent="0.2">
      <c r="A1450" s="63" t="s">
        <v>1850</v>
      </c>
      <c r="B1450" s="64" t="s">
        <v>324</v>
      </c>
      <c r="C1450" s="64" t="s">
        <v>323</v>
      </c>
      <c r="D1450" s="64" t="s">
        <v>1943</v>
      </c>
      <c r="E1450" s="64" t="s">
        <v>324</v>
      </c>
      <c r="F1450" s="65" t="s">
        <v>1944</v>
      </c>
      <c r="G1450" s="64" t="s">
        <v>328</v>
      </c>
      <c r="H1450" s="64" t="s">
        <v>229</v>
      </c>
      <c r="I1450" s="64" t="s">
        <v>10</v>
      </c>
      <c r="J1450" s="64" t="s">
        <v>201</v>
      </c>
      <c r="K1450" s="66">
        <v>23.5</v>
      </c>
      <c r="L1450" s="66">
        <f>K1450*VLOOKUP(I1450,dagsoorttabel1,2,FALSE)</f>
        <v>23.5</v>
      </c>
      <c r="M1450" s="67">
        <f>prodnorm43</f>
        <v>0</v>
      </c>
      <c r="N1450" s="68">
        <f>dagwerk43</f>
        <v>0</v>
      </c>
      <c r="O1450" s="64" t="s">
        <v>38</v>
      </c>
      <c r="P1450" s="69">
        <f>uurtarief43</f>
        <v>0</v>
      </c>
      <c r="Q1450" s="66" t="e">
        <f>IF(ISBLANK(M1450),0,L1450/ROUND(M1450,4))</f>
        <v>#DIV/0!</v>
      </c>
      <c r="R1450" s="66" t="e">
        <f>IF(ISBLANK(M1450),0,Q1450*ROUND(N1450,2))</f>
        <v>#DIV/0!</v>
      </c>
      <c r="S1450" s="69" t="e">
        <f>ROUND(P1450,2)*Q1450</f>
        <v>#DIV/0!</v>
      </c>
      <c r="T1450" s="66" t="e">
        <f>Q1450*dagenperjaar1</f>
        <v>#DIV/0!</v>
      </c>
      <c r="U1450" s="70" t="e">
        <f>T1450*ROUND(P1450,2)</f>
        <v>#DIV/0!</v>
      </c>
    </row>
    <row r="1451" spans="1:21" x14ac:dyDescent="0.2">
      <c r="A1451" s="63" t="s">
        <v>1850</v>
      </c>
      <c r="B1451" s="64" t="s">
        <v>324</v>
      </c>
      <c r="C1451" s="64" t="s">
        <v>323</v>
      </c>
      <c r="D1451" s="64" t="s">
        <v>1945</v>
      </c>
      <c r="E1451" s="64" t="s">
        <v>324</v>
      </c>
      <c r="F1451" s="65" t="s">
        <v>618</v>
      </c>
      <c r="G1451" s="64" t="s">
        <v>328</v>
      </c>
      <c r="H1451" s="64" t="s">
        <v>267</v>
      </c>
      <c r="I1451" s="64" t="s">
        <v>10</v>
      </c>
      <c r="J1451" s="64" t="s">
        <v>201</v>
      </c>
      <c r="K1451" s="66">
        <v>6</v>
      </c>
      <c r="L1451" s="66">
        <f>K1451*VLOOKUP(I1451,dagsoorttabel1,2,FALSE)</f>
        <v>6</v>
      </c>
      <c r="M1451" s="67">
        <f>prodnorm65</f>
        <v>0</v>
      </c>
      <c r="N1451" s="68">
        <f>dagwerk65</f>
        <v>0</v>
      </c>
      <c r="O1451" s="64" t="s">
        <v>38</v>
      </c>
      <c r="P1451" s="69">
        <f>uurtarief65</f>
        <v>0</v>
      </c>
      <c r="Q1451" s="66" t="e">
        <f>IF(ISBLANK(M1451),0,L1451/ROUND(M1451,4))</f>
        <v>#DIV/0!</v>
      </c>
      <c r="R1451" s="66" t="e">
        <f>IF(ISBLANK(M1451),0,Q1451*ROUND(N1451,2))</f>
        <v>#DIV/0!</v>
      </c>
      <c r="S1451" s="69" t="e">
        <f>ROUND(P1451,2)*Q1451</f>
        <v>#DIV/0!</v>
      </c>
      <c r="T1451" s="66" t="e">
        <f>Q1451*dagenperjaar1</f>
        <v>#DIV/0!</v>
      </c>
      <c r="U1451" s="70" t="e">
        <f>T1451*ROUND(P1451,2)</f>
        <v>#DIV/0!</v>
      </c>
    </row>
    <row r="1452" spans="1:21" x14ac:dyDescent="0.2">
      <c r="A1452" s="63" t="s">
        <v>1850</v>
      </c>
      <c r="B1452" s="64" t="s">
        <v>324</v>
      </c>
      <c r="C1452" s="64" t="s">
        <v>323</v>
      </c>
      <c r="D1452" s="64" t="s">
        <v>1946</v>
      </c>
      <c r="E1452" s="64" t="s">
        <v>324</v>
      </c>
      <c r="F1452" s="65" t="s">
        <v>1947</v>
      </c>
      <c r="G1452" s="64" t="s">
        <v>365</v>
      </c>
      <c r="H1452" s="64" t="s">
        <v>255</v>
      </c>
      <c r="I1452" s="64" t="s">
        <v>10</v>
      </c>
      <c r="J1452" s="64" t="s">
        <v>201</v>
      </c>
      <c r="K1452" s="66">
        <v>5</v>
      </c>
      <c r="L1452" s="66">
        <f>K1452*VLOOKUP(I1452,dagsoorttabel1,2,FALSE)</f>
        <v>5</v>
      </c>
      <c r="M1452" s="67">
        <f>prodnorm59</f>
        <v>0</v>
      </c>
      <c r="N1452" s="68">
        <f>dagwerk59</f>
        <v>0</v>
      </c>
      <c r="O1452" s="64" t="s">
        <v>38</v>
      </c>
      <c r="P1452" s="69">
        <f>uurtarief59</f>
        <v>0</v>
      </c>
      <c r="Q1452" s="66" t="e">
        <f>IF(ISBLANK(M1452),0,L1452/ROUND(M1452,4))</f>
        <v>#DIV/0!</v>
      </c>
      <c r="R1452" s="66" t="e">
        <f>IF(ISBLANK(M1452),0,Q1452*ROUND(N1452,2))</f>
        <v>#DIV/0!</v>
      </c>
      <c r="S1452" s="69" t="e">
        <f>ROUND(P1452,2)*Q1452</f>
        <v>#DIV/0!</v>
      </c>
      <c r="T1452" s="66" t="e">
        <f>Q1452*dagenperjaar1</f>
        <v>#DIV/0!</v>
      </c>
      <c r="U1452" s="70" t="e">
        <f>T1452*ROUND(P1452,2)</f>
        <v>#DIV/0!</v>
      </c>
    </row>
    <row r="1453" spans="1:21" x14ac:dyDescent="0.2">
      <c r="A1453" s="63" t="s">
        <v>1850</v>
      </c>
      <c r="B1453" s="64" t="s">
        <v>324</v>
      </c>
      <c r="C1453" s="64" t="s">
        <v>323</v>
      </c>
      <c r="D1453" s="64" t="s">
        <v>1948</v>
      </c>
      <c r="E1453" s="64" t="s">
        <v>324</v>
      </c>
      <c r="F1453" s="65" t="s">
        <v>1864</v>
      </c>
      <c r="G1453" s="64" t="s">
        <v>365</v>
      </c>
      <c r="H1453" s="64" t="s">
        <v>255</v>
      </c>
      <c r="I1453" s="64" t="s">
        <v>10</v>
      </c>
      <c r="J1453" s="64" t="s">
        <v>201</v>
      </c>
      <c r="K1453" s="66">
        <v>26</v>
      </c>
      <c r="L1453" s="66">
        <f>K1453*VLOOKUP(I1453,dagsoorttabel1,2,FALSE)</f>
        <v>26</v>
      </c>
      <c r="M1453" s="67">
        <f>prodnorm59</f>
        <v>0</v>
      </c>
      <c r="N1453" s="68">
        <f>dagwerk59</f>
        <v>0</v>
      </c>
      <c r="O1453" s="64" t="s">
        <v>38</v>
      </c>
      <c r="P1453" s="69">
        <f>uurtarief59</f>
        <v>0</v>
      </c>
      <c r="Q1453" s="66" t="e">
        <f>IF(ISBLANK(M1453),0,L1453/ROUND(M1453,4))</f>
        <v>#DIV/0!</v>
      </c>
      <c r="R1453" s="66" t="e">
        <f>IF(ISBLANK(M1453),0,Q1453*ROUND(N1453,2))</f>
        <v>#DIV/0!</v>
      </c>
      <c r="S1453" s="69" t="e">
        <f>ROUND(P1453,2)*Q1453</f>
        <v>#DIV/0!</v>
      </c>
      <c r="T1453" s="66" t="e">
        <f>Q1453*dagenperjaar1</f>
        <v>#DIV/0!</v>
      </c>
      <c r="U1453" s="70" t="e">
        <f>T1453*ROUND(P1453,2)</f>
        <v>#DIV/0!</v>
      </c>
    </row>
    <row r="1454" spans="1:21" x14ac:dyDescent="0.2">
      <c r="A1454" s="63" t="s">
        <v>1850</v>
      </c>
      <c r="B1454" s="64" t="s">
        <v>324</v>
      </c>
      <c r="C1454" s="64" t="s">
        <v>323</v>
      </c>
      <c r="D1454" s="64" t="s">
        <v>1949</v>
      </c>
      <c r="E1454" s="64" t="s">
        <v>324</v>
      </c>
      <c r="F1454" s="65" t="s">
        <v>1862</v>
      </c>
      <c r="G1454" s="64" t="s">
        <v>365</v>
      </c>
      <c r="H1454" s="64" t="s">
        <v>255</v>
      </c>
      <c r="I1454" s="64" t="s">
        <v>10</v>
      </c>
      <c r="J1454" s="64" t="s">
        <v>201</v>
      </c>
      <c r="K1454" s="66">
        <v>21</v>
      </c>
      <c r="L1454" s="66">
        <f>K1454*VLOOKUP(I1454,dagsoorttabel1,2,FALSE)</f>
        <v>21</v>
      </c>
      <c r="M1454" s="67">
        <f>prodnorm59</f>
        <v>0</v>
      </c>
      <c r="N1454" s="68">
        <f>dagwerk59</f>
        <v>0</v>
      </c>
      <c r="O1454" s="64" t="s">
        <v>38</v>
      </c>
      <c r="P1454" s="69">
        <f>uurtarief59</f>
        <v>0</v>
      </c>
      <c r="Q1454" s="66" t="e">
        <f>IF(ISBLANK(M1454),0,L1454/ROUND(M1454,4))</f>
        <v>#DIV/0!</v>
      </c>
      <c r="R1454" s="66" t="e">
        <f>IF(ISBLANK(M1454),0,Q1454*ROUND(N1454,2))</f>
        <v>#DIV/0!</v>
      </c>
      <c r="S1454" s="69" t="e">
        <f>ROUND(P1454,2)*Q1454</f>
        <v>#DIV/0!</v>
      </c>
      <c r="T1454" s="66" t="e">
        <f>Q1454*dagenperjaar1</f>
        <v>#DIV/0!</v>
      </c>
      <c r="U1454" s="70" t="e">
        <f>T1454*ROUND(P1454,2)</f>
        <v>#DIV/0!</v>
      </c>
    </row>
    <row r="1455" spans="1:21" x14ac:dyDescent="0.2">
      <c r="A1455" s="63" t="s">
        <v>1850</v>
      </c>
      <c r="B1455" s="64" t="s">
        <v>324</v>
      </c>
      <c r="C1455" s="64" t="s">
        <v>323</v>
      </c>
      <c r="D1455" s="64" t="s">
        <v>1950</v>
      </c>
      <c r="E1455" s="64" t="s">
        <v>324</v>
      </c>
      <c r="F1455" s="65" t="s">
        <v>1951</v>
      </c>
      <c r="G1455" s="64" t="s">
        <v>328</v>
      </c>
      <c r="H1455" s="64" t="s">
        <v>229</v>
      </c>
      <c r="I1455" s="64" t="s">
        <v>10</v>
      </c>
      <c r="J1455" s="64" t="s">
        <v>201</v>
      </c>
      <c r="K1455" s="66">
        <v>100</v>
      </c>
      <c r="L1455" s="66">
        <f>K1455*VLOOKUP(I1455,dagsoorttabel1,2,FALSE)</f>
        <v>100</v>
      </c>
      <c r="M1455" s="67">
        <f>prodnorm43</f>
        <v>0</v>
      </c>
      <c r="N1455" s="68">
        <f>dagwerk43</f>
        <v>0</v>
      </c>
      <c r="O1455" s="64" t="s">
        <v>38</v>
      </c>
      <c r="P1455" s="69">
        <f>uurtarief43</f>
        <v>0</v>
      </c>
      <c r="Q1455" s="66" t="e">
        <f>IF(ISBLANK(M1455),0,L1455/ROUND(M1455,4))</f>
        <v>#DIV/0!</v>
      </c>
      <c r="R1455" s="66" t="e">
        <f>IF(ISBLANK(M1455),0,Q1455*ROUND(N1455,2))</f>
        <v>#DIV/0!</v>
      </c>
      <c r="S1455" s="69" t="e">
        <f>ROUND(P1455,2)*Q1455</f>
        <v>#DIV/0!</v>
      </c>
      <c r="T1455" s="66" t="e">
        <f>Q1455*dagenperjaar1</f>
        <v>#DIV/0!</v>
      </c>
      <c r="U1455" s="70" t="e">
        <f>T1455*ROUND(P1455,2)</f>
        <v>#DIV/0!</v>
      </c>
    </row>
    <row r="1456" spans="1:21" x14ac:dyDescent="0.2">
      <c r="A1456" s="63" t="s">
        <v>1850</v>
      </c>
      <c r="B1456" s="64" t="s">
        <v>324</v>
      </c>
      <c r="C1456" s="64" t="s">
        <v>323</v>
      </c>
      <c r="D1456" s="64" t="s">
        <v>1952</v>
      </c>
      <c r="E1456" s="64" t="s">
        <v>324</v>
      </c>
      <c r="F1456" s="65" t="s">
        <v>381</v>
      </c>
      <c r="G1456" s="64" t="s">
        <v>624</v>
      </c>
      <c r="H1456" s="64" t="s">
        <v>205</v>
      </c>
      <c r="I1456" s="64" t="s">
        <v>10</v>
      </c>
      <c r="J1456" s="64" t="s">
        <v>201</v>
      </c>
      <c r="K1456" s="66">
        <v>15</v>
      </c>
      <c r="L1456" s="66">
        <f>K1456*VLOOKUP(I1456,dagsoorttabel1,2,FALSE)</f>
        <v>15</v>
      </c>
      <c r="M1456" s="67">
        <f>prodnorm26</f>
        <v>0</v>
      </c>
      <c r="N1456" s="68">
        <f>dagwerk26</f>
        <v>0</v>
      </c>
      <c r="O1456" s="64" t="s">
        <v>38</v>
      </c>
      <c r="P1456" s="69">
        <f>uurtarief26</f>
        <v>0</v>
      </c>
      <c r="Q1456" s="66" t="e">
        <f>IF(ISBLANK(M1456),0,L1456/ROUND(M1456,4))</f>
        <v>#DIV/0!</v>
      </c>
      <c r="R1456" s="66" t="e">
        <f>IF(ISBLANK(M1456),0,Q1456*ROUND(N1456,2))</f>
        <v>#DIV/0!</v>
      </c>
      <c r="S1456" s="69" t="e">
        <f>ROUND(P1456,2)*Q1456</f>
        <v>#DIV/0!</v>
      </c>
      <c r="T1456" s="66" t="e">
        <f>Q1456*dagenperjaar1</f>
        <v>#DIV/0!</v>
      </c>
      <c r="U1456" s="70" t="e">
        <f>T1456*ROUND(P1456,2)</f>
        <v>#DIV/0!</v>
      </c>
    </row>
    <row r="1457" spans="1:21" x14ac:dyDescent="0.2">
      <c r="A1457" s="63" t="s">
        <v>1850</v>
      </c>
      <c r="B1457" s="64" t="s">
        <v>324</v>
      </c>
      <c r="C1457" s="64" t="s">
        <v>323</v>
      </c>
      <c r="D1457" s="64" t="s">
        <v>1953</v>
      </c>
      <c r="E1457" s="64" t="s">
        <v>324</v>
      </c>
      <c r="F1457" s="65" t="s">
        <v>381</v>
      </c>
      <c r="G1457" s="64" t="s">
        <v>624</v>
      </c>
      <c r="H1457" s="64" t="s">
        <v>205</v>
      </c>
      <c r="I1457" s="64" t="s">
        <v>10</v>
      </c>
      <c r="J1457" s="64" t="s">
        <v>201</v>
      </c>
      <c r="K1457" s="66">
        <v>15</v>
      </c>
      <c r="L1457" s="66">
        <f>K1457*VLOOKUP(I1457,dagsoorttabel1,2,FALSE)</f>
        <v>15</v>
      </c>
      <c r="M1457" s="67">
        <f>prodnorm26</f>
        <v>0</v>
      </c>
      <c r="N1457" s="68">
        <f>dagwerk26</f>
        <v>0</v>
      </c>
      <c r="O1457" s="64" t="s">
        <v>38</v>
      </c>
      <c r="P1457" s="69">
        <f>uurtarief26</f>
        <v>0</v>
      </c>
      <c r="Q1457" s="66" t="e">
        <f>IF(ISBLANK(M1457),0,L1457/ROUND(M1457,4))</f>
        <v>#DIV/0!</v>
      </c>
      <c r="R1457" s="66" t="e">
        <f>IF(ISBLANK(M1457),0,Q1457*ROUND(N1457,2))</f>
        <v>#DIV/0!</v>
      </c>
      <c r="S1457" s="69" t="e">
        <f>ROUND(P1457,2)*Q1457</f>
        <v>#DIV/0!</v>
      </c>
      <c r="T1457" s="66" t="e">
        <f>Q1457*dagenperjaar1</f>
        <v>#DIV/0!</v>
      </c>
      <c r="U1457" s="70" t="e">
        <f>T1457*ROUND(P1457,2)</f>
        <v>#DIV/0!</v>
      </c>
    </row>
    <row r="1458" spans="1:21" x14ac:dyDescent="0.2">
      <c r="A1458" s="63" t="s">
        <v>1850</v>
      </c>
      <c r="B1458" s="64" t="s">
        <v>324</v>
      </c>
      <c r="C1458" s="64" t="s">
        <v>323</v>
      </c>
      <c r="D1458" s="64" t="s">
        <v>1954</v>
      </c>
      <c r="E1458" s="64" t="s">
        <v>324</v>
      </c>
      <c r="F1458" s="65" t="s">
        <v>381</v>
      </c>
      <c r="G1458" s="64" t="s">
        <v>624</v>
      </c>
      <c r="H1458" s="64" t="s">
        <v>205</v>
      </c>
      <c r="I1458" s="64" t="s">
        <v>10</v>
      </c>
      <c r="J1458" s="64" t="s">
        <v>201</v>
      </c>
      <c r="K1458" s="66">
        <v>10</v>
      </c>
      <c r="L1458" s="66">
        <f>K1458*VLOOKUP(I1458,dagsoorttabel1,2,FALSE)</f>
        <v>10</v>
      </c>
      <c r="M1458" s="67">
        <f>prodnorm26</f>
        <v>0</v>
      </c>
      <c r="N1458" s="68">
        <f>dagwerk26</f>
        <v>0</v>
      </c>
      <c r="O1458" s="64" t="s">
        <v>38</v>
      </c>
      <c r="P1458" s="69">
        <f>uurtarief26</f>
        <v>0</v>
      </c>
      <c r="Q1458" s="66" t="e">
        <f>IF(ISBLANK(M1458),0,L1458/ROUND(M1458,4))</f>
        <v>#DIV/0!</v>
      </c>
      <c r="R1458" s="66" t="e">
        <f>IF(ISBLANK(M1458),0,Q1458*ROUND(N1458,2))</f>
        <v>#DIV/0!</v>
      </c>
      <c r="S1458" s="69" t="e">
        <f>ROUND(P1458,2)*Q1458</f>
        <v>#DIV/0!</v>
      </c>
      <c r="T1458" s="66" t="e">
        <f>Q1458*dagenperjaar1</f>
        <v>#DIV/0!</v>
      </c>
      <c r="U1458" s="70" t="e">
        <f>T1458*ROUND(P1458,2)</f>
        <v>#DIV/0!</v>
      </c>
    </row>
    <row r="1459" spans="1:21" x14ac:dyDescent="0.2">
      <c r="A1459" s="63" t="s">
        <v>1850</v>
      </c>
      <c r="B1459" s="64" t="s">
        <v>324</v>
      </c>
      <c r="C1459" s="64" t="s">
        <v>323</v>
      </c>
      <c r="D1459" s="64" t="s">
        <v>1955</v>
      </c>
      <c r="E1459" s="64" t="s">
        <v>324</v>
      </c>
      <c r="F1459" s="65" t="s">
        <v>335</v>
      </c>
      <c r="G1459" s="64" t="s">
        <v>328</v>
      </c>
      <c r="H1459" s="64" t="s">
        <v>267</v>
      </c>
      <c r="I1459" s="64" t="s">
        <v>10</v>
      </c>
      <c r="J1459" s="64" t="s">
        <v>201</v>
      </c>
      <c r="K1459" s="66">
        <v>74</v>
      </c>
      <c r="L1459" s="66">
        <f>K1459*VLOOKUP(I1459,dagsoorttabel1,2,FALSE)</f>
        <v>74</v>
      </c>
      <c r="M1459" s="67">
        <f>prodnorm65</f>
        <v>0</v>
      </c>
      <c r="N1459" s="68">
        <f>dagwerk65</f>
        <v>0</v>
      </c>
      <c r="O1459" s="64" t="s">
        <v>38</v>
      </c>
      <c r="P1459" s="69">
        <f>uurtarief65</f>
        <v>0</v>
      </c>
      <c r="Q1459" s="66" t="e">
        <f>IF(ISBLANK(M1459),0,L1459/ROUND(M1459,4))</f>
        <v>#DIV/0!</v>
      </c>
      <c r="R1459" s="66" t="e">
        <f>IF(ISBLANK(M1459),0,Q1459*ROUND(N1459,2))</f>
        <v>#DIV/0!</v>
      </c>
      <c r="S1459" s="69" t="e">
        <f>ROUND(P1459,2)*Q1459</f>
        <v>#DIV/0!</v>
      </c>
      <c r="T1459" s="66" t="e">
        <f>Q1459*dagenperjaar1</f>
        <v>#DIV/0!</v>
      </c>
      <c r="U1459" s="70" t="e">
        <f>T1459*ROUND(P1459,2)</f>
        <v>#DIV/0!</v>
      </c>
    </row>
    <row r="1460" spans="1:21" x14ac:dyDescent="0.2">
      <c r="A1460" s="63" t="s">
        <v>1850</v>
      </c>
      <c r="B1460" s="64" t="s">
        <v>324</v>
      </c>
      <c r="C1460" s="64" t="s">
        <v>323</v>
      </c>
      <c r="D1460" s="64" t="s">
        <v>463</v>
      </c>
      <c r="E1460" s="64" t="s">
        <v>324</v>
      </c>
      <c r="F1460" s="65" t="s">
        <v>381</v>
      </c>
      <c r="G1460" s="64" t="s">
        <v>624</v>
      </c>
      <c r="H1460" s="64" t="s">
        <v>205</v>
      </c>
      <c r="I1460" s="64" t="s">
        <v>10</v>
      </c>
      <c r="J1460" s="64" t="s">
        <v>201</v>
      </c>
      <c r="K1460" s="66">
        <v>42</v>
      </c>
      <c r="L1460" s="66">
        <f>K1460*VLOOKUP(I1460,dagsoorttabel1,2,FALSE)</f>
        <v>42</v>
      </c>
      <c r="M1460" s="67">
        <f>prodnorm26</f>
        <v>0</v>
      </c>
      <c r="N1460" s="68">
        <f>dagwerk26</f>
        <v>0</v>
      </c>
      <c r="O1460" s="64" t="s">
        <v>38</v>
      </c>
      <c r="P1460" s="69">
        <f>uurtarief26</f>
        <v>0</v>
      </c>
      <c r="Q1460" s="66" t="e">
        <f>IF(ISBLANK(M1460),0,L1460/ROUND(M1460,4))</f>
        <v>#DIV/0!</v>
      </c>
      <c r="R1460" s="66" t="e">
        <f>IF(ISBLANK(M1460),0,Q1460*ROUND(N1460,2))</f>
        <v>#DIV/0!</v>
      </c>
      <c r="S1460" s="69" t="e">
        <f>ROUND(P1460,2)*Q1460</f>
        <v>#DIV/0!</v>
      </c>
      <c r="T1460" s="66" t="e">
        <f>Q1460*dagenperjaar1</f>
        <v>#DIV/0!</v>
      </c>
      <c r="U1460" s="70" t="e">
        <f>T1460*ROUND(P1460,2)</f>
        <v>#DIV/0!</v>
      </c>
    </row>
    <row r="1461" spans="1:21" x14ac:dyDescent="0.2">
      <c r="A1461" s="63" t="s">
        <v>1850</v>
      </c>
      <c r="B1461" s="64" t="s">
        <v>324</v>
      </c>
      <c r="C1461" s="64" t="s">
        <v>323</v>
      </c>
      <c r="D1461" s="64" t="s">
        <v>1956</v>
      </c>
      <c r="E1461" s="64" t="s">
        <v>324</v>
      </c>
      <c r="F1461" s="65" t="s">
        <v>335</v>
      </c>
      <c r="G1461" s="64" t="s">
        <v>1879</v>
      </c>
      <c r="H1461" s="64" t="s">
        <v>267</v>
      </c>
      <c r="I1461" s="64" t="s">
        <v>10</v>
      </c>
      <c r="J1461" s="64" t="s">
        <v>201</v>
      </c>
      <c r="K1461" s="66">
        <v>82</v>
      </c>
      <c r="L1461" s="66">
        <f>K1461*VLOOKUP(I1461,dagsoorttabel1,2,FALSE)</f>
        <v>82</v>
      </c>
      <c r="M1461" s="67">
        <f>prodnorm65</f>
        <v>0</v>
      </c>
      <c r="N1461" s="68">
        <f>dagwerk65</f>
        <v>0</v>
      </c>
      <c r="O1461" s="64" t="s">
        <v>38</v>
      </c>
      <c r="P1461" s="69">
        <f>uurtarief65</f>
        <v>0</v>
      </c>
      <c r="Q1461" s="66" t="e">
        <f>IF(ISBLANK(M1461),0,L1461/ROUND(M1461,4))</f>
        <v>#DIV/0!</v>
      </c>
      <c r="R1461" s="66" t="e">
        <f>IF(ISBLANK(M1461),0,Q1461*ROUND(N1461,2))</f>
        <v>#DIV/0!</v>
      </c>
      <c r="S1461" s="69" t="e">
        <f>ROUND(P1461,2)*Q1461</f>
        <v>#DIV/0!</v>
      </c>
      <c r="T1461" s="66" t="e">
        <f>Q1461*dagenperjaar1</f>
        <v>#DIV/0!</v>
      </c>
      <c r="U1461" s="70" t="e">
        <f>T1461*ROUND(P1461,2)</f>
        <v>#DIV/0!</v>
      </c>
    </row>
    <row r="1462" spans="1:21" x14ac:dyDescent="0.2">
      <c r="A1462" s="63" t="s">
        <v>1850</v>
      </c>
      <c r="B1462" s="64" t="s">
        <v>324</v>
      </c>
      <c r="C1462" s="64" t="s">
        <v>323</v>
      </c>
      <c r="D1462" s="64" t="s">
        <v>929</v>
      </c>
      <c r="E1462" s="64" t="s">
        <v>324</v>
      </c>
      <c r="F1462" s="65" t="s">
        <v>381</v>
      </c>
      <c r="G1462" s="64" t="s">
        <v>1957</v>
      </c>
      <c r="H1462" s="64" t="s">
        <v>207</v>
      </c>
      <c r="I1462" s="64" t="s">
        <v>10</v>
      </c>
      <c r="J1462" s="64" t="s">
        <v>201</v>
      </c>
      <c r="K1462" s="66">
        <v>29</v>
      </c>
      <c r="L1462" s="66">
        <f>K1462*VLOOKUP(I1462,dagsoorttabel1,2,FALSE)</f>
        <v>29</v>
      </c>
      <c r="M1462" s="67">
        <f>prodnorm28</f>
        <v>0</v>
      </c>
      <c r="N1462" s="68">
        <f>dagwerk28</f>
        <v>0</v>
      </c>
      <c r="O1462" s="64" t="s">
        <v>38</v>
      </c>
      <c r="P1462" s="69">
        <f>uurtarief28</f>
        <v>0</v>
      </c>
      <c r="Q1462" s="66" t="e">
        <f>IF(ISBLANK(M1462),0,L1462/ROUND(M1462,4))</f>
        <v>#DIV/0!</v>
      </c>
      <c r="R1462" s="66" t="e">
        <f>IF(ISBLANK(M1462),0,Q1462*ROUND(N1462,2))</f>
        <v>#DIV/0!</v>
      </c>
      <c r="S1462" s="69" t="e">
        <f>ROUND(P1462,2)*Q1462</f>
        <v>#DIV/0!</v>
      </c>
      <c r="T1462" s="66" t="e">
        <f>Q1462*dagenperjaar1</f>
        <v>#DIV/0!</v>
      </c>
      <c r="U1462" s="70" t="e">
        <f>T1462*ROUND(P1462,2)</f>
        <v>#DIV/0!</v>
      </c>
    </row>
    <row r="1463" spans="1:21" x14ac:dyDescent="0.2">
      <c r="A1463" s="63" t="s">
        <v>1850</v>
      </c>
      <c r="B1463" s="64" t="s">
        <v>324</v>
      </c>
      <c r="C1463" s="64" t="s">
        <v>323</v>
      </c>
      <c r="D1463" s="64" t="s">
        <v>1958</v>
      </c>
      <c r="E1463" s="64" t="s">
        <v>324</v>
      </c>
      <c r="F1463" s="65" t="s">
        <v>335</v>
      </c>
      <c r="G1463" s="64" t="s">
        <v>328</v>
      </c>
      <c r="H1463" s="64" t="s">
        <v>267</v>
      </c>
      <c r="I1463" s="64" t="s">
        <v>10</v>
      </c>
      <c r="J1463" s="64" t="s">
        <v>201</v>
      </c>
      <c r="K1463" s="66">
        <v>109</v>
      </c>
      <c r="L1463" s="66">
        <f>K1463*VLOOKUP(I1463,dagsoorttabel1,2,FALSE)</f>
        <v>109</v>
      </c>
      <c r="M1463" s="67">
        <f>prodnorm65</f>
        <v>0</v>
      </c>
      <c r="N1463" s="68">
        <f>dagwerk65</f>
        <v>0</v>
      </c>
      <c r="O1463" s="64" t="s">
        <v>38</v>
      </c>
      <c r="P1463" s="69">
        <f>uurtarief65</f>
        <v>0</v>
      </c>
      <c r="Q1463" s="66" t="e">
        <f>IF(ISBLANK(M1463),0,L1463/ROUND(M1463,4))</f>
        <v>#DIV/0!</v>
      </c>
      <c r="R1463" s="66" t="e">
        <f>IF(ISBLANK(M1463),0,Q1463*ROUND(N1463,2))</f>
        <v>#DIV/0!</v>
      </c>
      <c r="S1463" s="69" t="e">
        <f>ROUND(P1463,2)*Q1463</f>
        <v>#DIV/0!</v>
      </c>
      <c r="T1463" s="66" t="e">
        <f>Q1463*dagenperjaar1</f>
        <v>#DIV/0!</v>
      </c>
      <c r="U1463" s="70" t="e">
        <f>T1463*ROUND(P1463,2)</f>
        <v>#DIV/0!</v>
      </c>
    </row>
    <row r="1464" spans="1:21" x14ac:dyDescent="0.2">
      <c r="A1464" s="63" t="s">
        <v>1850</v>
      </c>
      <c r="B1464" s="64" t="s">
        <v>324</v>
      </c>
      <c r="C1464" s="64" t="s">
        <v>323</v>
      </c>
      <c r="D1464" s="64" t="s">
        <v>932</v>
      </c>
      <c r="E1464" s="64" t="s">
        <v>324</v>
      </c>
      <c r="F1464" s="65" t="s">
        <v>457</v>
      </c>
      <c r="G1464" s="64" t="s">
        <v>328</v>
      </c>
      <c r="H1464" s="64" t="s">
        <v>229</v>
      </c>
      <c r="I1464" s="64" t="s">
        <v>10</v>
      </c>
      <c r="J1464" s="64" t="s">
        <v>201</v>
      </c>
      <c r="K1464" s="66">
        <v>82</v>
      </c>
      <c r="L1464" s="66">
        <f>K1464*VLOOKUP(I1464,dagsoorttabel1,2,FALSE)</f>
        <v>82</v>
      </c>
      <c r="M1464" s="67">
        <f>prodnorm43</f>
        <v>0</v>
      </c>
      <c r="N1464" s="68">
        <f>dagwerk43</f>
        <v>0</v>
      </c>
      <c r="O1464" s="64" t="s">
        <v>38</v>
      </c>
      <c r="P1464" s="69">
        <f>uurtarief43</f>
        <v>0</v>
      </c>
      <c r="Q1464" s="66" t="e">
        <f>IF(ISBLANK(M1464),0,L1464/ROUND(M1464,4))</f>
        <v>#DIV/0!</v>
      </c>
      <c r="R1464" s="66" t="e">
        <f>IF(ISBLANK(M1464),0,Q1464*ROUND(N1464,2))</f>
        <v>#DIV/0!</v>
      </c>
      <c r="S1464" s="69" t="e">
        <f>ROUND(P1464,2)*Q1464</f>
        <v>#DIV/0!</v>
      </c>
      <c r="T1464" s="66" t="e">
        <f>Q1464*dagenperjaar1</f>
        <v>#DIV/0!</v>
      </c>
      <c r="U1464" s="70" t="e">
        <f>T1464*ROUND(P1464,2)</f>
        <v>#DIV/0!</v>
      </c>
    </row>
    <row r="1465" spans="1:21" x14ac:dyDescent="0.2">
      <c r="A1465" s="63" t="s">
        <v>1850</v>
      </c>
      <c r="B1465" s="64" t="s">
        <v>324</v>
      </c>
      <c r="C1465" s="64" t="s">
        <v>323</v>
      </c>
      <c r="D1465" s="64" t="s">
        <v>935</v>
      </c>
      <c r="E1465" s="64" t="s">
        <v>324</v>
      </c>
      <c r="F1465" s="65" t="s">
        <v>457</v>
      </c>
      <c r="G1465" s="64" t="s">
        <v>328</v>
      </c>
      <c r="H1465" s="64" t="s">
        <v>229</v>
      </c>
      <c r="I1465" s="64" t="s">
        <v>10</v>
      </c>
      <c r="J1465" s="64" t="s">
        <v>201</v>
      </c>
      <c r="K1465" s="66">
        <v>57</v>
      </c>
      <c r="L1465" s="66">
        <f>K1465*VLOOKUP(I1465,dagsoorttabel1,2,FALSE)</f>
        <v>57</v>
      </c>
      <c r="M1465" s="67">
        <f>prodnorm43</f>
        <v>0</v>
      </c>
      <c r="N1465" s="68">
        <f>dagwerk43</f>
        <v>0</v>
      </c>
      <c r="O1465" s="64" t="s">
        <v>38</v>
      </c>
      <c r="P1465" s="69">
        <f>uurtarief43</f>
        <v>0</v>
      </c>
      <c r="Q1465" s="66" t="e">
        <f>IF(ISBLANK(M1465),0,L1465/ROUND(M1465,4))</f>
        <v>#DIV/0!</v>
      </c>
      <c r="R1465" s="66" t="e">
        <f>IF(ISBLANK(M1465),0,Q1465*ROUND(N1465,2))</f>
        <v>#DIV/0!</v>
      </c>
      <c r="S1465" s="69" t="e">
        <f>ROUND(P1465,2)*Q1465</f>
        <v>#DIV/0!</v>
      </c>
      <c r="T1465" s="66" t="e">
        <f>Q1465*dagenperjaar1</f>
        <v>#DIV/0!</v>
      </c>
      <c r="U1465" s="70" t="e">
        <f>T1465*ROUND(P1465,2)</f>
        <v>#DIV/0!</v>
      </c>
    </row>
    <row r="1466" spans="1:21" x14ac:dyDescent="0.2">
      <c r="A1466" s="63" t="s">
        <v>1850</v>
      </c>
      <c r="B1466" s="64" t="s">
        <v>324</v>
      </c>
      <c r="C1466" s="64" t="s">
        <v>323</v>
      </c>
      <c r="D1466" s="64" t="s">
        <v>1959</v>
      </c>
      <c r="E1466" s="64" t="s">
        <v>324</v>
      </c>
      <c r="F1466" s="65" t="s">
        <v>1888</v>
      </c>
      <c r="G1466" s="64" t="s">
        <v>328</v>
      </c>
      <c r="H1466" s="64" t="s">
        <v>267</v>
      </c>
      <c r="I1466" s="64" t="s">
        <v>10</v>
      </c>
      <c r="J1466" s="64" t="s">
        <v>201</v>
      </c>
      <c r="K1466" s="66">
        <v>11</v>
      </c>
      <c r="L1466" s="66">
        <f>K1466*VLOOKUP(I1466,dagsoorttabel1,2,FALSE)</f>
        <v>11</v>
      </c>
      <c r="M1466" s="67">
        <f>prodnorm65</f>
        <v>0</v>
      </c>
      <c r="N1466" s="68">
        <f>dagwerk65</f>
        <v>0</v>
      </c>
      <c r="O1466" s="64" t="s">
        <v>38</v>
      </c>
      <c r="P1466" s="69">
        <f>uurtarief65</f>
        <v>0</v>
      </c>
      <c r="Q1466" s="66" t="e">
        <f>IF(ISBLANK(M1466),0,L1466/ROUND(M1466,4))</f>
        <v>#DIV/0!</v>
      </c>
      <c r="R1466" s="66" t="e">
        <f>IF(ISBLANK(M1466),0,Q1466*ROUND(N1466,2))</f>
        <v>#DIV/0!</v>
      </c>
      <c r="S1466" s="69" t="e">
        <f>ROUND(P1466,2)*Q1466</f>
        <v>#DIV/0!</v>
      </c>
      <c r="T1466" s="66" t="e">
        <f>Q1466*dagenperjaar1</f>
        <v>#DIV/0!</v>
      </c>
      <c r="U1466" s="70" t="e">
        <f>T1466*ROUND(P1466,2)</f>
        <v>#DIV/0!</v>
      </c>
    </row>
    <row r="1467" spans="1:21" x14ac:dyDescent="0.2">
      <c r="A1467" s="63" t="s">
        <v>1850</v>
      </c>
      <c r="B1467" s="64" t="s">
        <v>324</v>
      </c>
      <c r="C1467" s="64" t="s">
        <v>323</v>
      </c>
      <c r="D1467" s="64" t="s">
        <v>1960</v>
      </c>
      <c r="E1467" s="64" t="s">
        <v>324</v>
      </c>
      <c r="F1467" s="65" t="s">
        <v>381</v>
      </c>
      <c r="G1467" s="64" t="s">
        <v>351</v>
      </c>
      <c r="H1467" s="64" t="s">
        <v>207</v>
      </c>
      <c r="I1467" s="64" t="s">
        <v>10</v>
      </c>
      <c r="J1467" s="64" t="s">
        <v>201</v>
      </c>
      <c r="K1467" s="66">
        <v>16</v>
      </c>
      <c r="L1467" s="66">
        <f>K1467*VLOOKUP(I1467,dagsoorttabel1,2,FALSE)</f>
        <v>16</v>
      </c>
      <c r="M1467" s="67">
        <f>prodnorm28</f>
        <v>0</v>
      </c>
      <c r="N1467" s="68">
        <f>dagwerk28</f>
        <v>0</v>
      </c>
      <c r="O1467" s="64" t="s">
        <v>38</v>
      </c>
      <c r="P1467" s="69">
        <f>uurtarief28</f>
        <v>0</v>
      </c>
      <c r="Q1467" s="66" t="e">
        <f>IF(ISBLANK(M1467),0,L1467/ROUND(M1467,4))</f>
        <v>#DIV/0!</v>
      </c>
      <c r="R1467" s="66" t="e">
        <f>IF(ISBLANK(M1467),0,Q1467*ROUND(N1467,2))</f>
        <v>#DIV/0!</v>
      </c>
      <c r="S1467" s="69" t="e">
        <f>ROUND(P1467,2)*Q1467</f>
        <v>#DIV/0!</v>
      </c>
      <c r="T1467" s="66" t="e">
        <f>Q1467*dagenperjaar1</f>
        <v>#DIV/0!</v>
      </c>
      <c r="U1467" s="70" t="e">
        <f>T1467*ROUND(P1467,2)</f>
        <v>#DIV/0!</v>
      </c>
    </row>
    <row r="1468" spans="1:21" x14ac:dyDescent="0.2">
      <c r="A1468" s="63" t="s">
        <v>1850</v>
      </c>
      <c r="B1468" s="64" t="s">
        <v>324</v>
      </c>
      <c r="C1468" s="64" t="s">
        <v>323</v>
      </c>
      <c r="D1468" s="64" t="s">
        <v>465</v>
      </c>
      <c r="E1468" s="64" t="s">
        <v>324</v>
      </c>
      <c r="F1468" s="65" t="s">
        <v>457</v>
      </c>
      <c r="G1468" s="64" t="s">
        <v>328</v>
      </c>
      <c r="H1468" s="64" t="s">
        <v>229</v>
      </c>
      <c r="I1468" s="64" t="s">
        <v>10</v>
      </c>
      <c r="J1468" s="64" t="s">
        <v>201</v>
      </c>
      <c r="K1468" s="66">
        <v>57</v>
      </c>
      <c r="L1468" s="66">
        <f>K1468*VLOOKUP(I1468,dagsoorttabel1,2,FALSE)</f>
        <v>57</v>
      </c>
      <c r="M1468" s="67">
        <f>prodnorm43</f>
        <v>0</v>
      </c>
      <c r="N1468" s="68">
        <f>dagwerk43</f>
        <v>0</v>
      </c>
      <c r="O1468" s="64" t="s">
        <v>38</v>
      </c>
      <c r="P1468" s="69">
        <f>uurtarief43</f>
        <v>0</v>
      </c>
      <c r="Q1468" s="66" t="e">
        <f>IF(ISBLANK(M1468),0,L1468/ROUND(M1468,4))</f>
        <v>#DIV/0!</v>
      </c>
      <c r="R1468" s="66" t="e">
        <f>IF(ISBLANK(M1468),0,Q1468*ROUND(N1468,2))</f>
        <v>#DIV/0!</v>
      </c>
      <c r="S1468" s="69" t="e">
        <f>ROUND(P1468,2)*Q1468</f>
        <v>#DIV/0!</v>
      </c>
      <c r="T1468" s="66" t="e">
        <f>Q1468*dagenperjaar1</f>
        <v>#DIV/0!</v>
      </c>
      <c r="U1468" s="70" t="e">
        <f>T1468*ROUND(P1468,2)</f>
        <v>#DIV/0!</v>
      </c>
    </row>
    <row r="1469" spans="1:21" x14ac:dyDescent="0.2">
      <c r="A1469" s="63" t="s">
        <v>1850</v>
      </c>
      <c r="B1469" s="64" t="s">
        <v>324</v>
      </c>
      <c r="C1469" s="64" t="s">
        <v>323</v>
      </c>
      <c r="D1469" s="64" t="s">
        <v>467</v>
      </c>
      <c r="E1469" s="64" t="s">
        <v>324</v>
      </c>
      <c r="F1469" s="65" t="s">
        <v>457</v>
      </c>
      <c r="G1469" s="64" t="s">
        <v>328</v>
      </c>
      <c r="H1469" s="64" t="s">
        <v>229</v>
      </c>
      <c r="I1469" s="64" t="s">
        <v>10</v>
      </c>
      <c r="J1469" s="64" t="s">
        <v>201</v>
      </c>
      <c r="K1469" s="66">
        <v>56</v>
      </c>
      <c r="L1469" s="66">
        <f>K1469*VLOOKUP(I1469,dagsoorttabel1,2,FALSE)</f>
        <v>56</v>
      </c>
      <c r="M1469" s="67">
        <f>prodnorm43</f>
        <v>0</v>
      </c>
      <c r="N1469" s="68">
        <f>dagwerk43</f>
        <v>0</v>
      </c>
      <c r="O1469" s="64" t="s">
        <v>38</v>
      </c>
      <c r="P1469" s="69">
        <f>uurtarief43</f>
        <v>0</v>
      </c>
      <c r="Q1469" s="66" t="e">
        <f>IF(ISBLANK(M1469),0,L1469/ROUND(M1469,4))</f>
        <v>#DIV/0!</v>
      </c>
      <c r="R1469" s="66" t="e">
        <f>IF(ISBLANK(M1469),0,Q1469*ROUND(N1469,2))</f>
        <v>#DIV/0!</v>
      </c>
      <c r="S1469" s="69" t="e">
        <f>ROUND(P1469,2)*Q1469</f>
        <v>#DIV/0!</v>
      </c>
      <c r="T1469" s="66" t="e">
        <f>Q1469*dagenperjaar1</f>
        <v>#DIV/0!</v>
      </c>
      <c r="U1469" s="70" t="e">
        <f>T1469*ROUND(P1469,2)</f>
        <v>#DIV/0!</v>
      </c>
    </row>
    <row r="1470" spans="1:21" x14ac:dyDescent="0.2">
      <c r="A1470" s="63" t="s">
        <v>1850</v>
      </c>
      <c r="B1470" s="64" t="s">
        <v>324</v>
      </c>
      <c r="C1470" s="64" t="s">
        <v>323</v>
      </c>
      <c r="D1470" s="64" t="s">
        <v>1961</v>
      </c>
      <c r="E1470" s="64" t="s">
        <v>324</v>
      </c>
      <c r="F1470" s="65" t="s">
        <v>655</v>
      </c>
      <c r="G1470" s="64" t="s">
        <v>328</v>
      </c>
      <c r="H1470" s="64" t="s">
        <v>263</v>
      </c>
      <c r="I1470" s="64" t="s">
        <v>10</v>
      </c>
      <c r="J1470" s="64" t="s">
        <v>201</v>
      </c>
      <c r="K1470" s="66">
        <v>21</v>
      </c>
      <c r="L1470" s="66">
        <f>K1470*VLOOKUP(I1470,dagsoorttabel1,2,FALSE)</f>
        <v>21</v>
      </c>
      <c r="M1470" s="67">
        <f>prodnorm63</f>
        <v>0</v>
      </c>
      <c r="N1470" s="68">
        <f>dagwerk63</f>
        <v>0</v>
      </c>
      <c r="O1470" s="64" t="s">
        <v>38</v>
      </c>
      <c r="P1470" s="69">
        <f>uurtarief63</f>
        <v>0</v>
      </c>
      <c r="Q1470" s="66" t="e">
        <f>IF(ISBLANK(M1470),0,L1470/ROUND(M1470,4))</f>
        <v>#DIV/0!</v>
      </c>
      <c r="R1470" s="66" t="e">
        <f>IF(ISBLANK(M1470),0,Q1470*ROUND(N1470,2))</f>
        <v>#DIV/0!</v>
      </c>
      <c r="S1470" s="69" t="e">
        <f>ROUND(P1470,2)*Q1470</f>
        <v>#DIV/0!</v>
      </c>
      <c r="T1470" s="66" t="e">
        <f>Q1470*dagenperjaar1</f>
        <v>#DIV/0!</v>
      </c>
      <c r="U1470" s="70" t="e">
        <f>T1470*ROUND(P1470,2)</f>
        <v>#DIV/0!</v>
      </c>
    </row>
    <row r="1471" spans="1:21" x14ac:dyDescent="0.2">
      <c r="A1471" s="63" t="s">
        <v>1850</v>
      </c>
      <c r="B1471" s="64" t="s">
        <v>324</v>
      </c>
      <c r="C1471" s="64" t="s">
        <v>323</v>
      </c>
      <c r="D1471" s="64" t="s">
        <v>1962</v>
      </c>
      <c r="E1471" s="64" t="s">
        <v>324</v>
      </c>
      <c r="F1471" s="65" t="s">
        <v>381</v>
      </c>
      <c r="G1471" s="64" t="s">
        <v>351</v>
      </c>
      <c r="H1471" s="64" t="s">
        <v>207</v>
      </c>
      <c r="I1471" s="64" t="s">
        <v>10</v>
      </c>
      <c r="J1471" s="64" t="s">
        <v>201</v>
      </c>
      <c r="K1471" s="66">
        <v>29</v>
      </c>
      <c r="L1471" s="66">
        <f>K1471*VLOOKUP(I1471,dagsoorttabel1,2,FALSE)</f>
        <v>29</v>
      </c>
      <c r="M1471" s="67">
        <f>prodnorm28</f>
        <v>0</v>
      </c>
      <c r="N1471" s="68">
        <f>dagwerk28</f>
        <v>0</v>
      </c>
      <c r="O1471" s="64" t="s">
        <v>38</v>
      </c>
      <c r="P1471" s="69">
        <f>uurtarief28</f>
        <v>0</v>
      </c>
      <c r="Q1471" s="66" t="e">
        <f>IF(ISBLANK(M1471),0,L1471/ROUND(M1471,4))</f>
        <v>#DIV/0!</v>
      </c>
      <c r="R1471" s="66" t="e">
        <f>IF(ISBLANK(M1471),0,Q1471*ROUND(N1471,2))</f>
        <v>#DIV/0!</v>
      </c>
      <c r="S1471" s="69" t="e">
        <f>ROUND(P1471,2)*Q1471</f>
        <v>#DIV/0!</v>
      </c>
      <c r="T1471" s="66" t="e">
        <f>Q1471*dagenperjaar1</f>
        <v>#DIV/0!</v>
      </c>
      <c r="U1471" s="70" t="e">
        <f>T1471*ROUND(P1471,2)</f>
        <v>#DIV/0!</v>
      </c>
    </row>
    <row r="1472" spans="1:21" x14ac:dyDescent="0.2">
      <c r="A1472" s="63" t="s">
        <v>1850</v>
      </c>
      <c r="B1472" s="64" t="s">
        <v>324</v>
      </c>
      <c r="C1472" s="64" t="s">
        <v>323</v>
      </c>
      <c r="D1472" s="64" t="s">
        <v>1963</v>
      </c>
      <c r="E1472" s="64" t="s">
        <v>324</v>
      </c>
      <c r="F1472" s="65" t="s">
        <v>632</v>
      </c>
      <c r="G1472" s="64" t="s">
        <v>351</v>
      </c>
      <c r="H1472" s="64" t="s">
        <v>207</v>
      </c>
      <c r="I1472" s="64" t="s">
        <v>10</v>
      </c>
      <c r="J1472" s="64" t="s">
        <v>201</v>
      </c>
      <c r="K1472" s="66">
        <v>27</v>
      </c>
      <c r="L1472" s="66">
        <f>K1472*VLOOKUP(I1472,dagsoorttabel1,2,FALSE)</f>
        <v>27</v>
      </c>
      <c r="M1472" s="67">
        <f>prodnorm28</f>
        <v>0</v>
      </c>
      <c r="N1472" s="68">
        <f>dagwerk28</f>
        <v>0</v>
      </c>
      <c r="O1472" s="64" t="s">
        <v>38</v>
      </c>
      <c r="P1472" s="69">
        <f>uurtarief28</f>
        <v>0</v>
      </c>
      <c r="Q1472" s="66" t="e">
        <f>IF(ISBLANK(M1472),0,L1472/ROUND(M1472,4))</f>
        <v>#DIV/0!</v>
      </c>
      <c r="R1472" s="66" t="e">
        <f>IF(ISBLANK(M1472),0,Q1472*ROUND(N1472,2))</f>
        <v>#DIV/0!</v>
      </c>
      <c r="S1472" s="69" t="e">
        <f>ROUND(P1472,2)*Q1472</f>
        <v>#DIV/0!</v>
      </c>
      <c r="T1472" s="66" t="e">
        <f>Q1472*dagenperjaar1</f>
        <v>#DIV/0!</v>
      </c>
      <c r="U1472" s="70" t="e">
        <f>T1472*ROUND(P1472,2)</f>
        <v>#DIV/0!</v>
      </c>
    </row>
    <row r="1473" spans="1:21" x14ac:dyDescent="0.2">
      <c r="A1473" s="63" t="s">
        <v>1850</v>
      </c>
      <c r="B1473" s="64" t="s">
        <v>324</v>
      </c>
      <c r="C1473" s="64" t="s">
        <v>323</v>
      </c>
      <c r="D1473" s="64" t="s">
        <v>1964</v>
      </c>
      <c r="E1473" s="64" t="s">
        <v>324</v>
      </c>
      <c r="F1473" s="65" t="s">
        <v>335</v>
      </c>
      <c r="G1473" s="64" t="s">
        <v>328</v>
      </c>
      <c r="H1473" s="64" t="s">
        <v>267</v>
      </c>
      <c r="I1473" s="64" t="s">
        <v>10</v>
      </c>
      <c r="J1473" s="64" t="s">
        <v>201</v>
      </c>
      <c r="K1473" s="66">
        <v>100</v>
      </c>
      <c r="L1473" s="66">
        <f>K1473*VLOOKUP(I1473,dagsoorttabel1,2,FALSE)</f>
        <v>100</v>
      </c>
      <c r="M1473" s="67">
        <f>prodnorm65</f>
        <v>0</v>
      </c>
      <c r="N1473" s="68">
        <f>dagwerk65</f>
        <v>0</v>
      </c>
      <c r="O1473" s="64" t="s">
        <v>38</v>
      </c>
      <c r="P1473" s="69">
        <f>uurtarief65</f>
        <v>0</v>
      </c>
      <c r="Q1473" s="66" t="e">
        <f>IF(ISBLANK(M1473),0,L1473/ROUND(M1473,4))</f>
        <v>#DIV/0!</v>
      </c>
      <c r="R1473" s="66" t="e">
        <f>IF(ISBLANK(M1473),0,Q1473*ROUND(N1473,2))</f>
        <v>#DIV/0!</v>
      </c>
      <c r="S1473" s="69" t="e">
        <f>ROUND(P1473,2)*Q1473</f>
        <v>#DIV/0!</v>
      </c>
      <c r="T1473" s="66" t="e">
        <f>Q1473*dagenperjaar1</f>
        <v>#DIV/0!</v>
      </c>
      <c r="U1473" s="70" t="e">
        <f>T1473*ROUND(P1473,2)</f>
        <v>#DIV/0!</v>
      </c>
    </row>
    <row r="1474" spans="1:21" x14ac:dyDescent="0.2">
      <c r="A1474" s="63" t="s">
        <v>1850</v>
      </c>
      <c r="B1474" s="64" t="s">
        <v>324</v>
      </c>
      <c r="C1474" s="64" t="s">
        <v>323</v>
      </c>
      <c r="D1474" s="64" t="s">
        <v>1810</v>
      </c>
      <c r="E1474" s="64" t="s">
        <v>324</v>
      </c>
      <c r="F1474" s="65" t="s">
        <v>457</v>
      </c>
      <c r="G1474" s="64" t="s">
        <v>328</v>
      </c>
      <c r="H1474" s="64" t="s">
        <v>229</v>
      </c>
      <c r="I1474" s="64" t="s">
        <v>10</v>
      </c>
      <c r="J1474" s="64" t="s">
        <v>201</v>
      </c>
      <c r="K1474" s="66">
        <v>56</v>
      </c>
      <c r="L1474" s="66">
        <f>K1474*VLOOKUP(I1474,dagsoorttabel1,2,FALSE)</f>
        <v>56</v>
      </c>
      <c r="M1474" s="67">
        <f>prodnorm43</f>
        <v>0</v>
      </c>
      <c r="N1474" s="68">
        <f>dagwerk43</f>
        <v>0</v>
      </c>
      <c r="O1474" s="64" t="s">
        <v>38</v>
      </c>
      <c r="P1474" s="69">
        <f>uurtarief43</f>
        <v>0</v>
      </c>
      <c r="Q1474" s="66" t="e">
        <f>IF(ISBLANK(M1474),0,L1474/ROUND(M1474,4))</f>
        <v>#DIV/0!</v>
      </c>
      <c r="R1474" s="66" t="e">
        <f>IF(ISBLANK(M1474),0,Q1474*ROUND(N1474,2))</f>
        <v>#DIV/0!</v>
      </c>
      <c r="S1474" s="69" t="e">
        <f>ROUND(P1474,2)*Q1474</f>
        <v>#DIV/0!</v>
      </c>
      <c r="T1474" s="66" t="e">
        <f>Q1474*dagenperjaar1</f>
        <v>#DIV/0!</v>
      </c>
      <c r="U1474" s="70" t="e">
        <f>T1474*ROUND(P1474,2)</f>
        <v>#DIV/0!</v>
      </c>
    </row>
    <row r="1475" spans="1:21" x14ac:dyDescent="0.2">
      <c r="A1475" s="63" t="s">
        <v>1850</v>
      </c>
      <c r="B1475" s="64" t="s">
        <v>324</v>
      </c>
      <c r="C1475" s="64" t="s">
        <v>323</v>
      </c>
      <c r="D1475" s="64" t="s">
        <v>1375</v>
      </c>
      <c r="E1475" s="64" t="s">
        <v>324</v>
      </c>
      <c r="F1475" s="65" t="s">
        <v>457</v>
      </c>
      <c r="G1475" s="64" t="s">
        <v>328</v>
      </c>
      <c r="H1475" s="64" t="s">
        <v>229</v>
      </c>
      <c r="I1475" s="64" t="s">
        <v>10</v>
      </c>
      <c r="J1475" s="64" t="s">
        <v>201</v>
      </c>
      <c r="K1475" s="66">
        <v>57</v>
      </c>
      <c r="L1475" s="66">
        <f>K1475*VLOOKUP(I1475,dagsoorttabel1,2,FALSE)</f>
        <v>57</v>
      </c>
      <c r="M1475" s="67">
        <f>prodnorm43</f>
        <v>0</v>
      </c>
      <c r="N1475" s="68">
        <f>dagwerk43</f>
        <v>0</v>
      </c>
      <c r="O1475" s="64" t="s">
        <v>38</v>
      </c>
      <c r="P1475" s="69">
        <f>uurtarief43</f>
        <v>0</v>
      </c>
      <c r="Q1475" s="66" t="e">
        <f>IF(ISBLANK(M1475),0,L1475/ROUND(M1475,4))</f>
        <v>#DIV/0!</v>
      </c>
      <c r="R1475" s="66" t="e">
        <f>IF(ISBLANK(M1475),0,Q1475*ROUND(N1475,2))</f>
        <v>#DIV/0!</v>
      </c>
      <c r="S1475" s="69" t="e">
        <f>ROUND(P1475,2)*Q1475</f>
        <v>#DIV/0!</v>
      </c>
      <c r="T1475" s="66" t="e">
        <f>Q1475*dagenperjaar1</f>
        <v>#DIV/0!</v>
      </c>
      <c r="U1475" s="70" t="e">
        <f>T1475*ROUND(P1475,2)</f>
        <v>#DIV/0!</v>
      </c>
    </row>
    <row r="1476" spans="1:21" x14ac:dyDescent="0.2">
      <c r="A1476" s="63" t="s">
        <v>1850</v>
      </c>
      <c r="B1476" s="64" t="s">
        <v>324</v>
      </c>
      <c r="C1476" s="64" t="s">
        <v>323</v>
      </c>
      <c r="D1476" s="64" t="s">
        <v>1965</v>
      </c>
      <c r="E1476" s="64" t="s">
        <v>324</v>
      </c>
      <c r="F1476" s="65" t="s">
        <v>1888</v>
      </c>
      <c r="G1476" s="64" t="s">
        <v>328</v>
      </c>
      <c r="H1476" s="64" t="s">
        <v>267</v>
      </c>
      <c r="I1476" s="64" t="s">
        <v>10</v>
      </c>
      <c r="J1476" s="64" t="s">
        <v>201</v>
      </c>
      <c r="K1476" s="66">
        <v>12</v>
      </c>
      <c r="L1476" s="66">
        <f>K1476*VLOOKUP(I1476,dagsoorttabel1,2,FALSE)</f>
        <v>12</v>
      </c>
      <c r="M1476" s="67">
        <f>prodnorm65</f>
        <v>0</v>
      </c>
      <c r="N1476" s="68">
        <f>dagwerk65</f>
        <v>0</v>
      </c>
      <c r="O1476" s="64" t="s">
        <v>38</v>
      </c>
      <c r="P1476" s="69">
        <f>uurtarief65</f>
        <v>0</v>
      </c>
      <c r="Q1476" s="66" t="e">
        <f>IF(ISBLANK(M1476),0,L1476/ROUND(M1476,4))</f>
        <v>#DIV/0!</v>
      </c>
      <c r="R1476" s="66" t="e">
        <f>IF(ISBLANK(M1476),0,Q1476*ROUND(N1476,2))</f>
        <v>#DIV/0!</v>
      </c>
      <c r="S1476" s="69" t="e">
        <f>ROUND(P1476,2)*Q1476</f>
        <v>#DIV/0!</v>
      </c>
      <c r="T1476" s="66" t="e">
        <f>Q1476*dagenperjaar1</f>
        <v>#DIV/0!</v>
      </c>
      <c r="U1476" s="70" t="e">
        <f>T1476*ROUND(P1476,2)</f>
        <v>#DIV/0!</v>
      </c>
    </row>
    <row r="1477" spans="1:21" x14ac:dyDescent="0.2">
      <c r="A1477" s="63" t="s">
        <v>1850</v>
      </c>
      <c r="B1477" s="64" t="s">
        <v>324</v>
      </c>
      <c r="C1477" s="64" t="s">
        <v>323</v>
      </c>
      <c r="D1477" s="64" t="s">
        <v>1966</v>
      </c>
      <c r="E1477" s="64" t="s">
        <v>324</v>
      </c>
      <c r="F1477" s="65" t="s">
        <v>381</v>
      </c>
      <c r="G1477" s="64" t="s">
        <v>624</v>
      </c>
      <c r="H1477" s="64" t="s">
        <v>205</v>
      </c>
      <c r="I1477" s="64" t="s">
        <v>10</v>
      </c>
      <c r="J1477" s="64" t="s">
        <v>201</v>
      </c>
      <c r="K1477" s="66">
        <v>12</v>
      </c>
      <c r="L1477" s="66">
        <f>K1477*VLOOKUP(I1477,dagsoorttabel1,2,FALSE)</f>
        <v>12</v>
      </c>
      <c r="M1477" s="67">
        <f>prodnorm26</f>
        <v>0</v>
      </c>
      <c r="N1477" s="68">
        <f>dagwerk26</f>
        <v>0</v>
      </c>
      <c r="O1477" s="64" t="s">
        <v>38</v>
      </c>
      <c r="P1477" s="69">
        <f>uurtarief26</f>
        <v>0</v>
      </c>
      <c r="Q1477" s="66" t="e">
        <f>IF(ISBLANK(M1477),0,L1477/ROUND(M1477,4))</f>
        <v>#DIV/0!</v>
      </c>
      <c r="R1477" s="66" t="e">
        <f>IF(ISBLANK(M1477),0,Q1477*ROUND(N1477,2))</f>
        <v>#DIV/0!</v>
      </c>
      <c r="S1477" s="69" t="e">
        <f>ROUND(P1477,2)*Q1477</f>
        <v>#DIV/0!</v>
      </c>
      <c r="T1477" s="66" t="e">
        <f>Q1477*dagenperjaar1</f>
        <v>#DIV/0!</v>
      </c>
      <c r="U1477" s="70" t="e">
        <f>T1477*ROUND(P1477,2)</f>
        <v>#DIV/0!</v>
      </c>
    </row>
    <row r="1478" spans="1:21" x14ac:dyDescent="0.2">
      <c r="A1478" s="63" t="s">
        <v>1850</v>
      </c>
      <c r="B1478" s="64" t="s">
        <v>324</v>
      </c>
      <c r="C1478" s="64" t="s">
        <v>323</v>
      </c>
      <c r="D1478" s="64" t="s">
        <v>1967</v>
      </c>
      <c r="E1478" s="64" t="s">
        <v>324</v>
      </c>
      <c r="F1478" s="65" t="s">
        <v>457</v>
      </c>
      <c r="G1478" s="64" t="s">
        <v>328</v>
      </c>
      <c r="H1478" s="64" t="s">
        <v>229</v>
      </c>
      <c r="I1478" s="64" t="s">
        <v>10</v>
      </c>
      <c r="J1478" s="64" t="s">
        <v>201</v>
      </c>
      <c r="K1478" s="66">
        <v>57</v>
      </c>
      <c r="L1478" s="66">
        <f>K1478*VLOOKUP(I1478,dagsoorttabel1,2,FALSE)</f>
        <v>57</v>
      </c>
      <c r="M1478" s="67">
        <f>prodnorm43</f>
        <v>0</v>
      </c>
      <c r="N1478" s="68">
        <f>dagwerk43</f>
        <v>0</v>
      </c>
      <c r="O1478" s="64" t="s">
        <v>38</v>
      </c>
      <c r="P1478" s="69">
        <f>uurtarief43</f>
        <v>0</v>
      </c>
      <c r="Q1478" s="66" t="e">
        <f>IF(ISBLANK(M1478),0,L1478/ROUND(M1478,4))</f>
        <v>#DIV/0!</v>
      </c>
      <c r="R1478" s="66" t="e">
        <f>IF(ISBLANK(M1478),0,Q1478*ROUND(N1478,2))</f>
        <v>#DIV/0!</v>
      </c>
      <c r="S1478" s="69" t="e">
        <f>ROUND(P1478,2)*Q1478</f>
        <v>#DIV/0!</v>
      </c>
      <c r="T1478" s="66" t="e">
        <f>Q1478*dagenperjaar1</f>
        <v>#DIV/0!</v>
      </c>
      <c r="U1478" s="70" t="e">
        <f>T1478*ROUND(P1478,2)</f>
        <v>#DIV/0!</v>
      </c>
    </row>
    <row r="1479" spans="1:21" x14ac:dyDescent="0.2">
      <c r="A1479" s="63" t="s">
        <v>1850</v>
      </c>
      <c r="B1479" s="64" t="s">
        <v>324</v>
      </c>
      <c r="C1479" s="64" t="s">
        <v>323</v>
      </c>
      <c r="D1479" s="64" t="s">
        <v>1376</v>
      </c>
      <c r="E1479" s="64" t="s">
        <v>324</v>
      </c>
      <c r="F1479" s="65" t="s">
        <v>457</v>
      </c>
      <c r="G1479" s="64" t="s">
        <v>328</v>
      </c>
      <c r="H1479" s="64" t="s">
        <v>229</v>
      </c>
      <c r="I1479" s="64" t="s">
        <v>10</v>
      </c>
      <c r="J1479" s="64" t="s">
        <v>201</v>
      </c>
      <c r="K1479" s="66">
        <v>55</v>
      </c>
      <c r="L1479" s="66">
        <f>K1479*VLOOKUP(I1479,dagsoorttabel1,2,FALSE)</f>
        <v>55</v>
      </c>
      <c r="M1479" s="67">
        <f>prodnorm43</f>
        <v>0</v>
      </c>
      <c r="N1479" s="68">
        <f>dagwerk43</f>
        <v>0</v>
      </c>
      <c r="O1479" s="64" t="s">
        <v>38</v>
      </c>
      <c r="P1479" s="69">
        <f>uurtarief43</f>
        <v>0</v>
      </c>
      <c r="Q1479" s="66" t="e">
        <f>IF(ISBLANK(M1479),0,L1479/ROUND(M1479,4))</f>
        <v>#DIV/0!</v>
      </c>
      <c r="R1479" s="66" t="e">
        <f>IF(ISBLANK(M1479),0,Q1479*ROUND(N1479,2))</f>
        <v>#DIV/0!</v>
      </c>
      <c r="S1479" s="69" t="e">
        <f>ROUND(P1479,2)*Q1479</f>
        <v>#DIV/0!</v>
      </c>
      <c r="T1479" s="66" t="e">
        <f>Q1479*dagenperjaar1</f>
        <v>#DIV/0!</v>
      </c>
      <c r="U1479" s="70" t="e">
        <f>T1479*ROUND(P1479,2)</f>
        <v>#DIV/0!</v>
      </c>
    </row>
    <row r="1480" spans="1:21" x14ac:dyDescent="0.2">
      <c r="A1480" s="63" t="s">
        <v>1850</v>
      </c>
      <c r="B1480" s="64" t="s">
        <v>324</v>
      </c>
      <c r="C1480" s="64" t="s">
        <v>323</v>
      </c>
      <c r="D1480" s="64" t="s">
        <v>1377</v>
      </c>
      <c r="E1480" s="64" t="s">
        <v>324</v>
      </c>
      <c r="F1480" s="65" t="s">
        <v>381</v>
      </c>
      <c r="G1480" s="64" t="s">
        <v>328</v>
      </c>
      <c r="H1480" s="64" t="s">
        <v>205</v>
      </c>
      <c r="I1480" s="64" t="s">
        <v>10</v>
      </c>
      <c r="J1480" s="64" t="s">
        <v>201</v>
      </c>
      <c r="K1480" s="66">
        <v>27</v>
      </c>
      <c r="L1480" s="66">
        <f>K1480*VLOOKUP(I1480,dagsoorttabel1,2,FALSE)</f>
        <v>27</v>
      </c>
      <c r="M1480" s="67">
        <f>prodnorm26</f>
        <v>0</v>
      </c>
      <c r="N1480" s="68">
        <f>dagwerk26</f>
        <v>0</v>
      </c>
      <c r="O1480" s="64" t="s">
        <v>38</v>
      </c>
      <c r="P1480" s="69">
        <f>uurtarief26</f>
        <v>0</v>
      </c>
      <c r="Q1480" s="66" t="e">
        <f>IF(ISBLANK(M1480),0,L1480/ROUND(M1480,4))</f>
        <v>#DIV/0!</v>
      </c>
      <c r="R1480" s="66" t="e">
        <f>IF(ISBLANK(M1480),0,Q1480*ROUND(N1480,2))</f>
        <v>#DIV/0!</v>
      </c>
      <c r="S1480" s="69" t="e">
        <f>ROUND(P1480,2)*Q1480</f>
        <v>#DIV/0!</v>
      </c>
      <c r="T1480" s="66" t="e">
        <f>Q1480*dagenperjaar1</f>
        <v>#DIV/0!</v>
      </c>
      <c r="U1480" s="70" t="e">
        <f>T1480*ROUND(P1480,2)</f>
        <v>#DIV/0!</v>
      </c>
    </row>
    <row r="1481" spans="1:21" x14ac:dyDescent="0.2">
      <c r="A1481" s="63" t="s">
        <v>1850</v>
      </c>
      <c r="B1481" s="64" t="s">
        <v>324</v>
      </c>
      <c r="C1481" s="64" t="s">
        <v>323</v>
      </c>
      <c r="D1481" s="64" t="s">
        <v>1378</v>
      </c>
      <c r="E1481" s="64" t="s">
        <v>324</v>
      </c>
      <c r="F1481" s="65" t="s">
        <v>457</v>
      </c>
      <c r="G1481" s="64" t="s">
        <v>328</v>
      </c>
      <c r="H1481" s="64" t="s">
        <v>229</v>
      </c>
      <c r="I1481" s="64" t="s">
        <v>10</v>
      </c>
      <c r="J1481" s="64" t="s">
        <v>201</v>
      </c>
      <c r="K1481" s="66">
        <v>89</v>
      </c>
      <c r="L1481" s="66">
        <f>K1481*VLOOKUP(I1481,dagsoorttabel1,2,FALSE)</f>
        <v>89</v>
      </c>
      <c r="M1481" s="67">
        <f>prodnorm43</f>
        <v>0</v>
      </c>
      <c r="N1481" s="68">
        <f>dagwerk43</f>
        <v>0</v>
      </c>
      <c r="O1481" s="64" t="s">
        <v>38</v>
      </c>
      <c r="P1481" s="69">
        <f>uurtarief43</f>
        <v>0</v>
      </c>
      <c r="Q1481" s="66" t="e">
        <f>IF(ISBLANK(M1481),0,L1481/ROUND(M1481,4))</f>
        <v>#DIV/0!</v>
      </c>
      <c r="R1481" s="66" t="e">
        <f>IF(ISBLANK(M1481),0,Q1481*ROUND(N1481,2))</f>
        <v>#DIV/0!</v>
      </c>
      <c r="S1481" s="69" t="e">
        <f>ROUND(P1481,2)*Q1481</f>
        <v>#DIV/0!</v>
      </c>
      <c r="T1481" s="66" t="e">
        <f>Q1481*dagenperjaar1</f>
        <v>#DIV/0!</v>
      </c>
      <c r="U1481" s="70" t="e">
        <f>T1481*ROUND(P1481,2)</f>
        <v>#DIV/0!</v>
      </c>
    </row>
    <row r="1482" spans="1:21" x14ac:dyDescent="0.2">
      <c r="A1482" s="63" t="s">
        <v>1850</v>
      </c>
      <c r="B1482" s="64" t="s">
        <v>324</v>
      </c>
      <c r="C1482" s="64" t="s">
        <v>323</v>
      </c>
      <c r="D1482" s="64" t="s">
        <v>1968</v>
      </c>
      <c r="E1482" s="64" t="s">
        <v>324</v>
      </c>
      <c r="F1482" s="65" t="s">
        <v>1368</v>
      </c>
      <c r="G1482" s="64" t="s">
        <v>1421</v>
      </c>
      <c r="H1482" s="64" t="s">
        <v>255</v>
      </c>
      <c r="I1482" s="64" t="s">
        <v>10</v>
      </c>
      <c r="J1482" s="64" t="s">
        <v>201</v>
      </c>
      <c r="K1482" s="66">
        <v>5</v>
      </c>
      <c r="L1482" s="66">
        <f>K1482*VLOOKUP(I1482,dagsoorttabel1,2,FALSE)</f>
        <v>5</v>
      </c>
      <c r="M1482" s="67">
        <f>prodnorm59</f>
        <v>0</v>
      </c>
      <c r="N1482" s="68">
        <f>dagwerk59</f>
        <v>0</v>
      </c>
      <c r="O1482" s="64" t="s">
        <v>38</v>
      </c>
      <c r="P1482" s="69">
        <f>uurtarief59</f>
        <v>0</v>
      </c>
      <c r="Q1482" s="66" t="e">
        <f>IF(ISBLANK(M1482),0,L1482/ROUND(M1482,4))</f>
        <v>#DIV/0!</v>
      </c>
      <c r="R1482" s="66" t="e">
        <f>IF(ISBLANK(M1482),0,Q1482*ROUND(N1482,2))</f>
        <v>#DIV/0!</v>
      </c>
      <c r="S1482" s="69" t="e">
        <f>ROUND(P1482,2)*Q1482</f>
        <v>#DIV/0!</v>
      </c>
      <c r="T1482" s="66" t="e">
        <f>Q1482*dagenperjaar1</f>
        <v>#DIV/0!</v>
      </c>
      <c r="U1482" s="70" t="e">
        <f>T1482*ROUND(P1482,2)</f>
        <v>#DIV/0!</v>
      </c>
    </row>
    <row r="1483" spans="1:21" x14ac:dyDescent="0.2">
      <c r="A1483" s="63" t="s">
        <v>1850</v>
      </c>
      <c r="B1483" s="64" t="s">
        <v>324</v>
      </c>
      <c r="C1483" s="64" t="s">
        <v>323</v>
      </c>
      <c r="D1483" s="64" t="s">
        <v>1969</v>
      </c>
      <c r="E1483" s="64" t="s">
        <v>324</v>
      </c>
      <c r="F1483" s="65" t="s">
        <v>335</v>
      </c>
      <c r="G1483" s="64" t="s">
        <v>328</v>
      </c>
      <c r="H1483" s="64" t="s">
        <v>267</v>
      </c>
      <c r="I1483" s="64" t="s">
        <v>10</v>
      </c>
      <c r="J1483" s="64" t="s">
        <v>201</v>
      </c>
      <c r="K1483" s="66">
        <v>92</v>
      </c>
      <c r="L1483" s="66">
        <f>K1483*VLOOKUP(I1483,dagsoorttabel1,2,FALSE)</f>
        <v>92</v>
      </c>
      <c r="M1483" s="67">
        <f>prodnorm65</f>
        <v>0</v>
      </c>
      <c r="N1483" s="68">
        <f>dagwerk65</f>
        <v>0</v>
      </c>
      <c r="O1483" s="64" t="s">
        <v>38</v>
      </c>
      <c r="P1483" s="69">
        <f>uurtarief65</f>
        <v>0</v>
      </c>
      <c r="Q1483" s="66" t="e">
        <f>IF(ISBLANK(M1483),0,L1483/ROUND(M1483,4))</f>
        <v>#DIV/0!</v>
      </c>
      <c r="R1483" s="66" t="e">
        <f>IF(ISBLANK(M1483),0,Q1483*ROUND(N1483,2))</f>
        <v>#DIV/0!</v>
      </c>
      <c r="S1483" s="69" t="e">
        <f>ROUND(P1483,2)*Q1483</f>
        <v>#DIV/0!</v>
      </c>
      <c r="T1483" s="66" t="e">
        <f>Q1483*dagenperjaar1</f>
        <v>#DIV/0!</v>
      </c>
      <c r="U1483" s="70" t="e">
        <f>T1483*ROUND(P1483,2)</f>
        <v>#DIV/0!</v>
      </c>
    </row>
    <row r="1484" spans="1:21" x14ac:dyDescent="0.2">
      <c r="A1484" s="63" t="s">
        <v>1850</v>
      </c>
      <c r="B1484" s="64" t="s">
        <v>324</v>
      </c>
      <c r="C1484" s="64" t="s">
        <v>323</v>
      </c>
      <c r="D1484" s="64" t="s">
        <v>1970</v>
      </c>
      <c r="E1484" s="64" t="s">
        <v>324</v>
      </c>
      <c r="F1484" s="65" t="s">
        <v>457</v>
      </c>
      <c r="G1484" s="64" t="s">
        <v>328</v>
      </c>
      <c r="H1484" s="64" t="s">
        <v>229</v>
      </c>
      <c r="I1484" s="64" t="s">
        <v>10</v>
      </c>
      <c r="J1484" s="64" t="s">
        <v>201</v>
      </c>
      <c r="K1484" s="66">
        <v>48</v>
      </c>
      <c r="L1484" s="66">
        <f>K1484*VLOOKUP(I1484,dagsoorttabel1,2,FALSE)</f>
        <v>48</v>
      </c>
      <c r="M1484" s="67">
        <f>prodnorm43</f>
        <v>0</v>
      </c>
      <c r="N1484" s="68">
        <f>dagwerk43</f>
        <v>0</v>
      </c>
      <c r="O1484" s="64" t="s">
        <v>38</v>
      </c>
      <c r="P1484" s="69">
        <f>uurtarief43</f>
        <v>0</v>
      </c>
      <c r="Q1484" s="66" t="e">
        <f>IF(ISBLANK(M1484),0,L1484/ROUND(M1484,4))</f>
        <v>#DIV/0!</v>
      </c>
      <c r="R1484" s="66" t="e">
        <f>IF(ISBLANK(M1484),0,Q1484*ROUND(N1484,2))</f>
        <v>#DIV/0!</v>
      </c>
      <c r="S1484" s="69" t="e">
        <f>ROUND(P1484,2)*Q1484</f>
        <v>#DIV/0!</v>
      </c>
      <c r="T1484" s="66" t="e">
        <f>Q1484*dagenperjaar1</f>
        <v>#DIV/0!</v>
      </c>
      <c r="U1484" s="70" t="e">
        <f>T1484*ROUND(P1484,2)</f>
        <v>#DIV/0!</v>
      </c>
    </row>
    <row r="1485" spans="1:21" x14ac:dyDescent="0.2">
      <c r="A1485" s="63" t="s">
        <v>1850</v>
      </c>
      <c r="B1485" s="64" t="s">
        <v>324</v>
      </c>
      <c r="C1485" s="64" t="s">
        <v>323</v>
      </c>
      <c r="D1485" s="64" t="s">
        <v>1971</v>
      </c>
      <c r="E1485" s="64" t="s">
        <v>324</v>
      </c>
      <c r="F1485" s="65" t="s">
        <v>457</v>
      </c>
      <c r="G1485" s="64" t="s">
        <v>328</v>
      </c>
      <c r="H1485" s="64" t="s">
        <v>229</v>
      </c>
      <c r="I1485" s="64" t="s">
        <v>10</v>
      </c>
      <c r="J1485" s="64" t="s">
        <v>201</v>
      </c>
      <c r="K1485" s="66">
        <v>49</v>
      </c>
      <c r="L1485" s="66">
        <f>K1485*VLOOKUP(I1485,dagsoorttabel1,2,FALSE)</f>
        <v>49</v>
      </c>
      <c r="M1485" s="67">
        <f>prodnorm43</f>
        <v>0</v>
      </c>
      <c r="N1485" s="68">
        <f>dagwerk43</f>
        <v>0</v>
      </c>
      <c r="O1485" s="64" t="s">
        <v>38</v>
      </c>
      <c r="P1485" s="69">
        <f>uurtarief43</f>
        <v>0</v>
      </c>
      <c r="Q1485" s="66" t="e">
        <f>IF(ISBLANK(M1485),0,L1485/ROUND(M1485,4))</f>
        <v>#DIV/0!</v>
      </c>
      <c r="R1485" s="66" t="e">
        <f>IF(ISBLANK(M1485),0,Q1485*ROUND(N1485,2))</f>
        <v>#DIV/0!</v>
      </c>
      <c r="S1485" s="69" t="e">
        <f>ROUND(P1485,2)*Q1485</f>
        <v>#DIV/0!</v>
      </c>
      <c r="T1485" s="66" t="e">
        <f>Q1485*dagenperjaar1</f>
        <v>#DIV/0!</v>
      </c>
      <c r="U1485" s="70" t="e">
        <f>T1485*ROUND(P1485,2)</f>
        <v>#DIV/0!</v>
      </c>
    </row>
    <row r="1486" spans="1:21" x14ac:dyDescent="0.2">
      <c r="A1486" s="63" t="s">
        <v>1850</v>
      </c>
      <c r="B1486" s="64" t="s">
        <v>324</v>
      </c>
      <c r="C1486" s="64" t="s">
        <v>323</v>
      </c>
      <c r="D1486" s="64" t="s">
        <v>1972</v>
      </c>
      <c r="E1486" s="64" t="s">
        <v>324</v>
      </c>
      <c r="F1486" s="65" t="s">
        <v>457</v>
      </c>
      <c r="G1486" s="64" t="s">
        <v>328</v>
      </c>
      <c r="H1486" s="64" t="s">
        <v>229</v>
      </c>
      <c r="I1486" s="64" t="s">
        <v>10</v>
      </c>
      <c r="J1486" s="64" t="s">
        <v>201</v>
      </c>
      <c r="K1486" s="66">
        <v>49</v>
      </c>
      <c r="L1486" s="66">
        <f>K1486*VLOOKUP(I1486,dagsoorttabel1,2,FALSE)</f>
        <v>49</v>
      </c>
      <c r="M1486" s="67">
        <f>prodnorm43</f>
        <v>0</v>
      </c>
      <c r="N1486" s="68">
        <f>dagwerk43</f>
        <v>0</v>
      </c>
      <c r="O1486" s="64" t="s">
        <v>38</v>
      </c>
      <c r="P1486" s="69">
        <f>uurtarief43</f>
        <v>0</v>
      </c>
      <c r="Q1486" s="66" t="e">
        <f>IF(ISBLANK(M1486),0,L1486/ROUND(M1486,4))</f>
        <v>#DIV/0!</v>
      </c>
      <c r="R1486" s="66" t="e">
        <f>IF(ISBLANK(M1486),0,Q1486*ROUND(N1486,2))</f>
        <v>#DIV/0!</v>
      </c>
      <c r="S1486" s="69" t="e">
        <f>ROUND(P1486,2)*Q1486</f>
        <v>#DIV/0!</v>
      </c>
      <c r="T1486" s="66" t="e">
        <f>Q1486*dagenperjaar1</f>
        <v>#DIV/0!</v>
      </c>
      <c r="U1486" s="70" t="e">
        <f>T1486*ROUND(P1486,2)</f>
        <v>#DIV/0!</v>
      </c>
    </row>
    <row r="1487" spans="1:21" x14ac:dyDescent="0.2">
      <c r="A1487" s="63" t="s">
        <v>1850</v>
      </c>
      <c r="B1487" s="64" t="s">
        <v>324</v>
      </c>
      <c r="C1487" s="64" t="s">
        <v>323</v>
      </c>
      <c r="D1487" s="64" t="s">
        <v>1973</v>
      </c>
      <c r="E1487" s="64" t="s">
        <v>324</v>
      </c>
      <c r="F1487" s="65" t="s">
        <v>457</v>
      </c>
      <c r="G1487" s="64" t="s">
        <v>328</v>
      </c>
      <c r="H1487" s="64" t="s">
        <v>229</v>
      </c>
      <c r="I1487" s="64" t="s">
        <v>10</v>
      </c>
      <c r="J1487" s="64" t="s">
        <v>201</v>
      </c>
      <c r="K1487" s="66">
        <v>49</v>
      </c>
      <c r="L1487" s="66">
        <f>K1487*VLOOKUP(I1487,dagsoorttabel1,2,FALSE)</f>
        <v>49</v>
      </c>
      <c r="M1487" s="67">
        <f>prodnorm43</f>
        <v>0</v>
      </c>
      <c r="N1487" s="68">
        <f>dagwerk43</f>
        <v>0</v>
      </c>
      <c r="O1487" s="64" t="s">
        <v>38</v>
      </c>
      <c r="P1487" s="69">
        <f>uurtarief43</f>
        <v>0</v>
      </c>
      <c r="Q1487" s="66" t="e">
        <f>IF(ISBLANK(M1487),0,L1487/ROUND(M1487,4))</f>
        <v>#DIV/0!</v>
      </c>
      <c r="R1487" s="66" t="e">
        <f>IF(ISBLANK(M1487),0,Q1487*ROUND(N1487,2))</f>
        <v>#DIV/0!</v>
      </c>
      <c r="S1487" s="69" t="e">
        <f>ROUND(P1487,2)*Q1487</f>
        <v>#DIV/0!</v>
      </c>
      <c r="T1487" s="66" t="e">
        <f>Q1487*dagenperjaar1</f>
        <v>#DIV/0!</v>
      </c>
      <c r="U1487" s="70" t="e">
        <f>T1487*ROUND(P1487,2)</f>
        <v>#DIV/0!</v>
      </c>
    </row>
    <row r="1488" spans="1:21" x14ac:dyDescent="0.2">
      <c r="A1488" s="63" t="s">
        <v>1850</v>
      </c>
      <c r="B1488" s="64" t="s">
        <v>324</v>
      </c>
      <c r="C1488" s="64" t="s">
        <v>323</v>
      </c>
      <c r="D1488" s="64" t="s">
        <v>1974</v>
      </c>
      <c r="E1488" s="64" t="s">
        <v>324</v>
      </c>
      <c r="F1488" s="65" t="s">
        <v>457</v>
      </c>
      <c r="G1488" s="64" t="s">
        <v>328</v>
      </c>
      <c r="H1488" s="64" t="s">
        <v>229</v>
      </c>
      <c r="I1488" s="64" t="s">
        <v>10</v>
      </c>
      <c r="J1488" s="64" t="s">
        <v>201</v>
      </c>
      <c r="K1488" s="66">
        <v>49</v>
      </c>
      <c r="L1488" s="66">
        <f>K1488*VLOOKUP(I1488,dagsoorttabel1,2,FALSE)</f>
        <v>49</v>
      </c>
      <c r="M1488" s="67">
        <f>prodnorm43</f>
        <v>0</v>
      </c>
      <c r="N1488" s="68">
        <f>dagwerk43</f>
        <v>0</v>
      </c>
      <c r="O1488" s="64" t="s">
        <v>38</v>
      </c>
      <c r="P1488" s="69">
        <f>uurtarief43</f>
        <v>0</v>
      </c>
      <c r="Q1488" s="66" t="e">
        <f>IF(ISBLANK(M1488),0,L1488/ROUND(M1488,4))</f>
        <v>#DIV/0!</v>
      </c>
      <c r="R1488" s="66" t="e">
        <f>IF(ISBLANK(M1488),0,Q1488*ROUND(N1488,2))</f>
        <v>#DIV/0!</v>
      </c>
      <c r="S1488" s="69" t="e">
        <f>ROUND(P1488,2)*Q1488</f>
        <v>#DIV/0!</v>
      </c>
      <c r="T1488" s="66" t="e">
        <f>Q1488*dagenperjaar1</f>
        <v>#DIV/0!</v>
      </c>
      <c r="U1488" s="70" t="e">
        <f>T1488*ROUND(P1488,2)</f>
        <v>#DIV/0!</v>
      </c>
    </row>
    <row r="1489" spans="1:21" x14ac:dyDescent="0.2">
      <c r="A1489" s="63" t="s">
        <v>1850</v>
      </c>
      <c r="B1489" s="64" t="s">
        <v>324</v>
      </c>
      <c r="C1489" s="64" t="s">
        <v>323</v>
      </c>
      <c r="D1489" s="64" t="s">
        <v>1975</v>
      </c>
      <c r="E1489" s="64" t="s">
        <v>324</v>
      </c>
      <c r="F1489" s="65" t="s">
        <v>457</v>
      </c>
      <c r="G1489" s="64" t="s">
        <v>328</v>
      </c>
      <c r="H1489" s="64" t="s">
        <v>229</v>
      </c>
      <c r="I1489" s="64" t="s">
        <v>10</v>
      </c>
      <c r="J1489" s="64" t="s">
        <v>201</v>
      </c>
      <c r="K1489" s="66">
        <v>49</v>
      </c>
      <c r="L1489" s="66">
        <f>K1489*VLOOKUP(I1489,dagsoorttabel1,2,FALSE)</f>
        <v>49</v>
      </c>
      <c r="M1489" s="67">
        <f>prodnorm43</f>
        <v>0</v>
      </c>
      <c r="N1489" s="68">
        <f>dagwerk43</f>
        <v>0</v>
      </c>
      <c r="O1489" s="64" t="s">
        <v>38</v>
      </c>
      <c r="P1489" s="69">
        <f>uurtarief43</f>
        <v>0</v>
      </c>
      <c r="Q1489" s="66" t="e">
        <f>IF(ISBLANK(M1489),0,L1489/ROUND(M1489,4))</f>
        <v>#DIV/0!</v>
      </c>
      <c r="R1489" s="66" t="e">
        <f>IF(ISBLANK(M1489),0,Q1489*ROUND(N1489,2))</f>
        <v>#DIV/0!</v>
      </c>
      <c r="S1489" s="69" t="e">
        <f>ROUND(P1489,2)*Q1489</f>
        <v>#DIV/0!</v>
      </c>
      <c r="T1489" s="66" t="e">
        <f>Q1489*dagenperjaar1</f>
        <v>#DIV/0!</v>
      </c>
      <c r="U1489" s="70" t="e">
        <f>T1489*ROUND(P1489,2)</f>
        <v>#DIV/0!</v>
      </c>
    </row>
    <row r="1490" spans="1:21" x14ac:dyDescent="0.2">
      <c r="A1490" s="63" t="s">
        <v>1850</v>
      </c>
      <c r="B1490" s="64" t="s">
        <v>324</v>
      </c>
      <c r="C1490" s="64" t="s">
        <v>323</v>
      </c>
      <c r="D1490" s="64" t="s">
        <v>1976</v>
      </c>
      <c r="E1490" s="64" t="s">
        <v>324</v>
      </c>
      <c r="F1490" s="65" t="s">
        <v>381</v>
      </c>
      <c r="G1490" s="64" t="s">
        <v>351</v>
      </c>
      <c r="H1490" s="64" t="s">
        <v>207</v>
      </c>
      <c r="I1490" s="64" t="s">
        <v>10</v>
      </c>
      <c r="J1490" s="64" t="s">
        <v>201</v>
      </c>
      <c r="K1490" s="66">
        <v>23</v>
      </c>
      <c r="L1490" s="66">
        <f>K1490*VLOOKUP(I1490,dagsoorttabel1,2,FALSE)</f>
        <v>23</v>
      </c>
      <c r="M1490" s="67">
        <f>prodnorm28</f>
        <v>0</v>
      </c>
      <c r="N1490" s="68">
        <f>dagwerk28</f>
        <v>0</v>
      </c>
      <c r="O1490" s="64" t="s">
        <v>38</v>
      </c>
      <c r="P1490" s="69">
        <f>uurtarief28</f>
        <v>0</v>
      </c>
      <c r="Q1490" s="66" t="e">
        <f>IF(ISBLANK(M1490),0,L1490/ROUND(M1490,4))</f>
        <v>#DIV/0!</v>
      </c>
      <c r="R1490" s="66" t="e">
        <f>IF(ISBLANK(M1490),0,Q1490*ROUND(N1490,2))</f>
        <v>#DIV/0!</v>
      </c>
      <c r="S1490" s="69" t="e">
        <f>ROUND(P1490,2)*Q1490</f>
        <v>#DIV/0!</v>
      </c>
      <c r="T1490" s="66" t="e">
        <f>Q1490*dagenperjaar1</f>
        <v>#DIV/0!</v>
      </c>
      <c r="U1490" s="70" t="e">
        <f>T1490*ROUND(P1490,2)</f>
        <v>#DIV/0!</v>
      </c>
    </row>
    <row r="1491" spans="1:21" x14ac:dyDescent="0.2">
      <c r="A1491" s="63" t="s">
        <v>1850</v>
      </c>
      <c r="B1491" s="64" t="s">
        <v>324</v>
      </c>
      <c r="C1491" s="64" t="s">
        <v>323</v>
      </c>
      <c r="D1491" s="64" t="s">
        <v>1977</v>
      </c>
      <c r="E1491" s="64" t="s">
        <v>324</v>
      </c>
      <c r="F1491" s="65" t="s">
        <v>335</v>
      </c>
      <c r="G1491" s="64" t="s">
        <v>328</v>
      </c>
      <c r="H1491" s="64" t="s">
        <v>267</v>
      </c>
      <c r="I1491" s="64" t="s">
        <v>10</v>
      </c>
      <c r="J1491" s="64" t="s">
        <v>201</v>
      </c>
      <c r="K1491" s="66">
        <v>207</v>
      </c>
      <c r="L1491" s="66">
        <f>K1491*VLOOKUP(I1491,dagsoorttabel1,2,FALSE)</f>
        <v>207</v>
      </c>
      <c r="M1491" s="67">
        <f>prodnorm65</f>
        <v>0</v>
      </c>
      <c r="N1491" s="68">
        <f>dagwerk65</f>
        <v>0</v>
      </c>
      <c r="O1491" s="64" t="s">
        <v>38</v>
      </c>
      <c r="P1491" s="69">
        <f>uurtarief65</f>
        <v>0</v>
      </c>
      <c r="Q1491" s="66" t="e">
        <f>IF(ISBLANK(M1491),0,L1491/ROUND(M1491,4))</f>
        <v>#DIV/0!</v>
      </c>
      <c r="R1491" s="66" t="e">
        <f>IF(ISBLANK(M1491),0,Q1491*ROUND(N1491,2))</f>
        <v>#DIV/0!</v>
      </c>
      <c r="S1491" s="69" t="e">
        <f>ROUND(P1491,2)*Q1491</f>
        <v>#DIV/0!</v>
      </c>
      <c r="T1491" s="66" t="e">
        <f>Q1491*dagenperjaar1</f>
        <v>#DIV/0!</v>
      </c>
      <c r="U1491" s="70" t="e">
        <f>T1491*ROUND(P1491,2)</f>
        <v>#DIV/0!</v>
      </c>
    </row>
    <row r="1492" spans="1:21" x14ac:dyDescent="0.2">
      <c r="A1492" s="63" t="s">
        <v>1850</v>
      </c>
      <c r="B1492" s="64" t="s">
        <v>324</v>
      </c>
      <c r="C1492" s="64" t="s">
        <v>323</v>
      </c>
      <c r="D1492" s="64" t="s">
        <v>1978</v>
      </c>
      <c r="E1492" s="64" t="s">
        <v>324</v>
      </c>
      <c r="F1492" s="65" t="s">
        <v>457</v>
      </c>
      <c r="G1492" s="64" t="s">
        <v>328</v>
      </c>
      <c r="H1492" s="64" t="s">
        <v>229</v>
      </c>
      <c r="I1492" s="64" t="s">
        <v>10</v>
      </c>
      <c r="J1492" s="64" t="s">
        <v>201</v>
      </c>
      <c r="K1492" s="66">
        <v>48</v>
      </c>
      <c r="L1492" s="66">
        <f>K1492*VLOOKUP(I1492,dagsoorttabel1,2,FALSE)</f>
        <v>48</v>
      </c>
      <c r="M1492" s="67">
        <f>prodnorm43</f>
        <v>0</v>
      </c>
      <c r="N1492" s="68">
        <f>dagwerk43</f>
        <v>0</v>
      </c>
      <c r="O1492" s="64" t="s">
        <v>38</v>
      </c>
      <c r="P1492" s="69">
        <f>uurtarief43</f>
        <v>0</v>
      </c>
      <c r="Q1492" s="66" t="e">
        <f>IF(ISBLANK(M1492),0,L1492/ROUND(M1492,4))</f>
        <v>#DIV/0!</v>
      </c>
      <c r="R1492" s="66" t="e">
        <f>IF(ISBLANK(M1492),0,Q1492*ROUND(N1492,2))</f>
        <v>#DIV/0!</v>
      </c>
      <c r="S1492" s="69" t="e">
        <f>ROUND(P1492,2)*Q1492</f>
        <v>#DIV/0!</v>
      </c>
      <c r="T1492" s="66" t="e">
        <f>Q1492*dagenperjaar1</f>
        <v>#DIV/0!</v>
      </c>
      <c r="U1492" s="70" t="e">
        <f>T1492*ROUND(P1492,2)</f>
        <v>#DIV/0!</v>
      </c>
    </row>
    <row r="1493" spans="1:21" x14ac:dyDescent="0.2">
      <c r="A1493" s="63" t="s">
        <v>1850</v>
      </c>
      <c r="B1493" s="64" t="s">
        <v>324</v>
      </c>
      <c r="C1493" s="64" t="s">
        <v>323</v>
      </c>
      <c r="D1493" s="64" t="s">
        <v>1979</v>
      </c>
      <c r="E1493" s="64" t="s">
        <v>324</v>
      </c>
      <c r="F1493" s="65" t="s">
        <v>457</v>
      </c>
      <c r="G1493" s="64" t="s">
        <v>328</v>
      </c>
      <c r="H1493" s="64" t="s">
        <v>229</v>
      </c>
      <c r="I1493" s="64" t="s">
        <v>10</v>
      </c>
      <c r="J1493" s="64" t="s">
        <v>201</v>
      </c>
      <c r="K1493" s="66">
        <v>47</v>
      </c>
      <c r="L1493" s="66">
        <f>K1493*VLOOKUP(I1493,dagsoorttabel1,2,FALSE)</f>
        <v>47</v>
      </c>
      <c r="M1493" s="67">
        <f>prodnorm43</f>
        <v>0</v>
      </c>
      <c r="N1493" s="68">
        <f>dagwerk43</f>
        <v>0</v>
      </c>
      <c r="O1493" s="64" t="s">
        <v>38</v>
      </c>
      <c r="P1493" s="69">
        <f>uurtarief43</f>
        <v>0</v>
      </c>
      <c r="Q1493" s="66" t="e">
        <f>IF(ISBLANK(M1493),0,L1493/ROUND(M1493,4))</f>
        <v>#DIV/0!</v>
      </c>
      <c r="R1493" s="66" t="e">
        <f>IF(ISBLANK(M1493),0,Q1493*ROUND(N1493,2))</f>
        <v>#DIV/0!</v>
      </c>
      <c r="S1493" s="69" t="e">
        <f>ROUND(P1493,2)*Q1493</f>
        <v>#DIV/0!</v>
      </c>
      <c r="T1493" s="66" t="e">
        <f>Q1493*dagenperjaar1</f>
        <v>#DIV/0!</v>
      </c>
      <c r="U1493" s="70" t="e">
        <f>T1493*ROUND(P1493,2)</f>
        <v>#DIV/0!</v>
      </c>
    </row>
    <row r="1494" spans="1:21" x14ac:dyDescent="0.2">
      <c r="A1494" s="63" t="s">
        <v>1850</v>
      </c>
      <c r="B1494" s="64" t="s">
        <v>324</v>
      </c>
      <c r="C1494" s="64" t="s">
        <v>323</v>
      </c>
      <c r="D1494" s="64" t="s">
        <v>1980</v>
      </c>
      <c r="E1494" s="64" t="s">
        <v>324</v>
      </c>
      <c r="F1494" s="65" t="s">
        <v>457</v>
      </c>
      <c r="G1494" s="64" t="s">
        <v>328</v>
      </c>
      <c r="H1494" s="64" t="s">
        <v>229</v>
      </c>
      <c r="I1494" s="64" t="s">
        <v>10</v>
      </c>
      <c r="J1494" s="64" t="s">
        <v>201</v>
      </c>
      <c r="K1494" s="66">
        <v>53</v>
      </c>
      <c r="L1494" s="66">
        <f>K1494*VLOOKUP(I1494,dagsoorttabel1,2,FALSE)</f>
        <v>53</v>
      </c>
      <c r="M1494" s="67">
        <f>prodnorm43</f>
        <v>0</v>
      </c>
      <c r="N1494" s="68">
        <f>dagwerk43</f>
        <v>0</v>
      </c>
      <c r="O1494" s="64" t="s">
        <v>38</v>
      </c>
      <c r="P1494" s="69">
        <f>uurtarief43</f>
        <v>0</v>
      </c>
      <c r="Q1494" s="66" t="e">
        <f>IF(ISBLANK(M1494),0,L1494/ROUND(M1494,4))</f>
        <v>#DIV/0!</v>
      </c>
      <c r="R1494" s="66" t="e">
        <f>IF(ISBLANK(M1494),0,Q1494*ROUND(N1494,2))</f>
        <v>#DIV/0!</v>
      </c>
      <c r="S1494" s="69" t="e">
        <f>ROUND(P1494,2)*Q1494</f>
        <v>#DIV/0!</v>
      </c>
      <c r="T1494" s="66" t="e">
        <f>Q1494*dagenperjaar1</f>
        <v>#DIV/0!</v>
      </c>
      <c r="U1494" s="70" t="e">
        <f>T1494*ROUND(P1494,2)</f>
        <v>#DIV/0!</v>
      </c>
    </row>
    <row r="1495" spans="1:21" x14ac:dyDescent="0.2">
      <c r="A1495" s="63" t="s">
        <v>1850</v>
      </c>
      <c r="B1495" s="64" t="s">
        <v>324</v>
      </c>
      <c r="C1495" s="64" t="s">
        <v>323</v>
      </c>
      <c r="D1495" s="64" t="s">
        <v>1981</v>
      </c>
      <c r="E1495" s="64" t="s">
        <v>324</v>
      </c>
      <c r="F1495" s="65" t="s">
        <v>1862</v>
      </c>
      <c r="G1495" s="64" t="s">
        <v>365</v>
      </c>
      <c r="H1495" s="64" t="s">
        <v>255</v>
      </c>
      <c r="I1495" s="64" t="s">
        <v>10</v>
      </c>
      <c r="J1495" s="64" t="s">
        <v>201</v>
      </c>
      <c r="K1495" s="66">
        <v>18</v>
      </c>
      <c r="L1495" s="66">
        <f>K1495*VLOOKUP(I1495,dagsoorttabel1,2,FALSE)</f>
        <v>18</v>
      </c>
      <c r="M1495" s="67">
        <f>prodnorm59</f>
        <v>0</v>
      </c>
      <c r="N1495" s="68">
        <f>dagwerk59</f>
        <v>0</v>
      </c>
      <c r="O1495" s="64" t="s">
        <v>38</v>
      </c>
      <c r="P1495" s="69">
        <f>uurtarief59</f>
        <v>0</v>
      </c>
      <c r="Q1495" s="66" t="e">
        <f>IF(ISBLANK(M1495),0,L1495/ROUND(M1495,4))</f>
        <v>#DIV/0!</v>
      </c>
      <c r="R1495" s="66" t="e">
        <f>IF(ISBLANK(M1495),0,Q1495*ROUND(N1495,2))</f>
        <v>#DIV/0!</v>
      </c>
      <c r="S1495" s="69" t="e">
        <f>ROUND(P1495,2)*Q1495</f>
        <v>#DIV/0!</v>
      </c>
      <c r="T1495" s="66" t="e">
        <f>Q1495*dagenperjaar1</f>
        <v>#DIV/0!</v>
      </c>
      <c r="U1495" s="70" t="e">
        <f>T1495*ROUND(P1495,2)</f>
        <v>#DIV/0!</v>
      </c>
    </row>
    <row r="1496" spans="1:21" x14ac:dyDescent="0.2">
      <c r="A1496" s="63" t="s">
        <v>1850</v>
      </c>
      <c r="B1496" s="64" t="s">
        <v>324</v>
      </c>
      <c r="C1496" s="64" t="s">
        <v>323</v>
      </c>
      <c r="D1496" s="64" t="s">
        <v>1982</v>
      </c>
      <c r="E1496" s="64" t="s">
        <v>324</v>
      </c>
      <c r="F1496" s="65" t="s">
        <v>1864</v>
      </c>
      <c r="G1496" s="64" t="s">
        <v>365</v>
      </c>
      <c r="H1496" s="64" t="s">
        <v>255</v>
      </c>
      <c r="I1496" s="64" t="s">
        <v>10</v>
      </c>
      <c r="J1496" s="64" t="s">
        <v>201</v>
      </c>
      <c r="K1496" s="66">
        <v>25</v>
      </c>
      <c r="L1496" s="66">
        <f>K1496*VLOOKUP(I1496,dagsoorttabel1,2,FALSE)</f>
        <v>25</v>
      </c>
      <c r="M1496" s="67">
        <f>prodnorm59</f>
        <v>0</v>
      </c>
      <c r="N1496" s="68">
        <f>dagwerk59</f>
        <v>0</v>
      </c>
      <c r="O1496" s="64" t="s">
        <v>38</v>
      </c>
      <c r="P1496" s="69">
        <f>uurtarief59</f>
        <v>0</v>
      </c>
      <c r="Q1496" s="66" t="e">
        <f>IF(ISBLANK(M1496),0,L1496/ROUND(M1496,4))</f>
        <v>#DIV/0!</v>
      </c>
      <c r="R1496" s="66" t="e">
        <f>IF(ISBLANK(M1496),0,Q1496*ROUND(N1496,2))</f>
        <v>#DIV/0!</v>
      </c>
      <c r="S1496" s="69" t="e">
        <f>ROUND(P1496,2)*Q1496</f>
        <v>#DIV/0!</v>
      </c>
      <c r="T1496" s="66" t="e">
        <f>Q1496*dagenperjaar1</f>
        <v>#DIV/0!</v>
      </c>
      <c r="U1496" s="70" t="e">
        <f>T1496*ROUND(P1496,2)</f>
        <v>#DIV/0!</v>
      </c>
    </row>
    <row r="1497" spans="1:21" x14ac:dyDescent="0.2">
      <c r="A1497" s="63" t="s">
        <v>1850</v>
      </c>
      <c r="B1497" s="64" t="s">
        <v>324</v>
      </c>
      <c r="C1497" s="64" t="s">
        <v>323</v>
      </c>
      <c r="D1497" s="64" t="s">
        <v>1983</v>
      </c>
      <c r="E1497" s="64" t="s">
        <v>324</v>
      </c>
      <c r="F1497" s="65" t="s">
        <v>457</v>
      </c>
      <c r="G1497" s="64" t="s">
        <v>328</v>
      </c>
      <c r="H1497" s="64" t="s">
        <v>229</v>
      </c>
      <c r="I1497" s="64" t="s">
        <v>10</v>
      </c>
      <c r="J1497" s="64" t="s">
        <v>201</v>
      </c>
      <c r="K1497" s="66">
        <v>46</v>
      </c>
      <c r="L1497" s="66">
        <f>K1497*VLOOKUP(I1497,dagsoorttabel1,2,FALSE)</f>
        <v>46</v>
      </c>
      <c r="M1497" s="67">
        <f>prodnorm43</f>
        <v>0</v>
      </c>
      <c r="N1497" s="68">
        <f>dagwerk43</f>
        <v>0</v>
      </c>
      <c r="O1497" s="64" t="s">
        <v>38</v>
      </c>
      <c r="P1497" s="69">
        <f>uurtarief43</f>
        <v>0</v>
      </c>
      <c r="Q1497" s="66" t="e">
        <f>IF(ISBLANK(M1497),0,L1497/ROUND(M1497,4))</f>
        <v>#DIV/0!</v>
      </c>
      <c r="R1497" s="66" t="e">
        <f>IF(ISBLANK(M1497),0,Q1497*ROUND(N1497,2))</f>
        <v>#DIV/0!</v>
      </c>
      <c r="S1497" s="69" t="e">
        <f>ROUND(P1497,2)*Q1497</f>
        <v>#DIV/0!</v>
      </c>
      <c r="T1497" s="66" t="e">
        <f>Q1497*dagenperjaar1</f>
        <v>#DIV/0!</v>
      </c>
      <c r="U1497" s="70" t="e">
        <f>T1497*ROUND(P1497,2)</f>
        <v>#DIV/0!</v>
      </c>
    </row>
    <row r="1498" spans="1:21" x14ac:dyDescent="0.2">
      <c r="A1498" s="63" t="s">
        <v>1850</v>
      </c>
      <c r="B1498" s="64" t="s">
        <v>324</v>
      </c>
      <c r="C1498" s="64" t="s">
        <v>323</v>
      </c>
      <c r="D1498" s="64" t="s">
        <v>1984</v>
      </c>
      <c r="E1498" s="64" t="s">
        <v>324</v>
      </c>
      <c r="F1498" s="65" t="s">
        <v>335</v>
      </c>
      <c r="G1498" s="64" t="s">
        <v>328</v>
      </c>
      <c r="H1498" s="64" t="s">
        <v>267</v>
      </c>
      <c r="I1498" s="64" t="s">
        <v>10</v>
      </c>
      <c r="J1498" s="64" t="s">
        <v>201</v>
      </c>
      <c r="K1498" s="66">
        <v>63</v>
      </c>
      <c r="L1498" s="66">
        <f>K1498*VLOOKUP(I1498,dagsoorttabel1,2,FALSE)</f>
        <v>63</v>
      </c>
      <c r="M1498" s="67">
        <f>prodnorm65</f>
        <v>0</v>
      </c>
      <c r="N1498" s="68">
        <f>dagwerk65</f>
        <v>0</v>
      </c>
      <c r="O1498" s="64" t="s">
        <v>38</v>
      </c>
      <c r="P1498" s="69">
        <f>uurtarief65</f>
        <v>0</v>
      </c>
      <c r="Q1498" s="66" t="e">
        <f>IF(ISBLANK(M1498),0,L1498/ROUND(M1498,4))</f>
        <v>#DIV/0!</v>
      </c>
      <c r="R1498" s="66" t="e">
        <f>IF(ISBLANK(M1498),0,Q1498*ROUND(N1498,2))</f>
        <v>#DIV/0!</v>
      </c>
      <c r="S1498" s="69" t="e">
        <f>ROUND(P1498,2)*Q1498</f>
        <v>#DIV/0!</v>
      </c>
      <c r="T1498" s="66" t="e">
        <f>Q1498*dagenperjaar1</f>
        <v>#DIV/0!</v>
      </c>
      <c r="U1498" s="70" t="e">
        <f>T1498*ROUND(P1498,2)</f>
        <v>#DIV/0!</v>
      </c>
    </row>
    <row r="1499" spans="1:21" x14ac:dyDescent="0.2">
      <c r="A1499" s="63" t="s">
        <v>1850</v>
      </c>
      <c r="B1499" s="64" t="s">
        <v>324</v>
      </c>
      <c r="C1499" s="64" t="s">
        <v>323</v>
      </c>
      <c r="D1499" s="64" t="s">
        <v>1985</v>
      </c>
      <c r="E1499" s="64" t="s">
        <v>324</v>
      </c>
      <c r="F1499" s="65" t="s">
        <v>457</v>
      </c>
      <c r="G1499" s="64" t="s">
        <v>328</v>
      </c>
      <c r="H1499" s="64" t="s">
        <v>229</v>
      </c>
      <c r="I1499" s="64" t="s">
        <v>10</v>
      </c>
      <c r="J1499" s="64" t="s">
        <v>201</v>
      </c>
      <c r="K1499" s="66">
        <v>48</v>
      </c>
      <c r="L1499" s="66">
        <f>K1499*VLOOKUP(I1499,dagsoorttabel1,2,FALSE)</f>
        <v>48</v>
      </c>
      <c r="M1499" s="67">
        <f>prodnorm43</f>
        <v>0</v>
      </c>
      <c r="N1499" s="68">
        <f>dagwerk43</f>
        <v>0</v>
      </c>
      <c r="O1499" s="64" t="s">
        <v>38</v>
      </c>
      <c r="P1499" s="69">
        <f>uurtarief43</f>
        <v>0</v>
      </c>
      <c r="Q1499" s="66" t="e">
        <f>IF(ISBLANK(M1499),0,L1499/ROUND(M1499,4))</f>
        <v>#DIV/0!</v>
      </c>
      <c r="R1499" s="66" t="e">
        <f>IF(ISBLANK(M1499),0,Q1499*ROUND(N1499,2))</f>
        <v>#DIV/0!</v>
      </c>
      <c r="S1499" s="69" t="e">
        <f>ROUND(P1499,2)*Q1499</f>
        <v>#DIV/0!</v>
      </c>
      <c r="T1499" s="66" t="e">
        <f>Q1499*dagenperjaar1</f>
        <v>#DIV/0!</v>
      </c>
      <c r="U1499" s="70" t="e">
        <f>T1499*ROUND(P1499,2)</f>
        <v>#DIV/0!</v>
      </c>
    </row>
    <row r="1500" spans="1:21" x14ac:dyDescent="0.2">
      <c r="A1500" s="63" t="s">
        <v>1850</v>
      </c>
      <c r="B1500" s="64" t="s">
        <v>324</v>
      </c>
      <c r="C1500" s="64" t="s">
        <v>323</v>
      </c>
      <c r="D1500" s="64" t="s">
        <v>1986</v>
      </c>
      <c r="E1500" s="64" t="s">
        <v>324</v>
      </c>
      <c r="F1500" s="65" t="s">
        <v>457</v>
      </c>
      <c r="G1500" s="64" t="s">
        <v>328</v>
      </c>
      <c r="H1500" s="64" t="s">
        <v>229</v>
      </c>
      <c r="I1500" s="64" t="s">
        <v>10</v>
      </c>
      <c r="J1500" s="64" t="s">
        <v>201</v>
      </c>
      <c r="K1500" s="66">
        <v>48</v>
      </c>
      <c r="L1500" s="66">
        <f>K1500*VLOOKUP(I1500,dagsoorttabel1,2,FALSE)</f>
        <v>48</v>
      </c>
      <c r="M1500" s="67">
        <f>prodnorm43</f>
        <v>0</v>
      </c>
      <c r="N1500" s="68">
        <f>dagwerk43</f>
        <v>0</v>
      </c>
      <c r="O1500" s="64" t="s">
        <v>38</v>
      </c>
      <c r="P1500" s="69">
        <f>uurtarief43</f>
        <v>0</v>
      </c>
      <c r="Q1500" s="66" t="e">
        <f>IF(ISBLANK(M1500),0,L1500/ROUND(M1500,4))</f>
        <v>#DIV/0!</v>
      </c>
      <c r="R1500" s="66" t="e">
        <f>IF(ISBLANK(M1500),0,Q1500*ROUND(N1500,2))</f>
        <v>#DIV/0!</v>
      </c>
      <c r="S1500" s="69" t="e">
        <f>ROUND(P1500,2)*Q1500</f>
        <v>#DIV/0!</v>
      </c>
      <c r="T1500" s="66" t="e">
        <f>Q1500*dagenperjaar1</f>
        <v>#DIV/0!</v>
      </c>
      <c r="U1500" s="70" t="e">
        <f>T1500*ROUND(P1500,2)</f>
        <v>#DIV/0!</v>
      </c>
    </row>
    <row r="1501" spans="1:21" x14ac:dyDescent="0.2">
      <c r="A1501" s="63" t="s">
        <v>1850</v>
      </c>
      <c r="B1501" s="64" t="s">
        <v>324</v>
      </c>
      <c r="C1501" s="64" t="s">
        <v>323</v>
      </c>
      <c r="D1501" s="64" t="s">
        <v>1987</v>
      </c>
      <c r="E1501" s="64" t="s">
        <v>324</v>
      </c>
      <c r="F1501" s="65" t="s">
        <v>1988</v>
      </c>
      <c r="G1501" s="64" t="s">
        <v>538</v>
      </c>
      <c r="H1501" s="64" t="s">
        <v>263</v>
      </c>
      <c r="I1501" s="64" t="s">
        <v>10</v>
      </c>
      <c r="J1501" s="64" t="s">
        <v>201</v>
      </c>
      <c r="K1501" s="66">
        <v>13</v>
      </c>
      <c r="L1501" s="66">
        <f>K1501*VLOOKUP(I1501,dagsoorttabel1,2,FALSE)</f>
        <v>13</v>
      </c>
      <c r="M1501" s="67">
        <f>prodnorm63</f>
        <v>0</v>
      </c>
      <c r="N1501" s="68">
        <f>dagwerk63</f>
        <v>0</v>
      </c>
      <c r="O1501" s="64" t="s">
        <v>38</v>
      </c>
      <c r="P1501" s="69">
        <f>uurtarief63</f>
        <v>0</v>
      </c>
      <c r="Q1501" s="66" t="e">
        <f>IF(ISBLANK(M1501),0,L1501/ROUND(M1501,4))</f>
        <v>#DIV/0!</v>
      </c>
      <c r="R1501" s="66" t="e">
        <f>IF(ISBLANK(M1501),0,Q1501*ROUND(N1501,2))</f>
        <v>#DIV/0!</v>
      </c>
      <c r="S1501" s="69" t="e">
        <f>ROUND(P1501,2)*Q1501</f>
        <v>#DIV/0!</v>
      </c>
      <c r="T1501" s="66" t="e">
        <f>Q1501*dagenperjaar1</f>
        <v>#DIV/0!</v>
      </c>
      <c r="U1501" s="70" t="e">
        <f>T1501*ROUND(P1501,2)</f>
        <v>#DIV/0!</v>
      </c>
    </row>
    <row r="1502" spans="1:21" x14ac:dyDescent="0.2">
      <c r="A1502" s="63" t="s">
        <v>1850</v>
      </c>
      <c r="B1502" s="64" t="s">
        <v>324</v>
      </c>
      <c r="C1502" s="64" t="s">
        <v>323</v>
      </c>
      <c r="D1502" s="64" t="s">
        <v>1989</v>
      </c>
      <c r="E1502" s="64" t="s">
        <v>324</v>
      </c>
      <c r="F1502" s="65" t="s">
        <v>457</v>
      </c>
      <c r="G1502" s="64" t="s">
        <v>328</v>
      </c>
      <c r="H1502" s="64" t="s">
        <v>229</v>
      </c>
      <c r="I1502" s="64" t="s">
        <v>10</v>
      </c>
      <c r="J1502" s="64" t="s">
        <v>201</v>
      </c>
      <c r="K1502" s="66">
        <v>49</v>
      </c>
      <c r="L1502" s="66">
        <f>K1502*VLOOKUP(I1502,dagsoorttabel1,2,FALSE)</f>
        <v>49</v>
      </c>
      <c r="M1502" s="67">
        <f>prodnorm43</f>
        <v>0</v>
      </c>
      <c r="N1502" s="68">
        <f>dagwerk43</f>
        <v>0</v>
      </c>
      <c r="O1502" s="64" t="s">
        <v>38</v>
      </c>
      <c r="P1502" s="69">
        <f>uurtarief43</f>
        <v>0</v>
      </c>
      <c r="Q1502" s="66" t="e">
        <f>IF(ISBLANK(M1502),0,L1502/ROUND(M1502,4))</f>
        <v>#DIV/0!</v>
      </c>
      <c r="R1502" s="66" t="e">
        <f>IF(ISBLANK(M1502),0,Q1502*ROUND(N1502,2))</f>
        <v>#DIV/0!</v>
      </c>
      <c r="S1502" s="69" t="e">
        <f>ROUND(P1502,2)*Q1502</f>
        <v>#DIV/0!</v>
      </c>
      <c r="T1502" s="66" t="e">
        <f>Q1502*dagenperjaar1</f>
        <v>#DIV/0!</v>
      </c>
      <c r="U1502" s="70" t="e">
        <f>T1502*ROUND(P1502,2)</f>
        <v>#DIV/0!</v>
      </c>
    </row>
    <row r="1503" spans="1:21" x14ac:dyDescent="0.2">
      <c r="A1503" s="63" t="s">
        <v>1850</v>
      </c>
      <c r="B1503" s="64" t="s">
        <v>324</v>
      </c>
      <c r="C1503" s="64" t="s">
        <v>323</v>
      </c>
      <c r="D1503" s="64" t="s">
        <v>1990</v>
      </c>
      <c r="E1503" s="64" t="s">
        <v>324</v>
      </c>
      <c r="F1503" s="65" t="s">
        <v>457</v>
      </c>
      <c r="G1503" s="64" t="s">
        <v>328</v>
      </c>
      <c r="H1503" s="64" t="s">
        <v>229</v>
      </c>
      <c r="I1503" s="64" t="s">
        <v>10</v>
      </c>
      <c r="J1503" s="64" t="s">
        <v>201</v>
      </c>
      <c r="K1503" s="66">
        <v>49</v>
      </c>
      <c r="L1503" s="66">
        <f>K1503*VLOOKUP(I1503,dagsoorttabel1,2,FALSE)</f>
        <v>49</v>
      </c>
      <c r="M1503" s="67">
        <f>prodnorm43</f>
        <v>0</v>
      </c>
      <c r="N1503" s="68">
        <f>dagwerk43</f>
        <v>0</v>
      </c>
      <c r="O1503" s="64" t="s">
        <v>38</v>
      </c>
      <c r="P1503" s="69">
        <f>uurtarief43</f>
        <v>0</v>
      </c>
      <c r="Q1503" s="66" t="e">
        <f>IF(ISBLANK(M1503),0,L1503/ROUND(M1503,4))</f>
        <v>#DIV/0!</v>
      </c>
      <c r="R1503" s="66" t="e">
        <f>IF(ISBLANK(M1503),0,Q1503*ROUND(N1503,2))</f>
        <v>#DIV/0!</v>
      </c>
      <c r="S1503" s="69" t="e">
        <f>ROUND(P1503,2)*Q1503</f>
        <v>#DIV/0!</v>
      </c>
      <c r="T1503" s="66" t="e">
        <f>Q1503*dagenperjaar1</f>
        <v>#DIV/0!</v>
      </c>
      <c r="U1503" s="70" t="e">
        <f>T1503*ROUND(P1503,2)</f>
        <v>#DIV/0!</v>
      </c>
    </row>
    <row r="1504" spans="1:21" x14ac:dyDescent="0.2">
      <c r="A1504" s="63" t="s">
        <v>1850</v>
      </c>
      <c r="B1504" s="64" t="s">
        <v>324</v>
      </c>
      <c r="C1504" s="64" t="s">
        <v>323</v>
      </c>
      <c r="D1504" s="64" t="s">
        <v>1991</v>
      </c>
      <c r="E1504" s="64" t="s">
        <v>324</v>
      </c>
      <c r="F1504" s="65" t="s">
        <v>457</v>
      </c>
      <c r="G1504" s="64" t="s">
        <v>328</v>
      </c>
      <c r="H1504" s="64" t="s">
        <v>229</v>
      </c>
      <c r="I1504" s="64" t="s">
        <v>10</v>
      </c>
      <c r="J1504" s="64" t="s">
        <v>201</v>
      </c>
      <c r="K1504" s="66">
        <v>49</v>
      </c>
      <c r="L1504" s="66">
        <f>K1504*VLOOKUP(I1504,dagsoorttabel1,2,FALSE)</f>
        <v>49</v>
      </c>
      <c r="M1504" s="67">
        <f>prodnorm43</f>
        <v>0</v>
      </c>
      <c r="N1504" s="68">
        <f>dagwerk43</f>
        <v>0</v>
      </c>
      <c r="O1504" s="64" t="s">
        <v>38</v>
      </c>
      <c r="P1504" s="69">
        <f>uurtarief43</f>
        <v>0</v>
      </c>
      <c r="Q1504" s="66" t="e">
        <f>IF(ISBLANK(M1504),0,L1504/ROUND(M1504,4))</f>
        <v>#DIV/0!</v>
      </c>
      <c r="R1504" s="66" t="e">
        <f>IF(ISBLANK(M1504),0,Q1504*ROUND(N1504,2))</f>
        <v>#DIV/0!</v>
      </c>
      <c r="S1504" s="69" t="e">
        <f>ROUND(P1504,2)*Q1504</f>
        <v>#DIV/0!</v>
      </c>
      <c r="T1504" s="66" t="e">
        <f>Q1504*dagenperjaar1</f>
        <v>#DIV/0!</v>
      </c>
      <c r="U1504" s="70" t="e">
        <f>T1504*ROUND(P1504,2)</f>
        <v>#DIV/0!</v>
      </c>
    </row>
    <row r="1505" spans="1:21" x14ac:dyDescent="0.2">
      <c r="A1505" s="63" t="s">
        <v>1850</v>
      </c>
      <c r="B1505" s="64" t="s">
        <v>324</v>
      </c>
      <c r="C1505" s="64" t="s">
        <v>323</v>
      </c>
      <c r="D1505" s="64" t="s">
        <v>1992</v>
      </c>
      <c r="E1505" s="64" t="s">
        <v>324</v>
      </c>
      <c r="F1505" s="65" t="s">
        <v>457</v>
      </c>
      <c r="G1505" s="64" t="s">
        <v>328</v>
      </c>
      <c r="H1505" s="64" t="s">
        <v>229</v>
      </c>
      <c r="I1505" s="64" t="s">
        <v>10</v>
      </c>
      <c r="J1505" s="64" t="s">
        <v>201</v>
      </c>
      <c r="K1505" s="66">
        <v>49</v>
      </c>
      <c r="L1505" s="66">
        <f>K1505*VLOOKUP(I1505,dagsoorttabel1,2,FALSE)</f>
        <v>49</v>
      </c>
      <c r="M1505" s="67">
        <f>prodnorm43</f>
        <v>0</v>
      </c>
      <c r="N1505" s="68">
        <f>dagwerk43</f>
        <v>0</v>
      </c>
      <c r="O1505" s="64" t="s">
        <v>38</v>
      </c>
      <c r="P1505" s="69">
        <f>uurtarief43</f>
        <v>0</v>
      </c>
      <c r="Q1505" s="66" t="e">
        <f>IF(ISBLANK(M1505),0,L1505/ROUND(M1505,4))</f>
        <v>#DIV/0!</v>
      </c>
      <c r="R1505" s="66" t="e">
        <f>IF(ISBLANK(M1505),0,Q1505*ROUND(N1505,2))</f>
        <v>#DIV/0!</v>
      </c>
      <c r="S1505" s="69" t="e">
        <f>ROUND(P1505,2)*Q1505</f>
        <v>#DIV/0!</v>
      </c>
      <c r="T1505" s="66" t="e">
        <f>Q1505*dagenperjaar1</f>
        <v>#DIV/0!</v>
      </c>
      <c r="U1505" s="70" t="e">
        <f>T1505*ROUND(P1505,2)</f>
        <v>#DIV/0!</v>
      </c>
    </row>
    <row r="1506" spans="1:21" x14ac:dyDescent="0.2">
      <c r="A1506" s="63" t="s">
        <v>1850</v>
      </c>
      <c r="B1506" s="64" t="s">
        <v>324</v>
      </c>
      <c r="C1506" s="64" t="s">
        <v>323</v>
      </c>
      <c r="D1506" s="64" t="s">
        <v>1993</v>
      </c>
      <c r="E1506" s="64" t="s">
        <v>324</v>
      </c>
      <c r="F1506" s="65" t="s">
        <v>457</v>
      </c>
      <c r="G1506" s="64" t="s">
        <v>351</v>
      </c>
      <c r="H1506" s="64" t="s">
        <v>231</v>
      </c>
      <c r="I1506" s="64" t="s">
        <v>10</v>
      </c>
      <c r="J1506" s="64" t="s">
        <v>201</v>
      </c>
      <c r="K1506" s="66">
        <v>48</v>
      </c>
      <c r="L1506" s="66">
        <f>K1506*VLOOKUP(I1506,dagsoorttabel1,2,FALSE)</f>
        <v>48</v>
      </c>
      <c r="M1506" s="67">
        <f>prodnorm44</f>
        <v>0</v>
      </c>
      <c r="N1506" s="68">
        <f>dagwerk44</f>
        <v>0</v>
      </c>
      <c r="O1506" s="64" t="s">
        <v>38</v>
      </c>
      <c r="P1506" s="69">
        <f>uurtarief44</f>
        <v>0</v>
      </c>
      <c r="Q1506" s="66" t="e">
        <f>IF(ISBLANK(M1506),0,L1506/ROUND(M1506,4))</f>
        <v>#DIV/0!</v>
      </c>
      <c r="R1506" s="66" t="e">
        <f>IF(ISBLANK(M1506),0,Q1506*ROUND(N1506,2))</f>
        <v>#DIV/0!</v>
      </c>
      <c r="S1506" s="69" t="e">
        <f>ROUND(P1506,2)*Q1506</f>
        <v>#DIV/0!</v>
      </c>
      <c r="T1506" s="66" t="e">
        <f>Q1506*dagenperjaar1</f>
        <v>#DIV/0!</v>
      </c>
      <c r="U1506" s="70" t="e">
        <f>T1506*ROUND(P1506,2)</f>
        <v>#DIV/0!</v>
      </c>
    </row>
    <row r="1507" spans="1:21" x14ac:dyDescent="0.2">
      <c r="A1507" s="63" t="s">
        <v>1850</v>
      </c>
      <c r="B1507" s="64" t="s">
        <v>324</v>
      </c>
      <c r="C1507" s="64" t="s">
        <v>323</v>
      </c>
      <c r="D1507" s="64" t="s">
        <v>1994</v>
      </c>
      <c r="E1507" s="64" t="s">
        <v>324</v>
      </c>
      <c r="F1507" s="65" t="s">
        <v>457</v>
      </c>
      <c r="G1507" s="64" t="s">
        <v>351</v>
      </c>
      <c r="H1507" s="64" t="s">
        <v>231</v>
      </c>
      <c r="I1507" s="64" t="s">
        <v>10</v>
      </c>
      <c r="J1507" s="64" t="s">
        <v>201</v>
      </c>
      <c r="K1507" s="66">
        <v>17.71</v>
      </c>
      <c r="L1507" s="66">
        <f>K1507*VLOOKUP(I1507,dagsoorttabel1,2,FALSE)</f>
        <v>17.71</v>
      </c>
      <c r="M1507" s="67">
        <f>prodnorm44</f>
        <v>0</v>
      </c>
      <c r="N1507" s="68">
        <f>dagwerk44</f>
        <v>0</v>
      </c>
      <c r="O1507" s="64" t="s">
        <v>38</v>
      </c>
      <c r="P1507" s="69">
        <f>uurtarief44</f>
        <v>0</v>
      </c>
      <c r="Q1507" s="66" t="e">
        <f>IF(ISBLANK(M1507),0,L1507/ROUND(M1507,4))</f>
        <v>#DIV/0!</v>
      </c>
      <c r="R1507" s="66" t="e">
        <f>IF(ISBLANK(M1507),0,Q1507*ROUND(N1507,2))</f>
        <v>#DIV/0!</v>
      </c>
      <c r="S1507" s="69" t="e">
        <f>ROUND(P1507,2)*Q1507</f>
        <v>#DIV/0!</v>
      </c>
      <c r="T1507" s="66" t="e">
        <f>Q1507*dagenperjaar1</f>
        <v>#DIV/0!</v>
      </c>
      <c r="U1507" s="70" t="e">
        <f>T1507*ROUND(P1507,2)</f>
        <v>#DIV/0!</v>
      </c>
    </row>
    <row r="1508" spans="1:21" x14ac:dyDescent="0.2">
      <c r="A1508" s="63" t="s">
        <v>1850</v>
      </c>
      <c r="B1508" s="64" t="s">
        <v>324</v>
      </c>
      <c r="C1508" s="64" t="s">
        <v>323</v>
      </c>
      <c r="D1508" s="64" t="s">
        <v>1995</v>
      </c>
      <c r="E1508" s="64" t="s">
        <v>324</v>
      </c>
      <c r="F1508" s="65" t="s">
        <v>457</v>
      </c>
      <c r="G1508" s="64" t="s">
        <v>328</v>
      </c>
      <c r="H1508" s="64" t="s">
        <v>229</v>
      </c>
      <c r="I1508" s="64" t="s">
        <v>10</v>
      </c>
      <c r="J1508" s="64" t="s">
        <v>201</v>
      </c>
      <c r="K1508" s="66">
        <v>56</v>
      </c>
      <c r="L1508" s="66">
        <f>K1508*VLOOKUP(I1508,dagsoorttabel1,2,FALSE)</f>
        <v>56</v>
      </c>
      <c r="M1508" s="67">
        <f>prodnorm43</f>
        <v>0</v>
      </c>
      <c r="N1508" s="68">
        <f>dagwerk43</f>
        <v>0</v>
      </c>
      <c r="O1508" s="64" t="s">
        <v>38</v>
      </c>
      <c r="P1508" s="69">
        <f>uurtarief43</f>
        <v>0</v>
      </c>
      <c r="Q1508" s="66" t="e">
        <f>IF(ISBLANK(M1508),0,L1508/ROUND(M1508,4))</f>
        <v>#DIV/0!</v>
      </c>
      <c r="R1508" s="66" t="e">
        <f>IF(ISBLANK(M1508),0,Q1508*ROUND(N1508,2))</f>
        <v>#DIV/0!</v>
      </c>
      <c r="S1508" s="69" t="e">
        <f>ROUND(P1508,2)*Q1508</f>
        <v>#DIV/0!</v>
      </c>
      <c r="T1508" s="66" t="e">
        <f>Q1508*dagenperjaar1</f>
        <v>#DIV/0!</v>
      </c>
      <c r="U1508" s="70" t="e">
        <f>T1508*ROUND(P1508,2)</f>
        <v>#DIV/0!</v>
      </c>
    </row>
    <row r="1509" spans="1:21" x14ac:dyDescent="0.2">
      <c r="A1509" s="63" t="s">
        <v>1850</v>
      </c>
      <c r="B1509" s="64" t="s">
        <v>324</v>
      </c>
      <c r="C1509" s="64" t="s">
        <v>323</v>
      </c>
      <c r="D1509" s="64" t="s">
        <v>1996</v>
      </c>
      <c r="E1509" s="64" t="s">
        <v>324</v>
      </c>
      <c r="F1509" s="65" t="s">
        <v>457</v>
      </c>
      <c r="G1509" s="64" t="s">
        <v>328</v>
      </c>
      <c r="H1509" s="64" t="s">
        <v>229</v>
      </c>
      <c r="I1509" s="64" t="s">
        <v>10</v>
      </c>
      <c r="J1509" s="64" t="s">
        <v>201</v>
      </c>
      <c r="K1509" s="66">
        <v>57</v>
      </c>
      <c r="L1509" s="66">
        <f>K1509*VLOOKUP(I1509,dagsoorttabel1,2,FALSE)</f>
        <v>57</v>
      </c>
      <c r="M1509" s="67">
        <f>prodnorm43</f>
        <v>0</v>
      </c>
      <c r="N1509" s="68">
        <f>dagwerk43</f>
        <v>0</v>
      </c>
      <c r="O1509" s="64" t="s">
        <v>38</v>
      </c>
      <c r="P1509" s="69">
        <f>uurtarief43</f>
        <v>0</v>
      </c>
      <c r="Q1509" s="66" t="e">
        <f>IF(ISBLANK(M1509),0,L1509/ROUND(M1509,4))</f>
        <v>#DIV/0!</v>
      </c>
      <c r="R1509" s="66" t="e">
        <f>IF(ISBLANK(M1509),0,Q1509*ROUND(N1509,2))</f>
        <v>#DIV/0!</v>
      </c>
      <c r="S1509" s="69" t="e">
        <f>ROUND(P1509,2)*Q1509</f>
        <v>#DIV/0!</v>
      </c>
      <c r="T1509" s="66" t="e">
        <f>Q1509*dagenperjaar1</f>
        <v>#DIV/0!</v>
      </c>
      <c r="U1509" s="70" t="e">
        <f>T1509*ROUND(P1509,2)</f>
        <v>#DIV/0!</v>
      </c>
    </row>
    <row r="1510" spans="1:21" x14ac:dyDescent="0.2">
      <c r="A1510" s="63" t="s">
        <v>1850</v>
      </c>
      <c r="B1510" s="64" t="s">
        <v>324</v>
      </c>
      <c r="C1510" s="64" t="s">
        <v>323</v>
      </c>
      <c r="D1510" s="64" t="s">
        <v>1997</v>
      </c>
      <c r="E1510" s="64" t="s">
        <v>324</v>
      </c>
      <c r="F1510" s="65" t="s">
        <v>1788</v>
      </c>
      <c r="G1510" s="64" t="s">
        <v>328</v>
      </c>
      <c r="H1510" s="64" t="s">
        <v>267</v>
      </c>
      <c r="I1510" s="64" t="s">
        <v>10</v>
      </c>
      <c r="J1510" s="64" t="s">
        <v>201</v>
      </c>
      <c r="K1510" s="66">
        <v>60</v>
      </c>
      <c r="L1510" s="66">
        <f>K1510*VLOOKUP(I1510,dagsoorttabel1,2,FALSE)</f>
        <v>60</v>
      </c>
      <c r="M1510" s="67">
        <f>prodnorm65</f>
        <v>0</v>
      </c>
      <c r="N1510" s="68">
        <f>dagwerk65</f>
        <v>0</v>
      </c>
      <c r="O1510" s="64" t="s">
        <v>38</v>
      </c>
      <c r="P1510" s="69">
        <f>uurtarief65</f>
        <v>0</v>
      </c>
      <c r="Q1510" s="66" t="e">
        <f>IF(ISBLANK(M1510),0,L1510/ROUND(M1510,4))</f>
        <v>#DIV/0!</v>
      </c>
      <c r="R1510" s="66" t="e">
        <f>IF(ISBLANK(M1510),0,Q1510*ROUND(N1510,2))</f>
        <v>#DIV/0!</v>
      </c>
      <c r="S1510" s="69" t="e">
        <f>ROUND(P1510,2)*Q1510</f>
        <v>#DIV/0!</v>
      </c>
      <c r="T1510" s="66" t="e">
        <f>Q1510*dagenperjaar1</f>
        <v>#DIV/0!</v>
      </c>
      <c r="U1510" s="70" t="e">
        <f>T1510*ROUND(P1510,2)</f>
        <v>#DIV/0!</v>
      </c>
    </row>
    <row r="1511" spans="1:21" x14ac:dyDescent="0.2">
      <c r="A1511" s="71" t="s">
        <v>1850</v>
      </c>
      <c r="B1511" s="72" t="s">
        <v>324</v>
      </c>
      <c r="C1511" s="72" t="s">
        <v>323</v>
      </c>
      <c r="D1511" s="72" t="s">
        <v>1998</v>
      </c>
      <c r="E1511" s="72" t="s">
        <v>324</v>
      </c>
      <c r="F1511" s="73" t="s">
        <v>1999</v>
      </c>
      <c r="G1511" s="72" t="s">
        <v>351</v>
      </c>
      <c r="H1511" s="72" t="s">
        <v>207</v>
      </c>
      <c r="I1511" s="72" t="s">
        <v>10</v>
      </c>
      <c r="J1511" s="72" t="s">
        <v>201</v>
      </c>
      <c r="K1511" s="74">
        <v>24</v>
      </c>
      <c r="L1511" s="74">
        <f>K1511*VLOOKUP(I1511,dagsoorttabel1,2,FALSE)</f>
        <v>24</v>
      </c>
      <c r="M1511" s="75">
        <f>prodnorm28</f>
        <v>0</v>
      </c>
      <c r="N1511" s="76">
        <f>dagwerk28</f>
        <v>0</v>
      </c>
      <c r="O1511" s="72" t="s">
        <v>38</v>
      </c>
      <c r="P1511" s="77">
        <f>uurtarief28</f>
        <v>0</v>
      </c>
      <c r="Q1511" s="74" t="e">
        <f>IF(ISBLANK(M1511),0,L1511/ROUND(M1511,4))</f>
        <v>#DIV/0!</v>
      </c>
      <c r="R1511" s="74" t="e">
        <f>IF(ISBLANK(M1511),0,Q1511*ROUND(N1511,2))</f>
        <v>#DIV/0!</v>
      </c>
      <c r="S1511" s="77" t="e">
        <f>ROUND(P1511,2)*Q1511</f>
        <v>#DIV/0!</v>
      </c>
      <c r="T1511" s="74" t="e">
        <f>Q1511*dagenperjaar1</f>
        <v>#DIV/0!</v>
      </c>
      <c r="U1511" s="78" t="e">
        <f>T1511*ROUND(P1511,2)</f>
        <v>#DIV/0!</v>
      </c>
    </row>
    <row r="1512" spans="1:21" x14ac:dyDescent="0.2">
      <c r="A1512" s="79" t="s">
        <v>602</v>
      </c>
      <c r="B1512" s="44"/>
      <c r="C1512" s="44"/>
      <c r="D1512" s="44"/>
      <c r="E1512" s="44"/>
      <c r="F1512" s="44"/>
      <c r="G1512" s="44"/>
      <c r="H1512" s="44"/>
      <c r="I1512" s="44"/>
      <c r="J1512" s="44"/>
      <c r="K1512" s="44"/>
      <c r="L1512" s="44"/>
      <c r="M1512" s="44"/>
      <c r="N1512" s="44"/>
      <c r="O1512" s="44"/>
      <c r="P1512" s="46" t="e">
        <f>IF(_xlfn.SINGLE(object12_urenjaar1)&gt;0,_xlfn.SINGLE(object12_prijsjaar1)/_xlfn.SINGLE(object12_urenjaar1),0)</f>
        <v>#DIV/0!</v>
      </c>
      <c r="Q1512" s="45" t="e">
        <f>SUM(Q1343:Q1511)</f>
        <v>#DIV/0!</v>
      </c>
      <c r="R1512" s="45" t="e">
        <f>SUM(R1343:R1511)</f>
        <v>#DIV/0!</v>
      </c>
      <c r="S1512" s="46" t="e">
        <f>SUM(S1343:S1511)</f>
        <v>#DIV/0!</v>
      </c>
      <c r="T1512" s="45" t="e">
        <f>SUM(T1343:T1511)</f>
        <v>#DIV/0!</v>
      </c>
      <c r="U1512" s="47" t="e">
        <f>SUM(U1343:U1511)</f>
        <v>#DIV/0!</v>
      </c>
    </row>
    <row r="1513" spans="1:21" x14ac:dyDescent="0.2">
      <c r="A1513" s="54" t="s">
        <v>2000</v>
      </c>
      <c r="B1513" s="13"/>
      <c r="C1513" s="13"/>
      <c r="D1513" s="13"/>
      <c r="E1513" s="13"/>
      <c r="F1513" s="13"/>
      <c r="G1513" s="13"/>
      <c r="H1513" s="13"/>
      <c r="I1513" s="13"/>
      <c r="J1513" s="13"/>
      <c r="K1513" s="13"/>
      <c r="L1513" s="13"/>
      <c r="M1513" s="13"/>
      <c r="N1513" s="13"/>
      <c r="O1513" s="13"/>
      <c r="P1513" s="13"/>
      <c r="Q1513" s="13"/>
      <c r="R1513" s="13"/>
      <c r="S1513" s="13"/>
      <c r="T1513" s="13"/>
      <c r="U1513" s="42"/>
    </row>
    <row r="1514" spans="1:21" x14ac:dyDescent="0.2">
      <c r="A1514" s="55" t="s">
        <v>2001</v>
      </c>
      <c r="B1514" s="56" t="s">
        <v>324</v>
      </c>
      <c r="C1514" s="56" t="s">
        <v>345</v>
      </c>
      <c r="D1514" s="56" t="s">
        <v>348</v>
      </c>
      <c r="E1514" s="56" t="s">
        <v>324</v>
      </c>
      <c r="F1514" s="57" t="s">
        <v>354</v>
      </c>
      <c r="G1514" s="56" t="s">
        <v>685</v>
      </c>
      <c r="H1514" s="56" t="s">
        <v>217</v>
      </c>
      <c r="I1514" s="56" t="s">
        <v>10</v>
      </c>
      <c r="J1514" s="56" t="s">
        <v>201</v>
      </c>
      <c r="K1514" s="58">
        <v>10</v>
      </c>
      <c r="L1514" s="58">
        <f>K1514*VLOOKUP(I1514,dagsoorttabel1,2,FALSE)</f>
        <v>10</v>
      </c>
      <c r="M1514" s="59">
        <f>prodnorm35</f>
        <v>0</v>
      </c>
      <c r="N1514" s="60">
        <f>dagwerk35</f>
        <v>0</v>
      </c>
      <c r="O1514" s="56" t="s">
        <v>38</v>
      </c>
      <c r="P1514" s="61">
        <f>uurtarief35</f>
        <v>0</v>
      </c>
      <c r="Q1514" s="58" t="e">
        <f>IF(ISBLANK(M1514),0,L1514/ROUND(M1514,4))</f>
        <v>#DIV/0!</v>
      </c>
      <c r="R1514" s="58" t="e">
        <f>IF(ISBLANK(M1514),0,Q1514*ROUND(N1514,2))</f>
        <v>#DIV/0!</v>
      </c>
      <c r="S1514" s="61" t="e">
        <f>ROUND(P1514,2)*Q1514</f>
        <v>#DIV/0!</v>
      </c>
      <c r="T1514" s="58" t="e">
        <f>Q1514*dagenperjaar1</f>
        <v>#DIV/0!</v>
      </c>
      <c r="U1514" s="62" t="e">
        <f>T1514*ROUND(P1514,2)</f>
        <v>#DIV/0!</v>
      </c>
    </row>
    <row r="1515" spans="1:21" x14ac:dyDescent="0.2">
      <c r="A1515" s="63" t="s">
        <v>2001</v>
      </c>
      <c r="B1515" s="64" t="s">
        <v>324</v>
      </c>
      <c r="C1515" s="64" t="s">
        <v>345</v>
      </c>
      <c r="D1515" s="64" t="s">
        <v>1303</v>
      </c>
      <c r="E1515" s="64" t="s">
        <v>324</v>
      </c>
      <c r="F1515" s="65" t="s">
        <v>354</v>
      </c>
      <c r="G1515" s="64" t="s">
        <v>1421</v>
      </c>
      <c r="H1515" s="64" t="s">
        <v>215</v>
      </c>
      <c r="I1515" s="64" t="s">
        <v>10</v>
      </c>
      <c r="J1515" s="64" t="s">
        <v>201</v>
      </c>
      <c r="K1515" s="66">
        <v>3.8099999999999996</v>
      </c>
      <c r="L1515" s="66">
        <f>K1515*VLOOKUP(I1515,dagsoorttabel1,2,FALSE)</f>
        <v>3.8099999999999996</v>
      </c>
      <c r="M1515" s="67">
        <f>prodnorm34</f>
        <v>0</v>
      </c>
      <c r="N1515" s="68">
        <f>dagwerk34</f>
        <v>0</v>
      </c>
      <c r="O1515" s="64" t="s">
        <v>38</v>
      </c>
      <c r="P1515" s="69">
        <f>uurtarief34</f>
        <v>0</v>
      </c>
      <c r="Q1515" s="66" t="e">
        <f>IF(ISBLANK(M1515),0,L1515/ROUND(M1515,4))</f>
        <v>#DIV/0!</v>
      </c>
      <c r="R1515" s="66" t="e">
        <f>IF(ISBLANK(M1515),0,Q1515*ROUND(N1515,2))</f>
        <v>#DIV/0!</v>
      </c>
      <c r="S1515" s="69" t="e">
        <f>ROUND(P1515,2)*Q1515</f>
        <v>#DIV/0!</v>
      </c>
      <c r="T1515" s="66" t="e">
        <f>Q1515*dagenperjaar1</f>
        <v>#DIV/0!</v>
      </c>
      <c r="U1515" s="70" t="e">
        <f>T1515*ROUND(P1515,2)</f>
        <v>#DIV/0!</v>
      </c>
    </row>
    <row r="1516" spans="1:21" x14ac:dyDescent="0.2">
      <c r="A1516" s="63" t="s">
        <v>2001</v>
      </c>
      <c r="B1516" s="64" t="s">
        <v>324</v>
      </c>
      <c r="C1516" s="64" t="s">
        <v>345</v>
      </c>
      <c r="D1516" s="64" t="s">
        <v>352</v>
      </c>
      <c r="E1516" s="64" t="s">
        <v>324</v>
      </c>
      <c r="F1516" s="65" t="s">
        <v>834</v>
      </c>
      <c r="G1516" s="64" t="s">
        <v>1421</v>
      </c>
      <c r="H1516" s="64" t="s">
        <v>267</v>
      </c>
      <c r="I1516" s="64" t="s">
        <v>10</v>
      </c>
      <c r="J1516" s="64" t="s">
        <v>201</v>
      </c>
      <c r="K1516" s="66">
        <v>64.790000000000006</v>
      </c>
      <c r="L1516" s="66">
        <f>K1516*VLOOKUP(I1516,dagsoorttabel1,2,FALSE)</f>
        <v>64.790000000000006</v>
      </c>
      <c r="M1516" s="67">
        <f>prodnorm65</f>
        <v>0</v>
      </c>
      <c r="N1516" s="68">
        <f>dagwerk65</f>
        <v>0</v>
      </c>
      <c r="O1516" s="64" t="s">
        <v>38</v>
      </c>
      <c r="P1516" s="69">
        <f>uurtarief65</f>
        <v>0</v>
      </c>
      <c r="Q1516" s="66" t="e">
        <f>IF(ISBLANK(M1516),0,L1516/ROUND(M1516,4))</f>
        <v>#DIV/0!</v>
      </c>
      <c r="R1516" s="66" t="e">
        <f>IF(ISBLANK(M1516),0,Q1516*ROUND(N1516,2))</f>
        <v>#DIV/0!</v>
      </c>
      <c r="S1516" s="69" t="e">
        <f>ROUND(P1516,2)*Q1516</f>
        <v>#DIV/0!</v>
      </c>
      <c r="T1516" s="66" t="e">
        <f>Q1516*dagenperjaar1</f>
        <v>#DIV/0!</v>
      </c>
      <c r="U1516" s="70" t="e">
        <f>T1516*ROUND(P1516,2)</f>
        <v>#DIV/0!</v>
      </c>
    </row>
    <row r="1517" spans="1:21" x14ac:dyDescent="0.2">
      <c r="A1517" s="63" t="s">
        <v>2001</v>
      </c>
      <c r="B1517" s="64" t="s">
        <v>324</v>
      </c>
      <c r="C1517" s="64" t="s">
        <v>345</v>
      </c>
      <c r="D1517" s="64" t="s">
        <v>853</v>
      </c>
      <c r="E1517" s="64" t="s">
        <v>324</v>
      </c>
      <c r="F1517" s="65" t="s">
        <v>605</v>
      </c>
      <c r="G1517" s="64" t="s">
        <v>328</v>
      </c>
      <c r="H1517" s="64" t="s">
        <v>200</v>
      </c>
      <c r="I1517" s="64" t="s">
        <v>10</v>
      </c>
      <c r="J1517" s="64" t="s">
        <v>201</v>
      </c>
      <c r="K1517" s="66">
        <v>156.98000000000002</v>
      </c>
      <c r="L1517" s="66">
        <f>K1517*VLOOKUP(I1517,dagsoorttabel1,2,FALSE)</f>
        <v>156.98000000000002</v>
      </c>
      <c r="M1517" s="67">
        <f>prodnorm24</f>
        <v>0</v>
      </c>
      <c r="N1517" s="68">
        <f>dagwerk24</f>
        <v>0</v>
      </c>
      <c r="O1517" s="64" t="s">
        <v>38</v>
      </c>
      <c r="P1517" s="69">
        <f>uurtarief24</f>
        <v>0</v>
      </c>
      <c r="Q1517" s="66" t="e">
        <f>IF(ISBLANK(M1517),0,L1517/ROUND(M1517,4))</f>
        <v>#DIV/0!</v>
      </c>
      <c r="R1517" s="66" t="e">
        <f>IF(ISBLANK(M1517),0,Q1517*ROUND(N1517,2))</f>
        <v>#DIV/0!</v>
      </c>
      <c r="S1517" s="69" t="e">
        <f>ROUND(P1517,2)*Q1517</f>
        <v>#DIV/0!</v>
      </c>
      <c r="T1517" s="66" t="e">
        <f>Q1517*dagenperjaar1</f>
        <v>#DIV/0!</v>
      </c>
      <c r="U1517" s="70" t="e">
        <f>T1517*ROUND(P1517,2)</f>
        <v>#DIV/0!</v>
      </c>
    </row>
    <row r="1518" spans="1:21" x14ac:dyDescent="0.2">
      <c r="A1518" s="63" t="s">
        <v>2001</v>
      </c>
      <c r="B1518" s="64" t="s">
        <v>324</v>
      </c>
      <c r="C1518" s="64" t="s">
        <v>345</v>
      </c>
      <c r="D1518" s="64" t="s">
        <v>366</v>
      </c>
      <c r="E1518" s="64" t="s">
        <v>324</v>
      </c>
      <c r="F1518" s="65" t="s">
        <v>327</v>
      </c>
      <c r="G1518" s="64" t="s">
        <v>351</v>
      </c>
      <c r="H1518" s="64" t="s">
        <v>223</v>
      </c>
      <c r="I1518" s="64" t="s">
        <v>10</v>
      </c>
      <c r="J1518" s="64" t="s">
        <v>201</v>
      </c>
      <c r="K1518" s="66">
        <v>2.34</v>
      </c>
      <c r="L1518" s="66">
        <f>K1518*VLOOKUP(I1518,dagsoorttabel1,2,FALSE)</f>
        <v>2.34</v>
      </c>
      <c r="M1518" s="67">
        <f>prodnorm39</f>
        <v>0</v>
      </c>
      <c r="N1518" s="68">
        <f>dagwerk39</f>
        <v>0</v>
      </c>
      <c r="O1518" s="64" t="s">
        <v>38</v>
      </c>
      <c r="P1518" s="69">
        <f>uurtarief39</f>
        <v>0</v>
      </c>
      <c r="Q1518" s="66" t="e">
        <f>IF(ISBLANK(M1518),0,L1518/ROUND(M1518,4))</f>
        <v>#DIV/0!</v>
      </c>
      <c r="R1518" s="66" t="e">
        <f>IF(ISBLANK(M1518),0,Q1518*ROUND(N1518,2))</f>
        <v>#DIV/0!</v>
      </c>
      <c r="S1518" s="69" t="e">
        <f>ROUND(P1518,2)*Q1518</f>
        <v>#DIV/0!</v>
      </c>
      <c r="T1518" s="66" t="e">
        <f>Q1518*dagenperjaar1</f>
        <v>#DIV/0!</v>
      </c>
      <c r="U1518" s="70" t="e">
        <f>T1518*ROUND(P1518,2)</f>
        <v>#DIV/0!</v>
      </c>
    </row>
    <row r="1519" spans="1:21" x14ac:dyDescent="0.2">
      <c r="A1519" s="63" t="s">
        <v>2001</v>
      </c>
      <c r="B1519" s="64" t="s">
        <v>324</v>
      </c>
      <c r="C1519" s="64" t="s">
        <v>345</v>
      </c>
      <c r="D1519" s="64" t="s">
        <v>368</v>
      </c>
      <c r="E1519" s="64" t="s">
        <v>324</v>
      </c>
      <c r="F1519" s="65" t="s">
        <v>638</v>
      </c>
      <c r="G1519" s="64" t="s">
        <v>1421</v>
      </c>
      <c r="H1519" s="64" t="s">
        <v>263</v>
      </c>
      <c r="I1519" s="64" t="s">
        <v>10</v>
      </c>
      <c r="J1519" s="64" t="s">
        <v>201</v>
      </c>
      <c r="K1519" s="66">
        <v>3.79</v>
      </c>
      <c r="L1519" s="66">
        <f>K1519*VLOOKUP(I1519,dagsoorttabel1,2,FALSE)</f>
        <v>3.79</v>
      </c>
      <c r="M1519" s="67">
        <f>prodnorm63</f>
        <v>0</v>
      </c>
      <c r="N1519" s="68">
        <f>dagwerk63</f>
        <v>0</v>
      </c>
      <c r="O1519" s="64" t="s">
        <v>38</v>
      </c>
      <c r="P1519" s="69">
        <f>uurtarief63</f>
        <v>0</v>
      </c>
      <c r="Q1519" s="66" t="e">
        <f>IF(ISBLANK(M1519),0,L1519/ROUND(M1519,4))</f>
        <v>#DIV/0!</v>
      </c>
      <c r="R1519" s="66" t="e">
        <f>IF(ISBLANK(M1519),0,Q1519*ROUND(N1519,2))</f>
        <v>#DIV/0!</v>
      </c>
      <c r="S1519" s="69" t="e">
        <f>ROUND(P1519,2)*Q1519</f>
        <v>#DIV/0!</v>
      </c>
      <c r="T1519" s="66" t="e">
        <f>Q1519*dagenperjaar1</f>
        <v>#DIV/0!</v>
      </c>
      <c r="U1519" s="70" t="e">
        <f>T1519*ROUND(P1519,2)</f>
        <v>#DIV/0!</v>
      </c>
    </row>
    <row r="1520" spans="1:21" x14ac:dyDescent="0.2">
      <c r="A1520" s="63" t="s">
        <v>2001</v>
      </c>
      <c r="B1520" s="64" t="s">
        <v>324</v>
      </c>
      <c r="C1520" s="64" t="s">
        <v>345</v>
      </c>
      <c r="D1520" s="64" t="s">
        <v>371</v>
      </c>
      <c r="E1520" s="64" t="s">
        <v>324</v>
      </c>
      <c r="F1520" s="65" t="s">
        <v>335</v>
      </c>
      <c r="G1520" s="64" t="s">
        <v>328</v>
      </c>
      <c r="H1520" s="64" t="s">
        <v>267</v>
      </c>
      <c r="I1520" s="64" t="s">
        <v>10</v>
      </c>
      <c r="J1520" s="64" t="s">
        <v>201</v>
      </c>
      <c r="K1520" s="66">
        <v>127.81</v>
      </c>
      <c r="L1520" s="66">
        <f>K1520*VLOOKUP(I1520,dagsoorttabel1,2,FALSE)</f>
        <v>127.81</v>
      </c>
      <c r="M1520" s="67">
        <f>prodnorm65</f>
        <v>0</v>
      </c>
      <c r="N1520" s="68">
        <f>dagwerk65</f>
        <v>0</v>
      </c>
      <c r="O1520" s="64" t="s">
        <v>38</v>
      </c>
      <c r="P1520" s="69">
        <f>uurtarief65</f>
        <v>0</v>
      </c>
      <c r="Q1520" s="66" t="e">
        <f>IF(ISBLANK(M1520),0,L1520/ROUND(M1520,4))</f>
        <v>#DIV/0!</v>
      </c>
      <c r="R1520" s="66" t="e">
        <f>IF(ISBLANK(M1520),0,Q1520*ROUND(N1520,2))</f>
        <v>#DIV/0!</v>
      </c>
      <c r="S1520" s="69" t="e">
        <f>ROUND(P1520,2)*Q1520</f>
        <v>#DIV/0!</v>
      </c>
      <c r="T1520" s="66" t="e">
        <f>Q1520*dagenperjaar1</f>
        <v>#DIV/0!</v>
      </c>
      <c r="U1520" s="70" t="e">
        <f>T1520*ROUND(P1520,2)</f>
        <v>#DIV/0!</v>
      </c>
    </row>
    <row r="1521" spans="1:21" x14ac:dyDescent="0.2">
      <c r="A1521" s="63" t="s">
        <v>2001</v>
      </c>
      <c r="B1521" s="64" t="s">
        <v>324</v>
      </c>
      <c r="C1521" s="64" t="s">
        <v>345</v>
      </c>
      <c r="D1521" s="64" t="s">
        <v>374</v>
      </c>
      <c r="E1521" s="64" t="s">
        <v>324</v>
      </c>
      <c r="F1521" s="65" t="s">
        <v>641</v>
      </c>
      <c r="G1521" s="64" t="s">
        <v>1421</v>
      </c>
      <c r="H1521" s="64" t="s">
        <v>255</v>
      </c>
      <c r="I1521" s="64" t="s">
        <v>10</v>
      </c>
      <c r="J1521" s="64" t="s">
        <v>201</v>
      </c>
      <c r="K1521" s="66">
        <v>10.199999999999999</v>
      </c>
      <c r="L1521" s="66">
        <f>K1521*VLOOKUP(I1521,dagsoorttabel1,2,FALSE)</f>
        <v>10.199999999999999</v>
      </c>
      <c r="M1521" s="67">
        <f>prodnorm59</f>
        <v>0</v>
      </c>
      <c r="N1521" s="68">
        <f>dagwerk59</f>
        <v>0</v>
      </c>
      <c r="O1521" s="64" t="s">
        <v>38</v>
      </c>
      <c r="P1521" s="69">
        <f>uurtarief59</f>
        <v>0</v>
      </c>
      <c r="Q1521" s="66" t="e">
        <f>IF(ISBLANK(M1521),0,L1521/ROUND(M1521,4))</f>
        <v>#DIV/0!</v>
      </c>
      <c r="R1521" s="66" t="e">
        <f>IF(ISBLANK(M1521),0,Q1521*ROUND(N1521,2))</f>
        <v>#DIV/0!</v>
      </c>
      <c r="S1521" s="69" t="e">
        <f>ROUND(P1521,2)*Q1521</f>
        <v>#DIV/0!</v>
      </c>
      <c r="T1521" s="66" t="e">
        <f>Q1521*dagenperjaar1</f>
        <v>#DIV/0!</v>
      </c>
      <c r="U1521" s="70" t="e">
        <f>T1521*ROUND(P1521,2)</f>
        <v>#DIV/0!</v>
      </c>
    </row>
    <row r="1522" spans="1:21" x14ac:dyDescent="0.2">
      <c r="A1522" s="63" t="s">
        <v>2001</v>
      </c>
      <c r="B1522" s="64" t="s">
        <v>324</v>
      </c>
      <c r="C1522" s="64" t="s">
        <v>345</v>
      </c>
      <c r="D1522" s="64" t="s">
        <v>377</v>
      </c>
      <c r="E1522" s="64" t="s">
        <v>324</v>
      </c>
      <c r="F1522" s="65" t="s">
        <v>641</v>
      </c>
      <c r="G1522" s="64" t="s">
        <v>1421</v>
      </c>
      <c r="H1522" s="64" t="s">
        <v>255</v>
      </c>
      <c r="I1522" s="64" t="s">
        <v>10</v>
      </c>
      <c r="J1522" s="64" t="s">
        <v>201</v>
      </c>
      <c r="K1522" s="66">
        <v>12.9</v>
      </c>
      <c r="L1522" s="66">
        <f>K1522*VLOOKUP(I1522,dagsoorttabel1,2,FALSE)</f>
        <v>12.9</v>
      </c>
      <c r="M1522" s="67">
        <f>prodnorm59</f>
        <v>0</v>
      </c>
      <c r="N1522" s="68">
        <f>dagwerk59</f>
        <v>0</v>
      </c>
      <c r="O1522" s="64" t="s">
        <v>38</v>
      </c>
      <c r="P1522" s="69">
        <f>uurtarief59</f>
        <v>0</v>
      </c>
      <c r="Q1522" s="66" t="e">
        <f>IF(ISBLANK(M1522),0,L1522/ROUND(M1522,4))</f>
        <v>#DIV/0!</v>
      </c>
      <c r="R1522" s="66" t="e">
        <f>IF(ISBLANK(M1522),0,Q1522*ROUND(N1522,2))</f>
        <v>#DIV/0!</v>
      </c>
      <c r="S1522" s="69" t="e">
        <f>ROUND(P1522,2)*Q1522</f>
        <v>#DIV/0!</v>
      </c>
      <c r="T1522" s="66" t="e">
        <f>Q1522*dagenperjaar1</f>
        <v>#DIV/0!</v>
      </c>
      <c r="U1522" s="70" t="e">
        <f>T1522*ROUND(P1522,2)</f>
        <v>#DIV/0!</v>
      </c>
    </row>
    <row r="1523" spans="1:21" x14ac:dyDescent="0.2">
      <c r="A1523" s="63" t="s">
        <v>2001</v>
      </c>
      <c r="B1523" s="64" t="s">
        <v>324</v>
      </c>
      <c r="C1523" s="64" t="s">
        <v>345</v>
      </c>
      <c r="D1523" s="64" t="s">
        <v>382</v>
      </c>
      <c r="E1523" s="64" t="s">
        <v>324</v>
      </c>
      <c r="F1523" s="65" t="s">
        <v>1393</v>
      </c>
      <c r="G1523" s="64" t="s">
        <v>328</v>
      </c>
      <c r="H1523" s="64" t="s">
        <v>229</v>
      </c>
      <c r="I1523" s="64" t="s">
        <v>10</v>
      </c>
      <c r="J1523" s="64" t="s">
        <v>201</v>
      </c>
      <c r="K1523" s="66">
        <v>65.09</v>
      </c>
      <c r="L1523" s="66">
        <f>K1523*VLOOKUP(I1523,dagsoorttabel1,2,FALSE)</f>
        <v>65.09</v>
      </c>
      <c r="M1523" s="67">
        <f>prodnorm43</f>
        <v>0</v>
      </c>
      <c r="N1523" s="68">
        <f>dagwerk43</f>
        <v>0</v>
      </c>
      <c r="O1523" s="64" t="s">
        <v>38</v>
      </c>
      <c r="P1523" s="69">
        <f>uurtarief43</f>
        <v>0</v>
      </c>
      <c r="Q1523" s="66" t="e">
        <f>IF(ISBLANK(M1523),0,L1523/ROUND(M1523,4))</f>
        <v>#DIV/0!</v>
      </c>
      <c r="R1523" s="66" t="e">
        <f>IF(ISBLANK(M1523),0,Q1523*ROUND(N1523,2))</f>
        <v>#DIV/0!</v>
      </c>
      <c r="S1523" s="69" t="e">
        <f>ROUND(P1523,2)*Q1523</f>
        <v>#DIV/0!</v>
      </c>
      <c r="T1523" s="66" t="e">
        <f>Q1523*dagenperjaar1</f>
        <v>#DIV/0!</v>
      </c>
      <c r="U1523" s="70" t="e">
        <f>T1523*ROUND(P1523,2)</f>
        <v>#DIV/0!</v>
      </c>
    </row>
    <row r="1524" spans="1:21" x14ac:dyDescent="0.2">
      <c r="A1524" s="63" t="s">
        <v>2001</v>
      </c>
      <c r="B1524" s="64" t="s">
        <v>324</v>
      </c>
      <c r="C1524" s="64" t="s">
        <v>345</v>
      </c>
      <c r="D1524" s="64" t="s">
        <v>1317</v>
      </c>
      <c r="E1524" s="64" t="s">
        <v>324</v>
      </c>
      <c r="F1524" s="65" t="s">
        <v>1393</v>
      </c>
      <c r="G1524" s="64" t="s">
        <v>328</v>
      </c>
      <c r="H1524" s="64" t="s">
        <v>229</v>
      </c>
      <c r="I1524" s="64" t="s">
        <v>10</v>
      </c>
      <c r="J1524" s="64" t="s">
        <v>201</v>
      </c>
      <c r="K1524" s="66">
        <v>62.46</v>
      </c>
      <c r="L1524" s="66">
        <f>K1524*VLOOKUP(I1524,dagsoorttabel1,2,FALSE)</f>
        <v>62.46</v>
      </c>
      <c r="M1524" s="67">
        <f>prodnorm43</f>
        <v>0</v>
      </c>
      <c r="N1524" s="68">
        <f>dagwerk43</f>
        <v>0</v>
      </c>
      <c r="O1524" s="64" t="s">
        <v>38</v>
      </c>
      <c r="P1524" s="69">
        <f>uurtarief43</f>
        <v>0</v>
      </c>
      <c r="Q1524" s="66" t="e">
        <f>IF(ISBLANK(M1524),0,L1524/ROUND(M1524,4))</f>
        <v>#DIV/0!</v>
      </c>
      <c r="R1524" s="66" t="e">
        <f>IF(ISBLANK(M1524),0,Q1524*ROUND(N1524,2))</f>
        <v>#DIV/0!</v>
      </c>
      <c r="S1524" s="69" t="e">
        <f>ROUND(P1524,2)*Q1524</f>
        <v>#DIV/0!</v>
      </c>
      <c r="T1524" s="66" t="e">
        <f>Q1524*dagenperjaar1</f>
        <v>#DIV/0!</v>
      </c>
      <c r="U1524" s="70" t="e">
        <f>T1524*ROUND(P1524,2)</f>
        <v>#DIV/0!</v>
      </c>
    </row>
    <row r="1525" spans="1:21" x14ac:dyDescent="0.2">
      <c r="A1525" s="63" t="s">
        <v>2001</v>
      </c>
      <c r="B1525" s="64" t="s">
        <v>324</v>
      </c>
      <c r="C1525" s="64" t="s">
        <v>345</v>
      </c>
      <c r="D1525" s="64" t="s">
        <v>868</v>
      </c>
      <c r="E1525" s="64" t="s">
        <v>324</v>
      </c>
      <c r="F1525" s="65" t="s">
        <v>1393</v>
      </c>
      <c r="G1525" s="64" t="s">
        <v>328</v>
      </c>
      <c r="H1525" s="64" t="s">
        <v>229</v>
      </c>
      <c r="I1525" s="64" t="s">
        <v>10</v>
      </c>
      <c r="J1525" s="64" t="s">
        <v>201</v>
      </c>
      <c r="K1525" s="66">
        <v>56.47</v>
      </c>
      <c r="L1525" s="66">
        <f>K1525*VLOOKUP(I1525,dagsoorttabel1,2,FALSE)</f>
        <v>56.47</v>
      </c>
      <c r="M1525" s="67">
        <f>prodnorm43</f>
        <v>0</v>
      </c>
      <c r="N1525" s="68">
        <f>dagwerk43</f>
        <v>0</v>
      </c>
      <c r="O1525" s="64" t="s">
        <v>38</v>
      </c>
      <c r="P1525" s="69">
        <f>uurtarief43</f>
        <v>0</v>
      </c>
      <c r="Q1525" s="66" t="e">
        <f>IF(ISBLANK(M1525),0,L1525/ROUND(M1525,4))</f>
        <v>#DIV/0!</v>
      </c>
      <c r="R1525" s="66" t="e">
        <f>IF(ISBLANK(M1525),0,Q1525*ROUND(N1525,2))</f>
        <v>#DIV/0!</v>
      </c>
      <c r="S1525" s="69" t="e">
        <f>ROUND(P1525,2)*Q1525</f>
        <v>#DIV/0!</v>
      </c>
      <c r="T1525" s="66" t="e">
        <f>Q1525*dagenperjaar1</f>
        <v>#DIV/0!</v>
      </c>
      <c r="U1525" s="70" t="e">
        <f>T1525*ROUND(P1525,2)</f>
        <v>#DIV/0!</v>
      </c>
    </row>
    <row r="1526" spans="1:21" x14ac:dyDescent="0.2">
      <c r="A1526" s="63" t="s">
        <v>2001</v>
      </c>
      <c r="B1526" s="64" t="s">
        <v>324</v>
      </c>
      <c r="C1526" s="64" t="s">
        <v>345</v>
      </c>
      <c r="D1526" s="64" t="s">
        <v>387</v>
      </c>
      <c r="E1526" s="64" t="s">
        <v>324</v>
      </c>
      <c r="F1526" s="65" t="s">
        <v>1393</v>
      </c>
      <c r="G1526" s="64" t="s">
        <v>328</v>
      </c>
      <c r="H1526" s="64" t="s">
        <v>229</v>
      </c>
      <c r="I1526" s="64" t="s">
        <v>10</v>
      </c>
      <c r="J1526" s="64" t="s">
        <v>201</v>
      </c>
      <c r="K1526" s="66">
        <v>58.849999999999994</v>
      </c>
      <c r="L1526" s="66">
        <f>K1526*VLOOKUP(I1526,dagsoorttabel1,2,FALSE)</f>
        <v>58.849999999999994</v>
      </c>
      <c r="M1526" s="67">
        <f>prodnorm43</f>
        <v>0</v>
      </c>
      <c r="N1526" s="68">
        <f>dagwerk43</f>
        <v>0</v>
      </c>
      <c r="O1526" s="64" t="s">
        <v>38</v>
      </c>
      <c r="P1526" s="69">
        <f>uurtarief43</f>
        <v>0</v>
      </c>
      <c r="Q1526" s="66" t="e">
        <f>IF(ISBLANK(M1526),0,L1526/ROUND(M1526,4))</f>
        <v>#DIV/0!</v>
      </c>
      <c r="R1526" s="66" t="e">
        <f>IF(ISBLANK(M1526),0,Q1526*ROUND(N1526,2))</f>
        <v>#DIV/0!</v>
      </c>
      <c r="S1526" s="69" t="e">
        <f>ROUND(P1526,2)*Q1526</f>
        <v>#DIV/0!</v>
      </c>
      <c r="T1526" s="66" t="e">
        <f>Q1526*dagenperjaar1</f>
        <v>#DIV/0!</v>
      </c>
      <c r="U1526" s="70" t="e">
        <f>T1526*ROUND(P1526,2)</f>
        <v>#DIV/0!</v>
      </c>
    </row>
    <row r="1527" spans="1:21" x14ac:dyDescent="0.2">
      <c r="A1527" s="63" t="s">
        <v>2001</v>
      </c>
      <c r="B1527" s="64" t="s">
        <v>324</v>
      </c>
      <c r="C1527" s="64" t="s">
        <v>345</v>
      </c>
      <c r="D1527" s="64" t="s">
        <v>869</v>
      </c>
      <c r="E1527" s="64" t="s">
        <v>324</v>
      </c>
      <c r="F1527" s="65" t="s">
        <v>381</v>
      </c>
      <c r="G1527" s="64" t="s">
        <v>328</v>
      </c>
      <c r="H1527" s="64" t="s">
        <v>205</v>
      </c>
      <c r="I1527" s="64" t="s">
        <v>10</v>
      </c>
      <c r="J1527" s="64" t="s">
        <v>201</v>
      </c>
      <c r="K1527" s="66">
        <v>34.879999999999995</v>
      </c>
      <c r="L1527" s="66">
        <f>K1527*VLOOKUP(I1527,dagsoorttabel1,2,FALSE)</f>
        <v>34.879999999999995</v>
      </c>
      <c r="M1527" s="67">
        <f>prodnorm26</f>
        <v>0</v>
      </c>
      <c r="N1527" s="68">
        <f>dagwerk26</f>
        <v>0</v>
      </c>
      <c r="O1527" s="64" t="s">
        <v>38</v>
      </c>
      <c r="P1527" s="69">
        <f>uurtarief26</f>
        <v>0</v>
      </c>
      <c r="Q1527" s="66" t="e">
        <f>IF(ISBLANK(M1527),0,L1527/ROUND(M1527,4))</f>
        <v>#DIV/0!</v>
      </c>
      <c r="R1527" s="66" t="e">
        <f>IF(ISBLANK(M1527),0,Q1527*ROUND(N1527,2))</f>
        <v>#DIV/0!</v>
      </c>
      <c r="S1527" s="69" t="e">
        <f>ROUND(P1527,2)*Q1527</f>
        <v>#DIV/0!</v>
      </c>
      <c r="T1527" s="66" t="e">
        <f>Q1527*dagenperjaar1</f>
        <v>#DIV/0!</v>
      </c>
      <c r="U1527" s="70" t="e">
        <f>T1527*ROUND(P1527,2)</f>
        <v>#DIV/0!</v>
      </c>
    </row>
    <row r="1528" spans="1:21" x14ac:dyDescent="0.2">
      <c r="A1528" s="63" t="s">
        <v>2001</v>
      </c>
      <c r="B1528" s="64" t="s">
        <v>324</v>
      </c>
      <c r="C1528" s="64" t="s">
        <v>345</v>
      </c>
      <c r="D1528" s="64" t="s">
        <v>400</v>
      </c>
      <c r="E1528" s="64" t="s">
        <v>324</v>
      </c>
      <c r="F1528" s="65" t="s">
        <v>381</v>
      </c>
      <c r="G1528" s="64" t="s">
        <v>328</v>
      </c>
      <c r="H1528" s="64" t="s">
        <v>205</v>
      </c>
      <c r="I1528" s="64" t="s">
        <v>10</v>
      </c>
      <c r="J1528" s="64" t="s">
        <v>201</v>
      </c>
      <c r="K1528" s="66">
        <v>17.88</v>
      </c>
      <c r="L1528" s="66">
        <f>K1528*VLOOKUP(I1528,dagsoorttabel1,2,FALSE)</f>
        <v>17.88</v>
      </c>
      <c r="M1528" s="67">
        <f>prodnorm26</f>
        <v>0</v>
      </c>
      <c r="N1528" s="68">
        <f>dagwerk26</f>
        <v>0</v>
      </c>
      <c r="O1528" s="64" t="s">
        <v>38</v>
      </c>
      <c r="P1528" s="69">
        <f>uurtarief26</f>
        <v>0</v>
      </c>
      <c r="Q1528" s="66" t="e">
        <f>IF(ISBLANK(M1528),0,L1528/ROUND(M1528,4))</f>
        <v>#DIV/0!</v>
      </c>
      <c r="R1528" s="66" t="e">
        <f>IF(ISBLANK(M1528),0,Q1528*ROUND(N1528,2))</f>
        <v>#DIV/0!</v>
      </c>
      <c r="S1528" s="69" t="e">
        <f>ROUND(P1528,2)*Q1528</f>
        <v>#DIV/0!</v>
      </c>
      <c r="T1528" s="66" t="e">
        <f>Q1528*dagenperjaar1</f>
        <v>#DIV/0!</v>
      </c>
      <c r="U1528" s="70" t="e">
        <f>T1528*ROUND(P1528,2)</f>
        <v>#DIV/0!</v>
      </c>
    </row>
    <row r="1529" spans="1:21" x14ac:dyDescent="0.2">
      <c r="A1529" s="63" t="s">
        <v>2001</v>
      </c>
      <c r="B1529" s="64" t="s">
        <v>324</v>
      </c>
      <c r="C1529" s="64" t="s">
        <v>345</v>
      </c>
      <c r="D1529" s="64" t="s">
        <v>402</v>
      </c>
      <c r="E1529" s="64" t="s">
        <v>324</v>
      </c>
      <c r="F1529" s="65" t="s">
        <v>381</v>
      </c>
      <c r="G1529" s="64" t="s">
        <v>328</v>
      </c>
      <c r="H1529" s="64" t="s">
        <v>205</v>
      </c>
      <c r="I1529" s="64" t="s">
        <v>10</v>
      </c>
      <c r="J1529" s="64" t="s">
        <v>201</v>
      </c>
      <c r="K1529" s="66">
        <v>13.6</v>
      </c>
      <c r="L1529" s="66">
        <f>K1529*VLOOKUP(I1529,dagsoorttabel1,2,FALSE)</f>
        <v>13.6</v>
      </c>
      <c r="M1529" s="67">
        <f>prodnorm26</f>
        <v>0</v>
      </c>
      <c r="N1529" s="68">
        <f>dagwerk26</f>
        <v>0</v>
      </c>
      <c r="O1529" s="64" t="s">
        <v>38</v>
      </c>
      <c r="P1529" s="69">
        <f>uurtarief26</f>
        <v>0</v>
      </c>
      <c r="Q1529" s="66" t="e">
        <f>IF(ISBLANK(M1529),0,L1529/ROUND(M1529,4))</f>
        <v>#DIV/0!</v>
      </c>
      <c r="R1529" s="66" t="e">
        <f>IF(ISBLANK(M1529),0,Q1529*ROUND(N1529,2))</f>
        <v>#DIV/0!</v>
      </c>
      <c r="S1529" s="69" t="e">
        <f>ROUND(P1529,2)*Q1529</f>
        <v>#DIV/0!</v>
      </c>
      <c r="T1529" s="66" t="e">
        <f>Q1529*dagenperjaar1</f>
        <v>#DIV/0!</v>
      </c>
      <c r="U1529" s="70" t="e">
        <f>T1529*ROUND(P1529,2)</f>
        <v>#DIV/0!</v>
      </c>
    </row>
    <row r="1530" spans="1:21" x14ac:dyDescent="0.2">
      <c r="A1530" s="63" t="s">
        <v>2001</v>
      </c>
      <c r="B1530" s="64" t="s">
        <v>324</v>
      </c>
      <c r="C1530" s="64" t="s">
        <v>345</v>
      </c>
      <c r="D1530" s="64" t="s">
        <v>416</v>
      </c>
      <c r="E1530" s="64" t="s">
        <v>324</v>
      </c>
      <c r="F1530" s="65" t="s">
        <v>1393</v>
      </c>
      <c r="G1530" s="64" t="s">
        <v>328</v>
      </c>
      <c r="H1530" s="64" t="s">
        <v>229</v>
      </c>
      <c r="I1530" s="64" t="s">
        <v>10</v>
      </c>
      <c r="J1530" s="64" t="s">
        <v>201</v>
      </c>
      <c r="K1530" s="66">
        <v>59.33</v>
      </c>
      <c r="L1530" s="66">
        <f>K1530*VLOOKUP(I1530,dagsoorttabel1,2,FALSE)</f>
        <v>59.33</v>
      </c>
      <c r="M1530" s="67">
        <f>prodnorm43</f>
        <v>0</v>
      </c>
      <c r="N1530" s="68">
        <f>dagwerk43</f>
        <v>0</v>
      </c>
      <c r="O1530" s="64" t="s">
        <v>38</v>
      </c>
      <c r="P1530" s="69">
        <f>uurtarief43</f>
        <v>0</v>
      </c>
      <c r="Q1530" s="66" t="e">
        <f>IF(ISBLANK(M1530),0,L1530/ROUND(M1530,4))</f>
        <v>#DIV/0!</v>
      </c>
      <c r="R1530" s="66" t="e">
        <f>IF(ISBLANK(M1530),0,Q1530*ROUND(N1530,2))</f>
        <v>#DIV/0!</v>
      </c>
      <c r="S1530" s="69" t="e">
        <f>ROUND(P1530,2)*Q1530</f>
        <v>#DIV/0!</v>
      </c>
      <c r="T1530" s="66" t="e">
        <f>Q1530*dagenperjaar1</f>
        <v>#DIV/0!</v>
      </c>
      <c r="U1530" s="70" t="e">
        <f>T1530*ROUND(P1530,2)</f>
        <v>#DIV/0!</v>
      </c>
    </row>
    <row r="1531" spans="1:21" x14ac:dyDescent="0.2">
      <c r="A1531" s="63" t="s">
        <v>2001</v>
      </c>
      <c r="B1531" s="64" t="s">
        <v>324</v>
      </c>
      <c r="C1531" s="64" t="s">
        <v>345</v>
      </c>
      <c r="D1531" s="64" t="s">
        <v>1592</v>
      </c>
      <c r="E1531" s="64" t="s">
        <v>324</v>
      </c>
      <c r="F1531" s="65" t="s">
        <v>2002</v>
      </c>
      <c r="G1531" s="64" t="s">
        <v>624</v>
      </c>
      <c r="H1531" s="64" t="s">
        <v>205</v>
      </c>
      <c r="I1531" s="64" t="s">
        <v>10</v>
      </c>
      <c r="J1531" s="64" t="s">
        <v>201</v>
      </c>
      <c r="K1531" s="66">
        <v>8.43</v>
      </c>
      <c r="L1531" s="66">
        <f>K1531*VLOOKUP(I1531,dagsoorttabel1,2,FALSE)</f>
        <v>8.43</v>
      </c>
      <c r="M1531" s="67">
        <f>prodnorm26</f>
        <v>0</v>
      </c>
      <c r="N1531" s="68">
        <f>dagwerk26</f>
        <v>0</v>
      </c>
      <c r="O1531" s="64" t="s">
        <v>38</v>
      </c>
      <c r="P1531" s="69">
        <f>uurtarief26</f>
        <v>0</v>
      </c>
      <c r="Q1531" s="66" t="e">
        <f>IF(ISBLANK(M1531),0,L1531/ROUND(M1531,4))</f>
        <v>#DIV/0!</v>
      </c>
      <c r="R1531" s="66" t="e">
        <f>IF(ISBLANK(M1531),0,Q1531*ROUND(N1531,2))</f>
        <v>#DIV/0!</v>
      </c>
      <c r="S1531" s="69" t="e">
        <f>ROUND(P1531,2)*Q1531</f>
        <v>#DIV/0!</v>
      </c>
      <c r="T1531" s="66" t="e">
        <f>Q1531*dagenperjaar1</f>
        <v>#DIV/0!</v>
      </c>
      <c r="U1531" s="70" t="e">
        <f>T1531*ROUND(P1531,2)</f>
        <v>#DIV/0!</v>
      </c>
    </row>
    <row r="1532" spans="1:21" x14ac:dyDescent="0.2">
      <c r="A1532" s="63" t="s">
        <v>2001</v>
      </c>
      <c r="B1532" s="64" t="s">
        <v>324</v>
      </c>
      <c r="C1532" s="64" t="s">
        <v>323</v>
      </c>
      <c r="D1532" s="64" t="s">
        <v>426</v>
      </c>
      <c r="E1532" s="64" t="s">
        <v>324</v>
      </c>
      <c r="F1532" s="65" t="s">
        <v>638</v>
      </c>
      <c r="G1532" s="64" t="s">
        <v>2003</v>
      </c>
      <c r="H1532" s="64" t="s">
        <v>265</v>
      </c>
      <c r="I1532" s="64" t="s">
        <v>10</v>
      </c>
      <c r="J1532" s="64" t="s">
        <v>201</v>
      </c>
      <c r="K1532" s="66">
        <v>12.729999999999999</v>
      </c>
      <c r="L1532" s="66">
        <f>K1532*VLOOKUP(I1532,dagsoorttabel1,2,FALSE)</f>
        <v>12.729999999999999</v>
      </c>
      <c r="M1532" s="67">
        <f>prodnorm64</f>
        <v>0</v>
      </c>
      <c r="N1532" s="68">
        <f>dagwerk64</f>
        <v>0</v>
      </c>
      <c r="O1532" s="64" t="s">
        <v>38</v>
      </c>
      <c r="P1532" s="69">
        <f>uurtarief64</f>
        <v>0</v>
      </c>
      <c r="Q1532" s="66" t="e">
        <f>IF(ISBLANK(M1532),0,L1532/ROUND(M1532,4))</f>
        <v>#DIV/0!</v>
      </c>
      <c r="R1532" s="66" t="e">
        <f>IF(ISBLANK(M1532),0,Q1532*ROUND(N1532,2))</f>
        <v>#DIV/0!</v>
      </c>
      <c r="S1532" s="69" t="e">
        <f>ROUND(P1532,2)*Q1532</f>
        <v>#DIV/0!</v>
      </c>
      <c r="T1532" s="66" t="e">
        <f>Q1532*dagenperjaar1</f>
        <v>#DIV/0!</v>
      </c>
      <c r="U1532" s="70" t="e">
        <f>T1532*ROUND(P1532,2)</f>
        <v>#DIV/0!</v>
      </c>
    </row>
    <row r="1533" spans="1:21" x14ac:dyDescent="0.2">
      <c r="A1533" s="63" t="s">
        <v>2001</v>
      </c>
      <c r="B1533" s="64" t="s">
        <v>324</v>
      </c>
      <c r="C1533" s="64" t="s">
        <v>323</v>
      </c>
      <c r="D1533" s="64" t="s">
        <v>441</v>
      </c>
      <c r="E1533" s="64" t="s">
        <v>324</v>
      </c>
      <c r="F1533" s="65" t="s">
        <v>335</v>
      </c>
      <c r="G1533" s="64" t="s">
        <v>2003</v>
      </c>
      <c r="H1533" s="64" t="s">
        <v>269</v>
      </c>
      <c r="I1533" s="64" t="s">
        <v>10</v>
      </c>
      <c r="J1533" s="64" t="s">
        <v>201</v>
      </c>
      <c r="K1533" s="66">
        <v>39.64</v>
      </c>
      <c r="L1533" s="66">
        <f>K1533*VLOOKUP(I1533,dagsoorttabel1,2,FALSE)</f>
        <v>39.64</v>
      </c>
      <c r="M1533" s="67">
        <f>prodnorm67</f>
        <v>0</v>
      </c>
      <c r="N1533" s="68">
        <f>dagwerk67</f>
        <v>0</v>
      </c>
      <c r="O1533" s="64" t="s">
        <v>38</v>
      </c>
      <c r="P1533" s="69">
        <f>uurtarief67</f>
        <v>0</v>
      </c>
      <c r="Q1533" s="66" t="e">
        <f>IF(ISBLANK(M1533),0,L1533/ROUND(M1533,4))</f>
        <v>#DIV/0!</v>
      </c>
      <c r="R1533" s="66" t="e">
        <f>IF(ISBLANK(M1533),0,Q1533*ROUND(N1533,2))</f>
        <v>#DIV/0!</v>
      </c>
      <c r="S1533" s="69" t="e">
        <f>ROUND(P1533,2)*Q1533</f>
        <v>#DIV/0!</v>
      </c>
      <c r="T1533" s="66" t="e">
        <f>Q1533*dagenperjaar1</f>
        <v>#DIV/0!</v>
      </c>
      <c r="U1533" s="70" t="e">
        <f>T1533*ROUND(P1533,2)</f>
        <v>#DIV/0!</v>
      </c>
    </row>
    <row r="1534" spans="1:21" x14ac:dyDescent="0.2">
      <c r="A1534" s="63" t="s">
        <v>2001</v>
      </c>
      <c r="B1534" s="64" t="s">
        <v>324</v>
      </c>
      <c r="C1534" s="64" t="s">
        <v>323</v>
      </c>
      <c r="D1534" s="64" t="s">
        <v>1343</v>
      </c>
      <c r="E1534" s="64" t="s">
        <v>324</v>
      </c>
      <c r="F1534" s="65" t="s">
        <v>1841</v>
      </c>
      <c r="G1534" s="64" t="s">
        <v>328</v>
      </c>
      <c r="H1534" s="64" t="s">
        <v>229</v>
      </c>
      <c r="I1534" s="64" t="s">
        <v>10</v>
      </c>
      <c r="J1534" s="64" t="s">
        <v>201</v>
      </c>
      <c r="K1534" s="66">
        <v>167.8</v>
      </c>
      <c r="L1534" s="66">
        <f>K1534*VLOOKUP(I1534,dagsoorttabel1,2,FALSE)</f>
        <v>167.8</v>
      </c>
      <c r="M1534" s="67">
        <f>prodnorm43</f>
        <v>0</v>
      </c>
      <c r="N1534" s="68">
        <f>dagwerk43</f>
        <v>0</v>
      </c>
      <c r="O1534" s="64" t="s">
        <v>38</v>
      </c>
      <c r="P1534" s="69">
        <f>uurtarief43</f>
        <v>0</v>
      </c>
      <c r="Q1534" s="66" t="e">
        <f>IF(ISBLANK(M1534),0,L1534/ROUND(M1534,4))</f>
        <v>#DIV/0!</v>
      </c>
      <c r="R1534" s="66" t="e">
        <f>IF(ISBLANK(M1534),0,Q1534*ROUND(N1534,2))</f>
        <v>#DIV/0!</v>
      </c>
      <c r="S1534" s="69" t="e">
        <f>ROUND(P1534,2)*Q1534</f>
        <v>#DIV/0!</v>
      </c>
      <c r="T1534" s="66" t="e">
        <f>Q1534*dagenperjaar1</f>
        <v>#DIV/0!</v>
      </c>
      <c r="U1534" s="70" t="e">
        <f>T1534*ROUND(P1534,2)</f>
        <v>#DIV/0!</v>
      </c>
    </row>
    <row r="1535" spans="1:21" x14ac:dyDescent="0.2">
      <c r="A1535" s="63" t="s">
        <v>2001</v>
      </c>
      <c r="B1535" s="64" t="s">
        <v>324</v>
      </c>
      <c r="C1535" s="64" t="s">
        <v>323</v>
      </c>
      <c r="D1535" s="64" t="s">
        <v>442</v>
      </c>
      <c r="E1535" s="64" t="s">
        <v>324</v>
      </c>
      <c r="F1535" s="65" t="s">
        <v>1393</v>
      </c>
      <c r="G1535" s="64" t="s">
        <v>328</v>
      </c>
      <c r="H1535" s="64" t="s">
        <v>229</v>
      </c>
      <c r="I1535" s="64" t="s">
        <v>10</v>
      </c>
      <c r="J1535" s="64" t="s">
        <v>201</v>
      </c>
      <c r="K1535" s="66">
        <v>67.11999999999999</v>
      </c>
      <c r="L1535" s="66">
        <f>K1535*VLOOKUP(I1535,dagsoorttabel1,2,FALSE)</f>
        <v>67.11999999999999</v>
      </c>
      <c r="M1535" s="67">
        <f>prodnorm43</f>
        <v>0</v>
      </c>
      <c r="N1535" s="68">
        <f>dagwerk43</f>
        <v>0</v>
      </c>
      <c r="O1535" s="64" t="s">
        <v>38</v>
      </c>
      <c r="P1535" s="69">
        <f>uurtarief43</f>
        <v>0</v>
      </c>
      <c r="Q1535" s="66" t="e">
        <f>IF(ISBLANK(M1535),0,L1535/ROUND(M1535,4))</f>
        <v>#DIV/0!</v>
      </c>
      <c r="R1535" s="66" t="e">
        <f>IF(ISBLANK(M1535),0,Q1535*ROUND(N1535,2))</f>
        <v>#DIV/0!</v>
      </c>
      <c r="S1535" s="69" t="e">
        <f>ROUND(P1535,2)*Q1535</f>
        <v>#DIV/0!</v>
      </c>
      <c r="T1535" s="66" t="e">
        <f>Q1535*dagenperjaar1</f>
        <v>#DIV/0!</v>
      </c>
      <c r="U1535" s="70" t="e">
        <f>T1535*ROUND(P1535,2)</f>
        <v>#DIV/0!</v>
      </c>
    </row>
    <row r="1536" spans="1:21" x14ac:dyDescent="0.2">
      <c r="A1536" s="63" t="s">
        <v>2001</v>
      </c>
      <c r="B1536" s="64" t="s">
        <v>324</v>
      </c>
      <c r="C1536" s="64" t="s">
        <v>323</v>
      </c>
      <c r="D1536" s="64" t="s">
        <v>918</v>
      </c>
      <c r="E1536" s="64" t="s">
        <v>324</v>
      </c>
      <c r="F1536" s="65" t="s">
        <v>1393</v>
      </c>
      <c r="G1536" s="64" t="s">
        <v>328</v>
      </c>
      <c r="H1536" s="64" t="s">
        <v>229</v>
      </c>
      <c r="I1536" s="64" t="s">
        <v>10</v>
      </c>
      <c r="J1536" s="64" t="s">
        <v>201</v>
      </c>
      <c r="K1536" s="66">
        <v>54.690000000000005</v>
      </c>
      <c r="L1536" s="66">
        <f>K1536*VLOOKUP(I1536,dagsoorttabel1,2,FALSE)</f>
        <v>54.690000000000005</v>
      </c>
      <c r="M1536" s="67">
        <f>prodnorm43</f>
        <v>0</v>
      </c>
      <c r="N1536" s="68">
        <f>dagwerk43</f>
        <v>0</v>
      </c>
      <c r="O1536" s="64" t="s">
        <v>38</v>
      </c>
      <c r="P1536" s="69">
        <f>uurtarief43</f>
        <v>0</v>
      </c>
      <c r="Q1536" s="66" t="e">
        <f>IF(ISBLANK(M1536),0,L1536/ROUND(M1536,4))</f>
        <v>#DIV/0!</v>
      </c>
      <c r="R1536" s="66" t="e">
        <f>IF(ISBLANK(M1536),0,Q1536*ROUND(N1536,2))</f>
        <v>#DIV/0!</v>
      </c>
      <c r="S1536" s="69" t="e">
        <f>ROUND(P1536,2)*Q1536</f>
        <v>#DIV/0!</v>
      </c>
      <c r="T1536" s="66" t="e">
        <f>Q1536*dagenperjaar1</f>
        <v>#DIV/0!</v>
      </c>
      <c r="U1536" s="70" t="e">
        <f>T1536*ROUND(P1536,2)</f>
        <v>#DIV/0!</v>
      </c>
    </row>
    <row r="1537" spans="1:21" x14ac:dyDescent="0.2">
      <c r="A1537" s="63" t="s">
        <v>2001</v>
      </c>
      <c r="B1537" s="64" t="s">
        <v>324</v>
      </c>
      <c r="C1537" s="64" t="s">
        <v>323</v>
      </c>
      <c r="D1537" s="64" t="s">
        <v>444</v>
      </c>
      <c r="E1537" s="64" t="s">
        <v>324</v>
      </c>
      <c r="F1537" s="65" t="s">
        <v>381</v>
      </c>
      <c r="G1537" s="64" t="s">
        <v>328</v>
      </c>
      <c r="H1537" s="64" t="s">
        <v>205</v>
      </c>
      <c r="I1537" s="64" t="s">
        <v>10</v>
      </c>
      <c r="J1537" s="64" t="s">
        <v>201</v>
      </c>
      <c r="K1537" s="66">
        <v>21.16</v>
      </c>
      <c r="L1537" s="66">
        <f>K1537*VLOOKUP(I1537,dagsoorttabel1,2,FALSE)</f>
        <v>21.16</v>
      </c>
      <c r="M1537" s="67">
        <f>prodnorm26</f>
        <v>0</v>
      </c>
      <c r="N1537" s="68">
        <f>dagwerk26</f>
        <v>0</v>
      </c>
      <c r="O1537" s="64" t="s">
        <v>38</v>
      </c>
      <c r="P1537" s="69">
        <f>uurtarief26</f>
        <v>0</v>
      </c>
      <c r="Q1537" s="66" t="e">
        <f>IF(ISBLANK(M1537),0,L1537/ROUND(M1537,4))</f>
        <v>#DIV/0!</v>
      </c>
      <c r="R1537" s="66" t="e">
        <f>IF(ISBLANK(M1537),0,Q1537*ROUND(N1537,2))</f>
        <v>#DIV/0!</v>
      </c>
      <c r="S1537" s="69" t="e">
        <f>ROUND(P1537,2)*Q1537</f>
        <v>#DIV/0!</v>
      </c>
      <c r="T1537" s="66" t="e">
        <f>Q1537*dagenperjaar1</f>
        <v>#DIV/0!</v>
      </c>
      <c r="U1537" s="70" t="e">
        <f>T1537*ROUND(P1537,2)</f>
        <v>#DIV/0!</v>
      </c>
    </row>
    <row r="1538" spans="1:21" x14ac:dyDescent="0.2">
      <c r="A1538" s="63" t="s">
        <v>2001</v>
      </c>
      <c r="B1538" s="64" t="s">
        <v>324</v>
      </c>
      <c r="C1538" s="64" t="s">
        <v>323</v>
      </c>
      <c r="D1538" s="64" t="s">
        <v>446</v>
      </c>
      <c r="E1538" s="64" t="s">
        <v>324</v>
      </c>
      <c r="F1538" s="65" t="s">
        <v>595</v>
      </c>
      <c r="G1538" s="64" t="s">
        <v>328</v>
      </c>
      <c r="H1538" s="64" t="s">
        <v>205</v>
      </c>
      <c r="I1538" s="64" t="s">
        <v>10</v>
      </c>
      <c r="J1538" s="64" t="s">
        <v>201</v>
      </c>
      <c r="K1538" s="66">
        <v>8.2099999999999991</v>
      </c>
      <c r="L1538" s="66">
        <f>K1538*VLOOKUP(I1538,dagsoorttabel1,2,FALSE)</f>
        <v>8.2099999999999991</v>
      </c>
      <c r="M1538" s="67">
        <f>prodnorm26</f>
        <v>0</v>
      </c>
      <c r="N1538" s="68">
        <f>dagwerk26</f>
        <v>0</v>
      </c>
      <c r="O1538" s="64" t="s">
        <v>38</v>
      </c>
      <c r="P1538" s="69">
        <f>uurtarief26</f>
        <v>0</v>
      </c>
      <c r="Q1538" s="66" t="e">
        <f>IF(ISBLANK(M1538),0,L1538/ROUND(M1538,4))</f>
        <v>#DIV/0!</v>
      </c>
      <c r="R1538" s="66" t="e">
        <f>IF(ISBLANK(M1538),0,Q1538*ROUND(N1538,2))</f>
        <v>#DIV/0!</v>
      </c>
      <c r="S1538" s="69" t="e">
        <f>ROUND(P1538,2)*Q1538</f>
        <v>#DIV/0!</v>
      </c>
      <c r="T1538" s="66" t="e">
        <f>Q1538*dagenperjaar1</f>
        <v>#DIV/0!</v>
      </c>
      <c r="U1538" s="70" t="e">
        <f>T1538*ROUND(P1538,2)</f>
        <v>#DIV/0!</v>
      </c>
    </row>
    <row r="1539" spans="1:21" x14ac:dyDescent="0.2">
      <c r="A1539" s="63" t="s">
        <v>2001</v>
      </c>
      <c r="B1539" s="64" t="s">
        <v>324</v>
      </c>
      <c r="C1539" s="64" t="s">
        <v>323</v>
      </c>
      <c r="D1539" s="64" t="s">
        <v>921</v>
      </c>
      <c r="E1539" s="64" t="s">
        <v>324</v>
      </c>
      <c r="F1539" s="65" t="s">
        <v>1393</v>
      </c>
      <c r="G1539" s="64" t="s">
        <v>328</v>
      </c>
      <c r="H1539" s="64" t="s">
        <v>229</v>
      </c>
      <c r="I1539" s="64" t="s">
        <v>10</v>
      </c>
      <c r="J1539" s="64" t="s">
        <v>201</v>
      </c>
      <c r="K1539" s="66">
        <v>62.18</v>
      </c>
      <c r="L1539" s="66">
        <f>K1539*VLOOKUP(I1539,dagsoorttabel1,2,FALSE)</f>
        <v>62.18</v>
      </c>
      <c r="M1539" s="67">
        <f>prodnorm43</f>
        <v>0</v>
      </c>
      <c r="N1539" s="68">
        <f>dagwerk43</f>
        <v>0</v>
      </c>
      <c r="O1539" s="64" t="s">
        <v>38</v>
      </c>
      <c r="P1539" s="69">
        <f>uurtarief43</f>
        <v>0</v>
      </c>
      <c r="Q1539" s="66" t="e">
        <f>IF(ISBLANK(M1539),0,L1539/ROUND(M1539,4))</f>
        <v>#DIV/0!</v>
      </c>
      <c r="R1539" s="66" t="e">
        <f>IF(ISBLANK(M1539),0,Q1539*ROUND(N1539,2))</f>
        <v>#DIV/0!</v>
      </c>
      <c r="S1539" s="69" t="e">
        <f>ROUND(P1539,2)*Q1539</f>
        <v>#DIV/0!</v>
      </c>
      <c r="T1539" s="66" t="e">
        <f>Q1539*dagenperjaar1</f>
        <v>#DIV/0!</v>
      </c>
      <c r="U1539" s="70" t="e">
        <f>T1539*ROUND(P1539,2)</f>
        <v>#DIV/0!</v>
      </c>
    </row>
    <row r="1540" spans="1:21" x14ac:dyDescent="0.2">
      <c r="A1540" s="63" t="s">
        <v>2001</v>
      </c>
      <c r="B1540" s="64" t="s">
        <v>324</v>
      </c>
      <c r="C1540" s="64" t="s">
        <v>323</v>
      </c>
      <c r="D1540" s="64" t="s">
        <v>448</v>
      </c>
      <c r="E1540" s="64" t="s">
        <v>324</v>
      </c>
      <c r="F1540" s="65" t="s">
        <v>2004</v>
      </c>
      <c r="G1540" s="64" t="s">
        <v>328</v>
      </c>
      <c r="H1540" s="64" t="s">
        <v>205</v>
      </c>
      <c r="I1540" s="64" t="s">
        <v>10</v>
      </c>
      <c r="J1540" s="64" t="s">
        <v>201</v>
      </c>
      <c r="K1540" s="66">
        <v>5.25</v>
      </c>
      <c r="L1540" s="66">
        <f>K1540*VLOOKUP(I1540,dagsoorttabel1,2,FALSE)</f>
        <v>5.25</v>
      </c>
      <c r="M1540" s="67">
        <f>prodnorm26</f>
        <v>0</v>
      </c>
      <c r="N1540" s="68">
        <f>dagwerk26</f>
        <v>0</v>
      </c>
      <c r="O1540" s="64" t="s">
        <v>38</v>
      </c>
      <c r="P1540" s="69">
        <f>uurtarief26</f>
        <v>0</v>
      </c>
      <c r="Q1540" s="66" t="e">
        <f>IF(ISBLANK(M1540),0,L1540/ROUND(M1540,4))</f>
        <v>#DIV/0!</v>
      </c>
      <c r="R1540" s="66" t="e">
        <f>IF(ISBLANK(M1540),0,Q1540*ROUND(N1540,2))</f>
        <v>#DIV/0!</v>
      </c>
      <c r="S1540" s="69" t="e">
        <f>ROUND(P1540,2)*Q1540</f>
        <v>#DIV/0!</v>
      </c>
      <c r="T1540" s="66" t="e">
        <f>Q1540*dagenperjaar1</f>
        <v>#DIV/0!</v>
      </c>
      <c r="U1540" s="70" t="e">
        <f>T1540*ROUND(P1540,2)</f>
        <v>#DIV/0!</v>
      </c>
    </row>
    <row r="1541" spans="1:21" x14ac:dyDescent="0.2">
      <c r="A1541" s="63" t="s">
        <v>2001</v>
      </c>
      <c r="B1541" s="64" t="s">
        <v>324</v>
      </c>
      <c r="C1541" s="64" t="s">
        <v>323</v>
      </c>
      <c r="D1541" s="64" t="s">
        <v>451</v>
      </c>
      <c r="E1541" s="64" t="s">
        <v>324</v>
      </c>
      <c r="F1541" s="65" t="s">
        <v>1393</v>
      </c>
      <c r="G1541" s="64" t="s">
        <v>328</v>
      </c>
      <c r="H1541" s="64" t="s">
        <v>229</v>
      </c>
      <c r="I1541" s="64" t="s">
        <v>10</v>
      </c>
      <c r="J1541" s="64" t="s">
        <v>201</v>
      </c>
      <c r="K1541" s="66">
        <v>65.11999999999999</v>
      </c>
      <c r="L1541" s="66">
        <f>K1541*VLOOKUP(I1541,dagsoorttabel1,2,FALSE)</f>
        <v>65.11999999999999</v>
      </c>
      <c r="M1541" s="67">
        <f>prodnorm43</f>
        <v>0</v>
      </c>
      <c r="N1541" s="68">
        <f>dagwerk43</f>
        <v>0</v>
      </c>
      <c r="O1541" s="64" t="s">
        <v>38</v>
      </c>
      <c r="P1541" s="69">
        <f>uurtarief43</f>
        <v>0</v>
      </c>
      <c r="Q1541" s="66" t="e">
        <f>IF(ISBLANK(M1541),0,L1541/ROUND(M1541,4))</f>
        <v>#DIV/0!</v>
      </c>
      <c r="R1541" s="66" t="e">
        <f>IF(ISBLANK(M1541),0,Q1541*ROUND(N1541,2))</f>
        <v>#DIV/0!</v>
      </c>
      <c r="S1541" s="69" t="e">
        <f>ROUND(P1541,2)*Q1541</f>
        <v>#DIV/0!</v>
      </c>
      <c r="T1541" s="66" t="e">
        <f>Q1541*dagenperjaar1</f>
        <v>#DIV/0!</v>
      </c>
      <c r="U1541" s="70" t="e">
        <f>T1541*ROUND(P1541,2)</f>
        <v>#DIV/0!</v>
      </c>
    </row>
    <row r="1542" spans="1:21" x14ac:dyDescent="0.2">
      <c r="A1542" s="63" t="s">
        <v>2001</v>
      </c>
      <c r="B1542" s="64" t="s">
        <v>324</v>
      </c>
      <c r="C1542" s="64" t="s">
        <v>323</v>
      </c>
      <c r="D1542" s="64" t="s">
        <v>453</v>
      </c>
      <c r="E1542" s="64" t="s">
        <v>324</v>
      </c>
      <c r="F1542" s="65" t="s">
        <v>641</v>
      </c>
      <c r="G1542" s="64" t="s">
        <v>365</v>
      </c>
      <c r="H1542" s="64" t="s">
        <v>255</v>
      </c>
      <c r="I1542" s="64" t="s">
        <v>10</v>
      </c>
      <c r="J1542" s="64" t="s">
        <v>201</v>
      </c>
      <c r="K1542" s="66">
        <v>15.69</v>
      </c>
      <c r="L1542" s="66">
        <f>K1542*VLOOKUP(I1542,dagsoorttabel1,2,FALSE)</f>
        <v>15.69</v>
      </c>
      <c r="M1542" s="67">
        <f>prodnorm59</f>
        <v>0</v>
      </c>
      <c r="N1542" s="68">
        <f>dagwerk59</f>
        <v>0</v>
      </c>
      <c r="O1542" s="64" t="s">
        <v>38</v>
      </c>
      <c r="P1542" s="69">
        <f>uurtarief59</f>
        <v>0</v>
      </c>
      <c r="Q1542" s="66" t="e">
        <f>IF(ISBLANK(M1542),0,L1542/ROUND(M1542,4))</f>
        <v>#DIV/0!</v>
      </c>
      <c r="R1542" s="66" t="e">
        <f>IF(ISBLANK(M1542),0,Q1542*ROUND(N1542,2))</f>
        <v>#DIV/0!</v>
      </c>
      <c r="S1542" s="69" t="e">
        <f>ROUND(P1542,2)*Q1542</f>
        <v>#DIV/0!</v>
      </c>
      <c r="T1542" s="66" t="e">
        <f>Q1542*dagenperjaar1</f>
        <v>#DIV/0!</v>
      </c>
      <c r="U1542" s="70" t="e">
        <f>T1542*ROUND(P1542,2)</f>
        <v>#DIV/0!</v>
      </c>
    </row>
    <row r="1543" spans="1:21" x14ac:dyDescent="0.2">
      <c r="A1543" s="63" t="s">
        <v>2001</v>
      </c>
      <c r="B1543" s="64" t="s">
        <v>324</v>
      </c>
      <c r="C1543" s="64" t="s">
        <v>323</v>
      </c>
      <c r="D1543" s="64" t="s">
        <v>455</v>
      </c>
      <c r="E1543" s="64" t="s">
        <v>324</v>
      </c>
      <c r="F1543" s="65" t="s">
        <v>641</v>
      </c>
      <c r="G1543" s="64" t="s">
        <v>365</v>
      </c>
      <c r="H1543" s="64" t="s">
        <v>255</v>
      </c>
      <c r="I1543" s="64" t="s">
        <v>10</v>
      </c>
      <c r="J1543" s="64" t="s">
        <v>201</v>
      </c>
      <c r="K1543" s="66">
        <v>12.88</v>
      </c>
      <c r="L1543" s="66">
        <f>K1543*VLOOKUP(I1543,dagsoorttabel1,2,FALSE)</f>
        <v>12.88</v>
      </c>
      <c r="M1543" s="67">
        <f>prodnorm59</f>
        <v>0</v>
      </c>
      <c r="N1543" s="68">
        <f>dagwerk59</f>
        <v>0</v>
      </c>
      <c r="O1543" s="64" t="s">
        <v>38</v>
      </c>
      <c r="P1543" s="69">
        <f>uurtarief59</f>
        <v>0</v>
      </c>
      <c r="Q1543" s="66" t="e">
        <f>IF(ISBLANK(M1543),0,L1543/ROUND(M1543,4))</f>
        <v>#DIV/0!</v>
      </c>
      <c r="R1543" s="66" t="e">
        <f>IF(ISBLANK(M1543),0,Q1543*ROUND(N1543,2))</f>
        <v>#DIV/0!</v>
      </c>
      <c r="S1543" s="69" t="e">
        <f>ROUND(P1543,2)*Q1543</f>
        <v>#DIV/0!</v>
      </c>
      <c r="T1543" s="66" t="e">
        <f>Q1543*dagenperjaar1</f>
        <v>#DIV/0!</v>
      </c>
      <c r="U1543" s="70" t="e">
        <f>T1543*ROUND(P1543,2)</f>
        <v>#DIV/0!</v>
      </c>
    </row>
    <row r="1544" spans="1:21" x14ac:dyDescent="0.2">
      <c r="A1544" s="63" t="s">
        <v>2001</v>
      </c>
      <c r="B1544" s="64" t="s">
        <v>324</v>
      </c>
      <c r="C1544" s="64" t="s">
        <v>323</v>
      </c>
      <c r="D1544" s="64" t="s">
        <v>459</v>
      </c>
      <c r="E1544" s="64" t="s">
        <v>324</v>
      </c>
      <c r="F1544" s="65" t="s">
        <v>364</v>
      </c>
      <c r="G1544" s="64" t="s">
        <v>365</v>
      </c>
      <c r="H1544" s="64" t="s">
        <v>255</v>
      </c>
      <c r="I1544" s="64" t="s">
        <v>10</v>
      </c>
      <c r="J1544" s="64" t="s">
        <v>201</v>
      </c>
      <c r="K1544" s="66">
        <v>4.04</v>
      </c>
      <c r="L1544" s="66">
        <f>K1544*VLOOKUP(I1544,dagsoorttabel1,2,FALSE)</f>
        <v>4.04</v>
      </c>
      <c r="M1544" s="67">
        <f>prodnorm59</f>
        <v>0</v>
      </c>
      <c r="N1544" s="68">
        <f>dagwerk59</f>
        <v>0</v>
      </c>
      <c r="O1544" s="64" t="s">
        <v>38</v>
      </c>
      <c r="P1544" s="69">
        <f>uurtarief59</f>
        <v>0</v>
      </c>
      <c r="Q1544" s="66" t="e">
        <f>IF(ISBLANK(M1544),0,L1544/ROUND(M1544,4))</f>
        <v>#DIV/0!</v>
      </c>
      <c r="R1544" s="66" t="e">
        <f>IF(ISBLANK(M1544),0,Q1544*ROUND(N1544,2))</f>
        <v>#DIV/0!</v>
      </c>
      <c r="S1544" s="69" t="e">
        <f>ROUND(P1544,2)*Q1544</f>
        <v>#DIV/0!</v>
      </c>
      <c r="T1544" s="66" t="e">
        <f>Q1544*dagenperjaar1</f>
        <v>#DIV/0!</v>
      </c>
      <c r="U1544" s="70" t="e">
        <f>T1544*ROUND(P1544,2)</f>
        <v>#DIV/0!</v>
      </c>
    </row>
    <row r="1545" spans="1:21" x14ac:dyDescent="0.2">
      <c r="A1545" s="63" t="s">
        <v>2001</v>
      </c>
      <c r="B1545" s="64" t="s">
        <v>324</v>
      </c>
      <c r="C1545" s="64" t="s">
        <v>323</v>
      </c>
      <c r="D1545" s="64" t="s">
        <v>461</v>
      </c>
      <c r="E1545" s="64" t="s">
        <v>324</v>
      </c>
      <c r="F1545" s="65" t="s">
        <v>1393</v>
      </c>
      <c r="G1545" s="64" t="s">
        <v>328</v>
      </c>
      <c r="H1545" s="64" t="s">
        <v>229</v>
      </c>
      <c r="I1545" s="64" t="s">
        <v>10</v>
      </c>
      <c r="J1545" s="64" t="s">
        <v>201</v>
      </c>
      <c r="K1545" s="66">
        <v>65.11999999999999</v>
      </c>
      <c r="L1545" s="66">
        <f>K1545*VLOOKUP(I1545,dagsoorttabel1,2,FALSE)</f>
        <v>65.11999999999999</v>
      </c>
      <c r="M1545" s="67">
        <f>prodnorm43</f>
        <v>0</v>
      </c>
      <c r="N1545" s="68">
        <f>dagwerk43</f>
        <v>0</v>
      </c>
      <c r="O1545" s="64" t="s">
        <v>38</v>
      </c>
      <c r="P1545" s="69">
        <f>uurtarief43</f>
        <v>0</v>
      </c>
      <c r="Q1545" s="66" t="e">
        <f>IF(ISBLANK(M1545),0,L1545/ROUND(M1545,4))</f>
        <v>#DIV/0!</v>
      </c>
      <c r="R1545" s="66" t="e">
        <f>IF(ISBLANK(M1545),0,Q1545*ROUND(N1545,2))</f>
        <v>#DIV/0!</v>
      </c>
      <c r="S1545" s="69" t="e">
        <f>ROUND(P1545,2)*Q1545</f>
        <v>#DIV/0!</v>
      </c>
      <c r="T1545" s="66" t="e">
        <f>Q1545*dagenperjaar1</f>
        <v>#DIV/0!</v>
      </c>
      <c r="U1545" s="70" t="e">
        <f>T1545*ROUND(P1545,2)</f>
        <v>#DIV/0!</v>
      </c>
    </row>
    <row r="1546" spans="1:21" x14ac:dyDescent="0.2">
      <c r="A1546" s="63" t="s">
        <v>2001</v>
      </c>
      <c r="B1546" s="64" t="s">
        <v>324</v>
      </c>
      <c r="C1546" s="64" t="s">
        <v>323</v>
      </c>
      <c r="D1546" s="64" t="s">
        <v>926</v>
      </c>
      <c r="E1546" s="64" t="s">
        <v>324</v>
      </c>
      <c r="F1546" s="65" t="s">
        <v>1393</v>
      </c>
      <c r="G1546" s="64" t="s">
        <v>328</v>
      </c>
      <c r="H1546" s="64" t="s">
        <v>229</v>
      </c>
      <c r="I1546" s="64" t="s">
        <v>10</v>
      </c>
      <c r="J1546" s="64" t="s">
        <v>201</v>
      </c>
      <c r="K1546" s="66">
        <v>62.18</v>
      </c>
      <c r="L1546" s="66">
        <f>K1546*VLOOKUP(I1546,dagsoorttabel1,2,FALSE)</f>
        <v>62.18</v>
      </c>
      <c r="M1546" s="67">
        <f>prodnorm43</f>
        <v>0</v>
      </c>
      <c r="N1546" s="68">
        <f>dagwerk43</f>
        <v>0</v>
      </c>
      <c r="O1546" s="64" t="s">
        <v>38</v>
      </c>
      <c r="P1546" s="69">
        <f>uurtarief43</f>
        <v>0</v>
      </c>
      <c r="Q1546" s="66" t="e">
        <f>IF(ISBLANK(M1546),0,L1546/ROUND(M1546,4))</f>
        <v>#DIV/0!</v>
      </c>
      <c r="R1546" s="66" t="e">
        <f>IF(ISBLANK(M1546),0,Q1546*ROUND(N1546,2))</f>
        <v>#DIV/0!</v>
      </c>
      <c r="S1546" s="69" t="e">
        <f>ROUND(P1546,2)*Q1546</f>
        <v>#DIV/0!</v>
      </c>
      <c r="T1546" s="66" t="e">
        <f>Q1546*dagenperjaar1</f>
        <v>#DIV/0!</v>
      </c>
      <c r="U1546" s="70" t="e">
        <f>T1546*ROUND(P1546,2)</f>
        <v>#DIV/0!</v>
      </c>
    </row>
    <row r="1547" spans="1:21" x14ac:dyDescent="0.2">
      <c r="A1547" s="63" t="s">
        <v>2001</v>
      </c>
      <c r="B1547" s="64" t="s">
        <v>324</v>
      </c>
      <c r="C1547" s="64" t="s">
        <v>323</v>
      </c>
      <c r="D1547" s="64" t="s">
        <v>927</v>
      </c>
      <c r="E1547" s="64" t="s">
        <v>324</v>
      </c>
      <c r="F1547" s="65" t="s">
        <v>381</v>
      </c>
      <c r="G1547" s="64" t="s">
        <v>328</v>
      </c>
      <c r="H1547" s="64" t="s">
        <v>205</v>
      </c>
      <c r="I1547" s="64" t="s">
        <v>10</v>
      </c>
      <c r="J1547" s="64" t="s">
        <v>201</v>
      </c>
      <c r="K1547" s="66">
        <v>30.24</v>
      </c>
      <c r="L1547" s="66">
        <f>K1547*VLOOKUP(I1547,dagsoorttabel1,2,FALSE)</f>
        <v>30.24</v>
      </c>
      <c r="M1547" s="67">
        <f>prodnorm26</f>
        <v>0</v>
      </c>
      <c r="N1547" s="68">
        <f>dagwerk26</f>
        <v>0</v>
      </c>
      <c r="O1547" s="64" t="s">
        <v>38</v>
      </c>
      <c r="P1547" s="69">
        <f>uurtarief26</f>
        <v>0</v>
      </c>
      <c r="Q1547" s="66" t="e">
        <f>IF(ISBLANK(M1547),0,L1547/ROUND(M1547,4))</f>
        <v>#DIV/0!</v>
      </c>
      <c r="R1547" s="66" t="e">
        <f>IF(ISBLANK(M1547),0,Q1547*ROUND(N1547,2))</f>
        <v>#DIV/0!</v>
      </c>
      <c r="S1547" s="69" t="e">
        <f>ROUND(P1547,2)*Q1547</f>
        <v>#DIV/0!</v>
      </c>
      <c r="T1547" s="66" t="e">
        <f>Q1547*dagenperjaar1</f>
        <v>#DIV/0!</v>
      </c>
      <c r="U1547" s="70" t="e">
        <f>T1547*ROUND(P1547,2)</f>
        <v>#DIV/0!</v>
      </c>
    </row>
    <row r="1548" spans="1:21" x14ac:dyDescent="0.2">
      <c r="A1548" s="63" t="s">
        <v>2001</v>
      </c>
      <c r="B1548" s="64" t="s">
        <v>324</v>
      </c>
      <c r="C1548" s="64" t="s">
        <v>323</v>
      </c>
      <c r="D1548" s="64" t="s">
        <v>928</v>
      </c>
      <c r="E1548" s="64" t="s">
        <v>324</v>
      </c>
      <c r="F1548" s="65" t="s">
        <v>1393</v>
      </c>
      <c r="G1548" s="64" t="s">
        <v>328</v>
      </c>
      <c r="H1548" s="64" t="s">
        <v>229</v>
      </c>
      <c r="I1548" s="64" t="s">
        <v>10</v>
      </c>
      <c r="J1548" s="64" t="s">
        <v>201</v>
      </c>
      <c r="K1548" s="66">
        <v>60.77</v>
      </c>
      <c r="L1548" s="66">
        <f>K1548*VLOOKUP(I1548,dagsoorttabel1,2,FALSE)</f>
        <v>60.77</v>
      </c>
      <c r="M1548" s="67">
        <f>prodnorm43</f>
        <v>0</v>
      </c>
      <c r="N1548" s="68">
        <f>dagwerk43</f>
        <v>0</v>
      </c>
      <c r="O1548" s="64" t="s">
        <v>38</v>
      </c>
      <c r="P1548" s="69">
        <f>uurtarief43</f>
        <v>0</v>
      </c>
      <c r="Q1548" s="66" t="e">
        <f>IF(ISBLANK(M1548),0,L1548/ROUND(M1548,4))</f>
        <v>#DIV/0!</v>
      </c>
      <c r="R1548" s="66" t="e">
        <f>IF(ISBLANK(M1548),0,Q1548*ROUND(N1548,2))</f>
        <v>#DIV/0!</v>
      </c>
      <c r="S1548" s="69" t="e">
        <f>ROUND(P1548,2)*Q1548</f>
        <v>#DIV/0!</v>
      </c>
      <c r="T1548" s="66" t="e">
        <f>Q1548*dagenperjaar1</f>
        <v>#DIV/0!</v>
      </c>
      <c r="U1548" s="70" t="e">
        <f>T1548*ROUND(P1548,2)</f>
        <v>#DIV/0!</v>
      </c>
    </row>
    <row r="1549" spans="1:21" x14ac:dyDescent="0.2">
      <c r="A1549" s="63" t="s">
        <v>2001</v>
      </c>
      <c r="B1549" s="64" t="s">
        <v>324</v>
      </c>
      <c r="C1549" s="64" t="s">
        <v>472</v>
      </c>
      <c r="D1549" s="64" t="s">
        <v>473</v>
      </c>
      <c r="E1549" s="64" t="s">
        <v>324</v>
      </c>
      <c r="F1549" s="65" t="s">
        <v>638</v>
      </c>
      <c r="G1549" s="64" t="s">
        <v>351</v>
      </c>
      <c r="H1549" s="64" t="s">
        <v>265</v>
      </c>
      <c r="I1549" s="64" t="s">
        <v>10</v>
      </c>
      <c r="J1549" s="64" t="s">
        <v>201</v>
      </c>
      <c r="K1549" s="66">
        <v>4.49</v>
      </c>
      <c r="L1549" s="66">
        <f>K1549*VLOOKUP(I1549,dagsoorttabel1,2,FALSE)</f>
        <v>4.49</v>
      </c>
      <c r="M1549" s="67">
        <f>prodnorm64</f>
        <v>0</v>
      </c>
      <c r="N1549" s="68">
        <f>dagwerk64</f>
        <v>0</v>
      </c>
      <c r="O1549" s="64" t="s">
        <v>38</v>
      </c>
      <c r="P1549" s="69">
        <f>uurtarief64</f>
        <v>0</v>
      </c>
      <c r="Q1549" s="66" t="e">
        <f>IF(ISBLANK(M1549),0,L1549/ROUND(M1549,4))</f>
        <v>#DIV/0!</v>
      </c>
      <c r="R1549" s="66" t="e">
        <f>IF(ISBLANK(M1549),0,Q1549*ROUND(N1549,2))</f>
        <v>#DIV/0!</v>
      </c>
      <c r="S1549" s="69" t="e">
        <f>ROUND(P1549,2)*Q1549</f>
        <v>#DIV/0!</v>
      </c>
      <c r="T1549" s="66" t="e">
        <f>Q1549*dagenperjaar1</f>
        <v>#DIV/0!</v>
      </c>
      <c r="U1549" s="70" t="e">
        <f>T1549*ROUND(P1549,2)</f>
        <v>#DIV/0!</v>
      </c>
    </row>
    <row r="1550" spans="1:21" x14ac:dyDescent="0.2">
      <c r="A1550" s="63" t="s">
        <v>2001</v>
      </c>
      <c r="B1550" s="64" t="s">
        <v>324</v>
      </c>
      <c r="C1550" s="64" t="s">
        <v>472</v>
      </c>
      <c r="D1550" s="64" t="s">
        <v>487</v>
      </c>
      <c r="E1550" s="64" t="s">
        <v>324</v>
      </c>
      <c r="F1550" s="65" t="s">
        <v>335</v>
      </c>
      <c r="G1550" s="64" t="s">
        <v>351</v>
      </c>
      <c r="H1550" s="64" t="s">
        <v>269</v>
      </c>
      <c r="I1550" s="64" t="s">
        <v>10</v>
      </c>
      <c r="J1550" s="64" t="s">
        <v>201</v>
      </c>
      <c r="K1550" s="66">
        <v>13.65</v>
      </c>
      <c r="L1550" s="66">
        <f>K1550*VLOOKUP(I1550,dagsoorttabel1,2,FALSE)</f>
        <v>13.65</v>
      </c>
      <c r="M1550" s="67">
        <f>prodnorm67</f>
        <v>0</v>
      </c>
      <c r="N1550" s="68">
        <f>dagwerk67</f>
        <v>0</v>
      </c>
      <c r="O1550" s="64" t="s">
        <v>38</v>
      </c>
      <c r="P1550" s="69">
        <f>uurtarief67</f>
        <v>0</v>
      </c>
      <c r="Q1550" s="66" t="e">
        <f>IF(ISBLANK(M1550),0,L1550/ROUND(M1550,4))</f>
        <v>#DIV/0!</v>
      </c>
      <c r="R1550" s="66" t="e">
        <f>IF(ISBLANK(M1550),0,Q1550*ROUND(N1550,2))</f>
        <v>#DIV/0!</v>
      </c>
      <c r="S1550" s="69" t="e">
        <f>ROUND(P1550,2)*Q1550</f>
        <v>#DIV/0!</v>
      </c>
      <c r="T1550" s="66" t="e">
        <f>Q1550*dagenperjaar1</f>
        <v>#DIV/0!</v>
      </c>
      <c r="U1550" s="70" t="e">
        <f>T1550*ROUND(P1550,2)</f>
        <v>#DIV/0!</v>
      </c>
    </row>
    <row r="1551" spans="1:21" x14ac:dyDescent="0.2">
      <c r="A1551" s="63" t="s">
        <v>2001</v>
      </c>
      <c r="B1551" s="64" t="s">
        <v>324</v>
      </c>
      <c r="C1551" s="64" t="s">
        <v>472</v>
      </c>
      <c r="D1551" s="64" t="s">
        <v>1381</v>
      </c>
      <c r="E1551" s="64" t="s">
        <v>324</v>
      </c>
      <c r="F1551" s="65" t="s">
        <v>335</v>
      </c>
      <c r="G1551" s="64" t="s">
        <v>351</v>
      </c>
      <c r="H1551" s="64" t="s">
        <v>269</v>
      </c>
      <c r="I1551" s="64" t="s">
        <v>10</v>
      </c>
      <c r="J1551" s="64" t="s">
        <v>201</v>
      </c>
      <c r="K1551" s="66">
        <v>30.4</v>
      </c>
      <c r="L1551" s="66">
        <f>K1551*VLOOKUP(I1551,dagsoorttabel1,2,FALSE)</f>
        <v>30.4</v>
      </c>
      <c r="M1551" s="67">
        <f>prodnorm67</f>
        <v>0</v>
      </c>
      <c r="N1551" s="68">
        <f>dagwerk67</f>
        <v>0</v>
      </c>
      <c r="O1551" s="64" t="s">
        <v>38</v>
      </c>
      <c r="P1551" s="69">
        <f>uurtarief67</f>
        <v>0</v>
      </c>
      <c r="Q1551" s="66" t="e">
        <f>IF(ISBLANK(M1551),0,L1551/ROUND(M1551,4))</f>
        <v>#DIV/0!</v>
      </c>
      <c r="R1551" s="66" t="e">
        <f>IF(ISBLANK(M1551),0,Q1551*ROUND(N1551,2))</f>
        <v>#DIV/0!</v>
      </c>
      <c r="S1551" s="69" t="e">
        <f>ROUND(P1551,2)*Q1551</f>
        <v>#DIV/0!</v>
      </c>
      <c r="T1551" s="66" t="e">
        <f>Q1551*dagenperjaar1</f>
        <v>#DIV/0!</v>
      </c>
      <c r="U1551" s="70" t="e">
        <f>T1551*ROUND(P1551,2)</f>
        <v>#DIV/0!</v>
      </c>
    </row>
    <row r="1552" spans="1:21" x14ac:dyDescent="0.2">
      <c r="A1552" s="63" t="s">
        <v>2001</v>
      </c>
      <c r="B1552" s="64" t="s">
        <v>324</v>
      </c>
      <c r="C1552" s="64" t="s">
        <v>472</v>
      </c>
      <c r="D1552" s="64" t="s">
        <v>497</v>
      </c>
      <c r="E1552" s="64" t="s">
        <v>324</v>
      </c>
      <c r="F1552" s="65" t="s">
        <v>381</v>
      </c>
      <c r="G1552" s="64" t="s">
        <v>351</v>
      </c>
      <c r="H1552" s="64" t="s">
        <v>207</v>
      </c>
      <c r="I1552" s="64" t="s">
        <v>10</v>
      </c>
      <c r="J1552" s="64" t="s">
        <v>201</v>
      </c>
      <c r="K1552" s="66">
        <v>18.170000000000002</v>
      </c>
      <c r="L1552" s="66">
        <f>K1552*VLOOKUP(I1552,dagsoorttabel1,2,FALSE)</f>
        <v>18.170000000000002</v>
      </c>
      <c r="M1552" s="67">
        <f>prodnorm28</f>
        <v>0</v>
      </c>
      <c r="N1552" s="68">
        <f>dagwerk28</f>
        <v>0</v>
      </c>
      <c r="O1552" s="64" t="s">
        <v>38</v>
      </c>
      <c r="P1552" s="69">
        <f>uurtarief28</f>
        <v>0</v>
      </c>
      <c r="Q1552" s="66" t="e">
        <f>IF(ISBLANK(M1552),0,L1552/ROUND(M1552,4))</f>
        <v>#DIV/0!</v>
      </c>
      <c r="R1552" s="66" t="e">
        <f>IF(ISBLANK(M1552),0,Q1552*ROUND(N1552,2))</f>
        <v>#DIV/0!</v>
      </c>
      <c r="S1552" s="69" t="e">
        <f>ROUND(P1552,2)*Q1552</f>
        <v>#DIV/0!</v>
      </c>
      <c r="T1552" s="66" t="e">
        <f>Q1552*dagenperjaar1</f>
        <v>#DIV/0!</v>
      </c>
      <c r="U1552" s="70" t="e">
        <f>T1552*ROUND(P1552,2)</f>
        <v>#DIV/0!</v>
      </c>
    </row>
    <row r="1553" spans="1:21" x14ac:dyDescent="0.2">
      <c r="A1553" s="63" t="s">
        <v>2001</v>
      </c>
      <c r="B1553" s="64" t="s">
        <v>324</v>
      </c>
      <c r="C1553" s="64" t="s">
        <v>472</v>
      </c>
      <c r="D1553" s="64" t="s">
        <v>499</v>
      </c>
      <c r="E1553" s="64" t="s">
        <v>324</v>
      </c>
      <c r="F1553" s="65" t="s">
        <v>381</v>
      </c>
      <c r="G1553" s="64" t="s">
        <v>351</v>
      </c>
      <c r="H1553" s="64" t="s">
        <v>207</v>
      </c>
      <c r="I1553" s="64" t="s">
        <v>10</v>
      </c>
      <c r="J1553" s="64" t="s">
        <v>201</v>
      </c>
      <c r="K1553" s="66">
        <v>18.170000000000002</v>
      </c>
      <c r="L1553" s="66">
        <f>K1553*VLOOKUP(I1553,dagsoorttabel1,2,FALSE)</f>
        <v>18.170000000000002</v>
      </c>
      <c r="M1553" s="67">
        <f>prodnorm28</f>
        <v>0</v>
      </c>
      <c r="N1553" s="68">
        <f>dagwerk28</f>
        <v>0</v>
      </c>
      <c r="O1553" s="64" t="s">
        <v>38</v>
      </c>
      <c r="P1553" s="69">
        <f>uurtarief28</f>
        <v>0</v>
      </c>
      <c r="Q1553" s="66" t="e">
        <f>IF(ISBLANK(M1553),0,L1553/ROUND(M1553,4))</f>
        <v>#DIV/0!</v>
      </c>
      <c r="R1553" s="66" t="e">
        <f>IF(ISBLANK(M1553),0,Q1553*ROUND(N1553,2))</f>
        <v>#DIV/0!</v>
      </c>
      <c r="S1553" s="69" t="e">
        <f>ROUND(P1553,2)*Q1553</f>
        <v>#DIV/0!</v>
      </c>
      <c r="T1553" s="66" t="e">
        <f>Q1553*dagenperjaar1</f>
        <v>#DIV/0!</v>
      </c>
      <c r="U1553" s="70" t="e">
        <f>T1553*ROUND(P1553,2)</f>
        <v>#DIV/0!</v>
      </c>
    </row>
    <row r="1554" spans="1:21" x14ac:dyDescent="0.2">
      <c r="A1554" s="63" t="s">
        <v>2001</v>
      </c>
      <c r="B1554" s="64" t="s">
        <v>324</v>
      </c>
      <c r="C1554" s="64" t="s">
        <v>472</v>
      </c>
      <c r="D1554" s="64" t="s">
        <v>1385</v>
      </c>
      <c r="E1554" s="64" t="s">
        <v>324</v>
      </c>
      <c r="F1554" s="65" t="s">
        <v>381</v>
      </c>
      <c r="G1554" s="64" t="s">
        <v>351</v>
      </c>
      <c r="H1554" s="64" t="s">
        <v>207</v>
      </c>
      <c r="I1554" s="64" t="s">
        <v>10</v>
      </c>
      <c r="J1554" s="64" t="s">
        <v>201</v>
      </c>
      <c r="K1554" s="66">
        <v>36.86</v>
      </c>
      <c r="L1554" s="66">
        <f>K1554*VLOOKUP(I1554,dagsoorttabel1,2,FALSE)</f>
        <v>36.86</v>
      </c>
      <c r="M1554" s="67">
        <f>prodnorm28</f>
        <v>0</v>
      </c>
      <c r="N1554" s="68">
        <f>dagwerk28</f>
        <v>0</v>
      </c>
      <c r="O1554" s="64" t="s">
        <v>38</v>
      </c>
      <c r="P1554" s="69">
        <f>uurtarief28</f>
        <v>0</v>
      </c>
      <c r="Q1554" s="66" t="e">
        <f>IF(ISBLANK(M1554),0,L1554/ROUND(M1554,4))</f>
        <v>#DIV/0!</v>
      </c>
      <c r="R1554" s="66" t="e">
        <f>IF(ISBLANK(M1554),0,Q1554*ROUND(N1554,2))</f>
        <v>#DIV/0!</v>
      </c>
      <c r="S1554" s="69" t="e">
        <f>ROUND(P1554,2)*Q1554</f>
        <v>#DIV/0!</v>
      </c>
      <c r="T1554" s="66" t="e">
        <f>Q1554*dagenperjaar1</f>
        <v>#DIV/0!</v>
      </c>
      <c r="U1554" s="70" t="e">
        <f>T1554*ROUND(P1554,2)</f>
        <v>#DIV/0!</v>
      </c>
    </row>
    <row r="1555" spans="1:21" x14ac:dyDescent="0.2">
      <c r="A1555" s="63" t="s">
        <v>2001</v>
      </c>
      <c r="B1555" s="64" t="s">
        <v>324</v>
      </c>
      <c r="C1555" s="64" t="s">
        <v>472</v>
      </c>
      <c r="D1555" s="64" t="s">
        <v>501</v>
      </c>
      <c r="E1555" s="64" t="s">
        <v>324</v>
      </c>
      <c r="F1555" s="65" t="s">
        <v>381</v>
      </c>
      <c r="G1555" s="64" t="s">
        <v>351</v>
      </c>
      <c r="H1555" s="64" t="s">
        <v>207</v>
      </c>
      <c r="I1555" s="64" t="s">
        <v>10</v>
      </c>
      <c r="J1555" s="64" t="s">
        <v>201</v>
      </c>
      <c r="K1555" s="66">
        <v>28.91</v>
      </c>
      <c r="L1555" s="66">
        <f>K1555*VLOOKUP(I1555,dagsoorttabel1,2,FALSE)</f>
        <v>28.91</v>
      </c>
      <c r="M1555" s="67">
        <f>prodnorm28</f>
        <v>0</v>
      </c>
      <c r="N1555" s="68">
        <f>dagwerk28</f>
        <v>0</v>
      </c>
      <c r="O1555" s="64" t="s">
        <v>38</v>
      </c>
      <c r="P1555" s="69">
        <f>uurtarief28</f>
        <v>0</v>
      </c>
      <c r="Q1555" s="66" t="e">
        <f>IF(ISBLANK(M1555),0,L1555/ROUND(M1555,4))</f>
        <v>#DIV/0!</v>
      </c>
      <c r="R1555" s="66" t="e">
        <f>IF(ISBLANK(M1555),0,Q1555*ROUND(N1555,2))</f>
        <v>#DIV/0!</v>
      </c>
      <c r="S1555" s="69" t="e">
        <f>ROUND(P1555,2)*Q1555</f>
        <v>#DIV/0!</v>
      </c>
      <c r="T1555" s="66" t="e">
        <f>Q1555*dagenperjaar1</f>
        <v>#DIV/0!</v>
      </c>
      <c r="U1555" s="70" t="e">
        <f>T1555*ROUND(P1555,2)</f>
        <v>#DIV/0!</v>
      </c>
    </row>
    <row r="1556" spans="1:21" x14ac:dyDescent="0.2">
      <c r="A1556" s="63" t="s">
        <v>2001</v>
      </c>
      <c r="B1556" s="64" t="s">
        <v>324</v>
      </c>
      <c r="C1556" s="64" t="s">
        <v>472</v>
      </c>
      <c r="D1556" s="64" t="s">
        <v>504</v>
      </c>
      <c r="E1556" s="64" t="s">
        <v>324</v>
      </c>
      <c r="F1556" s="65" t="s">
        <v>381</v>
      </c>
      <c r="G1556" s="64" t="s">
        <v>351</v>
      </c>
      <c r="H1556" s="64" t="s">
        <v>207</v>
      </c>
      <c r="I1556" s="64" t="s">
        <v>10</v>
      </c>
      <c r="J1556" s="64" t="s">
        <v>201</v>
      </c>
      <c r="K1556" s="66">
        <v>53.54</v>
      </c>
      <c r="L1556" s="66">
        <f>K1556*VLOOKUP(I1556,dagsoorttabel1,2,FALSE)</f>
        <v>53.54</v>
      </c>
      <c r="M1556" s="67">
        <f>prodnorm28</f>
        <v>0</v>
      </c>
      <c r="N1556" s="68">
        <f>dagwerk28</f>
        <v>0</v>
      </c>
      <c r="O1556" s="64" t="s">
        <v>38</v>
      </c>
      <c r="P1556" s="69">
        <f>uurtarief28</f>
        <v>0</v>
      </c>
      <c r="Q1556" s="66" t="e">
        <f>IF(ISBLANK(M1556),0,L1556/ROUND(M1556,4))</f>
        <v>#DIV/0!</v>
      </c>
      <c r="R1556" s="66" t="e">
        <f>IF(ISBLANK(M1556),0,Q1556*ROUND(N1556,2))</f>
        <v>#DIV/0!</v>
      </c>
      <c r="S1556" s="69" t="e">
        <f>ROUND(P1556,2)*Q1556</f>
        <v>#DIV/0!</v>
      </c>
      <c r="T1556" s="66" t="e">
        <f>Q1556*dagenperjaar1</f>
        <v>#DIV/0!</v>
      </c>
      <c r="U1556" s="70" t="e">
        <f>T1556*ROUND(P1556,2)</f>
        <v>#DIV/0!</v>
      </c>
    </row>
    <row r="1557" spans="1:21" x14ac:dyDescent="0.2">
      <c r="A1557" s="63" t="s">
        <v>2001</v>
      </c>
      <c r="B1557" s="64" t="s">
        <v>324</v>
      </c>
      <c r="C1557" s="64" t="s">
        <v>472</v>
      </c>
      <c r="D1557" s="64" t="s">
        <v>965</v>
      </c>
      <c r="E1557" s="64" t="s">
        <v>324</v>
      </c>
      <c r="F1557" s="65" t="s">
        <v>335</v>
      </c>
      <c r="G1557" s="64" t="s">
        <v>351</v>
      </c>
      <c r="H1557" s="64" t="s">
        <v>269</v>
      </c>
      <c r="I1557" s="64" t="s">
        <v>10</v>
      </c>
      <c r="J1557" s="64" t="s">
        <v>201</v>
      </c>
      <c r="K1557" s="66">
        <v>12.47</v>
      </c>
      <c r="L1557" s="66">
        <f>K1557*VLOOKUP(I1557,dagsoorttabel1,2,FALSE)</f>
        <v>12.47</v>
      </c>
      <c r="M1557" s="67">
        <f>prodnorm67</f>
        <v>0</v>
      </c>
      <c r="N1557" s="68">
        <f>dagwerk67</f>
        <v>0</v>
      </c>
      <c r="O1557" s="64" t="s">
        <v>38</v>
      </c>
      <c r="P1557" s="69">
        <f>uurtarief67</f>
        <v>0</v>
      </c>
      <c r="Q1557" s="66" t="e">
        <f>IF(ISBLANK(M1557),0,L1557/ROUND(M1557,4))</f>
        <v>#DIV/0!</v>
      </c>
      <c r="R1557" s="66" t="e">
        <f>IF(ISBLANK(M1557),0,Q1557*ROUND(N1557,2))</f>
        <v>#DIV/0!</v>
      </c>
      <c r="S1557" s="69" t="e">
        <f>ROUND(P1557,2)*Q1557</f>
        <v>#DIV/0!</v>
      </c>
      <c r="T1557" s="66" t="e">
        <f>Q1557*dagenperjaar1</f>
        <v>#DIV/0!</v>
      </c>
      <c r="U1557" s="70" t="e">
        <f>T1557*ROUND(P1557,2)</f>
        <v>#DIV/0!</v>
      </c>
    </row>
    <row r="1558" spans="1:21" x14ac:dyDescent="0.2">
      <c r="A1558" s="63" t="s">
        <v>2001</v>
      </c>
      <c r="B1558" s="64" t="s">
        <v>324</v>
      </c>
      <c r="C1558" s="64" t="s">
        <v>472</v>
      </c>
      <c r="D1558" s="64" t="s">
        <v>506</v>
      </c>
      <c r="E1558" s="64" t="s">
        <v>324</v>
      </c>
      <c r="F1558" s="65" t="s">
        <v>381</v>
      </c>
      <c r="G1558" s="64" t="s">
        <v>351</v>
      </c>
      <c r="H1558" s="64" t="s">
        <v>207</v>
      </c>
      <c r="I1558" s="64" t="s">
        <v>10</v>
      </c>
      <c r="J1558" s="64" t="s">
        <v>201</v>
      </c>
      <c r="K1558" s="66">
        <v>43.790000000000006</v>
      </c>
      <c r="L1558" s="66">
        <f>K1558*VLOOKUP(I1558,dagsoorttabel1,2,FALSE)</f>
        <v>43.790000000000006</v>
      </c>
      <c r="M1558" s="67">
        <f>prodnorm28</f>
        <v>0</v>
      </c>
      <c r="N1558" s="68">
        <f>dagwerk28</f>
        <v>0</v>
      </c>
      <c r="O1558" s="64" t="s">
        <v>38</v>
      </c>
      <c r="P1558" s="69">
        <f>uurtarief28</f>
        <v>0</v>
      </c>
      <c r="Q1558" s="66" t="e">
        <f>IF(ISBLANK(M1558),0,L1558/ROUND(M1558,4))</f>
        <v>#DIV/0!</v>
      </c>
      <c r="R1558" s="66" t="e">
        <f>IF(ISBLANK(M1558),0,Q1558*ROUND(N1558,2))</f>
        <v>#DIV/0!</v>
      </c>
      <c r="S1558" s="69" t="e">
        <f>ROUND(P1558,2)*Q1558</f>
        <v>#DIV/0!</v>
      </c>
      <c r="T1558" s="66" t="e">
        <f>Q1558*dagenperjaar1</f>
        <v>#DIV/0!</v>
      </c>
      <c r="U1558" s="70" t="e">
        <f>T1558*ROUND(P1558,2)</f>
        <v>#DIV/0!</v>
      </c>
    </row>
    <row r="1559" spans="1:21" x14ac:dyDescent="0.2">
      <c r="A1559" s="63" t="s">
        <v>2001</v>
      </c>
      <c r="B1559" s="64" t="s">
        <v>324</v>
      </c>
      <c r="C1559" s="64" t="s">
        <v>472</v>
      </c>
      <c r="D1559" s="64" t="s">
        <v>510</v>
      </c>
      <c r="E1559" s="64" t="s">
        <v>324</v>
      </c>
      <c r="F1559" s="65" t="s">
        <v>381</v>
      </c>
      <c r="G1559" s="64" t="s">
        <v>351</v>
      </c>
      <c r="H1559" s="64" t="s">
        <v>207</v>
      </c>
      <c r="I1559" s="64" t="s">
        <v>10</v>
      </c>
      <c r="J1559" s="64" t="s">
        <v>201</v>
      </c>
      <c r="K1559" s="66">
        <v>20.59</v>
      </c>
      <c r="L1559" s="66">
        <f>K1559*VLOOKUP(I1559,dagsoorttabel1,2,FALSE)</f>
        <v>20.59</v>
      </c>
      <c r="M1559" s="67">
        <f>prodnorm28</f>
        <v>0</v>
      </c>
      <c r="N1559" s="68">
        <f>dagwerk28</f>
        <v>0</v>
      </c>
      <c r="O1559" s="64" t="s">
        <v>38</v>
      </c>
      <c r="P1559" s="69">
        <f>uurtarief28</f>
        <v>0</v>
      </c>
      <c r="Q1559" s="66" t="e">
        <f>IF(ISBLANK(M1559),0,L1559/ROUND(M1559,4))</f>
        <v>#DIV/0!</v>
      </c>
      <c r="R1559" s="66" t="e">
        <f>IF(ISBLANK(M1559),0,Q1559*ROUND(N1559,2))</f>
        <v>#DIV/0!</v>
      </c>
      <c r="S1559" s="69" t="e">
        <f>ROUND(P1559,2)*Q1559</f>
        <v>#DIV/0!</v>
      </c>
      <c r="T1559" s="66" t="e">
        <f>Q1559*dagenperjaar1</f>
        <v>#DIV/0!</v>
      </c>
      <c r="U1559" s="70" t="e">
        <f>T1559*ROUND(P1559,2)</f>
        <v>#DIV/0!</v>
      </c>
    </row>
    <row r="1560" spans="1:21" x14ac:dyDescent="0.2">
      <c r="A1560" s="63" t="s">
        <v>2001</v>
      </c>
      <c r="B1560" s="64" t="s">
        <v>324</v>
      </c>
      <c r="C1560" s="64" t="s">
        <v>472</v>
      </c>
      <c r="D1560" s="64" t="s">
        <v>514</v>
      </c>
      <c r="E1560" s="64" t="s">
        <v>324</v>
      </c>
      <c r="F1560" s="65" t="s">
        <v>595</v>
      </c>
      <c r="G1560" s="64" t="s">
        <v>351</v>
      </c>
      <c r="H1560" s="64" t="s">
        <v>207</v>
      </c>
      <c r="I1560" s="64" t="s">
        <v>10</v>
      </c>
      <c r="J1560" s="64" t="s">
        <v>201</v>
      </c>
      <c r="K1560" s="66">
        <v>41.58</v>
      </c>
      <c r="L1560" s="66">
        <f>K1560*VLOOKUP(I1560,dagsoorttabel1,2,FALSE)</f>
        <v>41.58</v>
      </c>
      <c r="M1560" s="67">
        <f>prodnorm28</f>
        <v>0</v>
      </c>
      <c r="N1560" s="68">
        <f>dagwerk28</f>
        <v>0</v>
      </c>
      <c r="O1560" s="64" t="s">
        <v>38</v>
      </c>
      <c r="P1560" s="69">
        <f>uurtarief28</f>
        <v>0</v>
      </c>
      <c r="Q1560" s="66" t="e">
        <f>IF(ISBLANK(M1560),0,L1560/ROUND(M1560,4))</f>
        <v>#DIV/0!</v>
      </c>
      <c r="R1560" s="66" t="e">
        <f>IF(ISBLANK(M1560),0,Q1560*ROUND(N1560,2))</f>
        <v>#DIV/0!</v>
      </c>
      <c r="S1560" s="69" t="e">
        <f>ROUND(P1560,2)*Q1560</f>
        <v>#DIV/0!</v>
      </c>
      <c r="T1560" s="66" t="e">
        <f>Q1560*dagenperjaar1</f>
        <v>#DIV/0!</v>
      </c>
      <c r="U1560" s="70" t="e">
        <f>T1560*ROUND(P1560,2)</f>
        <v>#DIV/0!</v>
      </c>
    </row>
    <row r="1561" spans="1:21" x14ac:dyDescent="0.2">
      <c r="A1561" s="63" t="s">
        <v>2001</v>
      </c>
      <c r="B1561" s="64" t="s">
        <v>324</v>
      </c>
      <c r="C1561" s="64" t="s">
        <v>472</v>
      </c>
      <c r="D1561" s="64" t="s">
        <v>516</v>
      </c>
      <c r="E1561" s="64" t="s">
        <v>324</v>
      </c>
      <c r="F1561" s="65" t="s">
        <v>381</v>
      </c>
      <c r="G1561" s="64" t="s">
        <v>351</v>
      </c>
      <c r="H1561" s="64" t="s">
        <v>207</v>
      </c>
      <c r="I1561" s="64" t="s">
        <v>10</v>
      </c>
      <c r="J1561" s="64" t="s">
        <v>201</v>
      </c>
      <c r="K1561" s="66">
        <v>42.43</v>
      </c>
      <c r="L1561" s="66">
        <f>K1561*VLOOKUP(I1561,dagsoorttabel1,2,FALSE)</f>
        <v>42.43</v>
      </c>
      <c r="M1561" s="67">
        <f>prodnorm28</f>
        <v>0</v>
      </c>
      <c r="N1561" s="68">
        <f>dagwerk28</f>
        <v>0</v>
      </c>
      <c r="O1561" s="64" t="s">
        <v>38</v>
      </c>
      <c r="P1561" s="69">
        <f>uurtarief28</f>
        <v>0</v>
      </c>
      <c r="Q1561" s="66" t="e">
        <f>IF(ISBLANK(M1561),0,L1561/ROUND(M1561,4))</f>
        <v>#DIV/0!</v>
      </c>
      <c r="R1561" s="66" t="e">
        <f>IF(ISBLANK(M1561),0,Q1561*ROUND(N1561,2))</f>
        <v>#DIV/0!</v>
      </c>
      <c r="S1561" s="69" t="e">
        <f>ROUND(P1561,2)*Q1561</f>
        <v>#DIV/0!</v>
      </c>
      <c r="T1561" s="66" t="e">
        <f>Q1561*dagenperjaar1</f>
        <v>#DIV/0!</v>
      </c>
      <c r="U1561" s="70" t="e">
        <f>T1561*ROUND(P1561,2)</f>
        <v>#DIV/0!</v>
      </c>
    </row>
    <row r="1562" spans="1:21" x14ac:dyDescent="0.2">
      <c r="A1562" s="63" t="s">
        <v>2001</v>
      </c>
      <c r="B1562" s="64" t="s">
        <v>324</v>
      </c>
      <c r="C1562" s="64" t="s">
        <v>472</v>
      </c>
      <c r="D1562" s="64" t="s">
        <v>970</v>
      </c>
      <c r="E1562" s="64" t="s">
        <v>324</v>
      </c>
      <c r="F1562" s="65" t="s">
        <v>381</v>
      </c>
      <c r="G1562" s="64" t="s">
        <v>351</v>
      </c>
      <c r="H1562" s="64" t="s">
        <v>207</v>
      </c>
      <c r="I1562" s="64" t="s">
        <v>10</v>
      </c>
      <c r="J1562" s="64" t="s">
        <v>201</v>
      </c>
      <c r="K1562" s="66">
        <v>20</v>
      </c>
      <c r="L1562" s="66">
        <f>K1562*VLOOKUP(I1562,dagsoorttabel1,2,FALSE)</f>
        <v>20</v>
      </c>
      <c r="M1562" s="67">
        <f>prodnorm28</f>
        <v>0</v>
      </c>
      <c r="N1562" s="68">
        <f>dagwerk28</f>
        <v>0</v>
      </c>
      <c r="O1562" s="64" t="s">
        <v>38</v>
      </c>
      <c r="P1562" s="69">
        <f>uurtarief28</f>
        <v>0</v>
      </c>
      <c r="Q1562" s="66" t="e">
        <f>IF(ISBLANK(M1562),0,L1562/ROUND(M1562,4))</f>
        <v>#DIV/0!</v>
      </c>
      <c r="R1562" s="66" t="e">
        <f>IF(ISBLANK(M1562),0,Q1562*ROUND(N1562,2))</f>
        <v>#DIV/0!</v>
      </c>
      <c r="S1562" s="69" t="e">
        <f>ROUND(P1562,2)*Q1562</f>
        <v>#DIV/0!</v>
      </c>
      <c r="T1562" s="66" t="e">
        <f>Q1562*dagenperjaar1</f>
        <v>#DIV/0!</v>
      </c>
      <c r="U1562" s="70" t="e">
        <f>T1562*ROUND(P1562,2)</f>
        <v>#DIV/0!</v>
      </c>
    </row>
    <row r="1563" spans="1:21" x14ac:dyDescent="0.2">
      <c r="A1563" s="63" t="s">
        <v>2001</v>
      </c>
      <c r="B1563" s="64" t="s">
        <v>324</v>
      </c>
      <c r="C1563" s="64" t="s">
        <v>472</v>
      </c>
      <c r="D1563" s="64" t="s">
        <v>971</v>
      </c>
      <c r="E1563" s="64" t="s">
        <v>324</v>
      </c>
      <c r="F1563" s="65" t="s">
        <v>595</v>
      </c>
      <c r="G1563" s="64" t="s">
        <v>351</v>
      </c>
      <c r="H1563" s="64" t="s">
        <v>207</v>
      </c>
      <c r="I1563" s="64" t="s">
        <v>10</v>
      </c>
      <c r="J1563" s="64" t="s">
        <v>201</v>
      </c>
      <c r="K1563" s="66">
        <v>43.42</v>
      </c>
      <c r="L1563" s="66">
        <f>K1563*VLOOKUP(I1563,dagsoorttabel1,2,FALSE)</f>
        <v>43.42</v>
      </c>
      <c r="M1563" s="67">
        <f>prodnorm28</f>
        <v>0</v>
      </c>
      <c r="N1563" s="68">
        <f>dagwerk28</f>
        <v>0</v>
      </c>
      <c r="O1563" s="64" t="s">
        <v>38</v>
      </c>
      <c r="P1563" s="69">
        <f>uurtarief28</f>
        <v>0</v>
      </c>
      <c r="Q1563" s="66" t="e">
        <f>IF(ISBLANK(M1563),0,L1563/ROUND(M1563,4))</f>
        <v>#DIV/0!</v>
      </c>
      <c r="R1563" s="66" t="e">
        <f>IF(ISBLANK(M1563),0,Q1563*ROUND(N1563,2))</f>
        <v>#DIV/0!</v>
      </c>
      <c r="S1563" s="69" t="e">
        <f>ROUND(P1563,2)*Q1563</f>
        <v>#DIV/0!</v>
      </c>
      <c r="T1563" s="66" t="e">
        <f>Q1563*dagenperjaar1</f>
        <v>#DIV/0!</v>
      </c>
      <c r="U1563" s="70" t="e">
        <f>T1563*ROUND(P1563,2)</f>
        <v>#DIV/0!</v>
      </c>
    </row>
    <row r="1564" spans="1:21" x14ac:dyDescent="0.2">
      <c r="A1564" s="63" t="s">
        <v>2001</v>
      </c>
      <c r="B1564" s="64" t="s">
        <v>324</v>
      </c>
      <c r="C1564" s="64" t="s">
        <v>472</v>
      </c>
      <c r="D1564" s="64" t="s">
        <v>518</v>
      </c>
      <c r="E1564" s="64" t="s">
        <v>324</v>
      </c>
      <c r="F1564" s="65" t="s">
        <v>618</v>
      </c>
      <c r="G1564" s="64" t="s">
        <v>351</v>
      </c>
      <c r="H1564" s="64" t="s">
        <v>269</v>
      </c>
      <c r="I1564" s="64" t="s">
        <v>10</v>
      </c>
      <c r="J1564" s="64" t="s">
        <v>201</v>
      </c>
      <c r="K1564" s="66">
        <v>16.259999999999998</v>
      </c>
      <c r="L1564" s="66">
        <f>K1564*VLOOKUP(I1564,dagsoorttabel1,2,FALSE)</f>
        <v>16.259999999999998</v>
      </c>
      <c r="M1564" s="67">
        <f>prodnorm67</f>
        <v>0</v>
      </c>
      <c r="N1564" s="68">
        <f>dagwerk67</f>
        <v>0</v>
      </c>
      <c r="O1564" s="64" t="s">
        <v>38</v>
      </c>
      <c r="P1564" s="69">
        <f>uurtarief67</f>
        <v>0</v>
      </c>
      <c r="Q1564" s="66" t="e">
        <f>IF(ISBLANK(M1564),0,L1564/ROUND(M1564,4))</f>
        <v>#DIV/0!</v>
      </c>
      <c r="R1564" s="66" t="e">
        <f>IF(ISBLANK(M1564),0,Q1564*ROUND(N1564,2))</f>
        <v>#DIV/0!</v>
      </c>
      <c r="S1564" s="69" t="e">
        <f>ROUND(P1564,2)*Q1564</f>
        <v>#DIV/0!</v>
      </c>
      <c r="T1564" s="66" t="e">
        <f>Q1564*dagenperjaar1</f>
        <v>#DIV/0!</v>
      </c>
      <c r="U1564" s="70" t="e">
        <f>T1564*ROUND(P1564,2)</f>
        <v>#DIV/0!</v>
      </c>
    </row>
    <row r="1565" spans="1:21" x14ac:dyDescent="0.2">
      <c r="A1565" s="63" t="s">
        <v>2001</v>
      </c>
      <c r="B1565" s="64" t="s">
        <v>324</v>
      </c>
      <c r="C1565" s="64" t="s">
        <v>472</v>
      </c>
      <c r="D1565" s="64" t="s">
        <v>521</v>
      </c>
      <c r="E1565" s="64" t="s">
        <v>324</v>
      </c>
      <c r="F1565" s="65" t="s">
        <v>623</v>
      </c>
      <c r="G1565" s="64" t="s">
        <v>351</v>
      </c>
      <c r="H1565" s="64" t="s">
        <v>207</v>
      </c>
      <c r="I1565" s="64" t="s">
        <v>10</v>
      </c>
      <c r="J1565" s="64" t="s">
        <v>201</v>
      </c>
      <c r="K1565" s="66">
        <v>50</v>
      </c>
      <c r="L1565" s="66">
        <f>K1565*VLOOKUP(I1565,dagsoorttabel1,2,FALSE)</f>
        <v>50</v>
      </c>
      <c r="M1565" s="67">
        <f>prodnorm28</f>
        <v>0</v>
      </c>
      <c r="N1565" s="68">
        <f>dagwerk28</f>
        <v>0</v>
      </c>
      <c r="O1565" s="64" t="s">
        <v>38</v>
      </c>
      <c r="P1565" s="69">
        <f>uurtarief28</f>
        <v>0</v>
      </c>
      <c r="Q1565" s="66" t="e">
        <f>IF(ISBLANK(M1565),0,L1565/ROUND(M1565,4))</f>
        <v>#DIV/0!</v>
      </c>
      <c r="R1565" s="66" t="e">
        <f>IF(ISBLANK(M1565),0,Q1565*ROUND(N1565,2))</f>
        <v>#DIV/0!</v>
      </c>
      <c r="S1565" s="69" t="e">
        <f>ROUND(P1565,2)*Q1565</f>
        <v>#DIV/0!</v>
      </c>
      <c r="T1565" s="66" t="e">
        <f>Q1565*dagenperjaar1</f>
        <v>#DIV/0!</v>
      </c>
      <c r="U1565" s="70" t="e">
        <f>T1565*ROUND(P1565,2)</f>
        <v>#DIV/0!</v>
      </c>
    </row>
    <row r="1566" spans="1:21" x14ac:dyDescent="0.2">
      <c r="A1566" s="63" t="s">
        <v>2001</v>
      </c>
      <c r="B1566" s="64" t="s">
        <v>324</v>
      </c>
      <c r="C1566" s="64" t="s">
        <v>472</v>
      </c>
      <c r="D1566" s="64" t="s">
        <v>2005</v>
      </c>
      <c r="E1566" s="64" t="s">
        <v>324</v>
      </c>
      <c r="F1566" s="65" t="s">
        <v>555</v>
      </c>
      <c r="G1566" s="64" t="s">
        <v>351</v>
      </c>
      <c r="H1566" s="64" t="s">
        <v>253</v>
      </c>
      <c r="I1566" s="64" t="s">
        <v>10</v>
      </c>
      <c r="J1566" s="64" t="s">
        <v>201</v>
      </c>
      <c r="K1566" s="66">
        <v>8</v>
      </c>
      <c r="L1566" s="66">
        <f>K1566*VLOOKUP(I1566,dagsoorttabel1,2,FALSE)</f>
        <v>8</v>
      </c>
      <c r="M1566" s="67">
        <f>prodnorm58</f>
        <v>0</v>
      </c>
      <c r="N1566" s="68">
        <f>dagwerk58</f>
        <v>0</v>
      </c>
      <c r="O1566" s="64" t="s">
        <v>38</v>
      </c>
      <c r="P1566" s="69">
        <f>uurtarief58</f>
        <v>0</v>
      </c>
      <c r="Q1566" s="66" t="e">
        <f>IF(ISBLANK(M1566),0,L1566/ROUND(M1566,4))</f>
        <v>#DIV/0!</v>
      </c>
      <c r="R1566" s="66" t="e">
        <f>IF(ISBLANK(M1566),0,Q1566*ROUND(N1566,2))</f>
        <v>#DIV/0!</v>
      </c>
      <c r="S1566" s="69" t="e">
        <f>ROUND(P1566,2)*Q1566</f>
        <v>#DIV/0!</v>
      </c>
      <c r="T1566" s="66" t="e">
        <f>Q1566*dagenperjaar1</f>
        <v>#DIV/0!</v>
      </c>
      <c r="U1566" s="70" t="e">
        <f>T1566*ROUND(P1566,2)</f>
        <v>#DIV/0!</v>
      </c>
    </row>
    <row r="1567" spans="1:21" x14ac:dyDescent="0.2">
      <c r="A1567" s="63" t="s">
        <v>2001</v>
      </c>
      <c r="B1567" s="64" t="s">
        <v>324</v>
      </c>
      <c r="C1567" s="64" t="s">
        <v>472</v>
      </c>
      <c r="D1567" s="64" t="s">
        <v>525</v>
      </c>
      <c r="E1567" s="64" t="s">
        <v>324</v>
      </c>
      <c r="F1567" s="65" t="s">
        <v>641</v>
      </c>
      <c r="G1567" s="64" t="s">
        <v>1421</v>
      </c>
      <c r="H1567" s="64" t="s">
        <v>255</v>
      </c>
      <c r="I1567" s="64" t="s">
        <v>10</v>
      </c>
      <c r="J1567" s="64" t="s">
        <v>201</v>
      </c>
      <c r="K1567" s="66">
        <v>9.9</v>
      </c>
      <c r="L1567" s="66">
        <f>K1567*VLOOKUP(I1567,dagsoorttabel1,2,FALSE)</f>
        <v>9.9</v>
      </c>
      <c r="M1567" s="67">
        <f>prodnorm59</f>
        <v>0</v>
      </c>
      <c r="N1567" s="68">
        <f>dagwerk59</f>
        <v>0</v>
      </c>
      <c r="O1567" s="64" t="s">
        <v>38</v>
      </c>
      <c r="P1567" s="69">
        <f>uurtarief59</f>
        <v>0</v>
      </c>
      <c r="Q1567" s="66" t="e">
        <f>IF(ISBLANK(M1567),0,L1567/ROUND(M1567,4))</f>
        <v>#DIV/0!</v>
      </c>
      <c r="R1567" s="66" t="e">
        <f>IF(ISBLANK(M1567),0,Q1567*ROUND(N1567,2))</f>
        <v>#DIV/0!</v>
      </c>
      <c r="S1567" s="69" t="e">
        <f>ROUND(P1567,2)*Q1567</f>
        <v>#DIV/0!</v>
      </c>
      <c r="T1567" s="66" t="e">
        <f>Q1567*dagenperjaar1</f>
        <v>#DIV/0!</v>
      </c>
      <c r="U1567" s="70" t="e">
        <f>T1567*ROUND(P1567,2)</f>
        <v>#DIV/0!</v>
      </c>
    </row>
    <row r="1568" spans="1:21" x14ac:dyDescent="0.2">
      <c r="A1568" s="63" t="s">
        <v>2001</v>
      </c>
      <c r="B1568" s="64" t="s">
        <v>324</v>
      </c>
      <c r="C1568" s="64" t="s">
        <v>472</v>
      </c>
      <c r="D1568" s="64" t="s">
        <v>974</v>
      </c>
      <c r="E1568" s="64" t="s">
        <v>324</v>
      </c>
      <c r="F1568" s="65" t="s">
        <v>1472</v>
      </c>
      <c r="G1568" s="64" t="s">
        <v>1421</v>
      </c>
      <c r="H1568" s="64" t="s">
        <v>205</v>
      </c>
      <c r="I1568" s="64" t="s">
        <v>10</v>
      </c>
      <c r="J1568" s="64" t="s">
        <v>201</v>
      </c>
      <c r="K1568" s="66">
        <v>6.7</v>
      </c>
      <c r="L1568" s="66">
        <f>K1568*VLOOKUP(I1568,dagsoorttabel1,2,FALSE)</f>
        <v>6.7</v>
      </c>
      <c r="M1568" s="67">
        <f>prodnorm26</f>
        <v>0</v>
      </c>
      <c r="N1568" s="68">
        <f>dagwerk26</f>
        <v>0</v>
      </c>
      <c r="O1568" s="64" t="s">
        <v>38</v>
      </c>
      <c r="P1568" s="69">
        <f>uurtarief26</f>
        <v>0</v>
      </c>
      <c r="Q1568" s="66" t="e">
        <f>IF(ISBLANK(M1568),0,L1568/ROUND(M1568,4))</f>
        <v>#DIV/0!</v>
      </c>
      <c r="R1568" s="66" t="e">
        <f>IF(ISBLANK(M1568),0,Q1568*ROUND(N1568,2))</f>
        <v>#DIV/0!</v>
      </c>
      <c r="S1568" s="69" t="e">
        <f>ROUND(P1568,2)*Q1568</f>
        <v>#DIV/0!</v>
      </c>
      <c r="T1568" s="66" t="e">
        <f>Q1568*dagenperjaar1</f>
        <v>#DIV/0!</v>
      </c>
      <c r="U1568" s="70" t="e">
        <f>T1568*ROUND(P1568,2)</f>
        <v>#DIV/0!</v>
      </c>
    </row>
    <row r="1569" spans="1:21" x14ac:dyDescent="0.2">
      <c r="A1569" s="63" t="s">
        <v>2001</v>
      </c>
      <c r="B1569" s="64" t="s">
        <v>324</v>
      </c>
      <c r="C1569" s="64" t="s">
        <v>472</v>
      </c>
      <c r="D1569" s="64" t="s">
        <v>976</v>
      </c>
      <c r="E1569" s="64" t="s">
        <v>324</v>
      </c>
      <c r="F1569" s="65" t="s">
        <v>641</v>
      </c>
      <c r="G1569" s="64" t="s">
        <v>351</v>
      </c>
      <c r="H1569" s="64" t="s">
        <v>255</v>
      </c>
      <c r="I1569" s="64" t="s">
        <v>10</v>
      </c>
      <c r="J1569" s="64" t="s">
        <v>201</v>
      </c>
      <c r="K1569" s="66">
        <v>11.46</v>
      </c>
      <c r="L1569" s="66">
        <f>K1569*VLOOKUP(I1569,dagsoorttabel1,2,FALSE)</f>
        <v>11.46</v>
      </c>
      <c r="M1569" s="67">
        <f>prodnorm59</f>
        <v>0</v>
      </c>
      <c r="N1569" s="68">
        <f>dagwerk59</f>
        <v>0</v>
      </c>
      <c r="O1569" s="64" t="s">
        <v>38</v>
      </c>
      <c r="P1569" s="69">
        <f>uurtarief59</f>
        <v>0</v>
      </c>
      <c r="Q1569" s="66" t="e">
        <f>IF(ISBLANK(M1569),0,L1569/ROUND(M1569,4))</f>
        <v>#DIV/0!</v>
      </c>
      <c r="R1569" s="66" t="e">
        <f>IF(ISBLANK(M1569),0,Q1569*ROUND(N1569,2))</f>
        <v>#DIV/0!</v>
      </c>
      <c r="S1569" s="69" t="e">
        <f>ROUND(P1569,2)*Q1569</f>
        <v>#DIV/0!</v>
      </c>
      <c r="T1569" s="66" t="e">
        <f>Q1569*dagenperjaar1</f>
        <v>#DIV/0!</v>
      </c>
      <c r="U1569" s="70" t="e">
        <f>T1569*ROUND(P1569,2)</f>
        <v>#DIV/0!</v>
      </c>
    </row>
    <row r="1570" spans="1:21" x14ac:dyDescent="0.2">
      <c r="A1570" s="71" t="s">
        <v>2001</v>
      </c>
      <c r="B1570" s="72" t="s">
        <v>324</v>
      </c>
      <c r="C1570" s="72" t="s">
        <v>472</v>
      </c>
      <c r="D1570" s="72" t="s">
        <v>977</v>
      </c>
      <c r="E1570" s="72" t="s">
        <v>324</v>
      </c>
      <c r="F1570" s="73" t="s">
        <v>335</v>
      </c>
      <c r="G1570" s="72" t="s">
        <v>351</v>
      </c>
      <c r="H1570" s="72" t="s">
        <v>269</v>
      </c>
      <c r="I1570" s="72" t="s">
        <v>10</v>
      </c>
      <c r="J1570" s="72" t="s">
        <v>201</v>
      </c>
      <c r="K1570" s="74">
        <v>42.64</v>
      </c>
      <c r="L1570" s="74">
        <f>K1570*VLOOKUP(I1570,dagsoorttabel1,2,FALSE)</f>
        <v>42.64</v>
      </c>
      <c r="M1570" s="75">
        <f>prodnorm67</f>
        <v>0</v>
      </c>
      <c r="N1570" s="76">
        <f>dagwerk67</f>
        <v>0</v>
      </c>
      <c r="O1570" s="72" t="s">
        <v>38</v>
      </c>
      <c r="P1570" s="77">
        <f>uurtarief67</f>
        <v>0</v>
      </c>
      <c r="Q1570" s="74" t="e">
        <f>IF(ISBLANK(M1570),0,L1570/ROUND(M1570,4))</f>
        <v>#DIV/0!</v>
      </c>
      <c r="R1570" s="74" t="e">
        <f>IF(ISBLANK(M1570),0,Q1570*ROUND(N1570,2))</f>
        <v>#DIV/0!</v>
      </c>
      <c r="S1570" s="77" t="e">
        <f>ROUND(P1570,2)*Q1570</f>
        <v>#DIV/0!</v>
      </c>
      <c r="T1570" s="74" t="e">
        <f>Q1570*dagenperjaar1</f>
        <v>#DIV/0!</v>
      </c>
      <c r="U1570" s="78" t="e">
        <f>T1570*ROUND(P1570,2)</f>
        <v>#DIV/0!</v>
      </c>
    </row>
    <row r="1571" spans="1:21" x14ac:dyDescent="0.2">
      <c r="A1571" s="79" t="s">
        <v>602</v>
      </c>
      <c r="B1571" s="44"/>
      <c r="C1571" s="44"/>
      <c r="D1571" s="44"/>
      <c r="E1571" s="44"/>
      <c r="F1571" s="44"/>
      <c r="G1571" s="44"/>
      <c r="H1571" s="44"/>
      <c r="I1571" s="44"/>
      <c r="J1571" s="44"/>
      <c r="K1571" s="44"/>
      <c r="L1571" s="44"/>
      <c r="M1571" s="44"/>
      <c r="N1571" s="44"/>
      <c r="O1571" s="44"/>
      <c r="P1571" s="46" t="e">
        <f>IF(_xlfn.SINGLE(object13_urenjaar1)&gt;0,_xlfn.SINGLE(object13_prijsjaar1)/_xlfn.SINGLE(object13_urenjaar1),0)</f>
        <v>#DIV/0!</v>
      </c>
      <c r="Q1571" s="45" t="e">
        <f>SUM(Q1514:Q1570)</f>
        <v>#DIV/0!</v>
      </c>
      <c r="R1571" s="45" t="e">
        <f>SUM(R1514:R1570)</f>
        <v>#DIV/0!</v>
      </c>
      <c r="S1571" s="46" t="e">
        <f>SUM(S1514:S1570)</f>
        <v>#DIV/0!</v>
      </c>
      <c r="T1571" s="45" t="e">
        <f>SUM(T1514:T1570)</f>
        <v>#DIV/0!</v>
      </c>
      <c r="U1571" s="47" t="e">
        <f>SUM(U1514:U1570)</f>
        <v>#DIV/0!</v>
      </c>
    </row>
    <row r="1572" spans="1:21" x14ac:dyDescent="0.2">
      <c r="A1572" s="54" t="s">
        <v>2006</v>
      </c>
      <c r="B1572" s="13"/>
      <c r="C1572" s="13"/>
      <c r="D1572" s="13"/>
      <c r="E1572" s="13"/>
      <c r="F1572" s="13"/>
      <c r="G1572" s="13"/>
      <c r="H1572" s="13"/>
      <c r="I1572" s="13"/>
      <c r="J1572" s="13"/>
      <c r="K1572" s="13"/>
      <c r="L1572" s="13"/>
      <c r="M1572" s="13"/>
      <c r="N1572" s="13"/>
      <c r="O1572" s="13"/>
      <c r="P1572" s="13"/>
      <c r="Q1572" s="13"/>
      <c r="R1572" s="13"/>
      <c r="S1572" s="13"/>
      <c r="T1572" s="13"/>
      <c r="U1572" s="42"/>
    </row>
    <row r="1573" spans="1:21" x14ac:dyDescent="0.2">
      <c r="A1573" s="55" t="s">
        <v>2007</v>
      </c>
      <c r="B1573" s="56" t="s">
        <v>324</v>
      </c>
      <c r="C1573" s="56" t="s">
        <v>345</v>
      </c>
      <c r="D1573" s="56" t="s">
        <v>348</v>
      </c>
      <c r="E1573" s="56" t="s">
        <v>2008</v>
      </c>
      <c r="F1573" s="57" t="s">
        <v>578</v>
      </c>
      <c r="G1573" s="56" t="s">
        <v>328</v>
      </c>
      <c r="H1573" s="56" t="s">
        <v>267</v>
      </c>
      <c r="I1573" s="56" t="s">
        <v>10</v>
      </c>
      <c r="J1573" s="56" t="s">
        <v>201</v>
      </c>
      <c r="K1573" s="58">
        <v>3.5</v>
      </c>
      <c r="L1573" s="58">
        <f>K1573*VLOOKUP(I1573,dagsoorttabel1,2,FALSE)</f>
        <v>3.5</v>
      </c>
      <c r="M1573" s="59">
        <f>prodnorm65</f>
        <v>0</v>
      </c>
      <c r="N1573" s="60">
        <f>dagwerk65</f>
        <v>0</v>
      </c>
      <c r="O1573" s="56" t="s">
        <v>38</v>
      </c>
      <c r="P1573" s="61">
        <f>uurtarief65</f>
        <v>0</v>
      </c>
      <c r="Q1573" s="58" t="e">
        <f>IF(ISBLANK(M1573),0,L1573/ROUND(M1573,4))</f>
        <v>#DIV/0!</v>
      </c>
      <c r="R1573" s="58" t="e">
        <f>IF(ISBLANK(M1573),0,Q1573*ROUND(N1573,2))</f>
        <v>#DIV/0!</v>
      </c>
      <c r="S1573" s="61" t="e">
        <f>ROUND(P1573,2)*Q1573</f>
        <v>#DIV/0!</v>
      </c>
      <c r="T1573" s="58" t="e">
        <f>Q1573*dagenperjaar1</f>
        <v>#DIV/0!</v>
      </c>
      <c r="U1573" s="62" t="e">
        <f>T1573*ROUND(P1573,2)</f>
        <v>#DIV/0!</v>
      </c>
    </row>
    <row r="1574" spans="1:21" x14ac:dyDescent="0.2">
      <c r="A1574" s="63" t="s">
        <v>2007</v>
      </c>
      <c r="B1574" s="64" t="s">
        <v>324</v>
      </c>
      <c r="C1574" s="64" t="s">
        <v>345</v>
      </c>
      <c r="D1574" s="64" t="s">
        <v>352</v>
      </c>
      <c r="E1574" s="64" t="s">
        <v>2009</v>
      </c>
      <c r="F1574" s="65" t="s">
        <v>457</v>
      </c>
      <c r="G1574" s="64" t="s">
        <v>328</v>
      </c>
      <c r="H1574" s="64" t="s">
        <v>229</v>
      </c>
      <c r="I1574" s="64" t="s">
        <v>10</v>
      </c>
      <c r="J1574" s="64" t="s">
        <v>201</v>
      </c>
      <c r="K1574" s="66">
        <v>48.7</v>
      </c>
      <c r="L1574" s="66">
        <f>K1574*VLOOKUP(I1574,dagsoorttabel1,2,FALSE)</f>
        <v>48.7</v>
      </c>
      <c r="M1574" s="67">
        <f>prodnorm43</f>
        <v>0</v>
      </c>
      <c r="N1574" s="68">
        <f>dagwerk43</f>
        <v>0</v>
      </c>
      <c r="O1574" s="64" t="s">
        <v>38</v>
      </c>
      <c r="P1574" s="69">
        <f>uurtarief43</f>
        <v>0</v>
      </c>
      <c r="Q1574" s="66" t="e">
        <f>IF(ISBLANK(M1574),0,L1574/ROUND(M1574,4))</f>
        <v>#DIV/0!</v>
      </c>
      <c r="R1574" s="66" t="e">
        <f>IF(ISBLANK(M1574),0,Q1574*ROUND(N1574,2))</f>
        <v>#DIV/0!</v>
      </c>
      <c r="S1574" s="69" t="e">
        <f>ROUND(P1574,2)*Q1574</f>
        <v>#DIV/0!</v>
      </c>
      <c r="T1574" s="66" t="e">
        <f>Q1574*dagenperjaar1</f>
        <v>#DIV/0!</v>
      </c>
      <c r="U1574" s="70" t="e">
        <f>T1574*ROUND(P1574,2)</f>
        <v>#DIV/0!</v>
      </c>
    </row>
    <row r="1575" spans="1:21" x14ac:dyDescent="0.2">
      <c r="A1575" s="63" t="s">
        <v>2007</v>
      </c>
      <c r="B1575" s="64" t="s">
        <v>324</v>
      </c>
      <c r="C1575" s="64" t="s">
        <v>345</v>
      </c>
      <c r="D1575" s="64" t="s">
        <v>359</v>
      </c>
      <c r="E1575" s="64" t="s">
        <v>2010</v>
      </c>
      <c r="F1575" s="65" t="s">
        <v>638</v>
      </c>
      <c r="G1575" s="64" t="s">
        <v>538</v>
      </c>
      <c r="H1575" s="64" t="s">
        <v>263</v>
      </c>
      <c r="I1575" s="64" t="s">
        <v>10</v>
      </c>
      <c r="J1575" s="64" t="s">
        <v>201</v>
      </c>
      <c r="K1575" s="66">
        <v>3</v>
      </c>
      <c r="L1575" s="66">
        <f>K1575*VLOOKUP(I1575,dagsoorttabel1,2,FALSE)</f>
        <v>3</v>
      </c>
      <c r="M1575" s="67">
        <f>prodnorm63</f>
        <v>0</v>
      </c>
      <c r="N1575" s="68">
        <f>dagwerk63</f>
        <v>0</v>
      </c>
      <c r="O1575" s="64" t="s">
        <v>38</v>
      </c>
      <c r="P1575" s="69">
        <f>uurtarief63</f>
        <v>0</v>
      </c>
      <c r="Q1575" s="66" t="e">
        <f>IF(ISBLANK(M1575),0,L1575/ROUND(M1575,4))</f>
        <v>#DIV/0!</v>
      </c>
      <c r="R1575" s="66" t="e">
        <f>IF(ISBLANK(M1575),0,Q1575*ROUND(N1575,2))</f>
        <v>#DIV/0!</v>
      </c>
      <c r="S1575" s="69" t="e">
        <f>ROUND(P1575,2)*Q1575</f>
        <v>#DIV/0!</v>
      </c>
      <c r="T1575" s="66" t="e">
        <f>Q1575*dagenperjaar1</f>
        <v>#DIV/0!</v>
      </c>
      <c r="U1575" s="70" t="e">
        <f>T1575*ROUND(P1575,2)</f>
        <v>#DIV/0!</v>
      </c>
    </row>
    <row r="1576" spans="1:21" x14ac:dyDescent="0.2">
      <c r="A1576" s="63" t="s">
        <v>2007</v>
      </c>
      <c r="B1576" s="64" t="s">
        <v>324</v>
      </c>
      <c r="C1576" s="64" t="s">
        <v>345</v>
      </c>
      <c r="D1576" s="64" t="s">
        <v>362</v>
      </c>
      <c r="E1576" s="64" t="s">
        <v>2011</v>
      </c>
      <c r="F1576" s="65" t="s">
        <v>641</v>
      </c>
      <c r="G1576" s="64" t="s">
        <v>328</v>
      </c>
      <c r="H1576" s="64" t="s">
        <v>255</v>
      </c>
      <c r="I1576" s="64" t="s">
        <v>10</v>
      </c>
      <c r="J1576" s="64" t="s">
        <v>201</v>
      </c>
      <c r="K1576" s="66">
        <v>3.6</v>
      </c>
      <c r="L1576" s="66">
        <f>K1576*VLOOKUP(I1576,dagsoorttabel1,2,FALSE)</f>
        <v>3.6</v>
      </c>
      <c r="M1576" s="67">
        <f>prodnorm59</f>
        <v>0</v>
      </c>
      <c r="N1576" s="68">
        <f>dagwerk59</f>
        <v>0</v>
      </c>
      <c r="O1576" s="64" t="s">
        <v>38</v>
      </c>
      <c r="P1576" s="69">
        <f>uurtarief59</f>
        <v>0</v>
      </c>
      <c r="Q1576" s="66" t="e">
        <f>IF(ISBLANK(M1576),0,L1576/ROUND(M1576,4))</f>
        <v>#DIV/0!</v>
      </c>
      <c r="R1576" s="66" t="e">
        <f>IF(ISBLANK(M1576),0,Q1576*ROUND(N1576,2))</f>
        <v>#DIV/0!</v>
      </c>
      <c r="S1576" s="69" t="e">
        <f>ROUND(P1576,2)*Q1576</f>
        <v>#DIV/0!</v>
      </c>
      <c r="T1576" s="66" t="e">
        <f>Q1576*dagenperjaar1</f>
        <v>#DIV/0!</v>
      </c>
      <c r="U1576" s="70" t="e">
        <f>T1576*ROUND(P1576,2)</f>
        <v>#DIV/0!</v>
      </c>
    </row>
    <row r="1577" spans="1:21" x14ac:dyDescent="0.2">
      <c r="A1577" s="63" t="s">
        <v>2007</v>
      </c>
      <c r="B1577" s="64" t="s">
        <v>324</v>
      </c>
      <c r="C1577" s="64" t="s">
        <v>345</v>
      </c>
      <c r="D1577" s="64" t="s">
        <v>374</v>
      </c>
      <c r="E1577" s="64" t="s">
        <v>2012</v>
      </c>
      <c r="F1577" s="65" t="s">
        <v>578</v>
      </c>
      <c r="G1577" s="64" t="s">
        <v>328</v>
      </c>
      <c r="H1577" s="64" t="s">
        <v>267</v>
      </c>
      <c r="I1577" s="64" t="s">
        <v>10</v>
      </c>
      <c r="J1577" s="64" t="s">
        <v>201</v>
      </c>
      <c r="K1577" s="66">
        <v>5.6</v>
      </c>
      <c r="L1577" s="66">
        <f>K1577*VLOOKUP(I1577,dagsoorttabel1,2,FALSE)</f>
        <v>5.6</v>
      </c>
      <c r="M1577" s="67">
        <f>prodnorm65</f>
        <v>0</v>
      </c>
      <c r="N1577" s="68">
        <f>dagwerk65</f>
        <v>0</v>
      </c>
      <c r="O1577" s="64" t="s">
        <v>38</v>
      </c>
      <c r="P1577" s="69">
        <f>uurtarief65</f>
        <v>0</v>
      </c>
      <c r="Q1577" s="66" t="e">
        <f>IF(ISBLANK(M1577),0,L1577/ROUND(M1577,4))</f>
        <v>#DIV/0!</v>
      </c>
      <c r="R1577" s="66" t="e">
        <f>IF(ISBLANK(M1577),0,Q1577*ROUND(N1577,2))</f>
        <v>#DIV/0!</v>
      </c>
      <c r="S1577" s="69" t="e">
        <f>ROUND(P1577,2)*Q1577</f>
        <v>#DIV/0!</v>
      </c>
      <c r="T1577" s="66" t="e">
        <f>Q1577*dagenperjaar1</f>
        <v>#DIV/0!</v>
      </c>
      <c r="U1577" s="70" t="e">
        <f>T1577*ROUND(P1577,2)</f>
        <v>#DIV/0!</v>
      </c>
    </row>
    <row r="1578" spans="1:21" x14ac:dyDescent="0.2">
      <c r="A1578" s="63" t="s">
        <v>2007</v>
      </c>
      <c r="B1578" s="64" t="s">
        <v>324</v>
      </c>
      <c r="C1578" s="64" t="s">
        <v>345</v>
      </c>
      <c r="D1578" s="64" t="s">
        <v>377</v>
      </c>
      <c r="E1578" s="64" t="s">
        <v>2013</v>
      </c>
      <c r="F1578" s="65" t="s">
        <v>578</v>
      </c>
      <c r="G1578" s="64" t="s">
        <v>328</v>
      </c>
      <c r="H1578" s="64" t="s">
        <v>267</v>
      </c>
      <c r="I1578" s="64" t="s">
        <v>10</v>
      </c>
      <c r="J1578" s="64" t="s">
        <v>201</v>
      </c>
      <c r="K1578" s="66">
        <v>6.7</v>
      </c>
      <c r="L1578" s="66">
        <f>K1578*VLOOKUP(I1578,dagsoorttabel1,2,FALSE)</f>
        <v>6.7</v>
      </c>
      <c r="M1578" s="67">
        <f>prodnorm65</f>
        <v>0</v>
      </c>
      <c r="N1578" s="68">
        <f>dagwerk65</f>
        <v>0</v>
      </c>
      <c r="O1578" s="64" t="s">
        <v>38</v>
      </c>
      <c r="P1578" s="69">
        <f>uurtarief65</f>
        <v>0</v>
      </c>
      <c r="Q1578" s="66" t="e">
        <f>IF(ISBLANK(M1578),0,L1578/ROUND(M1578,4))</f>
        <v>#DIV/0!</v>
      </c>
      <c r="R1578" s="66" t="e">
        <f>IF(ISBLANK(M1578),0,Q1578*ROUND(N1578,2))</f>
        <v>#DIV/0!</v>
      </c>
      <c r="S1578" s="69" t="e">
        <f>ROUND(P1578,2)*Q1578</f>
        <v>#DIV/0!</v>
      </c>
      <c r="T1578" s="66" t="e">
        <f>Q1578*dagenperjaar1</f>
        <v>#DIV/0!</v>
      </c>
      <c r="U1578" s="70" t="e">
        <f>T1578*ROUND(P1578,2)</f>
        <v>#DIV/0!</v>
      </c>
    </row>
    <row r="1579" spans="1:21" x14ac:dyDescent="0.2">
      <c r="A1579" s="63" t="s">
        <v>2007</v>
      </c>
      <c r="B1579" s="64" t="s">
        <v>324</v>
      </c>
      <c r="C1579" s="64" t="s">
        <v>345</v>
      </c>
      <c r="D1579" s="64" t="s">
        <v>382</v>
      </c>
      <c r="E1579" s="64" t="s">
        <v>2014</v>
      </c>
      <c r="F1579" s="65" t="s">
        <v>641</v>
      </c>
      <c r="G1579" s="64" t="s">
        <v>642</v>
      </c>
      <c r="H1579" s="64" t="s">
        <v>255</v>
      </c>
      <c r="I1579" s="64" t="s">
        <v>10</v>
      </c>
      <c r="J1579" s="64" t="s">
        <v>201</v>
      </c>
      <c r="K1579" s="66">
        <v>5.3</v>
      </c>
      <c r="L1579" s="66">
        <f>K1579*VLOOKUP(I1579,dagsoorttabel1,2,FALSE)</f>
        <v>5.3</v>
      </c>
      <c r="M1579" s="67">
        <f>prodnorm59</f>
        <v>0</v>
      </c>
      <c r="N1579" s="68">
        <f>dagwerk59</f>
        <v>0</v>
      </c>
      <c r="O1579" s="64" t="s">
        <v>38</v>
      </c>
      <c r="P1579" s="69">
        <f>uurtarief59</f>
        <v>0</v>
      </c>
      <c r="Q1579" s="66" t="e">
        <f>IF(ISBLANK(M1579),0,L1579/ROUND(M1579,4))</f>
        <v>#DIV/0!</v>
      </c>
      <c r="R1579" s="66" t="e">
        <f>IF(ISBLANK(M1579),0,Q1579*ROUND(N1579,2))</f>
        <v>#DIV/0!</v>
      </c>
      <c r="S1579" s="69" t="e">
        <f>ROUND(P1579,2)*Q1579</f>
        <v>#DIV/0!</v>
      </c>
      <c r="T1579" s="66" t="e">
        <f>Q1579*dagenperjaar1</f>
        <v>#DIV/0!</v>
      </c>
      <c r="U1579" s="70" t="e">
        <f>T1579*ROUND(P1579,2)</f>
        <v>#DIV/0!</v>
      </c>
    </row>
    <row r="1580" spans="1:21" x14ac:dyDescent="0.2">
      <c r="A1580" s="63" t="s">
        <v>2007</v>
      </c>
      <c r="B1580" s="64" t="s">
        <v>324</v>
      </c>
      <c r="C1580" s="64" t="s">
        <v>345</v>
      </c>
      <c r="D1580" s="64" t="s">
        <v>1317</v>
      </c>
      <c r="E1580" s="64" t="s">
        <v>2015</v>
      </c>
      <c r="F1580" s="65" t="s">
        <v>578</v>
      </c>
      <c r="G1580" s="64" t="s">
        <v>328</v>
      </c>
      <c r="H1580" s="64" t="s">
        <v>267</v>
      </c>
      <c r="I1580" s="64" t="s">
        <v>10</v>
      </c>
      <c r="J1580" s="64" t="s">
        <v>201</v>
      </c>
      <c r="K1580" s="66">
        <v>1.6</v>
      </c>
      <c r="L1580" s="66">
        <f>K1580*VLOOKUP(I1580,dagsoorttabel1,2,FALSE)</f>
        <v>1.6</v>
      </c>
      <c r="M1580" s="67">
        <f>prodnorm65</f>
        <v>0</v>
      </c>
      <c r="N1580" s="68">
        <f>dagwerk65</f>
        <v>0</v>
      </c>
      <c r="O1580" s="64" t="s">
        <v>38</v>
      </c>
      <c r="P1580" s="69">
        <f>uurtarief65</f>
        <v>0</v>
      </c>
      <c r="Q1580" s="66" t="e">
        <f>IF(ISBLANK(M1580),0,L1580/ROUND(M1580,4))</f>
        <v>#DIV/0!</v>
      </c>
      <c r="R1580" s="66" t="e">
        <f>IF(ISBLANK(M1580),0,Q1580*ROUND(N1580,2))</f>
        <v>#DIV/0!</v>
      </c>
      <c r="S1580" s="69" t="e">
        <f>ROUND(P1580,2)*Q1580</f>
        <v>#DIV/0!</v>
      </c>
      <c r="T1580" s="66" t="e">
        <f>Q1580*dagenperjaar1</f>
        <v>#DIV/0!</v>
      </c>
      <c r="U1580" s="70" t="e">
        <f>T1580*ROUND(P1580,2)</f>
        <v>#DIV/0!</v>
      </c>
    </row>
    <row r="1581" spans="1:21" x14ac:dyDescent="0.2">
      <c r="A1581" s="63" t="s">
        <v>2007</v>
      </c>
      <c r="B1581" s="64" t="s">
        <v>324</v>
      </c>
      <c r="C1581" s="64" t="s">
        <v>345</v>
      </c>
      <c r="D1581" s="64" t="s">
        <v>387</v>
      </c>
      <c r="E1581" s="64" t="s">
        <v>2016</v>
      </c>
      <c r="F1581" s="65" t="s">
        <v>641</v>
      </c>
      <c r="G1581" s="64" t="s">
        <v>642</v>
      </c>
      <c r="H1581" s="64" t="s">
        <v>255</v>
      </c>
      <c r="I1581" s="64" t="s">
        <v>10</v>
      </c>
      <c r="J1581" s="64" t="s">
        <v>201</v>
      </c>
      <c r="K1581" s="66">
        <v>6.3</v>
      </c>
      <c r="L1581" s="66">
        <f>K1581*VLOOKUP(I1581,dagsoorttabel1,2,FALSE)</f>
        <v>6.3</v>
      </c>
      <c r="M1581" s="67">
        <f>prodnorm59</f>
        <v>0</v>
      </c>
      <c r="N1581" s="68">
        <f>dagwerk59</f>
        <v>0</v>
      </c>
      <c r="O1581" s="64" t="s">
        <v>38</v>
      </c>
      <c r="P1581" s="69">
        <f>uurtarief59</f>
        <v>0</v>
      </c>
      <c r="Q1581" s="66" t="e">
        <f>IF(ISBLANK(M1581),0,L1581/ROUND(M1581,4))</f>
        <v>#DIV/0!</v>
      </c>
      <c r="R1581" s="66" t="e">
        <f>IF(ISBLANK(M1581),0,Q1581*ROUND(N1581,2))</f>
        <v>#DIV/0!</v>
      </c>
      <c r="S1581" s="69" t="e">
        <f>ROUND(P1581,2)*Q1581</f>
        <v>#DIV/0!</v>
      </c>
      <c r="T1581" s="66" t="e">
        <f>Q1581*dagenperjaar1</f>
        <v>#DIV/0!</v>
      </c>
      <c r="U1581" s="70" t="e">
        <f>T1581*ROUND(P1581,2)</f>
        <v>#DIV/0!</v>
      </c>
    </row>
    <row r="1582" spans="1:21" x14ac:dyDescent="0.2">
      <c r="A1582" s="63" t="s">
        <v>2007</v>
      </c>
      <c r="B1582" s="64" t="s">
        <v>324</v>
      </c>
      <c r="C1582" s="64" t="s">
        <v>345</v>
      </c>
      <c r="D1582" s="64" t="s">
        <v>869</v>
      </c>
      <c r="E1582" s="64" t="s">
        <v>2017</v>
      </c>
      <c r="F1582" s="65" t="s">
        <v>578</v>
      </c>
      <c r="G1582" s="64" t="s">
        <v>328</v>
      </c>
      <c r="H1582" s="64" t="s">
        <v>267</v>
      </c>
      <c r="I1582" s="64" t="s">
        <v>10</v>
      </c>
      <c r="J1582" s="64" t="s">
        <v>201</v>
      </c>
      <c r="K1582" s="66">
        <v>45.4</v>
      </c>
      <c r="L1582" s="66">
        <f>K1582*VLOOKUP(I1582,dagsoorttabel1,2,FALSE)</f>
        <v>45.4</v>
      </c>
      <c r="M1582" s="67">
        <f>prodnorm65</f>
        <v>0</v>
      </c>
      <c r="N1582" s="68">
        <f>dagwerk65</f>
        <v>0</v>
      </c>
      <c r="O1582" s="64" t="s">
        <v>38</v>
      </c>
      <c r="P1582" s="69">
        <f>uurtarief65</f>
        <v>0</v>
      </c>
      <c r="Q1582" s="66" t="e">
        <f>IF(ISBLANK(M1582),0,L1582/ROUND(M1582,4))</f>
        <v>#DIV/0!</v>
      </c>
      <c r="R1582" s="66" t="e">
        <f>IF(ISBLANK(M1582),0,Q1582*ROUND(N1582,2))</f>
        <v>#DIV/0!</v>
      </c>
      <c r="S1582" s="69" t="e">
        <f>ROUND(P1582,2)*Q1582</f>
        <v>#DIV/0!</v>
      </c>
      <c r="T1582" s="66" t="e">
        <f>Q1582*dagenperjaar1</f>
        <v>#DIV/0!</v>
      </c>
      <c r="U1582" s="70" t="e">
        <f>T1582*ROUND(P1582,2)</f>
        <v>#DIV/0!</v>
      </c>
    </row>
    <row r="1583" spans="1:21" x14ac:dyDescent="0.2">
      <c r="A1583" s="63" t="s">
        <v>2007</v>
      </c>
      <c r="B1583" s="64" t="s">
        <v>324</v>
      </c>
      <c r="C1583" s="64" t="s">
        <v>345</v>
      </c>
      <c r="D1583" s="64" t="s">
        <v>2018</v>
      </c>
      <c r="E1583" s="64" t="s">
        <v>2017</v>
      </c>
      <c r="F1583" s="65" t="s">
        <v>578</v>
      </c>
      <c r="G1583" s="64" t="s">
        <v>328</v>
      </c>
      <c r="H1583" s="64" t="s">
        <v>267</v>
      </c>
      <c r="I1583" s="64" t="s">
        <v>10</v>
      </c>
      <c r="J1583" s="64" t="s">
        <v>201</v>
      </c>
      <c r="K1583" s="66">
        <v>3.6</v>
      </c>
      <c r="L1583" s="66">
        <f>K1583*VLOOKUP(I1583,dagsoorttabel1,2,FALSE)</f>
        <v>3.6</v>
      </c>
      <c r="M1583" s="67">
        <f>prodnorm65</f>
        <v>0</v>
      </c>
      <c r="N1583" s="68">
        <f>dagwerk65</f>
        <v>0</v>
      </c>
      <c r="O1583" s="64" t="s">
        <v>38</v>
      </c>
      <c r="P1583" s="69">
        <f>uurtarief65</f>
        <v>0</v>
      </c>
      <c r="Q1583" s="66" t="e">
        <f>IF(ISBLANK(M1583),0,L1583/ROUND(M1583,4))</f>
        <v>#DIV/0!</v>
      </c>
      <c r="R1583" s="66" t="e">
        <f>IF(ISBLANK(M1583),0,Q1583*ROUND(N1583,2))</f>
        <v>#DIV/0!</v>
      </c>
      <c r="S1583" s="69" t="e">
        <f>ROUND(P1583,2)*Q1583</f>
        <v>#DIV/0!</v>
      </c>
      <c r="T1583" s="66" t="e">
        <f>Q1583*dagenperjaar1</f>
        <v>#DIV/0!</v>
      </c>
      <c r="U1583" s="70" t="e">
        <f>T1583*ROUND(P1583,2)</f>
        <v>#DIV/0!</v>
      </c>
    </row>
    <row r="1584" spans="1:21" x14ac:dyDescent="0.2">
      <c r="A1584" s="63" t="s">
        <v>2007</v>
      </c>
      <c r="B1584" s="64" t="s">
        <v>324</v>
      </c>
      <c r="C1584" s="64" t="s">
        <v>345</v>
      </c>
      <c r="D1584" s="64" t="s">
        <v>2019</v>
      </c>
      <c r="E1584" s="64" t="s">
        <v>2017</v>
      </c>
      <c r="F1584" s="65" t="s">
        <v>578</v>
      </c>
      <c r="G1584" s="64" t="s">
        <v>328</v>
      </c>
      <c r="H1584" s="64" t="s">
        <v>267</v>
      </c>
      <c r="I1584" s="64" t="s">
        <v>10</v>
      </c>
      <c r="J1584" s="64" t="s">
        <v>201</v>
      </c>
      <c r="K1584" s="66">
        <v>52.7</v>
      </c>
      <c r="L1584" s="66">
        <f>K1584*VLOOKUP(I1584,dagsoorttabel1,2,FALSE)</f>
        <v>52.7</v>
      </c>
      <c r="M1584" s="67">
        <f>prodnorm65</f>
        <v>0</v>
      </c>
      <c r="N1584" s="68">
        <f>dagwerk65</f>
        <v>0</v>
      </c>
      <c r="O1584" s="64" t="s">
        <v>38</v>
      </c>
      <c r="P1584" s="69">
        <f>uurtarief65</f>
        <v>0</v>
      </c>
      <c r="Q1584" s="66" t="e">
        <f>IF(ISBLANK(M1584),0,L1584/ROUND(M1584,4))</f>
        <v>#DIV/0!</v>
      </c>
      <c r="R1584" s="66" t="e">
        <f>IF(ISBLANK(M1584),0,Q1584*ROUND(N1584,2))</f>
        <v>#DIV/0!</v>
      </c>
      <c r="S1584" s="69" t="e">
        <f>ROUND(P1584,2)*Q1584</f>
        <v>#DIV/0!</v>
      </c>
      <c r="T1584" s="66" t="e">
        <f>Q1584*dagenperjaar1</f>
        <v>#DIV/0!</v>
      </c>
      <c r="U1584" s="70" t="e">
        <f>T1584*ROUND(P1584,2)</f>
        <v>#DIV/0!</v>
      </c>
    </row>
    <row r="1585" spans="1:21" x14ac:dyDescent="0.2">
      <c r="A1585" s="63" t="s">
        <v>2007</v>
      </c>
      <c r="B1585" s="64" t="s">
        <v>324</v>
      </c>
      <c r="C1585" s="64" t="s">
        <v>345</v>
      </c>
      <c r="D1585" s="64" t="s">
        <v>400</v>
      </c>
      <c r="E1585" s="64" t="s">
        <v>2020</v>
      </c>
      <c r="F1585" s="65" t="s">
        <v>578</v>
      </c>
      <c r="G1585" s="64" t="s">
        <v>351</v>
      </c>
      <c r="H1585" s="64" t="s">
        <v>269</v>
      </c>
      <c r="I1585" s="64" t="s">
        <v>10</v>
      </c>
      <c r="J1585" s="64" t="s">
        <v>201</v>
      </c>
      <c r="K1585" s="66">
        <v>11.1</v>
      </c>
      <c r="L1585" s="66">
        <f>K1585*VLOOKUP(I1585,dagsoorttabel1,2,FALSE)</f>
        <v>11.1</v>
      </c>
      <c r="M1585" s="67">
        <f>prodnorm67</f>
        <v>0</v>
      </c>
      <c r="N1585" s="68">
        <f>dagwerk67</f>
        <v>0</v>
      </c>
      <c r="O1585" s="64" t="s">
        <v>38</v>
      </c>
      <c r="P1585" s="69">
        <f>uurtarief67</f>
        <v>0</v>
      </c>
      <c r="Q1585" s="66" t="e">
        <f>IF(ISBLANK(M1585),0,L1585/ROUND(M1585,4))</f>
        <v>#DIV/0!</v>
      </c>
      <c r="R1585" s="66" t="e">
        <f>IF(ISBLANK(M1585),0,Q1585*ROUND(N1585,2))</f>
        <v>#DIV/0!</v>
      </c>
      <c r="S1585" s="69" t="e">
        <f>ROUND(P1585,2)*Q1585</f>
        <v>#DIV/0!</v>
      </c>
      <c r="T1585" s="66" t="e">
        <f>Q1585*dagenperjaar1</f>
        <v>#DIV/0!</v>
      </c>
      <c r="U1585" s="70" t="e">
        <f>T1585*ROUND(P1585,2)</f>
        <v>#DIV/0!</v>
      </c>
    </row>
    <row r="1586" spans="1:21" x14ac:dyDescent="0.2">
      <c r="A1586" s="63" t="s">
        <v>2007</v>
      </c>
      <c r="B1586" s="64" t="s">
        <v>324</v>
      </c>
      <c r="C1586" s="64" t="s">
        <v>345</v>
      </c>
      <c r="D1586" s="64" t="s">
        <v>402</v>
      </c>
      <c r="E1586" s="64" t="s">
        <v>2021</v>
      </c>
      <c r="F1586" s="65" t="s">
        <v>578</v>
      </c>
      <c r="G1586" s="64" t="s">
        <v>328</v>
      </c>
      <c r="H1586" s="64" t="s">
        <v>267</v>
      </c>
      <c r="I1586" s="64" t="s">
        <v>10</v>
      </c>
      <c r="J1586" s="64" t="s">
        <v>201</v>
      </c>
      <c r="K1586" s="66">
        <v>5.5</v>
      </c>
      <c r="L1586" s="66">
        <f>K1586*VLOOKUP(I1586,dagsoorttabel1,2,FALSE)</f>
        <v>5.5</v>
      </c>
      <c r="M1586" s="67">
        <f>prodnorm65</f>
        <v>0</v>
      </c>
      <c r="N1586" s="68">
        <f>dagwerk65</f>
        <v>0</v>
      </c>
      <c r="O1586" s="64" t="s">
        <v>38</v>
      </c>
      <c r="P1586" s="69">
        <f>uurtarief65</f>
        <v>0</v>
      </c>
      <c r="Q1586" s="66" t="e">
        <f>IF(ISBLANK(M1586),0,L1586/ROUND(M1586,4))</f>
        <v>#DIV/0!</v>
      </c>
      <c r="R1586" s="66" t="e">
        <f>IF(ISBLANK(M1586),0,Q1586*ROUND(N1586,2))</f>
        <v>#DIV/0!</v>
      </c>
      <c r="S1586" s="69" t="e">
        <f>ROUND(P1586,2)*Q1586</f>
        <v>#DIV/0!</v>
      </c>
      <c r="T1586" s="66" t="e">
        <f>Q1586*dagenperjaar1</f>
        <v>#DIV/0!</v>
      </c>
      <c r="U1586" s="70" t="e">
        <f>T1586*ROUND(P1586,2)</f>
        <v>#DIV/0!</v>
      </c>
    </row>
    <row r="1587" spans="1:21" x14ac:dyDescent="0.2">
      <c r="A1587" s="63" t="s">
        <v>2007</v>
      </c>
      <c r="B1587" s="64" t="s">
        <v>324</v>
      </c>
      <c r="C1587" s="64" t="s">
        <v>345</v>
      </c>
      <c r="D1587" s="64" t="s">
        <v>1321</v>
      </c>
      <c r="E1587" s="64" t="s">
        <v>2022</v>
      </c>
      <c r="F1587" s="65" t="s">
        <v>641</v>
      </c>
      <c r="G1587" s="64" t="s">
        <v>642</v>
      </c>
      <c r="H1587" s="64" t="s">
        <v>255</v>
      </c>
      <c r="I1587" s="64" t="s">
        <v>10</v>
      </c>
      <c r="J1587" s="64" t="s">
        <v>201</v>
      </c>
      <c r="K1587" s="66">
        <v>4.9000000000000004</v>
      </c>
      <c r="L1587" s="66">
        <f>K1587*VLOOKUP(I1587,dagsoorttabel1,2,FALSE)</f>
        <v>4.9000000000000004</v>
      </c>
      <c r="M1587" s="67">
        <f>prodnorm59</f>
        <v>0</v>
      </c>
      <c r="N1587" s="68">
        <f>dagwerk59</f>
        <v>0</v>
      </c>
      <c r="O1587" s="64" t="s">
        <v>38</v>
      </c>
      <c r="P1587" s="69">
        <f>uurtarief59</f>
        <v>0</v>
      </c>
      <c r="Q1587" s="66" t="e">
        <f>IF(ISBLANK(M1587),0,L1587/ROUND(M1587,4))</f>
        <v>#DIV/0!</v>
      </c>
      <c r="R1587" s="66" t="e">
        <f>IF(ISBLANK(M1587),0,Q1587*ROUND(N1587,2))</f>
        <v>#DIV/0!</v>
      </c>
      <c r="S1587" s="69" t="e">
        <f>ROUND(P1587,2)*Q1587</f>
        <v>#DIV/0!</v>
      </c>
      <c r="T1587" s="66" t="e">
        <f>Q1587*dagenperjaar1</f>
        <v>#DIV/0!</v>
      </c>
      <c r="U1587" s="70" t="e">
        <f>T1587*ROUND(P1587,2)</f>
        <v>#DIV/0!</v>
      </c>
    </row>
    <row r="1588" spans="1:21" x14ac:dyDescent="0.2">
      <c r="A1588" s="63" t="s">
        <v>2007</v>
      </c>
      <c r="B1588" s="64" t="s">
        <v>324</v>
      </c>
      <c r="C1588" s="64" t="s">
        <v>345</v>
      </c>
      <c r="D1588" s="64" t="s">
        <v>416</v>
      </c>
      <c r="E1588" s="64" t="s">
        <v>2023</v>
      </c>
      <c r="F1588" s="65" t="s">
        <v>578</v>
      </c>
      <c r="G1588" s="64" t="s">
        <v>642</v>
      </c>
      <c r="H1588" s="64" t="s">
        <v>267</v>
      </c>
      <c r="I1588" s="64" t="s">
        <v>10</v>
      </c>
      <c r="J1588" s="64" t="s">
        <v>201</v>
      </c>
      <c r="K1588" s="66">
        <v>5.9</v>
      </c>
      <c r="L1588" s="66">
        <f>K1588*VLOOKUP(I1588,dagsoorttabel1,2,FALSE)</f>
        <v>5.9</v>
      </c>
      <c r="M1588" s="67">
        <f>prodnorm65</f>
        <v>0</v>
      </c>
      <c r="N1588" s="68">
        <f>dagwerk65</f>
        <v>0</v>
      </c>
      <c r="O1588" s="64" t="s">
        <v>38</v>
      </c>
      <c r="P1588" s="69">
        <f>uurtarief65</f>
        <v>0</v>
      </c>
      <c r="Q1588" s="66" t="e">
        <f>IF(ISBLANK(M1588),0,L1588/ROUND(M1588,4))</f>
        <v>#DIV/0!</v>
      </c>
      <c r="R1588" s="66" t="e">
        <f>IF(ISBLANK(M1588),0,Q1588*ROUND(N1588,2))</f>
        <v>#DIV/0!</v>
      </c>
      <c r="S1588" s="69" t="e">
        <f>ROUND(P1588,2)*Q1588</f>
        <v>#DIV/0!</v>
      </c>
      <c r="T1588" s="66" t="e">
        <f>Q1588*dagenperjaar1</f>
        <v>#DIV/0!</v>
      </c>
      <c r="U1588" s="70" t="e">
        <f>T1588*ROUND(P1588,2)</f>
        <v>#DIV/0!</v>
      </c>
    </row>
    <row r="1589" spans="1:21" x14ac:dyDescent="0.2">
      <c r="A1589" s="63" t="s">
        <v>2007</v>
      </c>
      <c r="B1589" s="64" t="s">
        <v>324</v>
      </c>
      <c r="C1589" s="64" t="s">
        <v>345</v>
      </c>
      <c r="D1589" s="64" t="s">
        <v>423</v>
      </c>
      <c r="E1589" s="64" t="s">
        <v>2024</v>
      </c>
      <c r="F1589" s="65" t="s">
        <v>555</v>
      </c>
      <c r="G1589" s="64" t="s">
        <v>642</v>
      </c>
      <c r="H1589" s="64" t="s">
        <v>241</v>
      </c>
      <c r="I1589" s="64" t="s">
        <v>10</v>
      </c>
      <c r="J1589" s="64" t="s">
        <v>201</v>
      </c>
      <c r="K1589" s="66">
        <v>7.2</v>
      </c>
      <c r="L1589" s="66">
        <f>K1589*VLOOKUP(I1589,dagsoorttabel1,2,FALSE)</f>
        <v>7.2</v>
      </c>
      <c r="M1589" s="67">
        <f>prodnorm51</f>
        <v>0</v>
      </c>
      <c r="N1589" s="68">
        <f>dagwerk51</f>
        <v>0</v>
      </c>
      <c r="O1589" s="64" t="s">
        <v>38</v>
      </c>
      <c r="P1589" s="69">
        <f>uurtarief51</f>
        <v>0</v>
      </c>
      <c r="Q1589" s="66" t="e">
        <f>IF(ISBLANK(M1589),0,L1589/ROUND(M1589,4))</f>
        <v>#DIV/0!</v>
      </c>
      <c r="R1589" s="66" t="e">
        <f>IF(ISBLANK(M1589),0,Q1589*ROUND(N1589,2))</f>
        <v>#DIV/0!</v>
      </c>
      <c r="S1589" s="69" t="e">
        <f>ROUND(P1589,2)*Q1589</f>
        <v>#DIV/0!</v>
      </c>
      <c r="T1589" s="66" t="e">
        <f>Q1589*dagenperjaar1</f>
        <v>#DIV/0!</v>
      </c>
      <c r="U1589" s="70" t="e">
        <f>T1589*ROUND(P1589,2)</f>
        <v>#DIV/0!</v>
      </c>
    </row>
    <row r="1590" spans="1:21" x14ac:dyDescent="0.2">
      <c r="A1590" s="63" t="s">
        <v>2007</v>
      </c>
      <c r="B1590" s="64" t="s">
        <v>324</v>
      </c>
      <c r="C1590" s="64" t="s">
        <v>345</v>
      </c>
      <c r="D1590" s="64" t="s">
        <v>1594</v>
      </c>
      <c r="E1590" s="64" t="s">
        <v>2025</v>
      </c>
      <c r="F1590" s="65" t="s">
        <v>1788</v>
      </c>
      <c r="G1590" s="64" t="s">
        <v>328</v>
      </c>
      <c r="H1590" s="64" t="s">
        <v>200</v>
      </c>
      <c r="I1590" s="64" t="s">
        <v>10</v>
      </c>
      <c r="J1590" s="64" t="s">
        <v>201</v>
      </c>
      <c r="K1590" s="66">
        <v>61.3</v>
      </c>
      <c r="L1590" s="66">
        <f>K1590*VLOOKUP(I1590,dagsoorttabel1,2,FALSE)</f>
        <v>61.3</v>
      </c>
      <c r="M1590" s="67">
        <f>prodnorm24</f>
        <v>0</v>
      </c>
      <c r="N1590" s="68">
        <f>dagwerk24</f>
        <v>0</v>
      </c>
      <c r="O1590" s="64" t="s">
        <v>38</v>
      </c>
      <c r="P1590" s="69">
        <f>uurtarief24</f>
        <v>0</v>
      </c>
      <c r="Q1590" s="66" t="e">
        <f>IF(ISBLANK(M1590),0,L1590/ROUND(M1590,4))</f>
        <v>#DIV/0!</v>
      </c>
      <c r="R1590" s="66" t="e">
        <f>IF(ISBLANK(M1590),0,Q1590*ROUND(N1590,2))</f>
        <v>#DIV/0!</v>
      </c>
      <c r="S1590" s="69" t="e">
        <f>ROUND(P1590,2)*Q1590</f>
        <v>#DIV/0!</v>
      </c>
      <c r="T1590" s="66" t="e">
        <f>Q1590*dagenperjaar1</f>
        <v>#DIV/0!</v>
      </c>
      <c r="U1590" s="70" t="e">
        <f>T1590*ROUND(P1590,2)</f>
        <v>#DIV/0!</v>
      </c>
    </row>
    <row r="1591" spans="1:21" x14ac:dyDescent="0.2">
      <c r="A1591" s="63" t="s">
        <v>2007</v>
      </c>
      <c r="B1591" s="64" t="s">
        <v>324</v>
      </c>
      <c r="C1591" s="64" t="s">
        <v>345</v>
      </c>
      <c r="D1591" s="64" t="s">
        <v>1596</v>
      </c>
      <c r="E1591" s="64" t="s">
        <v>2026</v>
      </c>
      <c r="F1591" s="65" t="s">
        <v>638</v>
      </c>
      <c r="G1591" s="64" t="s">
        <v>351</v>
      </c>
      <c r="H1591" s="64" t="s">
        <v>265</v>
      </c>
      <c r="I1591" s="64" t="s">
        <v>10</v>
      </c>
      <c r="J1591" s="64" t="s">
        <v>201</v>
      </c>
      <c r="K1591" s="66">
        <v>4.3</v>
      </c>
      <c r="L1591" s="66">
        <f>K1591*VLOOKUP(I1591,dagsoorttabel1,2,FALSE)</f>
        <v>4.3</v>
      </c>
      <c r="M1591" s="67">
        <f>prodnorm64</f>
        <v>0</v>
      </c>
      <c r="N1591" s="68">
        <f>dagwerk64</f>
        <v>0</v>
      </c>
      <c r="O1591" s="64" t="s">
        <v>38</v>
      </c>
      <c r="P1591" s="69">
        <f>uurtarief64</f>
        <v>0</v>
      </c>
      <c r="Q1591" s="66" t="e">
        <f>IF(ISBLANK(M1591),0,L1591/ROUND(M1591,4))</f>
        <v>#DIV/0!</v>
      </c>
      <c r="R1591" s="66" t="e">
        <f>IF(ISBLANK(M1591),0,Q1591*ROUND(N1591,2))</f>
        <v>#DIV/0!</v>
      </c>
      <c r="S1591" s="69" t="e">
        <f>ROUND(P1591,2)*Q1591</f>
        <v>#DIV/0!</v>
      </c>
      <c r="T1591" s="66" t="e">
        <f>Q1591*dagenperjaar1</f>
        <v>#DIV/0!</v>
      </c>
      <c r="U1591" s="70" t="e">
        <f>T1591*ROUND(P1591,2)</f>
        <v>#DIV/0!</v>
      </c>
    </row>
    <row r="1592" spans="1:21" x14ac:dyDescent="0.2">
      <c r="A1592" s="63" t="s">
        <v>2007</v>
      </c>
      <c r="B1592" s="64" t="s">
        <v>324</v>
      </c>
      <c r="C1592" s="64" t="s">
        <v>345</v>
      </c>
      <c r="D1592" s="64" t="s">
        <v>873</v>
      </c>
      <c r="E1592" s="64" t="s">
        <v>2027</v>
      </c>
      <c r="F1592" s="65" t="s">
        <v>381</v>
      </c>
      <c r="G1592" s="64" t="s">
        <v>328</v>
      </c>
      <c r="H1592" s="64" t="s">
        <v>205</v>
      </c>
      <c r="I1592" s="64" t="s">
        <v>10</v>
      </c>
      <c r="J1592" s="64" t="s">
        <v>201</v>
      </c>
      <c r="K1592" s="66">
        <v>8.1</v>
      </c>
      <c r="L1592" s="66">
        <f>K1592*VLOOKUP(I1592,dagsoorttabel1,2,FALSE)</f>
        <v>8.1</v>
      </c>
      <c r="M1592" s="67">
        <f>prodnorm26</f>
        <v>0</v>
      </c>
      <c r="N1592" s="68">
        <f>dagwerk26</f>
        <v>0</v>
      </c>
      <c r="O1592" s="64" t="s">
        <v>38</v>
      </c>
      <c r="P1592" s="69">
        <f>uurtarief26</f>
        <v>0</v>
      </c>
      <c r="Q1592" s="66" t="e">
        <f>IF(ISBLANK(M1592),0,L1592/ROUND(M1592,4))</f>
        <v>#DIV/0!</v>
      </c>
      <c r="R1592" s="66" t="e">
        <f>IF(ISBLANK(M1592),0,Q1592*ROUND(N1592,2))</f>
        <v>#DIV/0!</v>
      </c>
      <c r="S1592" s="69" t="e">
        <f>ROUND(P1592,2)*Q1592</f>
        <v>#DIV/0!</v>
      </c>
      <c r="T1592" s="66" t="e">
        <f>Q1592*dagenperjaar1</f>
        <v>#DIV/0!</v>
      </c>
      <c r="U1592" s="70" t="e">
        <f>T1592*ROUND(P1592,2)</f>
        <v>#DIV/0!</v>
      </c>
    </row>
    <row r="1593" spans="1:21" x14ac:dyDescent="0.2">
      <c r="A1593" s="63" t="s">
        <v>2007</v>
      </c>
      <c r="B1593" s="64" t="s">
        <v>324</v>
      </c>
      <c r="C1593" s="64" t="s">
        <v>345</v>
      </c>
      <c r="D1593" s="64" t="s">
        <v>874</v>
      </c>
      <c r="E1593" s="64" t="s">
        <v>2028</v>
      </c>
      <c r="F1593" s="65" t="s">
        <v>578</v>
      </c>
      <c r="G1593" s="64" t="s">
        <v>328</v>
      </c>
      <c r="H1593" s="64" t="s">
        <v>267</v>
      </c>
      <c r="I1593" s="64" t="s">
        <v>10</v>
      </c>
      <c r="J1593" s="64" t="s">
        <v>201</v>
      </c>
      <c r="K1593" s="66">
        <v>2.8</v>
      </c>
      <c r="L1593" s="66">
        <f>K1593*VLOOKUP(I1593,dagsoorttabel1,2,FALSE)</f>
        <v>2.8</v>
      </c>
      <c r="M1593" s="67">
        <f>prodnorm65</f>
        <v>0</v>
      </c>
      <c r="N1593" s="68">
        <f>dagwerk65</f>
        <v>0</v>
      </c>
      <c r="O1593" s="64" t="s">
        <v>38</v>
      </c>
      <c r="P1593" s="69">
        <f>uurtarief65</f>
        <v>0</v>
      </c>
      <c r="Q1593" s="66" t="e">
        <f>IF(ISBLANK(M1593),0,L1593/ROUND(M1593,4))</f>
        <v>#DIV/0!</v>
      </c>
      <c r="R1593" s="66" t="e">
        <f>IF(ISBLANK(M1593),0,Q1593*ROUND(N1593,2))</f>
        <v>#DIV/0!</v>
      </c>
      <c r="S1593" s="69" t="e">
        <f>ROUND(P1593,2)*Q1593</f>
        <v>#DIV/0!</v>
      </c>
      <c r="T1593" s="66" t="e">
        <f>Q1593*dagenperjaar1</f>
        <v>#DIV/0!</v>
      </c>
      <c r="U1593" s="70" t="e">
        <f>T1593*ROUND(P1593,2)</f>
        <v>#DIV/0!</v>
      </c>
    </row>
    <row r="1594" spans="1:21" x14ac:dyDescent="0.2">
      <c r="A1594" s="63" t="s">
        <v>2007</v>
      </c>
      <c r="B1594" s="64" t="s">
        <v>324</v>
      </c>
      <c r="C1594" s="64" t="s">
        <v>345</v>
      </c>
      <c r="D1594" s="64" t="s">
        <v>875</v>
      </c>
      <c r="E1594" s="64" t="s">
        <v>2029</v>
      </c>
      <c r="F1594" s="65" t="s">
        <v>2030</v>
      </c>
      <c r="G1594" s="64" t="s">
        <v>328</v>
      </c>
      <c r="H1594" s="64" t="s">
        <v>205</v>
      </c>
      <c r="I1594" s="64" t="s">
        <v>10</v>
      </c>
      <c r="J1594" s="64" t="s">
        <v>201</v>
      </c>
      <c r="K1594" s="66">
        <v>4.7</v>
      </c>
      <c r="L1594" s="66">
        <f>K1594*VLOOKUP(I1594,dagsoorttabel1,2,FALSE)</f>
        <v>4.7</v>
      </c>
      <c r="M1594" s="67">
        <f>prodnorm26</f>
        <v>0</v>
      </c>
      <c r="N1594" s="68">
        <f>dagwerk26</f>
        <v>0</v>
      </c>
      <c r="O1594" s="64" t="s">
        <v>38</v>
      </c>
      <c r="P1594" s="69">
        <f>uurtarief26</f>
        <v>0</v>
      </c>
      <c r="Q1594" s="66" t="e">
        <f>IF(ISBLANK(M1594),0,L1594/ROUND(M1594,4))</f>
        <v>#DIV/0!</v>
      </c>
      <c r="R1594" s="66" t="e">
        <f>IF(ISBLANK(M1594),0,Q1594*ROUND(N1594,2))</f>
        <v>#DIV/0!</v>
      </c>
      <c r="S1594" s="69" t="e">
        <f>ROUND(P1594,2)*Q1594</f>
        <v>#DIV/0!</v>
      </c>
      <c r="T1594" s="66" t="e">
        <f>Q1594*dagenperjaar1</f>
        <v>#DIV/0!</v>
      </c>
      <c r="U1594" s="70" t="e">
        <f>T1594*ROUND(P1594,2)</f>
        <v>#DIV/0!</v>
      </c>
    </row>
    <row r="1595" spans="1:21" x14ac:dyDescent="0.2">
      <c r="A1595" s="63" t="s">
        <v>2007</v>
      </c>
      <c r="B1595" s="64" t="s">
        <v>324</v>
      </c>
      <c r="C1595" s="64" t="s">
        <v>345</v>
      </c>
      <c r="D1595" s="64" t="s">
        <v>1324</v>
      </c>
      <c r="E1595" s="64" t="s">
        <v>2031</v>
      </c>
      <c r="F1595" s="65" t="s">
        <v>457</v>
      </c>
      <c r="G1595" s="64" t="s">
        <v>328</v>
      </c>
      <c r="H1595" s="64" t="s">
        <v>229</v>
      </c>
      <c r="I1595" s="64" t="s">
        <v>10</v>
      </c>
      <c r="J1595" s="64" t="s">
        <v>201</v>
      </c>
      <c r="K1595" s="66">
        <v>31.3</v>
      </c>
      <c r="L1595" s="66">
        <f>K1595*VLOOKUP(I1595,dagsoorttabel1,2,FALSE)</f>
        <v>31.3</v>
      </c>
      <c r="M1595" s="67">
        <f>prodnorm43</f>
        <v>0</v>
      </c>
      <c r="N1595" s="68">
        <f>dagwerk43</f>
        <v>0</v>
      </c>
      <c r="O1595" s="64" t="s">
        <v>38</v>
      </c>
      <c r="P1595" s="69">
        <f>uurtarief43</f>
        <v>0</v>
      </c>
      <c r="Q1595" s="66" t="e">
        <f>IF(ISBLANK(M1595),0,L1595/ROUND(M1595,4))</f>
        <v>#DIV/0!</v>
      </c>
      <c r="R1595" s="66" t="e">
        <f>IF(ISBLANK(M1595),0,Q1595*ROUND(N1595,2))</f>
        <v>#DIV/0!</v>
      </c>
      <c r="S1595" s="69" t="e">
        <f>ROUND(P1595,2)*Q1595</f>
        <v>#DIV/0!</v>
      </c>
      <c r="T1595" s="66" t="e">
        <f>Q1595*dagenperjaar1</f>
        <v>#DIV/0!</v>
      </c>
      <c r="U1595" s="70" t="e">
        <f>T1595*ROUND(P1595,2)</f>
        <v>#DIV/0!</v>
      </c>
    </row>
    <row r="1596" spans="1:21" x14ac:dyDescent="0.2">
      <c r="A1596" s="63" t="s">
        <v>2007</v>
      </c>
      <c r="B1596" s="64" t="s">
        <v>324</v>
      </c>
      <c r="C1596" s="64" t="s">
        <v>345</v>
      </c>
      <c r="D1596" s="64" t="s">
        <v>876</v>
      </c>
      <c r="E1596" s="64" t="s">
        <v>2032</v>
      </c>
      <c r="F1596" s="65" t="s">
        <v>638</v>
      </c>
      <c r="G1596" s="64" t="s">
        <v>2033</v>
      </c>
      <c r="H1596" s="64" t="s">
        <v>263</v>
      </c>
      <c r="I1596" s="64" t="s">
        <v>10</v>
      </c>
      <c r="J1596" s="64" t="s">
        <v>201</v>
      </c>
      <c r="K1596" s="66">
        <v>2.5</v>
      </c>
      <c r="L1596" s="66">
        <f>K1596*VLOOKUP(I1596,dagsoorttabel1,2,FALSE)</f>
        <v>2.5</v>
      </c>
      <c r="M1596" s="67">
        <f>prodnorm63</f>
        <v>0</v>
      </c>
      <c r="N1596" s="68">
        <f>dagwerk63</f>
        <v>0</v>
      </c>
      <c r="O1596" s="64" t="s">
        <v>38</v>
      </c>
      <c r="P1596" s="69">
        <f>uurtarief63</f>
        <v>0</v>
      </c>
      <c r="Q1596" s="66" t="e">
        <f>IF(ISBLANK(M1596),0,L1596/ROUND(M1596,4))</f>
        <v>#DIV/0!</v>
      </c>
      <c r="R1596" s="66" t="e">
        <f>IF(ISBLANK(M1596),0,Q1596*ROUND(N1596,2))</f>
        <v>#DIV/0!</v>
      </c>
      <c r="S1596" s="69" t="e">
        <f>ROUND(P1596,2)*Q1596</f>
        <v>#DIV/0!</v>
      </c>
      <c r="T1596" s="66" t="e">
        <f>Q1596*dagenperjaar1</f>
        <v>#DIV/0!</v>
      </c>
      <c r="U1596" s="70" t="e">
        <f>T1596*ROUND(P1596,2)</f>
        <v>#DIV/0!</v>
      </c>
    </row>
    <row r="1597" spans="1:21" x14ac:dyDescent="0.2">
      <c r="A1597" s="63" t="s">
        <v>2007</v>
      </c>
      <c r="B1597" s="64" t="s">
        <v>324</v>
      </c>
      <c r="C1597" s="64" t="s">
        <v>345</v>
      </c>
      <c r="D1597" s="64" t="s">
        <v>877</v>
      </c>
      <c r="E1597" s="64" t="s">
        <v>2034</v>
      </c>
      <c r="F1597" s="65" t="s">
        <v>578</v>
      </c>
      <c r="G1597" s="64" t="s">
        <v>328</v>
      </c>
      <c r="H1597" s="64" t="s">
        <v>267</v>
      </c>
      <c r="I1597" s="64" t="s">
        <v>10</v>
      </c>
      <c r="J1597" s="64" t="s">
        <v>201</v>
      </c>
      <c r="K1597" s="66">
        <v>5</v>
      </c>
      <c r="L1597" s="66">
        <f>K1597*VLOOKUP(I1597,dagsoorttabel1,2,FALSE)</f>
        <v>5</v>
      </c>
      <c r="M1597" s="67">
        <f>prodnorm65</f>
        <v>0</v>
      </c>
      <c r="N1597" s="68">
        <f>dagwerk65</f>
        <v>0</v>
      </c>
      <c r="O1597" s="64" t="s">
        <v>38</v>
      </c>
      <c r="P1597" s="69">
        <f>uurtarief65</f>
        <v>0</v>
      </c>
      <c r="Q1597" s="66" t="e">
        <f>IF(ISBLANK(M1597),0,L1597/ROUND(M1597,4))</f>
        <v>#DIV/0!</v>
      </c>
      <c r="R1597" s="66" t="e">
        <f>IF(ISBLANK(M1597),0,Q1597*ROUND(N1597,2))</f>
        <v>#DIV/0!</v>
      </c>
      <c r="S1597" s="69" t="e">
        <f>ROUND(P1597,2)*Q1597</f>
        <v>#DIV/0!</v>
      </c>
      <c r="T1597" s="66" t="e">
        <f>Q1597*dagenperjaar1</f>
        <v>#DIV/0!</v>
      </c>
      <c r="U1597" s="70" t="e">
        <f>T1597*ROUND(P1597,2)</f>
        <v>#DIV/0!</v>
      </c>
    </row>
    <row r="1598" spans="1:21" x14ac:dyDescent="0.2">
      <c r="A1598" s="63" t="s">
        <v>2007</v>
      </c>
      <c r="B1598" s="64" t="s">
        <v>324</v>
      </c>
      <c r="C1598" s="64" t="s">
        <v>345</v>
      </c>
      <c r="D1598" s="64" t="s">
        <v>879</v>
      </c>
      <c r="E1598" s="64" t="s">
        <v>2035</v>
      </c>
      <c r="F1598" s="65" t="s">
        <v>457</v>
      </c>
      <c r="G1598" s="64" t="s">
        <v>328</v>
      </c>
      <c r="H1598" s="64" t="s">
        <v>229</v>
      </c>
      <c r="I1598" s="64" t="s">
        <v>10</v>
      </c>
      <c r="J1598" s="64" t="s">
        <v>201</v>
      </c>
      <c r="K1598" s="66">
        <v>61.1</v>
      </c>
      <c r="L1598" s="66">
        <f>K1598*VLOOKUP(I1598,dagsoorttabel1,2,FALSE)</f>
        <v>61.1</v>
      </c>
      <c r="M1598" s="67">
        <f>prodnorm43</f>
        <v>0</v>
      </c>
      <c r="N1598" s="68">
        <f>dagwerk43</f>
        <v>0</v>
      </c>
      <c r="O1598" s="64" t="s">
        <v>38</v>
      </c>
      <c r="P1598" s="69">
        <f>uurtarief43</f>
        <v>0</v>
      </c>
      <c r="Q1598" s="66" t="e">
        <f>IF(ISBLANK(M1598),0,L1598/ROUND(M1598,4))</f>
        <v>#DIV/0!</v>
      </c>
      <c r="R1598" s="66" t="e">
        <f>IF(ISBLANK(M1598),0,Q1598*ROUND(N1598,2))</f>
        <v>#DIV/0!</v>
      </c>
      <c r="S1598" s="69" t="e">
        <f>ROUND(P1598,2)*Q1598</f>
        <v>#DIV/0!</v>
      </c>
      <c r="T1598" s="66" t="e">
        <f>Q1598*dagenperjaar1</f>
        <v>#DIV/0!</v>
      </c>
      <c r="U1598" s="70" t="e">
        <f>T1598*ROUND(P1598,2)</f>
        <v>#DIV/0!</v>
      </c>
    </row>
    <row r="1599" spans="1:21" x14ac:dyDescent="0.2">
      <c r="A1599" s="63" t="s">
        <v>2007</v>
      </c>
      <c r="B1599" s="64" t="s">
        <v>324</v>
      </c>
      <c r="C1599" s="64" t="s">
        <v>345</v>
      </c>
      <c r="D1599" s="64" t="s">
        <v>880</v>
      </c>
      <c r="E1599" s="64" t="s">
        <v>2036</v>
      </c>
      <c r="F1599" s="65" t="s">
        <v>457</v>
      </c>
      <c r="G1599" s="64" t="s">
        <v>328</v>
      </c>
      <c r="H1599" s="64" t="s">
        <v>229</v>
      </c>
      <c r="I1599" s="64" t="s">
        <v>10</v>
      </c>
      <c r="J1599" s="64" t="s">
        <v>201</v>
      </c>
      <c r="K1599" s="66">
        <v>49.4</v>
      </c>
      <c r="L1599" s="66">
        <f>K1599*VLOOKUP(I1599,dagsoorttabel1,2,FALSE)</f>
        <v>49.4</v>
      </c>
      <c r="M1599" s="67">
        <f>prodnorm43</f>
        <v>0</v>
      </c>
      <c r="N1599" s="68">
        <f>dagwerk43</f>
        <v>0</v>
      </c>
      <c r="O1599" s="64" t="s">
        <v>38</v>
      </c>
      <c r="P1599" s="69">
        <f>uurtarief43</f>
        <v>0</v>
      </c>
      <c r="Q1599" s="66" t="e">
        <f>IF(ISBLANK(M1599),0,L1599/ROUND(M1599,4))</f>
        <v>#DIV/0!</v>
      </c>
      <c r="R1599" s="66" t="e">
        <f>IF(ISBLANK(M1599),0,Q1599*ROUND(N1599,2))</f>
        <v>#DIV/0!</v>
      </c>
      <c r="S1599" s="69" t="e">
        <f>ROUND(P1599,2)*Q1599</f>
        <v>#DIV/0!</v>
      </c>
      <c r="T1599" s="66" t="e">
        <f>Q1599*dagenperjaar1</f>
        <v>#DIV/0!</v>
      </c>
      <c r="U1599" s="70" t="e">
        <f>T1599*ROUND(P1599,2)</f>
        <v>#DIV/0!</v>
      </c>
    </row>
    <row r="1600" spans="1:21" x14ac:dyDescent="0.2">
      <c r="A1600" s="63" t="s">
        <v>2007</v>
      </c>
      <c r="B1600" s="64" t="s">
        <v>324</v>
      </c>
      <c r="C1600" s="64" t="s">
        <v>345</v>
      </c>
      <c r="D1600" s="64" t="s">
        <v>1330</v>
      </c>
      <c r="E1600" s="64" t="s">
        <v>2037</v>
      </c>
      <c r="F1600" s="65" t="s">
        <v>578</v>
      </c>
      <c r="G1600" s="64" t="s">
        <v>328</v>
      </c>
      <c r="H1600" s="64" t="s">
        <v>267</v>
      </c>
      <c r="I1600" s="64" t="s">
        <v>10</v>
      </c>
      <c r="J1600" s="64" t="s">
        <v>201</v>
      </c>
      <c r="K1600" s="66">
        <v>24.5</v>
      </c>
      <c r="L1600" s="66">
        <f>K1600*VLOOKUP(I1600,dagsoorttabel1,2,FALSE)</f>
        <v>24.5</v>
      </c>
      <c r="M1600" s="67">
        <f>prodnorm65</f>
        <v>0</v>
      </c>
      <c r="N1600" s="68">
        <f>dagwerk65</f>
        <v>0</v>
      </c>
      <c r="O1600" s="64" t="s">
        <v>38</v>
      </c>
      <c r="P1600" s="69">
        <f>uurtarief65</f>
        <v>0</v>
      </c>
      <c r="Q1600" s="66" t="e">
        <f>IF(ISBLANK(M1600),0,L1600/ROUND(M1600,4))</f>
        <v>#DIV/0!</v>
      </c>
      <c r="R1600" s="66" t="e">
        <f>IF(ISBLANK(M1600),0,Q1600*ROUND(N1600,2))</f>
        <v>#DIV/0!</v>
      </c>
      <c r="S1600" s="69" t="e">
        <f>ROUND(P1600,2)*Q1600</f>
        <v>#DIV/0!</v>
      </c>
      <c r="T1600" s="66" t="e">
        <f>Q1600*dagenperjaar1</f>
        <v>#DIV/0!</v>
      </c>
      <c r="U1600" s="70" t="e">
        <f>T1600*ROUND(P1600,2)</f>
        <v>#DIV/0!</v>
      </c>
    </row>
    <row r="1601" spans="1:21" x14ac:dyDescent="0.2">
      <c r="A1601" s="63" t="s">
        <v>2007</v>
      </c>
      <c r="B1601" s="64" t="s">
        <v>324</v>
      </c>
      <c r="C1601" s="64" t="s">
        <v>345</v>
      </c>
      <c r="D1601" s="64" t="s">
        <v>881</v>
      </c>
      <c r="E1601" s="64" t="s">
        <v>2038</v>
      </c>
      <c r="F1601" s="65" t="s">
        <v>457</v>
      </c>
      <c r="G1601" s="64" t="s">
        <v>328</v>
      </c>
      <c r="H1601" s="64" t="s">
        <v>229</v>
      </c>
      <c r="I1601" s="64" t="s">
        <v>10</v>
      </c>
      <c r="J1601" s="64" t="s">
        <v>201</v>
      </c>
      <c r="K1601" s="66">
        <v>42.1</v>
      </c>
      <c r="L1601" s="66">
        <f>K1601*VLOOKUP(I1601,dagsoorttabel1,2,FALSE)</f>
        <v>42.1</v>
      </c>
      <c r="M1601" s="67">
        <f>prodnorm43</f>
        <v>0</v>
      </c>
      <c r="N1601" s="68">
        <f>dagwerk43</f>
        <v>0</v>
      </c>
      <c r="O1601" s="64" t="s">
        <v>38</v>
      </c>
      <c r="P1601" s="69">
        <f>uurtarief43</f>
        <v>0</v>
      </c>
      <c r="Q1601" s="66" t="e">
        <f>IF(ISBLANK(M1601),0,L1601/ROUND(M1601,4))</f>
        <v>#DIV/0!</v>
      </c>
      <c r="R1601" s="66" t="e">
        <f>IF(ISBLANK(M1601),0,Q1601*ROUND(N1601,2))</f>
        <v>#DIV/0!</v>
      </c>
      <c r="S1601" s="69" t="e">
        <f>ROUND(P1601,2)*Q1601</f>
        <v>#DIV/0!</v>
      </c>
      <c r="T1601" s="66" t="e">
        <f>Q1601*dagenperjaar1</f>
        <v>#DIV/0!</v>
      </c>
      <c r="U1601" s="70" t="e">
        <f>T1601*ROUND(P1601,2)</f>
        <v>#DIV/0!</v>
      </c>
    </row>
    <row r="1602" spans="1:21" x14ac:dyDescent="0.2">
      <c r="A1602" s="63" t="s">
        <v>2007</v>
      </c>
      <c r="B1602" s="64" t="s">
        <v>324</v>
      </c>
      <c r="C1602" s="64" t="s">
        <v>345</v>
      </c>
      <c r="D1602" s="64" t="s">
        <v>882</v>
      </c>
      <c r="E1602" s="64" t="s">
        <v>2039</v>
      </c>
      <c r="F1602" s="65" t="s">
        <v>638</v>
      </c>
      <c r="G1602" s="64" t="s">
        <v>351</v>
      </c>
      <c r="H1602" s="64" t="s">
        <v>265</v>
      </c>
      <c r="I1602" s="64" t="s">
        <v>10</v>
      </c>
      <c r="J1602" s="64" t="s">
        <v>201</v>
      </c>
      <c r="K1602" s="66">
        <v>2.1</v>
      </c>
      <c r="L1602" s="66">
        <f>K1602*VLOOKUP(I1602,dagsoorttabel1,2,FALSE)</f>
        <v>2.1</v>
      </c>
      <c r="M1602" s="67">
        <f>prodnorm64</f>
        <v>0</v>
      </c>
      <c r="N1602" s="68">
        <f>dagwerk64</f>
        <v>0</v>
      </c>
      <c r="O1602" s="64" t="s">
        <v>38</v>
      </c>
      <c r="P1602" s="69">
        <f>uurtarief64</f>
        <v>0</v>
      </c>
      <c r="Q1602" s="66" t="e">
        <f>IF(ISBLANK(M1602),0,L1602/ROUND(M1602,4))</f>
        <v>#DIV/0!</v>
      </c>
      <c r="R1602" s="66" t="e">
        <f>IF(ISBLANK(M1602),0,Q1602*ROUND(N1602,2))</f>
        <v>#DIV/0!</v>
      </c>
      <c r="S1602" s="69" t="e">
        <f>ROUND(P1602,2)*Q1602</f>
        <v>#DIV/0!</v>
      </c>
      <c r="T1602" s="66" t="e">
        <f>Q1602*dagenperjaar1</f>
        <v>#DIV/0!</v>
      </c>
      <c r="U1602" s="70" t="e">
        <f>T1602*ROUND(P1602,2)</f>
        <v>#DIV/0!</v>
      </c>
    </row>
    <row r="1603" spans="1:21" x14ac:dyDescent="0.2">
      <c r="A1603" s="63" t="s">
        <v>2007</v>
      </c>
      <c r="B1603" s="64" t="s">
        <v>324</v>
      </c>
      <c r="C1603" s="64" t="s">
        <v>345</v>
      </c>
      <c r="D1603" s="64" t="s">
        <v>883</v>
      </c>
      <c r="E1603" s="64" t="s">
        <v>2040</v>
      </c>
      <c r="F1603" s="65" t="s">
        <v>457</v>
      </c>
      <c r="G1603" s="64" t="s">
        <v>328</v>
      </c>
      <c r="H1603" s="64" t="s">
        <v>229</v>
      </c>
      <c r="I1603" s="64" t="s">
        <v>10</v>
      </c>
      <c r="J1603" s="64" t="s">
        <v>201</v>
      </c>
      <c r="K1603" s="66">
        <v>67.099999999999994</v>
      </c>
      <c r="L1603" s="66">
        <f>K1603*VLOOKUP(I1603,dagsoorttabel1,2,FALSE)</f>
        <v>67.099999999999994</v>
      </c>
      <c r="M1603" s="67">
        <f>prodnorm43</f>
        <v>0</v>
      </c>
      <c r="N1603" s="68">
        <f>dagwerk43</f>
        <v>0</v>
      </c>
      <c r="O1603" s="64" t="s">
        <v>38</v>
      </c>
      <c r="P1603" s="69">
        <f>uurtarief43</f>
        <v>0</v>
      </c>
      <c r="Q1603" s="66" t="e">
        <f>IF(ISBLANK(M1603),0,L1603/ROUND(M1603,4))</f>
        <v>#DIV/0!</v>
      </c>
      <c r="R1603" s="66" t="e">
        <f>IF(ISBLANK(M1603),0,Q1603*ROUND(N1603,2))</f>
        <v>#DIV/0!</v>
      </c>
      <c r="S1603" s="69" t="e">
        <f>ROUND(P1603,2)*Q1603</f>
        <v>#DIV/0!</v>
      </c>
      <c r="T1603" s="66" t="e">
        <f>Q1603*dagenperjaar1</f>
        <v>#DIV/0!</v>
      </c>
      <c r="U1603" s="70" t="e">
        <f>T1603*ROUND(P1603,2)</f>
        <v>#DIV/0!</v>
      </c>
    </row>
    <row r="1604" spans="1:21" x14ac:dyDescent="0.2">
      <c r="A1604" s="63" t="s">
        <v>2007</v>
      </c>
      <c r="B1604" s="64" t="s">
        <v>324</v>
      </c>
      <c r="C1604" s="64" t="s">
        <v>345</v>
      </c>
      <c r="D1604" s="64" t="s">
        <v>1332</v>
      </c>
      <c r="E1604" s="64" t="s">
        <v>2041</v>
      </c>
      <c r="F1604" s="65" t="s">
        <v>1049</v>
      </c>
      <c r="G1604" s="64" t="s">
        <v>642</v>
      </c>
      <c r="H1604" s="64" t="s">
        <v>255</v>
      </c>
      <c r="I1604" s="64" t="s">
        <v>10</v>
      </c>
      <c r="J1604" s="64" t="s">
        <v>201</v>
      </c>
      <c r="K1604" s="66">
        <v>3.5</v>
      </c>
      <c r="L1604" s="66">
        <f>K1604*VLOOKUP(I1604,dagsoorttabel1,2,FALSE)</f>
        <v>3.5</v>
      </c>
      <c r="M1604" s="67">
        <f>prodnorm59</f>
        <v>0</v>
      </c>
      <c r="N1604" s="68">
        <f>dagwerk59</f>
        <v>0</v>
      </c>
      <c r="O1604" s="64" t="s">
        <v>38</v>
      </c>
      <c r="P1604" s="69">
        <f>uurtarief59</f>
        <v>0</v>
      </c>
      <c r="Q1604" s="66" t="e">
        <f>IF(ISBLANK(M1604),0,L1604/ROUND(M1604,4))</f>
        <v>#DIV/0!</v>
      </c>
      <c r="R1604" s="66" t="e">
        <f>IF(ISBLANK(M1604),0,Q1604*ROUND(N1604,2))</f>
        <v>#DIV/0!</v>
      </c>
      <c r="S1604" s="69" t="e">
        <f>ROUND(P1604,2)*Q1604</f>
        <v>#DIV/0!</v>
      </c>
      <c r="T1604" s="66" t="e">
        <f>Q1604*dagenperjaar1</f>
        <v>#DIV/0!</v>
      </c>
      <c r="U1604" s="70" t="e">
        <f>T1604*ROUND(P1604,2)</f>
        <v>#DIV/0!</v>
      </c>
    </row>
    <row r="1605" spans="1:21" x14ac:dyDescent="0.2">
      <c r="A1605" s="63" t="s">
        <v>2007</v>
      </c>
      <c r="B1605" s="64" t="s">
        <v>324</v>
      </c>
      <c r="C1605" s="64" t="s">
        <v>345</v>
      </c>
      <c r="D1605" s="64" t="s">
        <v>1333</v>
      </c>
      <c r="E1605" s="64" t="s">
        <v>2042</v>
      </c>
      <c r="F1605" s="65" t="s">
        <v>641</v>
      </c>
      <c r="G1605" s="64" t="s">
        <v>642</v>
      </c>
      <c r="H1605" s="64" t="s">
        <v>255</v>
      </c>
      <c r="I1605" s="64" t="s">
        <v>10</v>
      </c>
      <c r="J1605" s="64" t="s">
        <v>201</v>
      </c>
      <c r="K1605" s="66">
        <v>1.3</v>
      </c>
      <c r="L1605" s="66">
        <f>K1605*VLOOKUP(I1605,dagsoorttabel1,2,FALSE)</f>
        <v>1.3</v>
      </c>
      <c r="M1605" s="67">
        <f>prodnorm59</f>
        <v>0</v>
      </c>
      <c r="N1605" s="68">
        <f>dagwerk59</f>
        <v>0</v>
      </c>
      <c r="O1605" s="64" t="s">
        <v>38</v>
      </c>
      <c r="P1605" s="69">
        <f>uurtarief59</f>
        <v>0</v>
      </c>
      <c r="Q1605" s="66" t="e">
        <f>IF(ISBLANK(M1605),0,L1605/ROUND(M1605,4))</f>
        <v>#DIV/0!</v>
      </c>
      <c r="R1605" s="66" t="e">
        <f>IF(ISBLANK(M1605),0,Q1605*ROUND(N1605,2))</f>
        <v>#DIV/0!</v>
      </c>
      <c r="S1605" s="69" t="e">
        <f>ROUND(P1605,2)*Q1605</f>
        <v>#DIV/0!</v>
      </c>
      <c r="T1605" s="66" t="e">
        <f>Q1605*dagenperjaar1</f>
        <v>#DIV/0!</v>
      </c>
      <c r="U1605" s="70" t="e">
        <f>T1605*ROUND(P1605,2)</f>
        <v>#DIV/0!</v>
      </c>
    </row>
    <row r="1606" spans="1:21" x14ac:dyDescent="0.2">
      <c r="A1606" s="63" t="s">
        <v>2007</v>
      </c>
      <c r="B1606" s="64" t="s">
        <v>324</v>
      </c>
      <c r="C1606" s="64" t="s">
        <v>345</v>
      </c>
      <c r="D1606" s="64" t="s">
        <v>885</v>
      </c>
      <c r="E1606" s="64" t="s">
        <v>2043</v>
      </c>
      <c r="F1606" s="65" t="s">
        <v>641</v>
      </c>
      <c r="G1606" s="64" t="s">
        <v>642</v>
      </c>
      <c r="H1606" s="64" t="s">
        <v>255</v>
      </c>
      <c r="I1606" s="64" t="s">
        <v>10</v>
      </c>
      <c r="J1606" s="64" t="s">
        <v>201</v>
      </c>
      <c r="K1606" s="66">
        <v>1.3</v>
      </c>
      <c r="L1606" s="66">
        <f>K1606*VLOOKUP(I1606,dagsoorttabel1,2,FALSE)</f>
        <v>1.3</v>
      </c>
      <c r="M1606" s="67">
        <f>prodnorm59</f>
        <v>0</v>
      </c>
      <c r="N1606" s="68">
        <f>dagwerk59</f>
        <v>0</v>
      </c>
      <c r="O1606" s="64" t="s">
        <v>38</v>
      </c>
      <c r="P1606" s="69">
        <f>uurtarief59</f>
        <v>0</v>
      </c>
      <c r="Q1606" s="66" t="e">
        <f>IF(ISBLANK(M1606),0,L1606/ROUND(M1606,4))</f>
        <v>#DIV/0!</v>
      </c>
      <c r="R1606" s="66" t="e">
        <f>IF(ISBLANK(M1606),0,Q1606*ROUND(N1606,2))</f>
        <v>#DIV/0!</v>
      </c>
      <c r="S1606" s="69" t="e">
        <f>ROUND(P1606,2)*Q1606</f>
        <v>#DIV/0!</v>
      </c>
      <c r="T1606" s="66" t="e">
        <f>Q1606*dagenperjaar1</f>
        <v>#DIV/0!</v>
      </c>
      <c r="U1606" s="70" t="e">
        <f>T1606*ROUND(P1606,2)</f>
        <v>#DIV/0!</v>
      </c>
    </row>
    <row r="1607" spans="1:21" x14ac:dyDescent="0.2">
      <c r="A1607" s="63" t="s">
        <v>2007</v>
      </c>
      <c r="B1607" s="64" t="s">
        <v>324</v>
      </c>
      <c r="C1607" s="64" t="s">
        <v>345</v>
      </c>
      <c r="D1607" s="64" t="s">
        <v>886</v>
      </c>
      <c r="E1607" s="64" t="s">
        <v>2044</v>
      </c>
      <c r="F1607" s="65" t="s">
        <v>555</v>
      </c>
      <c r="G1607" s="64" t="s">
        <v>328</v>
      </c>
      <c r="H1607" s="64" t="s">
        <v>241</v>
      </c>
      <c r="I1607" s="64" t="s">
        <v>10</v>
      </c>
      <c r="J1607" s="64" t="s">
        <v>201</v>
      </c>
      <c r="K1607" s="66">
        <v>4.5</v>
      </c>
      <c r="L1607" s="66">
        <f>K1607*VLOOKUP(I1607,dagsoorttabel1,2,FALSE)</f>
        <v>4.5</v>
      </c>
      <c r="M1607" s="67">
        <f>prodnorm51</f>
        <v>0</v>
      </c>
      <c r="N1607" s="68">
        <f>dagwerk51</f>
        <v>0</v>
      </c>
      <c r="O1607" s="64" t="s">
        <v>38</v>
      </c>
      <c r="P1607" s="69">
        <f>uurtarief51</f>
        <v>0</v>
      </c>
      <c r="Q1607" s="66" t="e">
        <f>IF(ISBLANK(M1607),0,L1607/ROUND(M1607,4))</f>
        <v>#DIV/0!</v>
      </c>
      <c r="R1607" s="66" t="e">
        <f>IF(ISBLANK(M1607),0,Q1607*ROUND(N1607,2))</f>
        <v>#DIV/0!</v>
      </c>
      <c r="S1607" s="69" t="e">
        <f>ROUND(P1607,2)*Q1607</f>
        <v>#DIV/0!</v>
      </c>
      <c r="T1607" s="66" t="e">
        <f>Q1607*dagenperjaar1</f>
        <v>#DIV/0!</v>
      </c>
      <c r="U1607" s="70" t="e">
        <f>T1607*ROUND(P1607,2)</f>
        <v>#DIV/0!</v>
      </c>
    </row>
    <row r="1608" spans="1:21" x14ac:dyDescent="0.2">
      <c r="A1608" s="63" t="s">
        <v>2007</v>
      </c>
      <c r="B1608" s="64" t="s">
        <v>324</v>
      </c>
      <c r="C1608" s="64" t="s">
        <v>345</v>
      </c>
      <c r="D1608" s="64" t="s">
        <v>1337</v>
      </c>
      <c r="E1608" s="64" t="s">
        <v>2045</v>
      </c>
      <c r="F1608" s="65" t="s">
        <v>457</v>
      </c>
      <c r="G1608" s="64" t="s">
        <v>328</v>
      </c>
      <c r="H1608" s="64" t="s">
        <v>229</v>
      </c>
      <c r="I1608" s="64" t="s">
        <v>10</v>
      </c>
      <c r="J1608" s="64" t="s">
        <v>201</v>
      </c>
      <c r="K1608" s="66">
        <v>48.4</v>
      </c>
      <c r="L1608" s="66">
        <f>K1608*VLOOKUP(I1608,dagsoorttabel1,2,FALSE)</f>
        <v>48.4</v>
      </c>
      <c r="M1608" s="67">
        <f>prodnorm43</f>
        <v>0</v>
      </c>
      <c r="N1608" s="68">
        <f>dagwerk43</f>
        <v>0</v>
      </c>
      <c r="O1608" s="64" t="s">
        <v>38</v>
      </c>
      <c r="P1608" s="69">
        <f>uurtarief43</f>
        <v>0</v>
      </c>
      <c r="Q1608" s="66" t="e">
        <f>IF(ISBLANK(M1608),0,L1608/ROUND(M1608,4))</f>
        <v>#DIV/0!</v>
      </c>
      <c r="R1608" s="66" t="e">
        <f>IF(ISBLANK(M1608),0,Q1608*ROUND(N1608,2))</f>
        <v>#DIV/0!</v>
      </c>
      <c r="S1608" s="69" t="e">
        <f>ROUND(P1608,2)*Q1608</f>
        <v>#DIV/0!</v>
      </c>
      <c r="T1608" s="66" t="e">
        <f>Q1608*dagenperjaar1</f>
        <v>#DIV/0!</v>
      </c>
      <c r="U1608" s="70" t="e">
        <f>T1608*ROUND(P1608,2)</f>
        <v>#DIV/0!</v>
      </c>
    </row>
    <row r="1609" spans="1:21" x14ac:dyDescent="0.2">
      <c r="A1609" s="63" t="s">
        <v>2007</v>
      </c>
      <c r="B1609" s="64" t="s">
        <v>324</v>
      </c>
      <c r="C1609" s="64" t="s">
        <v>345</v>
      </c>
      <c r="D1609" s="64" t="s">
        <v>1768</v>
      </c>
      <c r="E1609" s="64" t="s">
        <v>2046</v>
      </c>
      <c r="F1609" s="65" t="s">
        <v>638</v>
      </c>
      <c r="G1609" s="64" t="s">
        <v>538</v>
      </c>
      <c r="H1609" s="64" t="s">
        <v>263</v>
      </c>
      <c r="I1609" s="64" t="s">
        <v>10</v>
      </c>
      <c r="J1609" s="64" t="s">
        <v>201</v>
      </c>
      <c r="K1609" s="66">
        <v>3.5</v>
      </c>
      <c r="L1609" s="66">
        <f>K1609*VLOOKUP(I1609,dagsoorttabel1,2,FALSE)</f>
        <v>3.5</v>
      </c>
      <c r="M1609" s="67">
        <f>prodnorm63</f>
        <v>0</v>
      </c>
      <c r="N1609" s="68">
        <f>dagwerk63</f>
        <v>0</v>
      </c>
      <c r="O1609" s="64" t="s">
        <v>38</v>
      </c>
      <c r="P1609" s="69">
        <f>uurtarief63</f>
        <v>0</v>
      </c>
      <c r="Q1609" s="66" t="e">
        <f>IF(ISBLANK(M1609),0,L1609/ROUND(M1609,4))</f>
        <v>#DIV/0!</v>
      </c>
      <c r="R1609" s="66" t="e">
        <f>IF(ISBLANK(M1609),0,Q1609*ROUND(N1609,2))</f>
        <v>#DIV/0!</v>
      </c>
      <c r="S1609" s="69" t="e">
        <f>ROUND(P1609,2)*Q1609</f>
        <v>#DIV/0!</v>
      </c>
      <c r="T1609" s="66" t="e">
        <f>Q1609*dagenperjaar1</f>
        <v>#DIV/0!</v>
      </c>
      <c r="U1609" s="70" t="e">
        <f>T1609*ROUND(P1609,2)</f>
        <v>#DIV/0!</v>
      </c>
    </row>
    <row r="1610" spans="1:21" x14ac:dyDescent="0.2">
      <c r="A1610" s="63" t="s">
        <v>2007</v>
      </c>
      <c r="B1610" s="64" t="s">
        <v>324</v>
      </c>
      <c r="C1610" s="64" t="s">
        <v>345</v>
      </c>
      <c r="D1610" s="64" t="s">
        <v>1339</v>
      </c>
      <c r="E1610" s="64" t="s">
        <v>2047</v>
      </c>
      <c r="F1610" s="65" t="s">
        <v>2048</v>
      </c>
      <c r="G1610" s="64" t="s">
        <v>685</v>
      </c>
      <c r="H1610" s="64" t="s">
        <v>217</v>
      </c>
      <c r="I1610" s="64" t="s">
        <v>10</v>
      </c>
      <c r="J1610" s="64" t="s">
        <v>201</v>
      </c>
      <c r="K1610" s="66">
        <v>2.6</v>
      </c>
      <c r="L1610" s="66">
        <f>K1610*VLOOKUP(I1610,dagsoorttabel1,2,FALSE)</f>
        <v>2.6</v>
      </c>
      <c r="M1610" s="67">
        <f>prodnorm35</f>
        <v>0</v>
      </c>
      <c r="N1610" s="68">
        <f>dagwerk35</f>
        <v>0</v>
      </c>
      <c r="O1610" s="64" t="s">
        <v>38</v>
      </c>
      <c r="P1610" s="69">
        <f>uurtarief35</f>
        <v>0</v>
      </c>
      <c r="Q1610" s="66" t="e">
        <f>IF(ISBLANK(M1610),0,L1610/ROUND(M1610,4))</f>
        <v>#DIV/0!</v>
      </c>
      <c r="R1610" s="66" t="e">
        <f>IF(ISBLANK(M1610),0,Q1610*ROUND(N1610,2))</f>
        <v>#DIV/0!</v>
      </c>
      <c r="S1610" s="69" t="e">
        <f>ROUND(P1610,2)*Q1610</f>
        <v>#DIV/0!</v>
      </c>
      <c r="T1610" s="66" t="e">
        <f>Q1610*dagenperjaar1</f>
        <v>#DIV/0!</v>
      </c>
      <c r="U1610" s="70" t="e">
        <f>T1610*ROUND(P1610,2)</f>
        <v>#DIV/0!</v>
      </c>
    </row>
    <row r="1611" spans="1:21" x14ac:dyDescent="0.2">
      <c r="A1611" s="63" t="s">
        <v>2007</v>
      </c>
      <c r="B1611" s="64" t="s">
        <v>324</v>
      </c>
      <c r="C1611" s="64" t="s">
        <v>323</v>
      </c>
      <c r="D1611" s="64" t="s">
        <v>438</v>
      </c>
      <c r="E1611" s="64" t="s">
        <v>2049</v>
      </c>
      <c r="F1611" s="65" t="s">
        <v>578</v>
      </c>
      <c r="G1611" s="64" t="s">
        <v>328</v>
      </c>
      <c r="H1611" s="64" t="s">
        <v>267</v>
      </c>
      <c r="I1611" s="64" t="s">
        <v>10</v>
      </c>
      <c r="J1611" s="64" t="s">
        <v>201</v>
      </c>
      <c r="K1611" s="66">
        <v>19.3</v>
      </c>
      <c r="L1611" s="66">
        <f>K1611*VLOOKUP(I1611,dagsoorttabel1,2,FALSE)</f>
        <v>19.3</v>
      </c>
      <c r="M1611" s="67">
        <f>prodnorm65</f>
        <v>0</v>
      </c>
      <c r="N1611" s="68">
        <f>dagwerk65</f>
        <v>0</v>
      </c>
      <c r="O1611" s="64" t="s">
        <v>38</v>
      </c>
      <c r="P1611" s="69">
        <f>uurtarief65</f>
        <v>0</v>
      </c>
      <c r="Q1611" s="66" t="e">
        <f>IF(ISBLANK(M1611),0,L1611/ROUND(M1611,4))</f>
        <v>#DIV/0!</v>
      </c>
      <c r="R1611" s="66" t="e">
        <f>IF(ISBLANK(M1611),0,Q1611*ROUND(N1611,2))</f>
        <v>#DIV/0!</v>
      </c>
      <c r="S1611" s="69" t="e">
        <f>ROUND(P1611,2)*Q1611</f>
        <v>#DIV/0!</v>
      </c>
      <c r="T1611" s="66" t="e">
        <f>Q1611*dagenperjaar1</f>
        <v>#DIV/0!</v>
      </c>
      <c r="U1611" s="70" t="e">
        <f>T1611*ROUND(P1611,2)</f>
        <v>#DIV/0!</v>
      </c>
    </row>
    <row r="1612" spans="1:21" x14ac:dyDescent="0.2">
      <c r="A1612" s="63" t="s">
        <v>2007</v>
      </c>
      <c r="B1612" s="64" t="s">
        <v>324</v>
      </c>
      <c r="C1612" s="64" t="s">
        <v>323</v>
      </c>
      <c r="D1612" s="64" t="s">
        <v>442</v>
      </c>
      <c r="E1612" s="64" t="s">
        <v>2050</v>
      </c>
      <c r="F1612" s="65" t="s">
        <v>578</v>
      </c>
      <c r="G1612" s="64" t="s">
        <v>328</v>
      </c>
      <c r="H1612" s="64" t="s">
        <v>267</v>
      </c>
      <c r="I1612" s="64" t="s">
        <v>10</v>
      </c>
      <c r="J1612" s="64" t="s">
        <v>201</v>
      </c>
      <c r="K1612" s="66">
        <v>7.8</v>
      </c>
      <c r="L1612" s="66">
        <f>K1612*VLOOKUP(I1612,dagsoorttabel1,2,FALSE)</f>
        <v>7.8</v>
      </c>
      <c r="M1612" s="67">
        <f>prodnorm65</f>
        <v>0</v>
      </c>
      <c r="N1612" s="68">
        <f>dagwerk65</f>
        <v>0</v>
      </c>
      <c r="O1612" s="64" t="s">
        <v>38</v>
      </c>
      <c r="P1612" s="69">
        <f>uurtarief65</f>
        <v>0</v>
      </c>
      <c r="Q1612" s="66" t="e">
        <f>IF(ISBLANK(M1612),0,L1612/ROUND(M1612,4))</f>
        <v>#DIV/0!</v>
      </c>
      <c r="R1612" s="66" t="e">
        <f>IF(ISBLANK(M1612),0,Q1612*ROUND(N1612,2))</f>
        <v>#DIV/0!</v>
      </c>
      <c r="S1612" s="69" t="e">
        <f>ROUND(P1612,2)*Q1612</f>
        <v>#DIV/0!</v>
      </c>
      <c r="T1612" s="66" t="e">
        <f>Q1612*dagenperjaar1</f>
        <v>#DIV/0!</v>
      </c>
      <c r="U1612" s="70" t="e">
        <f>T1612*ROUND(P1612,2)</f>
        <v>#DIV/0!</v>
      </c>
    </row>
    <row r="1613" spans="1:21" x14ac:dyDescent="0.2">
      <c r="A1613" s="63" t="s">
        <v>2007</v>
      </c>
      <c r="B1613" s="64" t="s">
        <v>324</v>
      </c>
      <c r="C1613" s="64" t="s">
        <v>323</v>
      </c>
      <c r="D1613" s="64" t="s">
        <v>918</v>
      </c>
      <c r="E1613" s="64" t="s">
        <v>2051</v>
      </c>
      <c r="F1613" s="65" t="s">
        <v>457</v>
      </c>
      <c r="G1613" s="64" t="s">
        <v>328</v>
      </c>
      <c r="H1613" s="64" t="s">
        <v>229</v>
      </c>
      <c r="I1613" s="64" t="s">
        <v>10</v>
      </c>
      <c r="J1613" s="64" t="s">
        <v>201</v>
      </c>
      <c r="K1613" s="66">
        <v>46.4</v>
      </c>
      <c r="L1613" s="66">
        <f>K1613*VLOOKUP(I1613,dagsoorttabel1,2,FALSE)</f>
        <v>46.4</v>
      </c>
      <c r="M1613" s="67">
        <f>prodnorm43</f>
        <v>0</v>
      </c>
      <c r="N1613" s="68">
        <f>dagwerk43</f>
        <v>0</v>
      </c>
      <c r="O1613" s="64" t="s">
        <v>38</v>
      </c>
      <c r="P1613" s="69">
        <f>uurtarief43</f>
        <v>0</v>
      </c>
      <c r="Q1613" s="66" t="e">
        <f>IF(ISBLANK(M1613),0,L1613/ROUND(M1613,4))</f>
        <v>#DIV/0!</v>
      </c>
      <c r="R1613" s="66" t="e">
        <f>IF(ISBLANK(M1613),0,Q1613*ROUND(N1613,2))</f>
        <v>#DIV/0!</v>
      </c>
      <c r="S1613" s="69" t="e">
        <f>ROUND(P1613,2)*Q1613</f>
        <v>#DIV/0!</v>
      </c>
      <c r="T1613" s="66" t="e">
        <f>Q1613*dagenperjaar1</f>
        <v>#DIV/0!</v>
      </c>
      <c r="U1613" s="70" t="e">
        <f>T1613*ROUND(P1613,2)</f>
        <v>#DIV/0!</v>
      </c>
    </row>
    <row r="1614" spans="1:21" x14ac:dyDescent="0.2">
      <c r="A1614" s="63" t="s">
        <v>2007</v>
      </c>
      <c r="B1614" s="64" t="s">
        <v>324</v>
      </c>
      <c r="C1614" s="64" t="s">
        <v>323</v>
      </c>
      <c r="D1614" s="64" t="s">
        <v>444</v>
      </c>
      <c r="E1614" s="64" t="s">
        <v>2052</v>
      </c>
      <c r="F1614" s="65" t="s">
        <v>381</v>
      </c>
      <c r="G1614" s="64" t="s">
        <v>328</v>
      </c>
      <c r="H1614" s="64" t="s">
        <v>205</v>
      </c>
      <c r="I1614" s="64" t="s">
        <v>10</v>
      </c>
      <c r="J1614" s="64" t="s">
        <v>201</v>
      </c>
      <c r="K1614" s="66">
        <v>13.6</v>
      </c>
      <c r="L1614" s="66">
        <f>K1614*VLOOKUP(I1614,dagsoorttabel1,2,FALSE)</f>
        <v>13.6</v>
      </c>
      <c r="M1614" s="67">
        <f>prodnorm26</f>
        <v>0</v>
      </c>
      <c r="N1614" s="68">
        <f>dagwerk26</f>
        <v>0</v>
      </c>
      <c r="O1614" s="64" t="s">
        <v>38</v>
      </c>
      <c r="P1614" s="69">
        <f>uurtarief26</f>
        <v>0</v>
      </c>
      <c r="Q1614" s="66" t="e">
        <f>IF(ISBLANK(M1614),0,L1614/ROUND(M1614,4))</f>
        <v>#DIV/0!</v>
      </c>
      <c r="R1614" s="66" t="e">
        <f>IF(ISBLANK(M1614),0,Q1614*ROUND(N1614,2))</f>
        <v>#DIV/0!</v>
      </c>
      <c r="S1614" s="69" t="e">
        <f>ROUND(P1614,2)*Q1614</f>
        <v>#DIV/0!</v>
      </c>
      <c r="T1614" s="66" t="e">
        <f>Q1614*dagenperjaar1</f>
        <v>#DIV/0!</v>
      </c>
      <c r="U1614" s="70" t="e">
        <f>T1614*ROUND(P1614,2)</f>
        <v>#DIV/0!</v>
      </c>
    </row>
    <row r="1615" spans="1:21" x14ac:dyDescent="0.2">
      <c r="A1615" s="63" t="s">
        <v>2007</v>
      </c>
      <c r="B1615" s="64" t="s">
        <v>324</v>
      </c>
      <c r="C1615" s="64" t="s">
        <v>323</v>
      </c>
      <c r="D1615" s="64" t="s">
        <v>921</v>
      </c>
      <c r="E1615" s="64" t="s">
        <v>2053</v>
      </c>
      <c r="F1615" s="65" t="s">
        <v>578</v>
      </c>
      <c r="G1615" s="64" t="s">
        <v>328</v>
      </c>
      <c r="H1615" s="64" t="s">
        <v>267</v>
      </c>
      <c r="I1615" s="64" t="s">
        <v>10</v>
      </c>
      <c r="J1615" s="64" t="s">
        <v>201</v>
      </c>
      <c r="K1615" s="66">
        <v>14.7</v>
      </c>
      <c r="L1615" s="66">
        <f>K1615*VLOOKUP(I1615,dagsoorttabel1,2,FALSE)</f>
        <v>14.7</v>
      </c>
      <c r="M1615" s="67">
        <f>prodnorm65</f>
        <v>0</v>
      </c>
      <c r="N1615" s="68">
        <f>dagwerk65</f>
        <v>0</v>
      </c>
      <c r="O1615" s="64" t="s">
        <v>38</v>
      </c>
      <c r="P1615" s="69">
        <f>uurtarief65</f>
        <v>0</v>
      </c>
      <c r="Q1615" s="66" t="e">
        <f>IF(ISBLANK(M1615),0,L1615/ROUND(M1615,4))</f>
        <v>#DIV/0!</v>
      </c>
      <c r="R1615" s="66" t="e">
        <f>IF(ISBLANK(M1615),0,Q1615*ROUND(N1615,2))</f>
        <v>#DIV/0!</v>
      </c>
      <c r="S1615" s="69" t="e">
        <f>ROUND(P1615,2)*Q1615</f>
        <v>#DIV/0!</v>
      </c>
      <c r="T1615" s="66" t="e">
        <f>Q1615*dagenperjaar1</f>
        <v>#DIV/0!</v>
      </c>
      <c r="U1615" s="70" t="e">
        <f>T1615*ROUND(P1615,2)</f>
        <v>#DIV/0!</v>
      </c>
    </row>
    <row r="1616" spans="1:21" x14ac:dyDescent="0.2">
      <c r="A1616" s="63" t="s">
        <v>2007</v>
      </c>
      <c r="B1616" s="64" t="s">
        <v>324</v>
      </c>
      <c r="C1616" s="64" t="s">
        <v>323</v>
      </c>
      <c r="D1616" s="64" t="s">
        <v>448</v>
      </c>
      <c r="E1616" s="64" t="s">
        <v>2054</v>
      </c>
      <c r="F1616" s="65" t="s">
        <v>578</v>
      </c>
      <c r="G1616" s="64" t="s">
        <v>328</v>
      </c>
      <c r="H1616" s="64" t="s">
        <v>267</v>
      </c>
      <c r="I1616" s="64" t="s">
        <v>10</v>
      </c>
      <c r="J1616" s="64" t="s">
        <v>201</v>
      </c>
      <c r="K1616" s="66">
        <v>3.2</v>
      </c>
      <c r="L1616" s="66">
        <f>K1616*VLOOKUP(I1616,dagsoorttabel1,2,FALSE)</f>
        <v>3.2</v>
      </c>
      <c r="M1616" s="67">
        <f>prodnorm65</f>
        <v>0</v>
      </c>
      <c r="N1616" s="68">
        <f>dagwerk65</f>
        <v>0</v>
      </c>
      <c r="O1616" s="64" t="s">
        <v>38</v>
      </c>
      <c r="P1616" s="69">
        <f>uurtarief65</f>
        <v>0</v>
      </c>
      <c r="Q1616" s="66" t="e">
        <f>IF(ISBLANK(M1616),0,L1616/ROUND(M1616,4))</f>
        <v>#DIV/0!</v>
      </c>
      <c r="R1616" s="66" t="e">
        <f>IF(ISBLANK(M1616),0,Q1616*ROUND(N1616,2))</f>
        <v>#DIV/0!</v>
      </c>
      <c r="S1616" s="69" t="e">
        <f>ROUND(P1616,2)*Q1616</f>
        <v>#DIV/0!</v>
      </c>
      <c r="T1616" s="66" t="e">
        <f>Q1616*dagenperjaar1</f>
        <v>#DIV/0!</v>
      </c>
      <c r="U1616" s="70" t="e">
        <f>T1616*ROUND(P1616,2)</f>
        <v>#DIV/0!</v>
      </c>
    </row>
    <row r="1617" spans="1:21" x14ac:dyDescent="0.2">
      <c r="A1617" s="63" t="s">
        <v>2007</v>
      </c>
      <c r="B1617" s="64" t="s">
        <v>324</v>
      </c>
      <c r="C1617" s="64" t="s">
        <v>323</v>
      </c>
      <c r="D1617" s="64" t="s">
        <v>453</v>
      </c>
      <c r="E1617" s="64" t="s">
        <v>2055</v>
      </c>
      <c r="F1617" s="65" t="s">
        <v>457</v>
      </c>
      <c r="G1617" s="64" t="s">
        <v>328</v>
      </c>
      <c r="H1617" s="64" t="s">
        <v>229</v>
      </c>
      <c r="I1617" s="64" t="s">
        <v>10</v>
      </c>
      <c r="J1617" s="64" t="s">
        <v>201</v>
      </c>
      <c r="K1617" s="66">
        <v>47</v>
      </c>
      <c r="L1617" s="66">
        <f>K1617*VLOOKUP(I1617,dagsoorttabel1,2,FALSE)</f>
        <v>47</v>
      </c>
      <c r="M1617" s="67">
        <f>prodnorm43</f>
        <v>0</v>
      </c>
      <c r="N1617" s="68">
        <f>dagwerk43</f>
        <v>0</v>
      </c>
      <c r="O1617" s="64" t="s">
        <v>38</v>
      </c>
      <c r="P1617" s="69">
        <f>uurtarief43</f>
        <v>0</v>
      </c>
      <c r="Q1617" s="66" t="e">
        <f>IF(ISBLANK(M1617),0,L1617/ROUND(M1617,4))</f>
        <v>#DIV/0!</v>
      </c>
      <c r="R1617" s="66" t="e">
        <f>IF(ISBLANK(M1617),0,Q1617*ROUND(N1617,2))</f>
        <v>#DIV/0!</v>
      </c>
      <c r="S1617" s="69" t="e">
        <f>ROUND(P1617,2)*Q1617</f>
        <v>#DIV/0!</v>
      </c>
      <c r="T1617" s="66" t="e">
        <f>Q1617*dagenperjaar1</f>
        <v>#DIV/0!</v>
      </c>
      <c r="U1617" s="70" t="e">
        <f>T1617*ROUND(P1617,2)</f>
        <v>#DIV/0!</v>
      </c>
    </row>
    <row r="1618" spans="1:21" x14ac:dyDescent="0.2">
      <c r="A1618" s="63" t="s">
        <v>2007</v>
      </c>
      <c r="B1618" s="64" t="s">
        <v>324</v>
      </c>
      <c r="C1618" s="64" t="s">
        <v>323</v>
      </c>
      <c r="D1618" s="64" t="s">
        <v>461</v>
      </c>
      <c r="E1618" s="64" t="s">
        <v>2056</v>
      </c>
      <c r="F1618" s="65" t="s">
        <v>457</v>
      </c>
      <c r="G1618" s="64" t="s">
        <v>328</v>
      </c>
      <c r="H1618" s="64" t="s">
        <v>229</v>
      </c>
      <c r="I1618" s="64" t="s">
        <v>10</v>
      </c>
      <c r="J1618" s="64" t="s">
        <v>201</v>
      </c>
      <c r="K1618" s="66">
        <v>22.1</v>
      </c>
      <c r="L1618" s="66">
        <f>K1618*VLOOKUP(I1618,dagsoorttabel1,2,FALSE)</f>
        <v>22.1</v>
      </c>
      <c r="M1618" s="67">
        <f>prodnorm43</f>
        <v>0</v>
      </c>
      <c r="N1618" s="68">
        <f>dagwerk43</f>
        <v>0</v>
      </c>
      <c r="O1618" s="64" t="s">
        <v>38</v>
      </c>
      <c r="P1618" s="69">
        <f>uurtarief43</f>
        <v>0</v>
      </c>
      <c r="Q1618" s="66" t="e">
        <f>IF(ISBLANK(M1618),0,L1618/ROUND(M1618,4))</f>
        <v>#DIV/0!</v>
      </c>
      <c r="R1618" s="66" t="e">
        <f>IF(ISBLANK(M1618),0,Q1618*ROUND(N1618,2))</f>
        <v>#DIV/0!</v>
      </c>
      <c r="S1618" s="69" t="e">
        <f>ROUND(P1618,2)*Q1618</f>
        <v>#DIV/0!</v>
      </c>
      <c r="T1618" s="66" t="e">
        <f>Q1618*dagenperjaar1</f>
        <v>#DIV/0!</v>
      </c>
      <c r="U1618" s="70" t="e">
        <f>T1618*ROUND(P1618,2)</f>
        <v>#DIV/0!</v>
      </c>
    </row>
    <row r="1619" spans="1:21" x14ac:dyDescent="0.2">
      <c r="A1619" s="71" t="s">
        <v>2007</v>
      </c>
      <c r="B1619" s="72" t="s">
        <v>324</v>
      </c>
      <c r="C1619" s="72" t="s">
        <v>323</v>
      </c>
      <c r="D1619" s="72" t="s">
        <v>926</v>
      </c>
      <c r="E1619" s="72" t="s">
        <v>2057</v>
      </c>
      <c r="F1619" s="73" t="s">
        <v>457</v>
      </c>
      <c r="G1619" s="72" t="s">
        <v>328</v>
      </c>
      <c r="H1619" s="72" t="s">
        <v>229</v>
      </c>
      <c r="I1619" s="72" t="s">
        <v>10</v>
      </c>
      <c r="J1619" s="72" t="s">
        <v>201</v>
      </c>
      <c r="K1619" s="74">
        <v>22.1</v>
      </c>
      <c r="L1619" s="74">
        <f>K1619*VLOOKUP(I1619,dagsoorttabel1,2,FALSE)</f>
        <v>22.1</v>
      </c>
      <c r="M1619" s="75">
        <f>prodnorm43</f>
        <v>0</v>
      </c>
      <c r="N1619" s="76">
        <f>dagwerk43</f>
        <v>0</v>
      </c>
      <c r="O1619" s="72" t="s">
        <v>38</v>
      </c>
      <c r="P1619" s="77">
        <f>uurtarief43</f>
        <v>0</v>
      </c>
      <c r="Q1619" s="74" t="e">
        <f>IF(ISBLANK(M1619),0,L1619/ROUND(M1619,4))</f>
        <v>#DIV/0!</v>
      </c>
      <c r="R1619" s="74" t="e">
        <f>IF(ISBLANK(M1619),0,Q1619*ROUND(N1619,2))</f>
        <v>#DIV/0!</v>
      </c>
      <c r="S1619" s="77" t="e">
        <f>ROUND(P1619,2)*Q1619</f>
        <v>#DIV/0!</v>
      </c>
      <c r="T1619" s="74" t="e">
        <f>Q1619*dagenperjaar1</f>
        <v>#DIV/0!</v>
      </c>
      <c r="U1619" s="78" t="e">
        <f>T1619*ROUND(P1619,2)</f>
        <v>#DIV/0!</v>
      </c>
    </row>
    <row r="1620" spans="1:21" x14ac:dyDescent="0.2">
      <c r="A1620" s="79" t="s">
        <v>602</v>
      </c>
      <c r="B1620" s="44"/>
      <c r="C1620" s="44"/>
      <c r="D1620" s="44"/>
      <c r="E1620" s="44"/>
      <c r="F1620" s="44"/>
      <c r="G1620" s="44"/>
      <c r="H1620" s="44"/>
      <c r="I1620" s="44"/>
      <c r="J1620" s="44"/>
      <c r="K1620" s="44"/>
      <c r="L1620" s="44"/>
      <c r="M1620" s="44"/>
      <c r="N1620" s="44"/>
      <c r="O1620" s="44"/>
      <c r="P1620" s="46" t="e">
        <f>IF(_xlfn.SINGLE(object14_urenjaar1)&gt;0,_xlfn.SINGLE(object14_prijsjaar1)/_xlfn.SINGLE(object14_urenjaar1),0)</f>
        <v>#DIV/0!</v>
      </c>
      <c r="Q1620" s="45" t="e">
        <f>SUM(Q1573:Q1619)</f>
        <v>#DIV/0!</v>
      </c>
      <c r="R1620" s="45" t="e">
        <f>SUM(R1573:R1619)</f>
        <v>#DIV/0!</v>
      </c>
      <c r="S1620" s="46" t="e">
        <f>SUM(S1573:S1619)</f>
        <v>#DIV/0!</v>
      </c>
      <c r="T1620" s="45" t="e">
        <f>SUM(T1573:T1619)</f>
        <v>#DIV/0!</v>
      </c>
      <c r="U1620" s="47" t="e">
        <f>SUM(U1573:U1619)</f>
        <v>#DIV/0!</v>
      </c>
    </row>
    <row r="1621" spans="1:21" x14ac:dyDescent="0.2">
      <c r="A1621" s="54" t="s">
        <v>2058</v>
      </c>
      <c r="B1621" s="13"/>
      <c r="C1621" s="13"/>
      <c r="D1621" s="13"/>
      <c r="E1621" s="13"/>
      <c r="F1621" s="13"/>
      <c r="G1621" s="13"/>
      <c r="H1621" s="13"/>
      <c r="I1621" s="13"/>
      <c r="J1621" s="13"/>
      <c r="K1621" s="13"/>
      <c r="L1621" s="13"/>
      <c r="M1621" s="13"/>
      <c r="N1621" s="13"/>
      <c r="O1621" s="13"/>
      <c r="P1621" s="13"/>
      <c r="Q1621" s="13"/>
      <c r="R1621" s="13"/>
      <c r="S1621" s="13"/>
      <c r="T1621" s="13"/>
      <c r="U1621" s="42"/>
    </row>
    <row r="1622" spans="1:21" x14ac:dyDescent="0.2">
      <c r="A1622" s="55" t="s">
        <v>2059</v>
      </c>
      <c r="B1622" s="56" t="s">
        <v>324</v>
      </c>
      <c r="C1622" s="56" t="s">
        <v>323</v>
      </c>
      <c r="D1622" s="56" t="s">
        <v>2060</v>
      </c>
      <c r="E1622" s="56" t="s">
        <v>324</v>
      </c>
      <c r="F1622" s="57" t="s">
        <v>1788</v>
      </c>
      <c r="G1622" s="56" t="s">
        <v>351</v>
      </c>
      <c r="H1622" s="56" t="s">
        <v>203</v>
      </c>
      <c r="I1622" s="56" t="s">
        <v>10</v>
      </c>
      <c r="J1622" s="56" t="s">
        <v>201</v>
      </c>
      <c r="K1622" s="58">
        <v>214.8</v>
      </c>
      <c r="L1622" s="58">
        <f>K1622*VLOOKUP(I1622,dagsoorttabel1,2,FALSE)</f>
        <v>214.8</v>
      </c>
      <c r="M1622" s="59">
        <f>prodnorm25</f>
        <v>0</v>
      </c>
      <c r="N1622" s="60">
        <f>dagwerk25</f>
        <v>0</v>
      </c>
      <c r="O1622" s="56" t="s">
        <v>38</v>
      </c>
      <c r="P1622" s="61">
        <f>uurtarief25</f>
        <v>0</v>
      </c>
      <c r="Q1622" s="58" t="e">
        <f>IF(ISBLANK(M1622),0,L1622/ROUND(M1622,4))</f>
        <v>#DIV/0!</v>
      </c>
      <c r="R1622" s="58" t="e">
        <f>IF(ISBLANK(M1622),0,Q1622*ROUND(N1622,2))</f>
        <v>#DIV/0!</v>
      </c>
      <c r="S1622" s="61" t="e">
        <f>ROUND(P1622,2)*Q1622</f>
        <v>#DIV/0!</v>
      </c>
      <c r="T1622" s="58" t="e">
        <f>Q1622*dagenperjaar1</f>
        <v>#DIV/0!</v>
      </c>
      <c r="U1622" s="62" t="e">
        <f>T1622*ROUND(P1622,2)</f>
        <v>#DIV/0!</v>
      </c>
    </row>
    <row r="1623" spans="1:21" x14ac:dyDescent="0.2">
      <c r="A1623" s="63" t="s">
        <v>2059</v>
      </c>
      <c r="B1623" s="64" t="s">
        <v>324</v>
      </c>
      <c r="C1623" s="64" t="s">
        <v>323</v>
      </c>
      <c r="D1623" s="64" t="s">
        <v>426</v>
      </c>
      <c r="E1623" s="64" t="s">
        <v>324</v>
      </c>
      <c r="F1623" s="65" t="s">
        <v>2061</v>
      </c>
      <c r="G1623" s="64" t="s">
        <v>328</v>
      </c>
      <c r="H1623" s="64" t="s">
        <v>205</v>
      </c>
      <c r="I1623" s="64" t="s">
        <v>10</v>
      </c>
      <c r="J1623" s="64" t="s">
        <v>201</v>
      </c>
      <c r="K1623" s="66">
        <v>10</v>
      </c>
      <c r="L1623" s="66">
        <f>K1623*VLOOKUP(I1623,dagsoorttabel1,2,FALSE)</f>
        <v>10</v>
      </c>
      <c r="M1623" s="67">
        <f>prodnorm26</f>
        <v>0</v>
      </c>
      <c r="N1623" s="68">
        <f>dagwerk26</f>
        <v>0</v>
      </c>
      <c r="O1623" s="64" t="s">
        <v>38</v>
      </c>
      <c r="P1623" s="69">
        <f>uurtarief26</f>
        <v>0</v>
      </c>
      <c r="Q1623" s="66" t="e">
        <f>IF(ISBLANK(M1623),0,L1623/ROUND(M1623,4))</f>
        <v>#DIV/0!</v>
      </c>
      <c r="R1623" s="66" t="e">
        <f>IF(ISBLANK(M1623),0,Q1623*ROUND(N1623,2))</f>
        <v>#DIV/0!</v>
      </c>
      <c r="S1623" s="69" t="e">
        <f>ROUND(P1623,2)*Q1623</f>
        <v>#DIV/0!</v>
      </c>
      <c r="T1623" s="66" t="e">
        <f>Q1623*dagenperjaar1</f>
        <v>#DIV/0!</v>
      </c>
      <c r="U1623" s="70" t="e">
        <f>T1623*ROUND(P1623,2)</f>
        <v>#DIV/0!</v>
      </c>
    </row>
    <row r="1624" spans="1:21" x14ac:dyDescent="0.2">
      <c r="A1624" s="63" t="s">
        <v>2059</v>
      </c>
      <c r="B1624" s="64" t="s">
        <v>324</v>
      </c>
      <c r="C1624" s="64" t="s">
        <v>323</v>
      </c>
      <c r="D1624" s="64" t="s">
        <v>441</v>
      </c>
      <c r="E1624" s="64" t="s">
        <v>324</v>
      </c>
      <c r="F1624" s="65" t="s">
        <v>457</v>
      </c>
      <c r="G1624" s="64" t="s">
        <v>351</v>
      </c>
      <c r="H1624" s="64" t="s">
        <v>231</v>
      </c>
      <c r="I1624" s="64" t="s">
        <v>10</v>
      </c>
      <c r="J1624" s="64" t="s">
        <v>201</v>
      </c>
      <c r="K1624" s="66">
        <v>59.3</v>
      </c>
      <c r="L1624" s="66">
        <f>K1624*VLOOKUP(I1624,dagsoorttabel1,2,FALSE)</f>
        <v>59.3</v>
      </c>
      <c r="M1624" s="67">
        <f>prodnorm44</f>
        <v>0</v>
      </c>
      <c r="N1624" s="68">
        <f>dagwerk44</f>
        <v>0</v>
      </c>
      <c r="O1624" s="64" t="s">
        <v>38</v>
      </c>
      <c r="P1624" s="69">
        <f>uurtarief44</f>
        <v>0</v>
      </c>
      <c r="Q1624" s="66" t="e">
        <f>IF(ISBLANK(M1624),0,L1624/ROUND(M1624,4))</f>
        <v>#DIV/0!</v>
      </c>
      <c r="R1624" s="66" t="e">
        <f>IF(ISBLANK(M1624),0,Q1624*ROUND(N1624,2))</f>
        <v>#DIV/0!</v>
      </c>
      <c r="S1624" s="69" t="e">
        <f>ROUND(P1624,2)*Q1624</f>
        <v>#DIV/0!</v>
      </c>
      <c r="T1624" s="66" t="e">
        <f>Q1624*dagenperjaar1</f>
        <v>#DIV/0!</v>
      </c>
      <c r="U1624" s="70" t="e">
        <f>T1624*ROUND(P1624,2)</f>
        <v>#DIV/0!</v>
      </c>
    </row>
    <row r="1625" spans="1:21" x14ac:dyDescent="0.2">
      <c r="A1625" s="63" t="s">
        <v>2059</v>
      </c>
      <c r="B1625" s="64" t="s">
        <v>324</v>
      </c>
      <c r="C1625" s="64" t="s">
        <v>323</v>
      </c>
      <c r="D1625" s="64" t="s">
        <v>1343</v>
      </c>
      <c r="E1625" s="64" t="s">
        <v>324</v>
      </c>
      <c r="F1625" s="65" t="s">
        <v>457</v>
      </c>
      <c r="G1625" s="64" t="s">
        <v>351</v>
      </c>
      <c r="H1625" s="64" t="s">
        <v>231</v>
      </c>
      <c r="I1625" s="64" t="s">
        <v>10</v>
      </c>
      <c r="J1625" s="64" t="s">
        <v>201</v>
      </c>
      <c r="K1625" s="66">
        <v>39.1</v>
      </c>
      <c r="L1625" s="66">
        <f>K1625*VLOOKUP(I1625,dagsoorttabel1,2,FALSE)</f>
        <v>39.1</v>
      </c>
      <c r="M1625" s="67">
        <f>prodnorm44</f>
        <v>0</v>
      </c>
      <c r="N1625" s="68">
        <f>dagwerk44</f>
        <v>0</v>
      </c>
      <c r="O1625" s="64" t="s">
        <v>38</v>
      </c>
      <c r="P1625" s="69">
        <f>uurtarief44</f>
        <v>0</v>
      </c>
      <c r="Q1625" s="66" t="e">
        <f>IF(ISBLANK(M1625),0,L1625/ROUND(M1625,4))</f>
        <v>#DIV/0!</v>
      </c>
      <c r="R1625" s="66" t="e">
        <f>IF(ISBLANK(M1625),0,Q1625*ROUND(N1625,2))</f>
        <v>#DIV/0!</v>
      </c>
      <c r="S1625" s="69" t="e">
        <f>ROUND(P1625,2)*Q1625</f>
        <v>#DIV/0!</v>
      </c>
      <c r="T1625" s="66" t="e">
        <f>Q1625*dagenperjaar1</f>
        <v>#DIV/0!</v>
      </c>
      <c r="U1625" s="70" t="e">
        <f>T1625*ROUND(P1625,2)</f>
        <v>#DIV/0!</v>
      </c>
    </row>
    <row r="1626" spans="1:21" x14ac:dyDescent="0.2">
      <c r="A1626" s="63" t="s">
        <v>2059</v>
      </c>
      <c r="B1626" s="64" t="s">
        <v>324</v>
      </c>
      <c r="C1626" s="64" t="s">
        <v>323</v>
      </c>
      <c r="D1626" s="64" t="s">
        <v>442</v>
      </c>
      <c r="E1626" s="64" t="s">
        <v>324</v>
      </c>
      <c r="F1626" s="65" t="s">
        <v>457</v>
      </c>
      <c r="G1626" s="64" t="s">
        <v>351</v>
      </c>
      <c r="H1626" s="64" t="s">
        <v>231</v>
      </c>
      <c r="I1626" s="64" t="s">
        <v>10</v>
      </c>
      <c r="J1626" s="64" t="s">
        <v>201</v>
      </c>
      <c r="K1626" s="66">
        <v>51.7</v>
      </c>
      <c r="L1626" s="66">
        <f>K1626*VLOOKUP(I1626,dagsoorttabel1,2,FALSE)</f>
        <v>51.7</v>
      </c>
      <c r="M1626" s="67">
        <f>prodnorm44</f>
        <v>0</v>
      </c>
      <c r="N1626" s="68">
        <f>dagwerk44</f>
        <v>0</v>
      </c>
      <c r="O1626" s="64" t="s">
        <v>38</v>
      </c>
      <c r="P1626" s="69">
        <f>uurtarief44</f>
        <v>0</v>
      </c>
      <c r="Q1626" s="66" t="e">
        <f>IF(ISBLANK(M1626),0,L1626/ROUND(M1626,4))</f>
        <v>#DIV/0!</v>
      </c>
      <c r="R1626" s="66" t="e">
        <f>IF(ISBLANK(M1626),0,Q1626*ROUND(N1626,2))</f>
        <v>#DIV/0!</v>
      </c>
      <c r="S1626" s="69" t="e">
        <f>ROUND(P1626,2)*Q1626</f>
        <v>#DIV/0!</v>
      </c>
      <c r="T1626" s="66" t="e">
        <f>Q1626*dagenperjaar1</f>
        <v>#DIV/0!</v>
      </c>
      <c r="U1626" s="70" t="e">
        <f>T1626*ROUND(P1626,2)</f>
        <v>#DIV/0!</v>
      </c>
    </row>
    <row r="1627" spans="1:21" x14ac:dyDescent="0.2">
      <c r="A1627" s="63" t="s">
        <v>2059</v>
      </c>
      <c r="B1627" s="64" t="s">
        <v>324</v>
      </c>
      <c r="C1627" s="64" t="s">
        <v>323</v>
      </c>
      <c r="D1627" s="64" t="s">
        <v>918</v>
      </c>
      <c r="E1627" s="64" t="s">
        <v>324</v>
      </c>
      <c r="F1627" s="65" t="s">
        <v>457</v>
      </c>
      <c r="G1627" s="64" t="s">
        <v>351</v>
      </c>
      <c r="H1627" s="64" t="s">
        <v>231</v>
      </c>
      <c r="I1627" s="64" t="s">
        <v>10</v>
      </c>
      <c r="J1627" s="64" t="s">
        <v>201</v>
      </c>
      <c r="K1627" s="66">
        <v>56.9</v>
      </c>
      <c r="L1627" s="66">
        <f>K1627*VLOOKUP(I1627,dagsoorttabel1,2,FALSE)</f>
        <v>56.9</v>
      </c>
      <c r="M1627" s="67">
        <f>prodnorm44</f>
        <v>0</v>
      </c>
      <c r="N1627" s="68">
        <f>dagwerk44</f>
        <v>0</v>
      </c>
      <c r="O1627" s="64" t="s">
        <v>38</v>
      </c>
      <c r="P1627" s="69">
        <f>uurtarief44</f>
        <v>0</v>
      </c>
      <c r="Q1627" s="66" t="e">
        <f>IF(ISBLANK(M1627),0,L1627/ROUND(M1627,4))</f>
        <v>#DIV/0!</v>
      </c>
      <c r="R1627" s="66" t="e">
        <f>IF(ISBLANK(M1627),0,Q1627*ROUND(N1627,2))</f>
        <v>#DIV/0!</v>
      </c>
      <c r="S1627" s="69" t="e">
        <f>ROUND(P1627,2)*Q1627</f>
        <v>#DIV/0!</v>
      </c>
      <c r="T1627" s="66" t="e">
        <f>Q1627*dagenperjaar1</f>
        <v>#DIV/0!</v>
      </c>
      <c r="U1627" s="70" t="e">
        <f>T1627*ROUND(P1627,2)</f>
        <v>#DIV/0!</v>
      </c>
    </row>
    <row r="1628" spans="1:21" x14ac:dyDescent="0.2">
      <c r="A1628" s="63" t="s">
        <v>2059</v>
      </c>
      <c r="B1628" s="64" t="s">
        <v>324</v>
      </c>
      <c r="C1628" s="64" t="s">
        <v>323</v>
      </c>
      <c r="D1628" s="64" t="s">
        <v>446</v>
      </c>
      <c r="E1628" s="64" t="s">
        <v>324</v>
      </c>
      <c r="F1628" s="65" t="s">
        <v>457</v>
      </c>
      <c r="G1628" s="64" t="s">
        <v>351</v>
      </c>
      <c r="H1628" s="64" t="s">
        <v>231</v>
      </c>
      <c r="I1628" s="64" t="s">
        <v>10</v>
      </c>
      <c r="J1628" s="64" t="s">
        <v>201</v>
      </c>
      <c r="K1628" s="66">
        <v>39.1</v>
      </c>
      <c r="L1628" s="66">
        <f>K1628*VLOOKUP(I1628,dagsoorttabel1,2,FALSE)</f>
        <v>39.1</v>
      </c>
      <c r="M1628" s="67">
        <f>prodnorm44</f>
        <v>0</v>
      </c>
      <c r="N1628" s="68">
        <f>dagwerk44</f>
        <v>0</v>
      </c>
      <c r="O1628" s="64" t="s">
        <v>38</v>
      </c>
      <c r="P1628" s="69">
        <f>uurtarief44</f>
        <v>0</v>
      </c>
      <c r="Q1628" s="66" t="e">
        <f>IF(ISBLANK(M1628),0,L1628/ROUND(M1628,4))</f>
        <v>#DIV/0!</v>
      </c>
      <c r="R1628" s="66" t="e">
        <f>IF(ISBLANK(M1628),0,Q1628*ROUND(N1628,2))</f>
        <v>#DIV/0!</v>
      </c>
      <c r="S1628" s="69" t="e">
        <f>ROUND(P1628,2)*Q1628</f>
        <v>#DIV/0!</v>
      </c>
      <c r="T1628" s="66" t="e">
        <f>Q1628*dagenperjaar1</f>
        <v>#DIV/0!</v>
      </c>
      <c r="U1628" s="70" t="e">
        <f>T1628*ROUND(P1628,2)</f>
        <v>#DIV/0!</v>
      </c>
    </row>
    <row r="1629" spans="1:21" x14ac:dyDescent="0.2">
      <c r="A1629" s="63" t="s">
        <v>2059</v>
      </c>
      <c r="B1629" s="64" t="s">
        <v>324</v>
      </c>
      <c r="C1629" s="64" t="s">
        <v>323</v>
      </c>
      <c r="D1629" s="64" t="s">
        <v>2062</v>
      </c>
      <c r="E1629" s="64" t="s">
        <v>324</v>
      </c>
      <c r="F1629" s="65" t="s">
        <v>457</v>
      </c>
      <c r="G1629" s="64" t="s">
        <v>351</v>
      </c>
      <c r="H1629" s="64" t="s">
        <v>231</v>
      </c>
      <c r="I1629" s="64" t="s">
        <v>10</v>
      </c>
      <c r="J1629" s="64" t="s">
        <v>201</v>
      </c>
      <c r="K1629" s="66">
        <v>39.1</v>
      </c>
      <c r="L1629" s="66">
        <f>K1629*VLOOKUP(I1629,dagsoorttabel1,2,FALSE)</f>
        <v>39.1</v>
      </c>
      <c r="M1629" s="67">
        <f>prodnorm44</f>
        <v>0</v>
      </c>
      <c r="N1629" s="68">
        <f>dagwerk44</f>
        <v>0</v>
      </c>
      <c r="O1629" s="64" t="s">
        <v>38</v>
      </c>
      <c r="P1629" s="69">
        <f>uurtarief44</f>
        <v>0</v>
      </c>
      <c r="Q1629" s="66" t="e">
        <f>IF(ISBLANK(M1629),0,L1629/ROUND(M1629,4))</f>
        <v>#DIV/0!</v>
      </c>
      <c r="R1629" s="66" t="e">
        <f>IF(ISBLANK(M1629),0,Q1629*ROUND(N1629,2))</f>
        <v>#DIV/0!</v>
      </c>
      <c r="S1629" s="69" t="e">
        <f>ROUND(P1629,2)*Q1629</f>
        <v>#DIV/0!</v>
      </c>
      <c r="T1629" s="66" t="e">
        <f>Q1629*dagenperjaar1</f>
        <v>#DIV/0!</v>
      </c>
      <c r="U1629" s="70" t="e">
        <f>T1629*ROUND(P1629,2)</f>
        <v>#DIV/0!</v>
      </c>
    </row>
    <row r="1630" spans="1:21" x14ac:dyDescent="0.2">
      <c r="A1630" s="63" t="s">
        <v>2059</v>
      </c>
      <c r="B1630" s="64" t="s">
        <v>324</v>
      </c>
      <c r="C1630" s="64" t="s">
        <v>323</v>
      </c>
      <c r="D1630" s="64" t="s">
        <v>921</v>
      </c>
      <c r="E1630" s="64" t="s">
        <v>324</v>
      </c>
      <c r="F1630" s="65" t="s">
        <v>381</v>
      </c>
      <c r="G1630" s="64" t="s">
        <v>351</v>
      </c>
      <c r="H1630" s="64" t="s">
        <v>207</v>
      </c>
      <c r="I1630" s="64" t="s">
        <v>10</v>
      </c>
      <c r="J1630" s="64" t="s">
        <v>201</v>
      </c>
      <c r="K1630" s="66">
        <v>19.7</v>
      </c>
      <c r="L1630" s="66">
        <f>K1630*VLOOKUP(I1630,dagsoorttabel1,2,FALSE)</f>
        <v>19.7</v>
      </c>
      <c r="M1630" s="67">
        <f>prodnorm28</f>
        <v>0</v>
      </c>
      <c r="N1630" s="68">
        <f>dagwerk28</f>
        <v>0</v>
      </c>
      <c r="O1630" s="64" t="s">
        <v>38</v>
      </c>
      <c r="P1630" s="69">
        <f>uurtarief28</f>
        <v>0</v>
      </c>
      <c r="Q1630" s="66" t="e">
        <f>IF(ISBLANK(M1630),0,L1630/ROUND(M1630,4))</f>
        <v>#DIV/0!</v>
      </c>
      <c r="R1630" s="66" t="e">
        <f>IF(ISBLANK(M1630),0,Q1630*ROUND(N1630,2))</f>
        <v>#DIV/0!</v>
      </c>
      <c r="S1630" s="69" t="e">
        <f>ROUND(P1630,2)*Q1630</f>
        <v>#DIV/0!</v>
      </c>
      <c r="T1630" s="66" t="e">
        <f>Q1630*dagenperjaar1</f>
        <v>#DIV/0!</v>
      </c>
      <c r="U1630" s="70" t="e">
        <f>T1630*ROUND(P1630,2)</f>
        <v>#DIV/0!</v>
      </c>
    </row>
    <row r="1631" spans="1:21" x14ac:dyDescent="0.2">
      <c r="A1631" s="63" t="s">
        <v>2059</v>
      </c>
      <c r="B1631" s="64" t="s">
        <v>324</v>
      </c>
      <c r="C1631" s="64" t="s">
        <v>323</v>
      </c>
      <c r="D1631" s="64" t="s">
        <v>448</v>
      </c>
      <c r="E1631" s="64" t="s">
        <v>324</v>
      </c>
      <c r="F1631" s="65" t="s">
        <v>381</v>
      </c>
      <c r="G1631" s="64" t="s">
        <v>351</v>
      </c>
      <c r="H1631" s="64" t="s">
        <v>207</v>
      </c>
      <c r="I1631" s="64" t="s">
        <v>10</v>
      </c>
      <c r="J1631" s="64" t="s">
        <v>201</v>
      </c>
      <c r="K1631" s="66">
        <v>13</v>
      </c>
      <c r="L1631" s="66">
        <f>K1631*VLOOKUP(I1631,dagsoorttabel1,2,FALSE)</f>
        <v>13</v>
      </c>
      <c r="M1631" s="67">
        <f>prodnorm28</f>
        <v>0</v>
      </c>
      <c r="N1631" s="68">
        <f>dagwerk28</f>
        <v>0</v>
      </c>
      <c r="O1631" s="64" t="s">
        <v>38</v>
      </c>
      <c r="P1631" s="69">
        <f>uurtarief28</f>
        <v>0</v>
      </c>
      <c r="Q1631" s="66" t="e">
        <f>IF(ISBLANK(M1631),0,L1631/ROUND(M1631,4))</f>
        <v>#DIV/0!</v>
      </c>
      <c r="R1631" s="66" t="e">
        <f>IF(ISBLANK(M1631),0,Q1631*ROUND(N1631,2))</f>
        <v>#DIV/0!</v>
      </c>
      <c r="S1631" s="69" t="e">
        <f>ROUND(P1631,2)*Q1631</f>
        <v>#DIV/0!</v>
      </c>
      <c r="T1631" s="66" t="e">
        <f>Q1631*dagenperjaar1</f>
        <v>#DIV/0!</v>
      </c>
      <c r="U1631" s="70" t="e">
        <f>T1631*ROUND(P1631,2)</f>
        <v>#DIV/0!</v>
      </c>
    </row>
    <row r="1632" spans="1:21" x14ac:dyDescent="0.2">
      <c r="A1632" s="63" t="s">
        <v>2059</v>
      </c>
      <c r="B1632" s="64" t="s">
        <v>324</v>
      </c>
      <c r="C1632" s="64" t="s">
        <v>323</v>
      </c>
      <c r="D1632" s="64" t="s">
        <v>453</v>
      </c>
      <c r="E1632" s="64" t="s">
        <v>324</v>
      </c>
      <c r="F1632" s="65" t="s">
        <v>2063</v>
      </c>
      <c r="G1632" s="64" t="s">
        <v>328</v>
      </c>
      <c r="H1632" s="64" t="s">
        <v>255</v>
      </c>
      <c r="I1632" s="64" t="s">
        <v>10</v>
      </c>
      <c r="J1632" s="64" t="s">
        <v>201</v>
      </c>
      <c r="K1632" s="66">
        <v>6.2</v>
      </c>
      <c r="L1632" s="66">
        <f>K1632*VLOOKUP(I1632,dagsoorttabel1,2,FALSE)</f>
        <v>6.2</v>
      </c>
      <c r="M1632" s="67">
        <f>prodnorm59</f>
        <v>0</v>
      </c>
      <c r="N1632" s="68">
        <f>dagwerk59</f>
        <v>0</v>
      </c>
      <c r="O1632" s="64" t="s">
        <v>38</v>
      </c>
      <c r="P1632" s="69">
        <f>uurtarief59</f>
        <v>0</v>
      </c>
      <c r="Q1632" s="66" t="e">
        <f>IF(ISBLANK(M1632),0,L1632/ROUND(M1632,4))</f>
        <v>#DIV/0!</v>
      </c>
      <c r="R1632" s="66" t="e">
        <f>IF(ISBLANK(M1632),0,Q1632*ROUND(N1632,2))</f>
        <v>#DIV/0!</v>
      </c>
      <c r="S1632" s="69" t="e">
        <f>ROUND(P1632,2)*Q1632</f>
        <v>#DIV/0!</v>
      </c>
      <c r="T1632" s="66" t="e">
        <f>Q1632*dagenperjaar1</f>
        <v>#DIV/0!</v>
      </c>
      <c r="U1632" s="70" t="e">
        <f>T1632*ROUND(P1632,2)</f>
        <v>#DIV/0!</v>
      </c>
    </row>
    <row r="1633" spans="1:21" x14ac:dyDescent="0.2">
      <c r="A1633" s="63" t="s">
        <v>2059</v>
      </c>
      <c r="B1633" s="64" t="s">
        <v>324</v>
      </c>
      <c r="C1633" s="64" t="s">
        <v>323</v>
      </c>
      <c r="D1633" s="64" t="s">
        <v>453</v>
      </c>
      <c r="E1633" s="64" t="s">
        <v>324</v>
      </c>
      <c r="F1633" s="65" t="s">
        <v>2063</v>
      </c>
      <c r="G1633" s="64" t="s">
        <v>328</v>
      </c>
      <c r="H1633" s="64" t="s">
        <v>257</v>
      </c>
      <c r="I1633" s="64" t="s">
        <v>10</v>
      </c>
      <c r="J1633" s="64" t="s">
        <v>201</v>
      </c>
      <c r="K1633" s="66">
        <v>6.2</v>
      </c>
      <c r="L1633" s="66">
        <f>K1633*VLOOKUP(I1633,dagsoorttabel1,2,FALSE)</f>
        <v>6.2</v>
      </c>
      <c r="M1633" s="67">
        <f>prodnorm60</f>
        <v>0</v>
      </c>
      <c r="N1633" s="68">
        <f>dagwerk60</f>
        <v>0</v>
      </c>
      <c r="O1633" s="64" t="s">
        <v>38</v>
      </c>
      <c r="P1633" s="69">
        <f>uurtarief60</f>
        <v>0</v>
      </c>
      <c r="Q1633" s="66" t="e">
        <f>IF(ISBLANK(M1633),0,L1633/ROUND(M1633,4))</f>
        <v>#DIV/0!</v>
      </c>
      <c r="R1633" s="66" t="e">
        <f>IF(ISBLANK(M1633),0,Q1633*ROUND(N1633,2))</f>
        <v>#DIV/0!</v>
      </c>
      <c r="S1633" s="69" t="e">
        <f>ROUND(P1633,2)*Q1633</f>
        <v>#DIV/0!</v>
      </c>
      <c r="T1633" s="66" t="e">
        <f>Q1633*dagenperjaar1</f>
        <v>#DIV/0!</v>
      </c>
      <c r="U1633" s="70" t="e">
        <f>T1633*ROUND(P1633,2)</f>
        <v>#DIV/0!</v>
      </c>
    </row>
    <row r="1634" spans="1:21" x14ac:dyDescent="0.2">
      <c r="A1634" s="63" t="s">
        <v>2059</v>
      </c>
      <c r="B1634" s="64" t="s">
        <v>324</v>
      </c>
      <c r="C1634" s="64" t="s">
        <v>323</v>
      </c>
      <c r="D1634" s="64" t="s">
        <v>455</v>
      </c>
      <c r="E1634" s="64" t="s">
        <v>324</v>
      </c>
      <c r="F1634" s="65" t="s">
        <v>2063</v>
      </c>
      <c r="G1634" s="64" t="s">
        <v>328</v>
      </c>
      <c r="H1634" s="64" t="s">
        <v>255</v>
      </c>
      <c r="I1634" s="64" t="s">
        <v>10</v>
      </c>
      <c r="J1634" s="64" t="s">
        <v>201</v>
      </c>
      <c r="K1634" s="66">
        <v>6.2</v>
      </c>
      <c r="L1634" s="66">
        <f>K1634*VLOOKUP(I1634,dagsoorttabel1,2,FALSE)</f>
        <v>6.2</v>
      </c>
      <c r="M1634" s="67">
        <f>prodnorm59</f>
        <v>0</v>
      </c>
      <c r="N1634" s="68">
        <f>dagwerk59</f>
        <v>0</v>
      </c>
      <c r="O1634" s="64" t="s">
        <v>38</v>
      </c>
      <c r="P1634" s="69">
        <f>uurtarief59</f>
        <v>0</v>
      </c>
      <c r="Q1634" s="66" t="e">
        <f>IF(ISBLANK(M1634),0,L1634/ROUND(M1634,4))</f>
        <v>#DIV/0!</v>
      </c>
      <c r="R1634" s="66" t="e">
        <f>IF(ISBLANK(M1634),0,Q1634*ROUND(N1634,2))</f>
        <v>#DIV/0!</v>
      </c>
      <c r="S1634" s="69" t="e">
        <f>ROUND(P1634,2)*Q1634</f>
        <v>#DIV/0!</v>
      </c>
      <c r="T1634" s="66" t="e">
        <f>Q1634*dagenperjaar1</f>
        <v>#DIV/0!</v>
      </c>
      <c r="U1634" s="70" t="e">
        <f>T1634*ROUND(P1634,2)</f>
        <v>#DIV/0!</v>
      </c>
    </row>
    <row r="1635" spans="1:21" x14ac:dyDescent="0.2">
      <c r="A1635" s="63" t="s">
        <v>2059</v>
      </c>
      <c r="B1635" s="64" t="s">
        <v>324</v>
      </c>
      <c r="C1635" s="64" t="s">
        <v>323</v>
      </c>
      <c r="D1635" s="64" t="s">
        <v>455</v>
      </c>
      <c r="E1635" s="64" t="s">
        <v>324</v>
      </c>
      <c r="F1635" s="65" t="s">
        <v>2063</v>
      </c>
      <c r="G1635" s="64" t="s">
        <v>328</v>
      </c>
      <c r="H1635" s="64" t="s">
        <v>257</v>
      </c>
      <c r="I1635" s="64" t="s">
        <v>10</v>
      </c>
      <c r="J1635" s="64" t="s">
        <v>201</v>
      </c>
      <c r="K1635" s="66">
        <v>6.2</v>
      </c>
      <c r="L1635" s="66">
        <f>K1635*VLOOKUP(I1635,dagsoorttabel1,2,FALSE)</f>
        <v>6.2</v>
      </c>
      <c r="M1635" s="67">
        <f>prodnorm60</f>
        <v>0</v>
      </c>
      <c r="N1635" s="68">
        <f>dagwerk60</f>
        <v>0</v>
      </c>
      <c r="O1635" s="64" t="s">
        <v>38</v>
      </c>
      <c r="P1635" s="69">
        <f>uurtarief60</f>
        <v>0</v>
      </c>
      <c r="Q1635" s="66" t="e">
        <f>IF(ISBLANK(M1635),0,L1635/ROUND(M1635,4))</f>
        <v>#DIV/0!</v>
      </c>
      <c r="R1635" s="66" t="e">
        <f>IF(ISBLANK(M1635),0,Q1635*ROUND(N1635,2))</f>
        <v>#DIV/0!</v>
      </c>
      <c r="S1635" s="69" t="e">
        <f>ROUND(P1635,2)*Q1635</f>
        <v>#DIV/0!</v>
      </c>
      <c r="T1635" s="66" t="e">
        <f>Q1635*dagenperjaar1</f>
        <v>#DIV/0!</v>
      </c>
      <c r="U1635" s="70" t="e">
        <f>T1635*ROUND(P1635,2)</f>
        <v>#DIV/0!</v>
      </c>
    </row>
    <row r="1636" spans="1:21" x14ac:dyDescent="0.2">
      <c r="A1636" s="63" t="s">
        <v>2059</v>
      </c>
      <c r="B1636" s="64" t="s">
        <v>324</v>
      </c>
      <c r="C1636" s="64" t="s">
        <v>323</v>
      </c>
      <c r="D1636" s="64" t="s">
        <v>461</v>
      </c>
      <c r="E1636" s="64" t="s">
        <v>324</v>
      </c>
      <c r="F1636" s="65" t="s">
        <v>2063</v>
      </c>
      <c r="G1636" s="64" t="s">
        <v>642</v>
      </c>
      <c r="H1636" s="64" t="s">
        <v>255</v>
      </c>
      <c r="I1636" s="64" t="s">
        <v>10</v>
      </c>
      <c r="J1636" s="64" t="s">
        <v>201</v>
      </c>
      <c r="K1636" s="66">
        <v>5.5</v>
      </c>
      <c r="L1636" s="66">
        <f>K1636*VLOOKUP(I1636,dagsoorttabel1,2,FALSE)</f>
        <v>5.5</v>
      </c>
      <c r="M1636" s="67">
        <f>prodnorm59</f>
        <v>0</v>
      </c>
      <c r="N1636" s="68">
        <f>dagwerk59</f>
        <v>0</v>
      </c>
      <c r="O1636" s="64" t="s">
        <v>38</v>
      </c>
      <c r="P1636" s="69">
        <f>uurtarief59</f>
        <v>0</v>
      </c>
      <c r="Q1636" s="66" t="e">
        <f>IF(ISBLANK(M1636),0,L1636/ROUND(M1636,4))</f>
        <v>#DIV/0!</v>
      </c>
      <c r="R1636" s="66" t="e">
        <f>IF(ISBLANK(M1636),0,Q1636*ROUND(N1636,2))</f>
        <v>#DIV/0!</v>
      </c>
      <c r="S1636" s="69" t="e">
        <f>ROUND(P1636,2)*Q1636</f>
        <v>#DIV/0!</v>
      </c>
      <c r="T1636" s="66" t="e">
        <f>Q1636*dagenperjaar1</f>
        <v>#DIV/0!</v>
      </c>
      <c r="U1636" s="70" t="e">
        <f>T1636*ROUND(P1636,2)</f>
        <v>#DIV/0!</v>
      </c>
    </row>
    <row r="1637" spans="1:21" x14ac:dyDescent="0.2">
      <c r="A1637" s="63" t="s">
        <v>2059</v>
      </c>
      <c r="B1637" s="64" t="s">
        <v>324</v>
      </c>
      <c r="C1637" s="64" t="s">
        <v>323</v>
      </c>
      <c r="D1637" s="64" t="s">
        <v>461</v>
      </c>
      <c r="E1637" s="64" t="s">
        <v>324</v>
      </c>
      <c r="F1637" s="65" t="s">
        <v>2063</v>
      </c>
      <c r="G1637" s="64" t="s">
        <v>642</v>
      </c>
      <c r="H1637" s="64" t="s">
        <v>257</v>
      </c>
      <c r="I1637" s="64" t="s">
        <v>10</v>
      </c>
      <c r="J1637" s="64" t="s">
        <v>201</v>
      </c>
      <c r="K1637" s="66">
        <v>5.5</v>
      </c>
      <c r="L1637" s="66">
        <f>K1637*VLOOKUP(I1637,dagsoorttabel1,2,FALSE)</f>
        <v>5.5</v>
      </c>
      <c r="M1637" s="67">
        <f>prodnorm60</f>
        <v>0</v>
      </c>
      <c r="N1637" s="68">
        <f>dagwerk60</f>
        <v>0</v>
      </c>
      <c r="O1637" s="64" t="s">
        <v>38</v>
      </c>
      <c r="P1637" s="69">
        <f>uurtarief60</f>
        <v>0</v>
      </c>
      <c r="Q1637" s="66" t="e">
        <f>IF(ISBLANK(M1637),0,L1637/ROUND(M1637,4))</f>
        <v>#DIV/0!</v>
      </c>
      <c r="R1637" s="66" t="e">
        <f>IF(ISBLANK(M1637),0,Q1637*ROUND(N1637,2))</f>
        <v>#DIV/0!</v>
      </c>
      <c r="S1637" s="69" t="e">
        <f>ROUND(P1637,2)*Q1637</f>
        <v>#DIV/0!</v>
      </c>
      <c r="T1637" s="66" t="e">
        <f>Q1637*dagenperjaar1</f>
        <v>#DIV/0!</v>
      </c>
      <c r="U1637" s="70" t="e">
        <f>T1637*ROUND(P1637,2)</f>
        <v>#DIV/0!</v>
      </c>
    </row>
    <row r="1638" spans="1:21" x14ac:dyDescent="0.2">
      <c r="A1638" s="63" t="s">
        <v>2059</v>
      </c>
      <c r="B1638" s="64" t="s">
        <v>324</v>
      </c>
      <c r="C1638" s="64" t="s">
        <v>323</v>
      </c>
      <c r="D1638" s="64" t="s">
        <v>463</v>
      </c>
      <c r="E1638" s="64" t="s">
        <v>324</v>
      </c>
      <c r="F1638" s="65" t="s">
        <v>2063</v>
      </c>
      <c r="G1638" s="64" t="s">
        <v>642</v>
      </c>
      <c r="H1638" s="64" t="s">
        <v>255</v>
      </c>
      <c r="I1638" s="64" t="s">
        <v>10</v>
      </c>
      <c r="J1638" s="64" t="s">
        <v>201</v>
      </c>
      <c r="K1638" s="66">
        <v>5.5</v>
      </c>
      <c r="L1638" s="66">
        <f>K1638*VLOOKUP(I1638,dagsoorttabel1,2,FALSE)</f>
        <v>5.5</v>
      </c>
      <c r="M1638" s="67">
        <f>prodnorm59</f>
        <v>0</v>
      </c>
      <c r="N1638" s="68">
        <f>dagwerk59</f>
        <v>0</v>
      </c>
      <c r="O1638" s="64" t="s">
        <v>38</v>
      </c>
      <c r="P1638" s="69">
        <f>uurtarief59</f>
        <v>0</v>
      </c>
      <c r="Q1638" s="66" t="e">
        <f>IF(ISBLANK(M1638),0,L1638/ROUND(M1638,4))</f>
        <v>#DIV/0!</v>
      </c>
      <c r="R1638" s="66" t="e">
        <f>IF(ISBLANK(M1638),0,Q1638*ROUND(N1638,2))</f>
        <v>#DIV/0!</v>
      </c>
      <c r="S1638" s="69" t="e">
        <f>ROUND(P1638,2)*Q1638</f>
        <v>#DIV/0!</v>
      </c>
      <c r="T1638" s="66" t="e">
        <f>Q1638*dagenperjaar1</f>
        <v>#DIV/0!</v>
      </c>
      <c r="U1638" s="70" t="e">
        <f>T1638*ROUND(P1638,2)</f>
        <v>#DIV/0!</v>
      </c>
    </row>
    <row r="1639" spans="1:21" x14ac:dyDescent="0.2">
      <c r="A1639" s="63" t="s">
        <v>2059</v>
      </c>
      <c r="B1639" s="64" t="s">
        <v>324</v>
      </c>
      <c r="C1639" s="64" t="s">
        <v>323</v>
      </c>
      <c r="D1639" s="64" t="s">
        <v>463</v>
      </c>
      <c r="E1639" s="64" t="s">
        <v>324</v>
      </c>
      <c r="F1639" s="65" t="s">
        <v>2063</v>
      </c>
      <c r="G1639" s="64" t="s">
        <v>642</v>
      </c>
      <c r="H1639" s="64" t="s">
        <v>257</v>
      </c>
      <c r="I1639" s="64" t="s">
        <v>10</v>
      </c>
      <c r="J1639" s="64" t="s">
        <v>201</v>
      </c>
      <c r="K1639" s="66">
        <v>5.5</v>
      </c>
      <c r="L1639" s="66">
        <f>K1639*VLOOKUP(I1639,dagsoorttabel1,2,FALSE)</f>
        <v>5.5</v>
      </c>
      <c r="M1639" s="67">
        <f>prodnorm60</f>
        <v>0</v>
      </c>
      <c r="N1639" s="68">
        <f>dagwerk60</f>
        <v>0</v>
      </c>
      <c r="O1639" s="64" t="s">
        <v>38</v>
      </c>
      <c r="P1639" s="69">
        <f>uurtarief60</f>
        <v>0</v>
      </c>
      <c r="Q1639" s="66" t="e">
        <f>IF(ISBLANK(M1639),0,L1639/ROUND(M1639,4))</f>
        <v>#DIV/0!</v>
      </c>
      <c r="R1639" s="66" t="e">
        <f>IF(ISBLANK(M1639),0,Q1639*ROUND(N1639,2))</f>
        <v>#DIV/0!</v>
      </c>
      <c r="S1639" s="69" t="e">
        <f>ROUND(P1639,2)*Q1639</f>
        <v>#DIV/0!</v>
      </c>
      <c r="T1639" s="66" t="e">
        <f>Q1639*dagenperjaar1</f>
        <v>#DIV/0!</v>
      </c>
      <c r="U1639" s="70" t="e">
        <f>T1639*ROUND(P1639,2)</f>
        <v>#DIV/0!</v>
      </c>
    </row>
    <row r="1640" spans="1:21" x14ac:dyDescent="0.2">
      <c r="A1640" s="63" t="s">
        <v>2059</v>
      </c>
      <c r="B1640" s="64" t="s">
        <v>324</v>
      </c>
      <c r="C1640" s="64" t="s">
        <v>323</v>
      </c>
      <c r="D1640" s="64" t="s">
        <v>927</v>
      </c>
      <c r="E1640" s="64" t="s">
        <v>324</v>
      </c>
      <c r="F1640" s="65" t="s">
        <v>2064</v>
      </c>
      <c r="G1640" s="64" t="s">
        <v>351</v>
      </c>
      <c r="H1640" s="64" t="s">
        <v>207</v>
      </c>
      <c r="I1640" s="64" t="s">
        <v>10</v>
      </c>
      <c r="J1640" s="64" t="s">
        <v>201</v>
      </c>
      <c r="K1640" s="66">
        <v>56</v>
      </c>
      <c r="L1640" s="66">
        <f>K1640*VLOOKUP(I1640,dagsoorttabel1,2,FALSE)</f>
        <v>56</v>
      </c>
      <c r="M1640" s="67">
        <f>prodnorm28</f>
        <v>0</v>
      </c>
      <c r="N1640" s="68">
        <f>dagwerk28</f>
        <v>0</v>
      </c>
      <c r="O1640" s="64" t="s">
        <v>38</v>
      </c>
      <c r="P1640" s="69">
        <f>uurtarief28</f>
        <v>0</v>
      </c>
      <c r="Q1640" s="66" t="e">
        <f>IF(ISBLANK(M1640),0,L1640/ROUND(M1640,4))</f>
        <v>#DIV/0!</v>
      </c>
      <c r="R1640" s="66" t="e">
        <f>IF(ISBLANK(M1640),0,Q1640*ROUND(N1640,2))</f>
        <v>#DIV/0!</v>
      </c>
      <c r="S1640" s="69" t="e">
        <f>ROUND(P1640,2)*Q1640</f>
        <v>#DIV/0!</v>
      </c>
      <c r="T1640" s="66" t="e">
        <f>Q1640*dagenperjaar1</f>
        <v>#DIV/0!</v>
      </c>
      <c r="U1640" s="70" t="e">
        <f>T1640*ROUND(P1640,2)</f>
        <v>#DIV/0!</v>
      </c>
    </row>
    <row r="1641" spans="1:21" x14ac:dyDescent="0.2">
      <c r="A1641" s="63" t="s">
        <v>2059</v>
      </c>
      <c r="B1641" s="64" t="s">
        <v>324</v>
      </c>
      <c r="C1641" s="64" t="s">
        <v>323</v>
      </c>
      <c r="D1641" s="64" t="s">
        <v>2065</v>
      </c>
      <c r="E1641" s="64" t="s">
        <v>324</v>
      </c>
      <c r="F1641" s="65" t="s">
        <v>555</v>
      </c>
      <c r="G1641" s="64" t="s">
        <v>328</v>
      </c>
      <c r="H1641" s="64" t="s">
        <v>241</v>
      </c>
      <c r="I1641" s="64" t="s">
        <v>10</v>
      </c>
      <c r="J1641" s="64" t="s">
        <v>201</v>
      </c>
      <c r="K1641" s="66">
        <v>4</v>
      </c>
      <c r="L1641" s="66">
        <f>K1641*VLOOKUP(I1641,dagsoorttabel1,2,FALSE)</f>
        <v>4</v>
      </c>
      <c r="M1641" s="67">
        <f>prodnorm51</f>
        <v>0</v>
      </c>
      <c r="N1641" s="68">
        <f>dagwerk51</f>
        <v>0</v>
      </c>
      <c r="O1641" s="64" t="s">
        <v>38</v>
      </c>
      <c r="P1641" s="69">
        <f>uurtarief51</f>
        <v>0</v>
      </c>
      <c r="Q1641" s="66" t="e">
        <f>IF(ISBLANK(M1641),0,L1641/ROUND(M1641,4))</f>
        <v>#DIV/0!</v>
      </c>
      <c r="R1641" s="66" t="e">
        <f>IF(ISBLANK(M1641),0,Q1641*ROUND(N1641,2))</f>
        <v>#DIV/0!</v>
      </c>
      <c r="S1641" s="69" t="e">
        <f>ROUND(P1641,2)*Q1641</f>
        <v>#DIV/0!</v>
      </c>
      <c r="T1641" s="66" t="e">
        <f>Q1641*dagenperjaar1</f>
        <v>#DIV/0!</v>
      </c>
      <c r="U1641" s="70" t="e">
        <f>T1641*ROUND(P1641,2)</f>
        <v>#DIV/0!</v>
      </c>
    </row>
    <row r="1642" spans="1:21" x14ac:dyDescent="0.2">
      <c r="A1642" s="63" t="s">
        <v>2059</v>
      </c>
      <c r="B1642" s="64" t="s">
        <v>324</v>
      </c>
      <c r="C1642" s="64" t="s">
        <v>323</v>
      </c>
      <c r="D1642" s="64" t="s">
        <v>465</v>
      </c>
      <c r="E1642" s="64" t="s">
        <v>324</v>
      </c>
      <c r="F1642" s="65" t="s">
        <v>457</v>
      </c>
      <c r="G1642" s="64" t="s">
        <v>351</v>
      </c>
      <c r="H1642" s="64" t="s">
        <v>231</v>
      </c>
      <c r="I1642" s="64" t="s">
        <v>10</v>
      </c>
      <c r="J1642" s="64" t="s">
        <v>201</v>
      </c>
      <c r="K1642" s="66">
        <v>59.3</v>
      </c>
      <c r="L1642" s="66">
        <f>K1642*VLOOKUP(I1642,dagsoorttabel1,2,FALSE)</f>
        <v>59.3</v>
      </c>
      <c r="M1642" s="67">
        <f>prodnorm44</f>
        <v>0</v>
      </c>
      <c r="N1642" s="68">
        <f>dagwerk44</f>
        <v>0</v>
      </c>
      <c r="O1642" s="64" t="s">
        <v>38</v>
      </c>
      <c r="P1642" s="69">
        <f>uurtarief44</f>
        <v>0</v>
      </c>
      <c r="Q1642" s="66" t="e">
        <f>IF(ISBLANK(M1642),0,L1642/ROUND(M1642,4))</f>
        <v>#DIV/0!</v>
      </c>
      <c r="R1642" s="66" t="e">
        <f>IF(ISBLANK(M1642),0,Q1642*ROUND(N1642,2))</f>
        <v>#DIV/0!</v>
      </c>
      <c r="S1642" s="69" t="e">
        <f>ROUND(P1642,2)*Q1642</f>
        <v>#DIV/0!</v>
      </c>
      <c r="T1642" s="66" t="e">
        <f>Q1642*dagenperjaar1</f>
        <v>#DIV/0!</v>
      </c>
      <c r="U1642" s="70" t="e">
        <f>T1642*ROUND(P1642,2)</f>
        <v>#DIV/0!</v>
      </c>
    </row>
    <row r="1643" spans="1:21" x14ac:dyDescent="0.2">
      <c r="A1643" s="63" t="s">
        <v>2059</v>
      </c>
      <c r="B1643" s="64" t="s">
        <v>324</v>
      </c>
      <c r="C1643" s="64" t="s">
        <v>323</v>
      </c>
      <c r="D1643" s="64" t="s">
        <v>467</v>
      </c>
      <c r="E1643" s="64" t="s">
        <v>324</v>
      </c>
      <c r="F1643" s="65" t="s">
        <v>457</v>
      </c>
      <c r="G1643" s="64" t="s">
        <v>351</v>
      </c>
      <c r="H1643" s="64" t="s">
        <v>231</v>
      </c>
      <c r="I1643" s="64" t="s">
        <v>10</v>
      </c>
      <c r="J1643" s="64" t="s">
        <v>201</v>
      </c>
      <c r="K1643" s="66">
        <v>39.1</v>
      </c>
      <c r="L1643" s="66">
        <f>K1643*VLOOKUP(I1643,dagsoorttabel1,2,FALSE)</f>
        <v>39.1</v>
      </c>
      <c r="M1643" s="67">
        <f>prodnorm44</f>
        <v>0</v>
      </c>
      <c r="N1643" s="68">
        <f>dagwerk44</f>
        <v>0</v>
      </c>
      <c r="O1643" s="64" t="s">
        <v>38</v>
      </c>
      <c r="P1643" s="69">
        <f>uurtarief44</f>
        <v>0</v>
      </c>
      <c r="Q1643" s="66" t="e">
        <f>IF(ISBLANK(M1643),0,L1643/ROUND(M1643,4))</f>
        <v>#DIV/0!</v>
      </c>
      <c r="R1643" s="66" t="e">
        <f>IF(ISBLANK(M1643),0,Q1643*ROUND(N1643,2))</f>
        <v>#DIV/0!</v>
      </c>
      <c r="S1643" s="69" t="e">
        <f>ROUND(P1643,2)*Q1643</f>
        <v>#DIV/0!</v>
      </c>
      <c r="T1643" s="66" t="e">
        <f>Q1643*dagenperjaar1</f>
        <v>#DIV/0!</v>
      </c>
      <c r="U1643" s="70" t="e">
        <f>T1643*ROUND(P1643,2)</f>
        <v>#DIV/0!</v>
      </c>
    </row>
    <row r="1644" spans="1:21" x14ac:dyDescent="0.2">
      <c r="A1644" s="63" t="s">
        <v>2059</v>
      </c>
      <c r="B1644" s="64" t="s">
        <v>324</v>
      </c>
      <c r="C1644" s="64" t="s">
        <v>323</v>
      </c>
      <c r="D1644" s="64" t="s">
        <v>470</v>
      </c>
      <c r="E1644" s="64" t="s">
        <v>324</v>
      </c>
      <c r="F1644" s="65" t="s">
        <v>457</v>
      </c>
      <c r="G1644" s="64" t="s">
        <v>351</v>
      </c>
      <c r="H1644" s="64" t="s">
        <v>231</v>
      </c>
      <c r="I1644" s="64" t="s">
        <v>10</v>
      </c>
      <c r="J1644" s="64" t="s">
        <v>201</v>
      </c>
      <c r="K1644" s="66">
        <v>51.7</v>
      </c>
      <c r="L1644" s="66">
        <f>K1644*VLOOKUP(I1644,dagsoorttabel1,2,FALSE)</f>
        <v>51.7</v>
      </c>
      <c r="M1644" s="67">
        <f>prodnorm44</f>
        <v>0</v>
      </c>
      <c r="N1644" s="68">
        <f>dagwerk44</f>
        <v>0</v>
      </c>
      <c r="O1644" s="64" t="s">
        <v>38</v>
      </c>
      <c r="P1644" s="69">
        <f>uurtarief44</f>
        <v>0</v>
      </c>
      <c r="Q1644" s="66" t="e">
        <f>IF(ISBLANK(M1644),0,L1644/ROUND(M1644,4))</f>
        <v>#DIV/0!</v>
      </c>
      <c r="R1644" s="66" t="e">
        <f>IF(ISBLANK(M1644),0,Q1644*ROUND(N1644,2))</f>
        <v>#DIV/0!</v>
      </c>
      <c r="S1644" s="69" t="e">
        <f>ROUND(P1644,2)*Q1644</f>
        <v>#DIV/0!</v>
      </c>
      <c r="T1644" s="66" t="e">
        <f>Q1644*dagenperjaar1</f>
        <v>#DIV/0!</v>
      </c>
      <c r="U1644" s="70" t="e">
        <f>T1644*ROUND(P1644,2)</f>
        <v>#DIV/0!</v>
      </c>
    </row>
    <row r="1645" spans="1:21" x14ac:dyDescent="0.2">
      <c r="A1645" s="63" t="s">
        <v>2059</v>
      </c>
      <c r="B1645" s="64" t="s">
        <v>324</v>
      </c>
      <c r="C1645" s="64" t="s">
        <v>323</v>
      </c>
      <c r="D1645" s="64" t="s">
        <v>939</v>
      </c>
      <c r="E1645" s="64" t="s">
        <v>324</v>
      </c>
      <c r="F1645" s="65" t="s">
        <v>457</v>
      </c>
      <c r="G1645" s="64" t="s">
        <v>351</v>
      </c>
      <c r="H1645" s="64" t="s">
        <v>231</v>
      </c>
      <c r="I1645" s="64" t="s">
        <v>10</v>
      </c>
      <c r="J1645" s="64" t="s">
        <v>201</v>
      </c>
      <c r="K1645" s="66">
        <v>56.8</v>
      </c>
      <c r="L1645" s="66">
        <f>K1645*VLOOKUP(I1645,dagsoorttabel1,2,FALSE)</f>
        <v>56.8</v>
      </c>
      <c r="M1645" s="67">
        <f>prodnorm44</f>
        <v>0</v>
      </c>
      <c r="N1645" s="68">
        <f>dagwerk44</f>
        <v>0</v>
      </c>
      <c r="O1645" s="64" t="s">
        <v>38</v>
      </c>
      <c r="P1645" s="69">
        <f>uurtarief44</f>
        <v>0</v>
      </c>
      <c r="Q1645" s="66" t="e">
        <f>IF(ISBLANK(M1645),0,L1645/ROUND(M1645,4))</f>
        <v>#DIV/0!</v>
      </c>
      <c r="R1645" s="66" t="e">
        <f>IF(ISBLANK(M1645),0,Q1645*ROUND(N1645,2))</f>
        <v>#DIV/0!</v>
      </c>
      <c r="S1645" s="69" t="e">
        <f>ROUND(P1645,2)*Q1645</f>
        <v>#DIV/0!</v>
      </c>
      <c r="T1645" s="66" t="e">
        <f>Q1645*dagenperjaar1</f>
        <v>#DIV/0!</v>
      </c>
      <c r="U1645" s="70" t="e">
        <f>T1645*ROUND(P1645,2)</f>
        <v>#DIV/0!</v>
      </c>
    </row>
    <row r="1646" spans="1:21" x14ac:dyDescent="0.2">
      <c r="A1646" s="63" t="s">
        <v>2059</v>
      </c>
      <c r="B1646" s="64" t="s">
        <v>324</v>
      </c>
      <c r="C1646" s="64" t="s">
        <v>323</v>
      </c>
      <c r="D1646" s="64" t="s">
        <v>942</v>
      </c>
      <c r="E1646" s="64" t="s">
        <v>324</v>
      </c>
      <c r="F1646" s="65" t="s">
        <v>457</v>
      </c>
      <c r="G1646" s="64" t="s">
        <v>351</v>
      </c>
      <c r="H1646" s="64" t="s">
        <v>231</v>
      </c>
      <c r="I1646" s="64" t="s">
        <v>10</v>
      </c>
      <c r="J1646" s="64" t="s">
        <v>201</v>
      </c>
      <c r="K1646" s="66">
        <v>39.1</v>
      </c>
      <c r="L1646" s="66">
        <f>K1646*VLOOKUP(I1646,dagsoorttabel1,2,FALSE)</f>
        <v>39.1</v>
      </c>
      <c r="M1646" s="67">
        <f>prodnorm44</f>
        <v>0</v>
      </c>
      <c r="N1646" s="68">
        <f>dagwerk44</f>
        <v>0</v>
      </c>
      <c r="O1646" s="64" t="s">
        <v>38</v>
      </c>
      <c r="P1646" s="69">
        <f>uurtarief44</f>
        <v>0</v>
      </c>
      <c r="Q1646" s="66" t="e">
        <f>IF(ISBLANK(M1646),0,L1646/ROUND(M1646,4))</f>
        <v>#DIV/0!</v>
      </c>
      <c r="R1646" s="66" t="e">
        <f>IF(ISBLANK(M1646),0,Q1646*ROUND(N1646,2))</f>
        <v>#DIV/0!</v>
      </c>
      <c r="S1646" s="69" t="e">
        <f>ROUND(P1646,2)*Q1646</f>
        <v>#DIV/0!</v>
      </c>
      <c r="T1646" s="66" t="e">
        <f>Q1646*dagenperjaar1</f>
        <v>#DIV/0!</v>
      </c>
      <c r="U1646" s="70" t="e">
        <f>T1646*ROUND(P1646,2)</f>
        <v>#DIV/0!</v>
      </c>
    </row>
    <row r="1647" spans="1:21" x14ac:dyDescent="0.2">
      <c r="A1647" s="63" t="s">
        <v>2059</v>
      </c>
      <c r="B1647" s="64" t="s">
        <v>324</v>
      </c>
      <c r="C1647" s="64" t="s">
        <v>323</v>
      </c>
      <c r="D1647" s="64" t="s">
        <v>1807</v>
      </c>
      <c r="E1647" s="64" t="s">
        <v>324</v>
      </c>
      <c r="F1647" s="65" t="s">
        <v>457</v>
      </c>
      <c r="G1647" s="64" t="s">
        <v>351</v>
      </c>
      <c r="H1647" s="64" t="s">
        <v>231</v>
      </c>
      <c r="I1647" s="64" t="s">
        <v>10</v>
      </c>
      <c r="J1647" s="64" t="s">
        <v>201</v>
      </c>
      <c r="K1647" s="66">
        <v>39.1</v>
      </c>
      <c r="L1647" s="66">
        <f>K1647*VLOOKUP(I1647,dagsoorttabel1,2,FALSE)</f>
        <v>39.1</v>
      </c>
      <c r="M1647" s="67">
        <f>prodnorm44</f>
        <v>0</v>
      </c>
      <c r="N1647" s="68">
        <f>dagwerk44</f>
        <v>0</v>
      </c>
      <c r="O1647" s="64" t="s">
        <v>38</v>
      </c>
      <c r="P1647" s="69">
        <f>uurtarief44</f>
        <v>0</v>
      </c>
      <c r="Q1647" s="66" t="e">
        <f>IF(ISBLANK(M1647),0,L1647/ROUND(M1647,4))</f>
        <v>#DIV/0!</v>
      </c>
      <c r="R1647" s="66" t="e">
        <f>IF(ISBLANK(M1647),0,Q1647*ROUND(N1647,2))</f>
        <v>#DIV/0!</v>
      </c>
      <c r="S1647" s="69" t="e">
        <f>ROUND(P1647,2)*Q1647</f>
        <v>#DIV/0!</v>
      </c>
      <c r="T1647" s="66" t="e">
        <f>Q1647*dagenperjaar1</f>
        <v>#DIV/0!</v>
      </c>
      <c r="U1647" s="70" t="e">
        <f>T1647*ROUND(P1647,2)</f>
        <v>#DIV/0!</v>
      </c>
    </row>
    <row r="1648" spans="1:21" x14ac:dyDescent="0.2">
      <c r="A1648" s="63" t="s">
        <v>2059</v>
      </c>
      <c r="B1648" s="64" t="s">
        <v>324</v>
      </c>
      <c r="C1648" s="64" t="s">
        <v>323</v>
      </c>
      <c r="D1648" s="64" t="s">
        <v>2066</v>
      </c>
      <c r="E1648" s="64" t="s">
        <v>324</v>
      </c>
      <c r="F1648" s="65" t="s">
        <v>2067</v>
      </c>
      <c r="G1648" s="64" t="s">
        <v>351</v>
      </c>
      <c r="H1648" s="64" t="s">
        <v>261</v>
      </c>
      <c r="I1648" s="64" t="s">
        <v>10</v>
      </c>
      <c r="J1648" s="64" t="s">
        <v>201</v>
      </c>
      <c r="K1648" s="66">
        <v>40.700000000000003</v>
      </c>
      <c r="L1648" s="66">
        <f>K1648*VLOOKUP(I1648,dagsoorttabel1,2,FALSE)</f>
        <v>40.700000000000003</v>
      </c>
      <c r="M1648" s="67">
        <f>prodnorm62</f>
        <v>0</v>
      </c>
      <c r="N1648" s="68">
        <f>dagwerk62</f>
        <v>0</v>
      </c>
      <c r="O1648" s="64" t="s">
        <v>38</v>
      </c>
      <c r="P1648" s="69">
        <f>uurtarief62</f>
        <v>0</v>
      </c>
      <c r="Q1648" s="66" t="e">
        <f>IF(ISBLANK(M1648),0,L1648/ROUND(M1648,4))</f>
        <v>#DIV/0!</v>
      </c>
      <c r="R1648" s="66" t="e">
        <f>IF(ISBLANK(M1648),0,Q1648*ROUND(N1648,2))</f>
        <v>#DIV/0!</v>
      </c>
      <c r="S1648" s="69" t="e">
        <f>ROUND(P1648,2)*Q1648</f>
        <v>#DIV/0!</v>
      </c>
      <c r="T1648" s="66" t="e">
        <f>Q1648*dagenperjaar1</f>
        <v>#DIV/0!</v>
      </c>
      <c r="U1648" s="70" t="e">
        <f>T1648*ROUND(P1648,2)</f>
        <v>#DIV/0!</v>
      </c>
    </row>
    <row r="1649" spans="1:21" x14ac:dyDescent="0.2">
      <c r="A1649" s="63" t="s">
        <v>2059</v>
      </c>
      <c r="B1649" s="64" t="s">
        <v>324</v>
      </c>
      <c r="C1649" s="64" t="s">
        <v>323</v>
      </c>
      <c r="D1649" s="64" t="s">
        <v>1369</v>
      </c>
      <c r="E1649" s="64" t="s">
        <v>324</v>
      </c>
      <c r="F1649" s="65" t="s">
        <v>2063</v>
      </c>
      <c r="G1649" s="64" t="s">
        <v>328</v>
      </c>
      <c r="H1649" s="64" t="s">
        <v>255</v>
      </c>
      <c r="I1649" s="64" t="s">
        <v>10</v>
      </c>
      <c r="J1649" s="64" t="s">
        <v>201</v>
      </c>
      <c r="K1649" s="66">
        <v>6.2</v>
      </c>
      <c r="L1649" s="66">
        <f>K1649*VLOOKUP(I1649,dagsoorttabel1,2,FALSE)</f>
        <v>6.2</v>
      </c>
      <c r="M1649" s="67">
        <f>prodnorm59</f>
        <v>0</v>
      </c>
      <c r="N1649" s="68">
        <f>dagwerk59</f>
        <v>0</v>
      </c>
      <c r="O1649" s="64" t="s">
        <v>38</v>
      </c>
      <c r="P1649" s="69">
        <f>uurtarief59</f>
        <v>0</v>
      </c>
      <c r="Q1649" s="66" t="e">
        <f>IF(ISBLANK(M1649),0,L1649/ROUND(M1649,4))</f>
        <v>#DIV/0!</v>
      </c>
      <c r="R1649" s="66" t="e">
        <f>IF(ISBLANK(M1649),0,Q1649*ROUND(N1649,2))</f>
        <v>#DIV/0!</v>
      </c>
      <c r="S1649" s="69" t="e">
        <f>ROUND(P1649,2)*Q1649</f>
        <v>#DIV/0!</v>
      </c>
      <c r="T1649" s="66" t="e">
        <f>Q1649*dagenperjaar1</f>
        <v>#DIV/0!</v>
      </c>
      <c r="U1649" s="70" t="e">
        <f>T1649*ROUND(P1649,2)</f>
        <v>#DIV/0!</v>
      </c>
    </row>
    <row r="1650" spans="1:21" x14ac:dyDescent="0.2">
      <c r="A1650" s="63" t="s">
        <v>2059</v>
      </c>
      <c r="B1650" s="64" t="s">
        <v>324</v>
      </c>
      <c r="C1650" s="64" t="s">
        <v>323</v>
      </c>
      <c r="D1650" s="64" t="s">
        <v>1369</v>
      </c>
      <c r="E1650" s="64" t="s">
        <v>324</v>
      </c>
      <c r="F1650" s="65" t="s">
        <v>2063</v>
      </c>
      <c r="G1650" s="64" t="s">
        <v>328</v>
      </c>
      <c r="H1650" s="64" t="s">
        <v>257</v>
      </c>
      <c r="I1650" s="64" t="s">
        <v>10</v>
      </c>
      <c r="J1650" s="64" t="s">
        <v>201</v>
      </c>
      <c r="K1650" s="66">
        <v>6.2</v>
      </c>
      <c r="L1650" s="66">
        <f>K1650*VLOOKUP(I1650,dagsoorttabel1,2,FALSE)</f>
        <v>6.2</v>
      </c>
      <c r="M1650" s="67">
        <f>prodnorm60</f>
        <v>0</v>
      </c>
      <c r="N1650" s="68">
        <f>dagwerk60</f>
        <v>0</v>
      </c>
      <c r="O1650" s="64" t="s">
        <v>38</v>
      </c>
      <c r="P1650" s="69">
        <f>uurtarief60</f>
        <v>0</v>
      </c>
      <c r="Q1650" s="66" t="e">
        <f>IF(ISBLANK(M1650),0,L1650/ROUND(M1650,4))</f>
        <v>#DIV/0!</v>
      </c>
      <c r="R1650" s="66" t="e">
        <f>IF(ISBLANK(M1650),0,Q1650*ROUND(N1650,2))</f>
        <v>#DIV/0!</v>
      </c>
      <c r="S1650" s="69" t="e">
        <f>ROUND(P1650,2)*Q1650</f>
        <v>#DIV/0!</v>
      </c>
      <c r="T1650" s="66" t="e">
        <f>Q1650*dagenperjaar1</f>
        <v>#DIV/0!</v>
      </c>
      <c r="U1650" s="70" t="e">
        <f>T1650*ROUND(P1650,2)</f>
        <v>#DIV/0!</v>
      </c>
    </row>
    <row r="1651" spans="1:21" x14ac:dyDescent="0.2">
      <c r="A1651" s="63" t="s">
        <v>2059</v>
      </c>
      <c r="B1651" s="64" t="s">
        <v>324</v>
      </c>
      <c r="C1651" s="64" t="s">
        <v>323</v>
      </c>
      <c r="D1651" s="64" t="s">
        <v>946</v>
      </c>
      <c r="E1651" s="64" t="s">
        <v>324</v>
      </c>
      <c r="F1651" s="65" t="s">
        <v>2063</v>
      </c>
      <c r="G1651" s="64" t="s">
        <v>328</v>
      </c>
      <c r="H1651" s="64" t="s">
        <v>255</v>
      </c>
      <c r="I1651" s="64" t="s">
        <v>10</v>
      </c>
      <c r="J1651" s="64" t="s">
        <v>201</v>
      </c>
      <c r="K1651" s="66">
        <v>6.2</v>
      </c>
      <c r="L1651" s="66">
        <f>K1651*VLOOKUP(I1651,dagsoorttabel1,2,FALSE)</f>
        <v>6.2</v>
      </c>
      <c r="M1651" s="67">
        <f>prodnorm59</f>
        <v>0</v>
      </c>
      <c r="N1651" s="68">
        <f>dagwerk59</f>
        <v>0</v>
      </c>
      <c r="O1651" s="64" t="s">
        <v>38</v>
      </c>
      <c r="P1651" s="69">
        <f>uurtarief59</f>
        <v>0</v>
      </c>
      <c r="Q1651" s="66" t="e">
        <f>IF(ISBLANK(M1651),0,L1651/ROUND(M1651,4))</f>
        <v>#DIV/0!</v>
      </c>
      <c r="R1651" s="66" t="e">
        <f>IF(ISBLANK(M1651),0,Q1651*ROUND(N1651,2))</f>
        <v>#DIV/0!</v>
      </c>
      <c r="S1651" s="69" t="e">
        <f>ROUND(P1651,2)*Q1651</f>
        <v>#DIV/0!</v>
      </c>
      <c r="T1651" s="66" t="e">
        <f>Q1651*dagenperjaar1</f>
        <v>#DIV/0!</v>
      </c>
      <c r="U1651" s="70" t="e">
        <f>T1651*ROUND(P1651,2)</f>
        <v>#DIV/0!</v>
      </c>
    </row>
    <row r="1652" spans="1:21" x14ac:dyDescent="0.2">
      <c r="A1652" s="63" t="s">
        <v>2059</v>
      </c>
      <c r="B1652" s="64" t="s">
        <v>324</v>
      </c>
      <c r="C1652" s="64" t="s">
        <v>323</v>
      </c>
      <c r="D1652" s="64" t="s">
        <v>946</v>
      </c>
      <c r="E1652" s="64" t="s">
        <v>324</v>
      </c>
      <c r="F1652" s="65" t="s">
        <v>2063</v>
      </c>
      <c r="G1652" s="64" t="s">
        <v>328</v>
      </c>
      <c r="H1652" s="64" t="s">
        <v>257</v>
      </c>
      <c r="I1652" s="64" t="s">
        <v>10</v>
      </c>
      <c r="J1652" s="64" t="s">
        <v>201</v>
      </c>
      <c r="K1652" s="66">
        <v>6.2</v>
      </c>
      <c r="L1652" s="66">
        <f>K1652*VLOOKUP(I1652,dagsoorttabel1,2,FALSE)</f>
        <v>6.2</v>
      </c>
      <c r="M1652" s="67">
        <f>prodnorm60</f>
        <v>0</v>
      </c>
      <c r="N1652" s="68">
        <f>dagwerk60</f>
        <v>0</v>
      </c>
      <c r="O1652" s="64" t="s">
        <v>38</v>
      </c>
      <c r="P1652" s="69">
        <f>uurtarief60</f>
        <v>0</v>
      </c>
      <c r="Q1652" s="66" t="e">
        <f>IF(ISBLANK(M1652),0,L1652/ROUND(M1652,4))</f>
        <v>#DIV/0!</v>
      </c>
      <c r="R1652" s="66" t="e">
        <f>IF(ISBLANK(M1652),0,Q1652*ROUND(N1652,2))</f>
        <v>#DIV/0!</v>
      </c>
      <c r="S1652" s="69" t="e">
        <f>ROUND(P1652,2)*Q1652</f>
        <v>#DIV/0!</v>
      </c>
      <c r="T1652" s="66" t="e">
        <f>Q1652*dagenperjaar1</f>
        <v>#DIV/0!</v>
      </c>
      <c r="U1652" s="70" t="e">
        <f>T1652*ROUND(P1652,2)</f>
        <v>#DIV/0!</v>
      </c>
    </row>
    <row r="1653" spans="1:21" x14ac:dyDescent="0.2">
      <c r="A1653" s="63" t="s">
        <v>2059</v>
      </c>
      <c r="B1653" s="64" t="s">
        <v>324</v>
      </c>
      <c r="C1653" s="64" t="s">
        <v>323</v>
      </c>
      <c r="D1653" s="64" t="s">
        <v>1372</v>
      </c>
      <c r="E1653" s="64" t="s">
        <v>324</v>
      </c>
      <c r="F1653" s="65" t="s">
        <v>2063</v>
      </c>
      <c r="G1653" s="64" t="s">
        <v>642</v>
      </c>
      <c r="H1653" s="64" t="s">
        <v>255</v>
      </c>
      <c r="I1653" s="64" t="s">
        <v>10</v>
      </c>
      <c r="J1653" s="64" t="s">
        <v>201</v>
      </c>
      <c r="K1653" s="66">
        <v>5.5</v>
      </c>
      <c r="L1653" s="66">
        <f>K1653*VLOOKUP(I1653,dagsoorttabel1,2,FALSE)</f>
        <v>5.5</v>
      </c>
      <c r="M1653" s="67">
        <f>prodnorm59</f>
        <v>0</v>
      </c>
      <c r="N1653" s="68">
        <f>dagwerk59</f>
        <v>0</v>
      </c>
      <c r="O1653" s="64" t="s">
        <v>38</v>
      </c>
      <c r="P1653" s="69">
        <f>uurtarief59</f>
        <v>0</v>
      </c>
      <c r="Q1653" s="66" t="e">
        <f>IF(ISBLANK(M1653),0,L1653/ROUND(M1653,4))</f>
        <v>#DIV/0!</v>
      </c>
      <c r="R1653" s="66" t="e">
        <f>IF(ISBLANK(M1653),0,Q1653*ROUND(N1653,2))</f>
        <v>#DIV/0!</v>
      </c>
      <c r="S1653" s="69" t="e">
        <f>ROUND(P1653,2)*Q1653</f>
        <v>#DIV/0!</v>
      </c>
      <c r="T1653" s="66" t="e">
        <f>Q1653*dagenperjaar1</f>
        <v>#DIV/0!</v>
      </c>
      <c r="U1653" s="70" t="e">
        <f>T1653*ROUND(P1653,2)</f>
        <v>#DIV/0!</v>
      </c>
    </row>
    <row r="1654" spans="1:21" x14ac:dyDescent="0.2">
      <c r="A1654" s="63" t="s">
        <v>2059</v>
      </c>
      <c r="B1654" s="64" t="s">
        <v>324</v>
      </c>
      <c r="C1654" s="64" t="s">
        <v>323</v>
      </c>
      <c r="D1654" s="64" t="s">
        <v>1372</v>
      </c>
      <c r="E1654" s="64" t="s">
        <v>324</v>
      </c>
      <c r="F1654" s="65" t="s">
        <v>2063</v>
      </c>
      <c r="G1654" s="64" t="s">
        <v>642</v>
      </c>
      <c r="H1654" s="64" t="s">
        <v>257</v>
      </c>
      <c r="I1654" s="64" t="s">
        <v>10</v>
      </c>
      <c r="J1654" s="64" t="s">
        <v>201</v>
      </c>
      <c r="K1654" s="66">
        <v>5.5</v>
      </c>
      <c r="L1654" s="66">
        <f>K1654*VLOOKUP(I1654,dagsoorttabel1,2,FALSE)</f>
        <v>5.5</v>
      </c>
      <c r="M1654" s="67">
        <f>prodnorm60</f>
        <v>0</v>
      </c>
      <c r="N1654" s="68">
        <f>dagwerk60</f>
        <v>0</v>
      </c>
      <c r="O1654" s="64" t="s">
        <v>38</v>
      </c>
      <c r="P1654" s="69">
        <f>uurtarief60</f>
        <v>0</v>
      </c>
      <c r="Q1654" s="66" t="e">
        <f>IF(ISBLANK(M1654),0,L1654/ROUND(M1654,4))</f>
        <v>#DIV/0!</v>
      </c>
      <c r="R1654" s="66" t="e">
        <f>IF(ISBLANK(M1654),0,Q1654*ROUND(N1654,2))</f>
        <v>#DIV/0!</v>
      </c>
      <c r="S1654" s="69" t="e">
        <f>ROUND(P1654,2)*Q1654</f>
        <v>#DIV/0!</v>
      </c>
      <c r="T1654" s="66" t="e">
        <f>Q1654*dagenperjaar1</f>
        <v>#DIV/0!</v>
      </c>
      <c r="U1654" s="70" t="e">
        <f>T1654*ROUND(P1654,2)</f>
        <v>#DIV/0!</v>
      </c>
    </row>
    <row r="1655" spans="1:21" x14ac:dyDescent="0.2">
      <c r="A1655" s="63" t="s">
        <v>2059</v>
      </c>
      <c r="B1655" s="64" t="s">
        <v>324</v>
      </c>
      <c r="C1655" s="64" t="s">
        <v>323</v>
      </c>
      <c r="D1655" s="64" t="s">
        <v>947</v>
      </c>
      <c r="E1655" s="64" t="s">
        <v>324</v>
      </c>
      <c r="F1655" s="65" t="s">
        <v>2063</v>
      </c>
      <c r="G1655" s="64" t="s">
        <v>642</v>
      </c>
      <c r="H1655" s="64" t="s">
        <v>255</v>
      </c>
      <c r="I1655" s="64" t="s">
        <v>10</v>
      </c>
      <c r="J1655" s="64" t="s">
        <v>201</v>
      </c>
      <c r="K1655" s="66">
        <v>5.5</v>
      </c>
      <c r="L1655" s="66">
        <f>K1655*VLOOKUP(I1655,dagsoorttabel1,2,FALSE)</f>
        <v>5.5</v>
      </c>
      <c r="M1655" s="67">
        <f>prodnorm59</f>
        <v>0</v>
      </c>
      <c r="N1655" s="68">
        <f>dagwerk59</f>
        <v>0</v>
      </c>
      <c r="O1655" s="64" t="s">
        <v>38</v>
      </c>
      <c r="P1655" s="69">
        <f>uurtarief59</f>
        <v>0</v>
      </c>
      <c r="Q1655" s="66" t="e">
        <f>IF(ISBLANK(M1655),0,L1655/ROUND(M1655,4))</f>
        <v>#DIV/0!</v>
      </c>
      <c r="R1655" s="66" t="e">
        <f>IF(ISBLANK(M1655),0,Q1655*ROUND(N1655,2))</f>
        <v>#DIV/0!</v>
      </c>
      <c r="S1655" s="69" t="e">
        <f>ROUND(P1655,2)*Q1655</f>
        <v>#DIV/0!</v>
      </c>
      <c r="T1655" s="66" t="e">
        <f>Q1655*dagenperjaar1</f>
        <v>#DIV/0!</v>
      </c>
      <c r="U1655" s="70" t="e">
        <f>T1655*ROUND(P1655,2)</f>
        <v>#DIV/0!</v>
      </c>
    </row>
    <row r="1656" spans="1:21" x14ac:dyDescent="0.2">
      <c r="A1656" s="63" t="s">
        <v>2059</v>
      </c>
      <c r="B1656" s="64" t="s">
        <v>324</v>
      </c>
      <c r="C1656" s="64" t="s">
        <v>323</v>
      </c>
      <c r="D1656" s="64" t="s">
        <v>947</v>
      </c>
      <c r="E1656" s="64" t="s">
        <v>324</v>
      </c>
      <c r="F1656" s="65" t="s">
        <v>2063</v>
      </c>
      <c r="G1656" s="64" t="s">
        <v>642</v>
      </c>
      <c r="H1656" s="64" t="s">
        <v>257</v>
      </c>
      <c r="I1656" s="64" t="s">
        <v>10</v>
      </c>
      <c r="J1656" s="64" t="s">
        <v>201</v>
      </c>
      <c r="K1656" s="66">
        <v>5.5</v>
      </c>
      <c r="L1656" s="66">
        <f>K1656*VLOOKUP(I1656,dagsoorttabel1,2,FALSE)</f>
        <v>5.5</v>
      </c>
      <c r="M1656" s="67">
        <f>prodnorm60</f>
        <v>0</v>
      </c>
      <c r="N1656" s="68">
        <f>dagwerk60</f>
        <v>0</v>
      </c>
      <c r="O1656" s="64" t="s">
        <v>38</v>
      </c>
      <c r="P1656" s="69">
        <f>uurtarief60</f>
        <v>0</v>
      </c>
      <c r="Q1656" s="66" t="e">
        <f>IF(ISBLANK(M1656),0,L1656/ROUND(M1656,4))</f>
        <v>#DIV/0!</v>
      </c>
      <c r="R1656" s="66" t="e">
        <f>IF(ISBLANK(M1656),0,Q1656*ROUND(N1656,2))</f>
        <v>#DIV/0!</v>
      </c>
      <c r="S1656" s="69" t="e">
        <f>ROUND(P1656,2)*Q1656</f>
        <v>#DIV/0!</v>
      </c>
      <c r="T1656" s="66" t="e">
        <f>Q1656*dagenperjaar1</f>
        <v>#DIV/0!</v>
      </c>
      <c r="U1656" s="70" t="e">
        <f>T1656*ROUND(P1656,2)</f>
        <v>#DIV/0!</v>
      </c>
    </row>
    <row r="1657" spans="1:21" x14ac:dyDescent="0.2">
      <c r="A1657" s="63" t="s">
        <v>2059</v>
      </c>
      <c r="B1657" s="64" t="s">
        <v>324</v>
      </c>
      <c r="C1657" s="64" t="s">
        <v>323</v>
      </c>
      <c r="D1657" s="64" t="s">
        <v>950</v>
      </c>
      <c r="E1657" s="64" t="s">
        <v>324</v>
      </c>
      <c r="F1657" s="65" t="s">
        <v>381</v>
      </c>
      <c r="G1657" s="64" t="s">
        <v>351</v>
      </c>
      <c r="H1657" s="64" t="s">
        <v>207</v>
      </c>
      <c r="I1657" s="64" t="s">
        <v>10</v>
      </c>
      <c r="J1657" s="64" t="s">
        <v>201</v>
      </c>
      <c r="K1657" s="66">
        <v>31</v>
      </c>
      <c r="L1657" s="66">
        <f>K1657*VLOOKUP(I1657,dagsoorttabel1,2,FALSE)</f>
        <v>31</v>
      </c>
      <c r="M1657" s="67">
        <f>prodnorm28</f>
        <v>0</v>
      </c>
      <c r="N1657" s="68">
        <f>dagwerk28</f>
        <v>0</v>
      </c>
      <c r="O1657" s="64" t="s">
        <v>38</v>
      </c>
      <c r="P1657" s="69">
        <f>uurtarief28</f>
        <v>0</v>
      </c>
      <c r="Q1657" s="66" t="e">
        <f>IF(ISBLANK(M1657),0,L1657/ROUND(M1657,4))</f>
        <v>#DIV/0!</v>
      </c>
      <c r="R1657" s="66" t="e">
        <f>IF(ISBLANK(M1657),0,Q1657*ROUND(N1657,2))</f>
        <v>#DIV/0!</v>
      </c>
      <c r="S1657" s="69" t="e">
        <f>ROUND(P1657,2)*Q1657</f>
        <v>#DIV/0!</v>
      </c>
      <c r="T1657" s="66" t="e">
        <f>Q1657*dagenperjaar1</f>
        <v>#DIV/0!</v>
      </c>
      <c r="U1657" s="70" t="e">
        <f>T1657*ROUND(P1657,2)</f>
        <v>#DIV/0!</v>
      </c>
    </row>
    <row r="1658" spans="1:21" x14ac:dyDescent="0.2">
      <c r="A1658" s="63" t="s">
        <v>2059</v>
      </c>
      <c r="B1658" s="64" t="s">
        <v>324</v>
      </c>
      <c r="C1658" s="64" t="s">
        <v>323</v>
      </c>
      <c r="D1658" s="64" t="s">
        <v>2068</v>
      </c>
      <c r="E1658" s="64" t="s">
        <v>324</v>
      </c>
      <c r="F1658" s="65" t="s">
        <v>335</v>
      </c>
      <c r="G1658" s="64" t="s">
        <v>328</v>
      </c>
      <c r="H1658" s="64" t="s">
        <v>267</v>
      </c>
      <c r="I1658" s="64" t="s">
        <v>10</v>
      </c>
      <c r="J1658" s="64" t="s">
        <v>201</v>
      </c>
      <c r="K1658" s="66">
        <v>39.4</v>
      </c>
      <c r="L1658" s="66">
        <f>K1658*VLOOKUP(I1658,dagsoorttabel1,2,FALSE)</f>
        <v>39.4</v>
      </c>
      <c r="M1658" s="67">
        <f>prodnorm65</f>
        <v>0</v>
      </c>
      <c r="N1658" s="68">
        <f>dagwerk65</f>
        <v>0</v>
      </c>
      <c r="O1658" s="64" t="s">
        <v>38</v>
      </c>
      <c r="P1658" s="69">
        <f>uurtarief65</f>
        <v>0</v>
      </c>
      <c r="Q1658" s="66" t="e">
        <f>IF(ISBLANK(M1658),0,L1658/ROUND(M1658,4))</f>
        <v>#DIV/0!</v>
      </c>
      <c r="R1658" s="66" t="e">
        <f>IF(ISBLANK(M1658),0,Q1658*ROUND(N1658,2))</f>
        <v>#DIV/0!</v>
      </c>
      <c r="S1658" s="69" t="e">
        <f>ROUND(P1658,2)*Q1658</f>
        <v>#DIV/0!</v>
      </c>
      <c r="T1658" s="66" t="e">
        <f>Q1658*dagenperjaar1</f>
        <v>#DIV/0!</v>
      </c>
      <c r="U1658" s="70" t="e">
        <f>T1658*ROUND(P1658,2)</f>
        <v>#DIV/0!</v>
      </c>
    </row>
    <row r="1659" spans="1:21" x14ac:dyDescent="0.2">
      <c r="A1659" s="63" t="s">
        <v>2059</v>
      </c>
      <c r="B1659" s="64" t="s">
        <v>324</v>
      </c>
      <c r="C1659" s="64" t="s">
        <v>323</v>
      </c>
      <c r="D1659" s="64" t="s">
        <v>2069</v>
      </c>
      <c r="E1659" s="64" t="s">
        <v>324</v>
      </c>
      <c r="F1659" s="65" t="s">
        <v>335</v>
      </c>
      <c r="G1659" s="64" t="s">
        <v>328</v>
      </c>
      <c r="H1659" s="64" t="s">
        <v>267</v>
      </c>
      <c r="I1659" s="64" t="s">
        <v>10</v>
      </c>
      <c r="J1659" s="64" t="s">
        <v>201</v>
      </c>
      <c r="K1659" s="66">
        <v>25.6</v>
      </c>
      <c r="L1659" s="66">
        <f>K1659*VLOOKUP(I1659,dagsoorttabel1,2,FALSE)</f>
        <v>25.6</v>
      </c>
      <c r="M1659" s="67">
        <f>prodnorm65</f>
        <v>0</v>
      </c>
      <c r="N1659" s="68">
        <f>dagwerk65</f>
        <v>0</v>
      </c>
      <c r="O1659" s="64" t="s">
        <v>38</v>
      </c>
      <c r="P1659" s="69">
        <f>uurtarief65</f>
        <v>0</v>
      </c>
      <c r="Q1659" s="66" t="e">
        <f>IF(ISBLANK(M1659),0,L1659/ROUND(M1659,4))</f>
        <v>#DIV/0!</v>
      </c>
      <c r="R1659" s="66" t="e">
        <f>IF(ISBLANK(M1659),0,Q1659*ROUND(N1659,2))</f>
        <v>#DIV/0!</v>
      </c>
      <c r="S1659" s="69" t="e">
        <f>ROUND(P1659,2)*Q1659</f>
        <v>#DIV/0!</v>
      </c>
      <c r="T1659" s="66" t="e">
        <f>Q1659*dagenperjaar1</f>
        <v>#DIV/0!</v>
      </c>
      <c r="U1659" s="70" t="e">
        <f>T1659*ROUND(P1659,2)</f>
        <v>#DIV/0!</v>
      </c>
    </row>
    <row r="1660" spans="1:21" x14ac:dyDescent="0.2">
      <c r="A1660" s="63" t="s">
        <v>2059</v>
      </c>
      <c r="B1660" s="64" t="s">
        <v>324</v>
      </c>
      <c r="C1660" s="64" t="s">
        <v>323</v>
      </c>
      <c r="D1660" s="64" t="s">
        <v>2070</v>
      </c>
      <c r="E1660" s="64" t="s">
        <v>324</v>
      </c>
      <c r="F1660" s="65" t="s">
        <v>335</v>
      </c>
      <c r="G1660" s="64" t="s">
        <v>328</v>
      </c>
      <c r="H1660" s="64" t="s">
        <v>267</v>
      </c>
      <c r="I1660" s="64" t="s">
        <v>10</v>
      </c>
      <c r="J1660" s="64" t="s">
        <v>201</v>
      </c>
      <c r="K1660" s="66">
        <v>47.7</v>
      </c>
      <c r="L1660" s="66">
        <f>K1660*VLOOKUP(I1660,dagsoorttabel1,2,FALSE)</f>
        <v>47.7</v>
      </c>
      <c r="M1660" s="67">
        <f>prodnorm65</f>
        <v>0</v>
      </c>
      <c r="N1660" s="68">
        <f>dagwerk65</f>
        <v>0</v>
      </c>
      <c r="O1660" s="64" t="s">
        <v>38</v>
      </c>
      <c r="P1660" s="69">
        <f>uurtarief65</f>
        <v>0</v>
      </c>
      <c r="Q1660" s="66" t="e">
        <f>IF(ISBLANK(M1660),0,L1660/ROUND(M1660,4))</f>
        <v>#DIV/0!</v>
      </c>
      <c r="R1660" s="66" t="e">
        <f>IF(ISBLANK(M1660),0,Q1660*ROUND(N1660,2))</f>
        <v>#DIV/0!</v>
      </c>
      <c r="S1660" s="69" t="e">
        <f>ROUND(P1660,2)*Q1660</f>
        <v>#DIV/0!</v>
      </c>
      <c r="T1660" s="66" t="e">
        <f>Q1660*dagenperjaar1</f>
        <v>#DIV/0!</v>
      </c>
      <c r="U1660" s="70" t="e">
        <f>T1660*ROUND(P1660,2)</f>
        <v>#DIV/0!</v>
      </c>
    </row>
    <row r="1661" spans="1:21" x14ac:dyDescent="0.2">
      <c r="A1661" s="63" t="s">
        <v>2059</v>
      </c>
      <c r="B1661" s="64" t="s">
        <v>324</v>
      </c>
      <c r="C1661" s="64" t="s">
        <v>323</v>
      </c>
      <c r="D1661" s="64" t="s">
        <v>2071</v>
      </c>
      <c r="E1661" s="64" t="s">
        <v>324</v>
      </c>
      <c r="F1661" s="65" t="s">
        <v>335</v>
      </c>
      <c r="G1661" s="64" t="s">
        <v>328</v>
      </c>
      <c r="H1661" s="64" t="s">
        <v>267</v>
      </c>
      <c r="I1661" s="64" t="s">
        <v>10</v>
      </c>
      <c r="J1661" s="64" t="s">
        <v>201</v>
      </c>
      <c r="K1661" s="66">
        <v>34</v>
      </c>
      <c r="L1661" s="66">
        <f>K1661*VLOOKUP(I1661,dagsoorttabel1,2,FALSE)</f>
        <v>34</v>
      </c>
      <c r="M1661" s="67">
        <f>prodnorm65</f>
        <v>0</v>
      </c>
      <c r="N1661" s="68">
        <f>dagwerk65</f>
        <v>0</v>
      </c>
      <c r="O1661" s="64" t="s">
        <v>38</v>
      </c>
      <c r="P1661" s="69">
        <f>uurtarief65</f>
        <v>0</v>
      </c>
      <c r="Q1661" s="66" t="e">
        <f>IF(ISBLANK(M1661),0,L1661/ROUND(M1661,4))</f>
        <v>#DIV/0!</v>
      </c>
      <c r="R1661" s="66" t="e">
        <f>IF(ISBLANK(M1661),0,Q1661*ROUND(N1661,2))</f>
        <v>#DIV/0!</v>
      </c>
      <c r="S1661" s="69" t="e">
        <f>ROUND(P1661,2)*Q1661</f>
        <v>#DIV/0!</v>
      </c>
      <c r="T1661" s="66" t="e">
        <f>Q1661*dagenperjaar1</f>
        <v>#DIV/0!</v>
      </c>
      <c r="U1661" s="70" t="e">
        <f>T1661*ROUND(P1661,2)</f>
        <v>#DIV/0!</v>
      </c>
    </row>
    <row r="1662" spans="1:21" x14ac:dyDescent="0.2">
      <c r="A1662" s="63" t="s">
        <v>2059</v>
      </c>
      <c r="B1662" s="64" t="s">
        <v>324</v>
      </c>
      <c r="C1662" s="64" t="s">
        <v>323</v>
      </c>
      <c r="D1662" s="64" t="s">
        <v>2072</v>
      </c>
      <c r="E1662" s="64" t="s">
        <v>324</v>
      </c>
      <c r="F1662" s="65" t="s">
        <v>2073</v>
      </c>
      <c r="G1662" s="64" t="s">
        <v>328</v>
      </c>
      <c r="H1662" s="64" t="s">
        <v>267</v>
      </c>
      <c r="I1662" s="64" t="s">
        <v>10</v>
      </c>
      <c r="J1662" s="64" t="s">
        <v>201</v>
      </c>
      <c r="K1662" s="66">
        <v>7.8</v>
      </c>
      <c r="L1662" s="66">
        <f>K1662*VLOOKUP(I1662,dagsoorttabel1,2,FALSE)</f>
        <v>7.8</v>
      </c>
      <c r="M1662" s="67">
        <f>prodnorm65</f>
        <v>0</v>
      </c>
      <c r="N1662" s="68">
        <f>dagwerk65</f>
        <v>0</v>
      </c>
      <c r="O1662" s="64" t="s">
        <v>38</v>
      </c>
      <c r="P1662" s="69">
        <f>uurtarief65</f>
        <v>0</v>
      </c>
      <c r="Q1662" s="66" t="e">
        <f>IF(ISBLANK(M1662),0,L1662/ROUND(M1662,4))</f>
        <v>#DIV/0!</v>
      </c>
      <c r="R1662" s="66" t="e">
        <f>IF(ISBLANK(M1662),0,Q1662*ROUND(N1662,2))</f>
        <v>#DIV/0!</v>
      </c>
      <c r="S1662" s="69" t="e">
        <f>ROUND(P1662,2)*Q1662</f>
        <v>#DIV/0!</v>
      </c>
      <c r="T1662" s="66" t="e">
        <f>Q1662*dagenperjaar1</f>
        <v>#DIV/0!</v>
      </c>
      <c r="U1662" s="70" t="e">
        <f>T1662*ROUND(P1662,2)</f>
        <v>#DIV/0!</v>
      </c>
    </row>
    <row r="1663" spans="1:21" x14ac:dyDescent="0.2">
      <c r="A1663" s="63" t="s">
        <v>2059</v>
      </c>
      <c r="B1663" s="64" t="s">
        <v>324</v>
      </c>
      <c r="C1663" s="64" t="s">
        <v>323</v>
      </c>
      <c r="D1663" s="64" t="s">
        <v>2074</v>
      </c>
      <c r="E1663" s="64" t="s">
        <v>324</v>
      </c>
      <c r="F1663" s="65" t="s">
        <v>335</v>
      </c>
      <c r="G1663" s="64" t="s">
        <v>328</v>
      </c>
      <c r="H1663" s="64" t="s">
        <v>267</v>
      </c>
      <c r="I1663" s="64" t="s">
        <v>10</v>
      </c>
      <c r="J1663" s="64" t="s">
        <v>201</v>
      </c>
      <c r="K1663" s="66">
        <v>34.4</v>
      </c>
      <c r="L1663" s="66">
        <f>K1663*VLOOKUP(I1663,dagsoorttabel1,2,FALSE)</f>
        <v>34.4</v>
      </c>
      <c r="M1663" s="67">
        <f>prodnorm65</f>
        <v>0</v>
      </c>
      <c r="N1663" s="68">
        <f>dagwerk65</f>
        <v>0</v>
      </c>
      <c r="O1663" s="64" t="s">
        <v>38</v>
      </c>
      <c r="P1663" s="69">
        <f>uurtarief65</f>
        <v>0</v>
      </c>
      <c r="Q1663" s="66" t="e">
        <f>IF(ISBLANK(M1663),0,L1663/ROUND(M1663,4))</f>
        <v>#DIV/0!</v>
      </c>
      <c r="R1663" s="66" t="e">
        <f>IF(ISBLANK(M1663),0,Q1663*ROUND(N1663,2))</f>
        <v>#DIV/0!</v>
      </c>
      <c r="S1663" s="69" t="e">
        <f>ROUND(P1663,2)*Q1663</f>
        <v>#DIV/0!</v>
      </c>
      <c r="T1663" s="66" t="e">
        <f>Q1663*dagenperjaar1</f>
        <v>#DIV/0!</v>
      </c>
      <c r="U1663" s="70" t="e">
        <f>T1663*ROUND(P1663,2)</f>
        <v>#DIV/0!</v>
      </c>
    </row>
    <row r="1664" spans="1:21" x14ac:dyDescent="0.2">
      <c r="A1664" s="63" t="s">
        <v>2059</v>
      </c>
      <c r="B1664" s="64" t="s">
        <v>324</v>
      </c>
      <c r="C1664" s="64" t="s">
        <v>323</v>
      </c>
      <c r="D1664" s="64" t="s">
        <v>2075</v>
      </c>
      <c r="E1664" s="64" t="s">
        <v>324</v>
      </c>
      <c r="F1664" s="65" t="s">
        <v>335</v>
      </c>
      <c r="G1664" s="64" t="s">
        <v>328</v>
      </c>
      <c r="H1664" s="64" t="s">
        <v>267</v>
      </c>
      <c r="I1664" s="64" t="s">
        <v>10</v>
      </c>
      <c r="J1664" s="64" t="s">
        <v>201</v>
      </c>
      <c r="K1664" s="66">
        <v>6</v>
      </c>
      <c r="L1664" s="66">
        <f>K1664*VLOOKUP(I1664,dagsoorttabel1,2,FALSE)</f>
        <v>6</v>
      </c>
      <c r="M1664" s="67">
        <f>prodnorm65</f>
        <v>0</v>
      </c>
      <c r="N1664" s="68">
        <f>dagwerk65</f>
        <v>0</v>
      </c>
      <c r="O1664" s="64" t="s">
        <v>38</v>
      </c>
      <c r="P1664" s="69">
        <f>uurtarief65</f>
        <v>0</v>
      </c>
      <c r="Q1664" s="66" t="e">
        <f>IF(ISBLANK(M1664),0,L1664/ROUND(M1664,4))</f>
        <v>#DIV/0!</v>
      </c>
      <c r="R1664" s="66" t="e">
        <f>IF(ISBLANK(M1664),0,Q1664*ROUND(N1664,2))</f>
        <v>#DIV/0!</v>
      </c>
      <c r="S1664" s="69" t="e">
        <f>ROUND(P1664,2)*Q1664</f>
        <v>#DIV/0!</v>
      </c>
      <c r="T1664" s="66" t="e">
        <f>Q1664*dagenperjaar1</f>
        <v>#DIV/0!</v>
      </c>
      <c r="U1664" s="70" t="e">
        <f>T1664*ROUND(P1664,2)</f>
        <v>#DIV/0!</v>
      </c>
    </row>
    <row r="1665" spans="1:21" x14ac:dyDescent="0.2">
      <c r="A1665" s="63" t="s">
        <v>2059</v>
      </c>
      <c r="B1665" s="64" t="s">
        <v>324</v>
      </c>
      <c r="C1665" s="64" t="s">
        <v>323</v>
      </c>
      <c r="D1665" s="64" t="s">
        <v>2076</v>
      </c>
      <c r="E1665" s="64" t="s">
        <v>324</v>
      </c>
      <c r="F1665" s="65" t="s">
        <v>335</v>
      </c>
      <c r="G1665" s="64" t="s">
        <v>328</v>
      </c>
      <c r="H1665" s="64" t="s">
        <v>267</v>
      </c>
      <c r="I1665" s="64" t="s">
        <v>10</v>
      </c>
      <c r="J1665" s="64" t="s">
        <v>201</v>
      </c>
      <c r="K1665" s="66">
        <v>6</v>
      </c>
      <c r="L1665" s="66">
        <f>K1665*VLOOKUP(I1665,dagsoorttabel1,2,FALSE)</f>
        <v>6</v>
      </c>
      <c r="M1665" s="67">
        <f>prodnorm65</f>
        <v>0</v>
      </c>
      <c r="N1665" s="68">
        <f>dagwerk65</f>
        <v>0</v>
      </c>
      <c r="O1665" s="64" t="s">
        <v>38</v>
      </c>
      <c r="P1665" s="69">
        <f>uurtarief65</f>
        <v>0</v>
      </c>
      <c r="Q1665" s="66" t="e">
        <f>IF(ISBLANK(M1665),0,L1665/ROUND(M1665,4))</f>
        <v>#DIV/0!</v>
      </c>
      <c r="R1665" s="66" t="e">
        <f>IF(ISBLANK(M1665),0,Q1665*ROUND(N1665,2))</f>
        <v>#DIV/0!</v>
      </c>
      <c r="S1665" s="69" t="e">
        <f>ROUND(P1665,2)*Q1665</f>
        <v>#DIV/0!</v>
      </c>
      <c r="T1665" s="66" t="e">
        <f>Q1665*dagenperjaar1</f>
        <v>#DIV/0!</v>
      </c>
      <c r="U1665" s="70" t="e">
        <f>T1665*ROUND(P1665,2)</f>
        <v>#DIV/0!</v>
      </c>
    </row>
    <row r="1666" spans="1:21" x14ac:dyDescent="0.2">
      <c r="A1666" s="63" t="s">
        <v>2059</v>
      </c>
      <c r="B1666" s="64" t="s">
        <v>324</v>
      </c>
      <c r="C1666" s="64" t="s">
        <v>323</v>
      </c>
      <c r="D1666" s="64" t="s">
        <v>2077</v>
      </c>
      <c r="E1666" s="64" t="s">
        <v>324</v>
      </c>
      <c r="F1666" s="65" t="s">
        <v>335</v>
      </c>
      <c r="G1666" s="64" t="s">
        <v>328</v>
      </c>
      <c r="H1666" s="64" t="s">
        <v>267</v>
      </c>
      <c r="I1666" s="64" t="s">
        <v>10</v>
      </c>
      <c r="J1666" s="64" t="s">
        <v>201</v>
      </c>
      <c r="K1666" s="66">
        <v>47.8</v>
      </c>
      <c r="L1666" s="66">
        <f>K1666*VLOOKUP(I1666,dagsoorttabel1,2,FALSE)</f>
        <v>47.8</v>
      </c>
      <c r="M1666" s="67">
        <f>prodnorm65</f>
        <v>0</v>
      </c>
      <c r="N1666" s="68">
        <f>dagwerk65</f>
        <v>0</v>
      </c>
      <c r="O1666" s="64" t="s">
        <v>38</v>
      </c>
      <c r="P1666" s="69">
        <f>uurtarief65</f>
        <v>0</v>
      </c>
      <c r="Q1666" s="66" t="e">
        <f>IF(ISBLANK(M1666),0,L1666/ROUND(M1666,4))</f>
        <v>#DIV/0!</v>
      </c>
      <c r="R1666" s="66" t="e">
        <f>IF(ISBLANK(M1666),0,Q1666*ROUND(N1666,2))</f>
        <v>#DIV/0!</v>
      </c>
      <c r="S1666" s="69" t="e">
        <f>ROUND(P1666,2)*Q1666</f>
        <v>#DIV/0!</v>
      </c>
      <c r="T1666" s="66" t="e">
        <f>Q1666*dagenperjaar1</f>
        <v>#DIV/0!</v>
      </c>
      <c r="U1666" s="70" t="e">
        <f>T1666*ROUND(P1666,2)</f>
        <v>#DIV/0!</v>
      </c>
    </row>
    <row r="1667" spans="1:21" x14ac:dyDescent="0.2">
      <c r="A1667" s="63" t="s">
        <v>2059</v>
      </c>
      <c r="B1667" s="64" t="s">
        <v>324</v>
      </c>
      <c r="C1667" s="64" t="s">
        <v>323</v>
      </c>
      <c r="D1667" s="64" t="s">
        <v>2078</v>
      </c>
      <c r="E1667" s="64" t="s">
        <v>324</v>
      </c>
      <c r="F1667" s="65" t="s">
        <v>335</v>
      </c>
      <c r="G1667" s="64" t="s">
        <v>328</v>
      </c>
      <c r="H1667" s="64" t="s">
        <v>267</v>
      </c>
      <c r="I1667" s="64" t="s">
        <v>10</v>
      </c>
      <c r="J1667" s="64" t="s">
        <v>201</v>
      </c>
      <c r="K1667" s="66">
        <v>34.1</v>
      </c>
      <c r="L1667" s="66">
        <f>K1667*VLOOKUP(I1667,dagsoorttabel1,2,FALSE)</f>
        <v>34.1</v>
      </c>
      <c r="M1667" s="67">
        <f>prodnorm65</f>
        <v>0</v>
      </c>
      <c r="N1667" s="68">
        <f>dagwerk65</f>
        <v>0</v>
      </c>
      <c r="O1667" s="64" t="s">
        <v>38</v>
      </c>
      <c r="P1667" s="69">
        <f>uurtarief65</f>
        <v>0</v>
      </c>
      <c r="Q1667" s="66" t="e">
        <f>IF(ISBLANK(M1667),0,L1667/ROUND(M1667,4))</f>
        <v>#DIV/0!</v>
      </c>
      <c r="R1667" s="66" t="e">
        <f>IF(ISBLANK(M1667),0,Q1667*ROUND(N1667,2))</f>
        <v>#DIV/0!</v>
      </c>
      <c r="S1667" s="69" t="e">
        <f>ROUND(P1667,2)*Q1667</f>
        <v>#DIV/0!</v>
      </c>
      <c r="T1667" s="66" t="e">
        <f>Q1667*dagenperjaar1</f>
        <v>#DIV/0!</v>
      </c>
      <c r="U1667" s="70" t="e">
        <f>T1667*ROUND(P1667,2)</f>
        <v>#DIV/0!</v>
      </c>
    </row>
    <row r="1668" spans="1:21" x14ac:dyDescent="0.2">
      <c r="A1668" s="63" t="s">
        <v>2059</v>
      </c>
      <c r="B1668" s="64" t="s">
        <v>324</v>
      </c>
      <c r="C1668" s="64" t="s">
        <v>323</v>
      </c>
      <c r="D1668" s="64" t="s">
        <v>2079</v>
      </c>
      <c r="E1668" s="64" t="s">
        <v>324</v>
      </c>
      <c r="F1668" s="65" t="s">
        <v>335</v>
      </c>
      <c r="G1668" s="64" t="s">
        <v>328</v>
      </c>
      <c r="H1668" s="64" t="s">
        <v>267</v>
      </c>
      <c r="I1668" s="64" t="s">
        <v>10</v>
      </c>
      <c r="J1668" s="64" t="s">
        <v>201</v>
      </c>
      <c r="K1668" s="66">
        <v>7.8</v>
      </c>
      <c r="L1668" s="66">
        <f>K1668*VLOOKUP(I1668,dagsoorttabel1,2,FALSE)</f>
        <v>7.8</v>
      </c>
      <c r="M1668" s="67">
        <f>prodnorm65</f>
        <v>0</v>
      </c>
      <c r="N1668" s="68">
        <f>dagwerk65</f>
        <v>0</v>
      </c>
      <c r="O1668" s="64" t="s">
        <v>38</v>
      </c>
      <c r="P1668" s="69">
        <f>uurtarief65</f>
        <v>0</v>
      </c>
      <c r="Q1668" s="66" t="e">
        <f>IF(ISBLANK(M1668),0,L1668/ROUND(M1668,4))</f>
        <v>#DIV/0!</v>
      </c>
      <c r="R1668" s="66" t="e">
        <f>IF(ISBLANK(M1668),0,Q1668*ROUND(N1668,2))</f>
        <v>#DIV/0!</v>
      </c>
      <c r="S1668" s="69" t="e">
        <f>ROUND(P1668,2)*Q1668</f>
        <v>#DIV/0!</v>
      </c>
      <c r="T1668" s="66" t="e">
        <f>Q1668*dagenperjaar1</f>
        <v>#DIV/0!</v>
      </c>
      <c r="U1668" s="70" t="e">
        <f>T1668*ROUND(P1668,2)</f>
        <v>#DIV/0!</v>
      </c>
    </row>
    <row r="1669" spans="1:21" x14ac:dyDescent="0.2">
      <c r="A1669" s="63" t="s">
        <v>2059</v>
      </c>
      <c r="B1669" s="64" t="s">
        <v>324</v>
      </c>
      <c r="C1669" s="64" t="s">
        <v>472</v>
      </c>
      <c r="D1669" s="64" t="s">
        <v>2080</v>
      </c>
      <c r="E1669" s="64" t="s">
        <v>324</v>
      </c>
      <c r="F1669" s="65" t="s">
        <v>2067</v>
      </c>
      <c r="G1669" s="64" t="s">
        <v>351</v>
      </c>
      <c r="H1669" s="64" t="s">
        <v>261</v>
      </c>
      <c r="I1669" s="64" t="s">
        <v>10</v>
      </c>
      <c r="J1669" s="64" t="s">
        <v>201</v>
      </c>
      <c r="K1669" s="66">
        <v>40.4</v>
      </c>
      <c r="L1669" s="66">
        <f>K1669*VLOOKUP(I1669,dagsoorttabel1,2,FALSE)</f>
        <v>40.4</v>
      </c>
      <c r="M1669" s="67">
        <f>prodnorm62</f>
        <v>0</v>
      </c>
      <c r="N1669" s="68">
        <f>dagwerk62</f>
        <v>0</v>
      </c>
      <c r="O1669" s="64" t="s">
        <v>38</v>
      </c>
      <c r="P1669" s="69">
        <f>uurtarief62</f>
        <v>0</v>
      </c>
      <c r="Q1669" s="66" t="e">
        <f>IF(ISBLANK(M1669),0,L1669/ROUND(M1669,4))</f>
        <v>#DIV/0!</v>
      </c>
      <c r="R1669" s="66" t="e">
        <f>IF(ISBLANK(M1669),0,Q1669*ROUND(N1669,2))</f>
        <v>#DIV/0!</v>
      </c>
      <c r="S1669" s="69" t="e">
        <f>ROUND(P1669,2)*Q1669</f>
        <v>#DIV/0!</v>
      </c>
      <c r="T1669" s="66" t="e">
        <f>Q1669*dagenperjaar1</f>
        <v>#DIV/0!</v>
      </c>
      <c r="U1669" s="70" t="e">
        <f>T1669*ROUND(P1669,2)</f>
        <v>#DIV/0!</v>
      </c>
    </row>
    <row r="1670" spans="1:21" x14ac:dyDescent="0.2">
      <c r="A1670" s="63" t="s">
        <v>2059</v>
      </c>
      <c r="B1670" s="64" t="s">
        <v>324</v>
      </c>
      <c r="C1670" s="64" t="s">
        <v>472</v>
      </c>
      <c r="D1670" s="64" t="s">
        <v>473</v>
      </c>
      <c r="E1670" s="64" t="s">
        <v>324</v>
      </c>
      <c r="F1670" s="65" t="s">
        <v>2081</v>
      </c>
      <c r="G1670" s="64" t="s">
        <v>351</v>
      </c>
      <c r="H1670" s="64" t="s">
        <v>245</v>
      </c>
      <c r="I1670" s="64" t="s">
        <v>10</v>
      </c>
      <c r="J1670" s="64" t="s">
        <v>201</v>
      </c>
      <c r="K1670" s="66">
        <v>58.9</v>
      </c>
      <c r="L1670" s="66">
        <f>K1670*VLOOKUP(I1670,dagsoorttabel1,2,FALSE)</f>
        <v>58.9</v>
      </c>
      <c r="M1670" s="67">
        <f>prodnorm54</f>
        <v>0</v>
      </c>
      <c r="N1670" s="68">
        <f>dagwerk54</f>
        <v>0</v>
      </c>
      <c r="O1670" s="64" t="s">
        <v>38</v>
      </c>
      <c r="P1670" s="69">
        <f>uurtarief54</f>
        <v>0</v>
      </c>
      <c r="Q1670" s="66" t="e">
        <f>IF(ISBLANK(M1670),0,L1670/ROUND(M1670,4))</f>
        <v>#DIV/0!</v>
      </c>
      <c r="R1670" s="66" t="e">
        <f>IF(ISBLANK(M1670),0,Q1670*ROUND(N1670,2))</f>
        <v>#DIV/0!</v>
      </c>
      <c r="S1670" s="69" t="e">
        <f>ROUND(P1670,2)*Q1670</f>
        <v>#DIV/0!</v>
      </c>
      <c r="T1670" s="66" t="e">
        <f>Q1670*dagenperjaar1</f>
        <v>#DIV/0!</v>
      </c>
      <c r="U1670" s="70" t="e">
        <f>T1670*ROUND(P1670,2)</f>
        <v>#DIV/0!</v>
      </c>
    </row>
    <row r="1671" spans="1:21" x14ac:dyDescent="0.2">
      <c r="A1671" s="63" t="s">
        <v>2059</v>
      </c>
      <c r="B1671" s="64" t="s">
        <v>324</v>
      </c>
      <c r="C1671" s="64" t="s">
        <v>472</v>
      </c>
      <c r="D1671" s="64" t="s">
        <v>487</v>
      </c>
      <c r="E1671" s="64" t="s">
        <v>324</v>
      </c>
      <c r="F1671" s="65" t="s">
        <v>457</v>
      </c>
      <c r="G1671" s="64" t="s">
        <v>351</v>
      </c>
      <c r="H1671" s="64" t="s">
        <v>231</v>
      </c>
      <c r="I1671" s="64" t="s">
        <v>10</v>
      </c>
      <c r="J1671" s="64" t="s">
        <v>201</v>
      </c>
      <c r="K1671" s="66">
        <v>53.4</v>
      </c>
      <c r="L1671" s="66">
        <f>K1671*VLOOKUP(I1671,dagsoorttabel1,2,FALSE)</f>
        <v>53.4</v>
      </c>
      <c r="M1671" s="67">
        <f>prodnorm44</f>
        <v>0</v>
      </c>
      <c r="N1671" s="68">
        <f>dagwerk44</f>
        <v>0</v>
      </c>
      <c r="O1671" s="64" t="s">
        <v>38</v>
      </c>
      <c r="P1671" s="69">
        <f>uurtarief44</f>
        <v>0</v>
      </c>
      <c r="Q1671" s="66" t="e">
        <f>IF(ISBLANK(M1671),0,L1671/ROUND(M1671,4))</f>
        <v>#DIV/0!</v>
      </c>
      <c r="R1671" s="66" t="e">
        <f>IF(ISBLANK(M1671),0,Q1671*ROUND(N1671,2))</f>
        <v>#DIV/0!</v>
      </c>
      <c r="S1671" s="69" t="e">
        <f>ROUND(P1671,2)*Q1671</f>
        <v>#DIV/0!</v>
      </c>
      <c r="T1671" s="66" t="e">
        <f>Q1671*dagenperjaar1</f>
        <v>#DIV/0!</v>
      </c>
      <c r="U1671" s="70" t="e">
        <f>T1671*ROUND(P1671,2)</f>
        <v>#DIV/0!</v>
      </c>
    </row>
    <row r="1672" spans="1:21" x14ac:dyDescent="0.2">
      <c r="A1672" s="63" t="s">
        <v>2059</v>
      </c>
      <c r="B1672" s="64" t="s">
        <v>324</v>
      </c>
      <c r="C1672" s="64" t="s">
        <v>472</v>
      </c>
      <c r="D1672" s="64" t="s">
        <v>493</v>
      </c>
      <c r="E1672" s="64" t="s">
        <v>324</v>
      </c>
      <c r="F1672" s="65" t="s">
        <v>457</v>
      </c>
      <c r="G1672" s="64" t="s">
        <v>351</v>
      </c>
      <c r="H1672" s="64" t="s">
        <v>231</v>
      </c>
      <c r="I1672" s="64" t="s">
        <v>10</v>
      </c>
      <c r="J1672" s="64" t="s">
        <v>201</v>
      </c>
      <c r="K1672" s="66">
        <v>59.3</v>
      </c>
      <c r="L1672" s="66">
        <f>K1672*VLOOKUP(I1672,dagsoorttabel1,2,FALSE)</f>
        <v>59.3</v>
      </c>
      <c r="M1672" s="67">
        <f>prodnorm44</f>
        <v>0</v>
      </c>
      <c r="N1672" s="68">
        <f>dagwerk44</f>
        <v>0</v>
      </c>
      <c r="O1672" s="64" t="s">
        <v>38</v>
      </c>
      <c r="P1672" s="69">
        <f>uurtarief44</f>
        <v>0</v>
      </c>
      <c r="Q1672" s="66" t="e">
        <f>IF(ISBLANK(M1672),0,L1672/ROUND(M1672,4))</f>
        <v>#DIV/0!</v>
      </c>
      <c r="R1672" s="66" t="e">
        <f>IF(ISBLANK(M1672),0,Q1672*ROUND(N1672,2))</f>
        <v>#DIV/0!</v>
      </c>
      <c r="S1672" s="69" t="e">
        <f>ROUND(P1672,2)*Q1672</f>
        <v>#DIV/0!</v>
      </c>
      <c r="T1672" s="66" t="e">
        <f>Q1672*dagenperjaar1</f>
        <v>#DIV/0!</v>
      </c>
      <c r="U1672" s="70" t="e">
        <f>T1672*ROUND(P1672,2)</f>
        <v>#DIV/0!</v>
      </c>
    </row>
    <row r="1673" spans="1:21" x14ac:dyDescent="0.2">
      <c r="A1673" s="63" t="s">
        <v>2059</v>
      </c>
      <c r="B1673" s="64" t="s">
        <v>324</v>
      </c>
      <c r="C1673" s="64" t="s">
        <v>472</v>
      </c>
      <c r="D1673" s="64" t="s">
        <v>1381</v>
      </c>
      <c r="E1673" s="64" t="s">
        <v>324</v>
      </c>
      <c r="F1673" s="65" t="s">
        <v>457</v>
      </c>
      <c r="G1673" s="64" t="s">
        <v>351</v>
      </c>
      <c r="H1673" s="64" t="s">
        <v>231</v>
      </c>
      <c r="I1673" s="64" t="s">
        <v>10</v>
      </c>
      <c r="J1673" s="64" t="s">
        <v>201</v>
      </c>
      <c r="K1673" s="66">
        <v>39.1</v>
      </c>
      <c r="L1673" s="66">
        <f>K1673*VLOOKUP(I1673,dagsoorttabel1,2,FALSE)</f>
        <v>39.1</v>
      </c>
      <c r="M1673" s="67">
        <f>prodnorm44</f>
        <v>0</v>
      </c>
      <c r="N1673" s="68">
        <f>dagwerk44</f>
        <v>0</v>
      </c>
      <c r="O1673" s="64" t="s">
        <v>38</v>
      </c>
      <c r="P1673" s="69">
        <f>uurtarief44</f>
        <v>0</v>
      </c>
      <c r="Q1673" s="66" t="e">
        <f>IF(ISBLANK(M1673),0,L1673/ROUND(M1673,4))</f>
        <v>#DIV/0!</v>
      </c>
      <c r="R1673" s="66" t="e">
        <f>IF(ISBLANK(M1673),0,Q1673*ROUND(N1673,2))</f>
        <v>#DIV/0!</v>
      </c>
      <c r="S1673" s="69" t="e">
        <f>ROUND(P1673,2)*Q1673</f>
        <v>#DIV/0!</v>
      </c>
      <c r="T1673" s="66" t="e">
        <f>Q1673*dagenperjaar1</f>
        <v>#DIV/0!</v>
      </c>
      <c r="U1673" s="70" t="e">
        <f>T1673*ROUND(P1673,2)</f>
        <v>#DIV/0!</v>
      </c>
    </row>
    <row r="1674" spans="1:21" x14ac:dyDescent="0.2">
      <c r="A1674" s="63" t="s">
        <v>2059</v>
      </c>
      <c r="B1674" s="64" t="s">
        <v>324</v>
      </c>
      <c r="C1674" s="64" t="s">
        <v>472</v>
      </c>
      <c r="D1674" s="64" t="s">
        <v>495</v>
      </c>
      <c r="E1674" s="64" t="s">
        <v>324</v>
      </c>
      <c r="F1674" s="65" t="s">
        <v>457</v>
      </c>
      <c r="G1674" s="64" t="s">
        <v>351</v>
      </c>
      <c r="H1674" s="64" t="s">
        <v>231</v>
      </c>
      <c r="I1674" s="64" t="s">
        <v>10</v>
      </c>
      <c r="J1674" s="64" t="s">
        <v>201</v>
      </c>
      <c r="K1674" s="66">
        <v>51.7</v>
      </c>
      <c r="L1674" s="66">
        <f>K1674*VLOOKUP(I1674,dagsoorttabel1,2,FALSE)</f>
        <v>51.7</v>
      </c>
      <c r="M1674" s="67">
        <f>prodnorm44</f>
        <v>0</v>
      </c>
      <c r="N1674" s="68">
        <f>dagwerk44</f>
        <v>0</v>
      </c>
      <c r="O1674" s="64" t="s">
        <v>38</v>
      </c>
      <c r="P1674" s="69">
        <f>uurtarief44</f>
        <v>0</v>
      </c>
      <c r="Q1674" s="66" t="e">
        <f>IF(ISBLANK(M1674),0,L1674/ROUND(M1674,4))</f>
        <v>#DIV/0!</v>
      </c>
      <c r="R1674" s="66" t="e">
        <f>IF(ISBLANK(M1674),0,Q1674*ROUND(N1674,2))</f>
        <v>#DIV/0!</v>
      </c>
      <c r="S1674" s="69" t="e">
        <f>ROUND(P1674,2)*Q1674</f>
        <v>#DIV/0!</v>
      </c>
      <c r="T1674" s="66" t="e">
        <f>Q1674*dagenperjaar1</f>
        <v>#DIV/0!</v>
      </c>
      <c r="U1674" s="70" t="e">
        <f>T1674*ROUND(P1674,2)</f>
        <v>#DIV/0!</v>
      </c>
    </row>
    <row r="1675" spans="1:21" x14ac:dyDescent="0.2">
      <c r="A1675" s="63" t="s">
        <v>2059</v>
      </c>
      <c r="B1675" s="64" t="s">
        <v>324</v>
      </c>
      <c r="C1675" s="64" t="s">
        <v>472</v>
      </c>
      <c r="D1675" s="64" t="s">
        <v>963</v>
      </c>
      <c r="E1675" s="64" t="s">
        <v>324</v>
      </c>
      <c r="F1675" s="65" t="s">
        <v>457</v>
      </c>
      <c r="G1675" s="64" t="s">
        <v>351</v>
      </c>
      <c r="H1675" s="64" t="s">
        <v>231</v>
      </c>
      <c r="I1675" s="64" t="s">
        <v>10</v>
      </c>
      <c r="J1675" s="64" t="s">
        <v>201</v>
      </c>
      <c r="K1675" s="66">
        <v>56.8</v>
      </c>
      <c r="L1675" s="66">
        <f>K1675*VLOOKUP(I1675,dagsoorttabel1,2,FALSE)</f>
        <v>56.8</v>
      </c>
      <c r="M1675" s="67">
        <f>prodnorm44</f>
        <v>0</v>
      </c>
      <c r="N1675" s="68">
        <f>dagwerk44</f>
        <v>0</v>
      </c>
      <c r="O1675" s="64" t="s">
        <v>38</v>
      </c>
      <c r="P1675" s="69">
        <f>uurtarief44</f>
        <v>0</v>
      </c>
      <c r="Q1675" s="66" t="e">
        <f>IF(ISBLANK(M1675),0,L1675/ROUND(M1675,4))</f>
        <v>#DIV/0!</v>
      </c>
      <c r="R1675" s="66" t="e">
        <f>IF(ISBLANK(M1675),0,Q1675*ROUND(N1675,2))</f>
        <v>#DIV/0!</v>
      </c>
      <c r="S1675" s="69" t="e">
        <f>ROUND(P1675,2)*Q1675</f>
        <v>#DIV/0!</v>
      </c>
      <c r="T1675" s="66" t="e">
        <f>Q1675*dagenperjaar1</f>
        <v>#DIV/0!</v>
      </c>
      <c r="U1675" s="70" t="e">
        <f>T1675*ROUND(P1675,2)</f>
        <v>#DIV/0!</v>
      </c>
    </row>
    <row r="1676" spans="1:21" x14ac:dyDescent="0.2">
      <c r="A1676" s="63" t="s">
        <v>2059</v>
      </c>
      <c r="B1676" s="64" t="s">
        <v>324</v>
      </c>
      <c r="C1676" s="64" t="s">
        <v>472</v>
      </c>
      <c r="D1676" s="64" t="s">
        <v>499</v>
      </c>
      <c r="E1676" s="64" t="s">
        <v>324</v>
      </c>
      <c r="F1676" s="65" t="s">
        <v>457</v>
      </c>
      <c r="G1676" s="64" t="s">
        <v>351</v>
      </c>
      <c r="H1676" s="64" t="s">
        <v>231</v>
      </c>
      <c r="I1676" s="64" t="s">
        <v>10</v>
      </c>
      <c r="J1676" s="64" t="s">
        <v>201</v>
      </c>
      <c r="K1676" s="66">
        <v>39.949999999999996</v>
      </c>
      <c r="L1676" s="66">
        <f>K1676*VLOOKUP(I1676,dagsoorttabel1,2,FALSE)</f>
        <v>39.949999999999996</v>
      </c>
      <c r="M1676" s="67">
        <f>prodnorm44</f>
        <v>0</v>
      </c>
      <c r="N1676" s="68">
        <f>dagwerk44</f>
        <v>0</v>
      </c>
      <c r="O1676" s="64" t="s">
        <v>38</v>
      </c>
      <c r="P1676" s="69">
        <f>uurtarief44</f>
        <v>0</v>
      </c>
      <c r="Q1676" s="66" t="e">
        <f>IF(ISBLANK(M1676),0,L1676/ROUND(M1676,4))</f>
        <v>#DIV/0!</v>
      </c>
      <c r="R1676" s="66" t="e">
        <f>IF(ISBLANK(M1676),0,Q1676*ROUND(N1676,2))</f>
        <v>#DIV/0!</v>
      </c>
      <c r="S1676" s="69" t="e">
        <f>ROUND(P1676,2)*Q1676</f>
        <v>#DIV/0!</v>
      </c>
      <c r="T1676" s="66" t="e">
        <f>Q1676*dagenperjaar1</f>
        <v>#DIV/0!</v>
      </c>
      <c r="U1676" s="70" t="e">
        <f>T1676*ROUND(P1676,2)</f>
        <v>#DIV/0!</v>
      </c>
    </row>
    <row r="1677" spans="1:21" x14ac:dyDescent="0.2">
      <c r="A1677" s="63" t="s">
        <v>2059</v>
      </c>
      <c r="B1677" s="64" t="s">
        <v>324</v>
      </c>
      <c r="C1677" s="64" t="s">
        <v>472</v>
      </c>
      <c r="D1677" s="64" t="s">
        <v>2082</v>
      </c>
      <c r="E1677" s="64" t="s">
        <v>324</v>
      </c>
      <c r="F1677" s="65" t="s">
        <v>457</v>
      </c>
      <c r="G1677" s="64" t="s">
        <v>351</v>
      </c>
      <c r="H1677" s="64" t="s">
        <v>231</v>
      </c>
      <c r="I1677" s="64" t="s">
        <v>10</v>
      </c>
      <c r="J1677" s="64" t="s">
        <v>201</v>
      </c>
      <c r="K1677" s="66">
        <v>39.949999999999996</v>
      </c>
      <c r="L1677" s="66">
        <f>K1677*VLOOKUP(I1677,dagsoorttabel1,2,FALSE)</f>
        <v>39.949999999999996</v>
      </c>
      <c r="M1677" s="67">
        <f>prodnorm44</f>
        <v>0</v>
      </c>
      <c r="N1677" s="68">
        <f>dagwerk44</f>
        <v>0</v>
      </c>
      <c r="O1677" s="64" t="s">
        <v>38</v>
      </c>
      <c r="P1677" s="69">
        <f>uurtarief44</f>
        <v>0</v>
      </c>
      <c r="Q1677" s="66" t="e">
        <f>IF(ISBLANK(M1677),0,L1677/ROUND(M1677,4))</f>
        <v>#DIV/0!</v>
      </c>
      <c r="R1677" s="66" t="e">
        <f>IF(ISBLANK(M1677),0,Q1677*ROUND(N1677,2))</f>
        <v>#DIV/0!</v>
      </c>
      <c r="S1677" s="69" t="e">
        <f>ROUND(P1677,2)*Q1677</f>
        <v>#DIV/0!</v>
      </c>
      <c r="T1677" s="66" t="e">
        <f>Q1677*dagenperjaar1</f>
        <v>#DIV/0!</v>
      </c>
      <c r="U1677" s="70" t="e">
        <f>T1677*ROUND(P1677,2)</f>
        <v>#DIV/0!</v>
      </c>
    </row>
    <row r="1678" spans="1:21" x14ac:dyDescent="0.2">
      <c r="A1678" s="63" t="s">
        <v>2059</v>
      </c>
      <c r="B1678" s="64" t="s">
        <v>324</v>
      </c>
      <c r="C1678" s="64" t="s">
        <v>472</v>
      </c>
      <c r="D1678" s="64" t="s">
        <v>1385</v>
      </c>
      <c r="E1678" s="64" t="s">
        <v>324</v>
      </c>
      <c r="F1678" s="65" t="s">
        <v>2083</v>
      </c>
      <c r="G1678" s="64" t="s">
        <v>351</v>
      </c>
      <c r="H1678" s="64" t="s">
        <v>269</v>
      </c>
      <c r="I1678" s="64" t="s">
        <v>10</v>
      </c>
      <c r="J1678" s="64" t="s">
        <v>201</v>
      </c>
      <c r="K1678" s="66">
        <v>20.2</v>
      </c>
      <c r="L1678" s="66">
        <f>K1678*VLOOKUP(I1678,dagsoorttabel1,2,FALSE)</f>
        <v>20.2</v>
      </c>
      <c r="M1678" s="67">
        <f>prodnorm67</f>
        <v>0</v>
      </c>
      <c r="N1678" s="68">
        <f>dagwerk67</f>
        <v>0</v>
      </c>
      <c r="O1678" s="64" t="s">
        <v>38</v>
      </c>
      <c r="P1678" s="69">
        <f>uurtarief67</f>
        <v>0</v>
      </c>
      <c r="Q1678" s="66" t="e">
        <f>IF(ISBLANK(M1678),0,L1678/ROUND(M1678,4))</f>
        <v>#DIV/0!</v>
      </c>
      <c r="R1678" s="66" t="e">
        <f>IF(ISBLANK(M1678),0,Q1678*ROUND(N1678,2))</f>
        <v>#DIV/0!</v>
      </c>
      <c r="S1678" s="69" t="e">
        <f>ROUND(P1678,2)*Q1678</f>
        <v>#DIV/0!</v>
      </c>
      <c r="T1678" s="66" t="e">
        <f>Q1678*dagenperjaar1</f>
        <v>#DIV/0!</v>
      </c>
      <c r="U1678" s="70" t="e">
        <f>T1678*ROUND(P1678,2)</f>
        <v>#DIV/0!</v>
      </c>
    </row>
    <row r="1679" spans="1:21" x14ac:dyDescent="0.2">
      <c r="A1679" s="63" t="s">
        <v>2059</v>
      </c>
      <c r="B1679" s="64" t="s">
        <v>324</v>
      </c>
      <c r="C1679" s="64" t="s">
        <v>472</v>
      </c>
      <c r="D1679" s="64" t="s">
        <v>501</v>
      </c>
      <c r="E1679" s="64" t="s">
        <v>324</v>
      </c>
      <c r="F1679" s="65" t="s">
        <v>2083</v>
      </c>
      <c r="G1679" s="64" t="s">
        <v>351</v>
      </c>
      <c r="H1679" s="64" t="s">
        <v>269</v>
      </c>
      <c r="I1679" s="64" t="s">
        <v>10</v>
      </c>
      <c r="J1679" s="64" t="s">
        <v>201</v>
      </c>
      <c r="K1679" s="66">
        <v>20.2</v>
      </c>
      <c r="L1679" s="66">
        <f>K1679*VLOOKUP(I1679,dagsoorttabel1,2,FALSE)</f>
        <v>20.2</v>
      </c>
      <c r="M1679" s="67">
        <f>prodnorm67</f>
        <v>0</v>
      </c>
      <c r="N1679" s="68">
        <f>dagwerk67</f>
        <v>0</v>
      </c>
      <c r="O1679" s="64" t="s">
        <v>38</v>
      </c>
      <c r="P1679" s="69">
        <f>uurtarief67</f>
        <v>0</v>
      </c>
      <c r="Q1679" s="66" t="e">
        <f>IF(ISBLANK(M1679),0,L1679/ROUND(M1679,4))</f>
        <v>#DIV/0!</v>
      </c>
      <c r="R1679" s="66" t="e">
        <f>IF(ISBLANK(M1679),0,Q1679*ROUND(N1679,2))</f>
        <v>#DIV/0!</v>
      </c>
      <c r="S1679" s="69" t="e">
        <f>ROUND(P1679,2)*Q1679</f>
        <v>#DIV/0!</v>
      </c>
      <c r="T1679" s="66" t="e">
        <f>Q1679*dagenperjaar1</f>
        <v>#DIV/0!</v>
      </c>
      <c r="U1679" s="70" t="e">
        <f>T1679*ROUND(P1679,2)</f>
        <v>#DIV/0!</v>
      </c>
    </row>
    <row r="1680" spans="1:21" x14ac:dyDescent="0.2">
      <c r="A1680" s="63" t="s">
        <v>2059</v>
      </c>
      <c r="B1680" s="64" t="s">
        <v>324</v>
      </c>
      <c r="C1680" s="64" t="s">
        <v>472</v>
      </c>
      <c r="D1680" s="64" t="s">
        <v>965</v>
      </c>
      <c r="E1680" s="64" t="s">
        <v>324</v>
      </c>
      <c r="F1680" s="65" t="s">
        <v>2063</v>
      </c>
      <c r="G1680" s="64" t="s">
        <v>328</v>
      </c>
      <c r="H1680" s="64" t="s">
        <v>255</v>
      </c>
      <c r="I1680" s="64" t="s">
        <v>10</v>
      </c>
      <c r="J1680" s="64" t="s">
        <v>201</v>
      </c>
      <c r="K1680" s="66">
        <v>6.2</v>
      </c>
      <c r="L1680" s="66">
        <f>K1680*VLOOKUP(I1680,dagsoorttabel1,2,FALSE)</f>
        <v>6.2</v>
      </c>
      <c r="M1680" s="67">
        <f>prodnorm59</f>
        <v>0</v>
      </c>
      <c r="N1680" s="68">
        <f>dagwerk59</f>
        <v>0</v>
      </c>
      <c r="O1680" s="64" t="s">
        <v>38</v>
      </c>
      <c r="P1680" s="69">
        <f>uurtarief59</f>
        <v>0</v>
      </c>
      <c r="Q1680" s="66" t="e">
        <f>IF(ISBLANK(M1680),0,L1680/ROUND(M1680,4))</f>
        <v>#DIV/0!</v>
      </c>
      <c r="R1680" s="66" t="e">
        <f>IF(ISBLANK(M1680),0,Q1680*ROUND(N1680,2))</f>
        <v>#DIV/0!</v>
      </c>
      <c r="S1680" s="69" t="e">
        <f>ROUND(P1680,2)*Q1680</f>
        <v>#DIV/0!</v>
      </c>
      <c r="T1680" s="66" t="e">
        <f>Q1680*dagenperjaar1</f>
        <v>#DIV/0!</v>
      </c>
      <c r="U1680" s="70" t="e">
        <f>T1680*ROUND(P1680,2)</f>
        <v>#DIV/0!</v>
      </c>
    </row>
    <row r="1681" spans="1:21" x14ac:dyDescent="0.2">
      <c r="A1681" s="63" t="s">
        <v>2059</v>
      </c>
      <c r="B1681" s="64" t="s">
        <v>324</v>
      </c>
      <c r="C1681" s="64" t="s">
        <v>472</v>
      </c>
      <c r="D1681" s="64" t="s">
        <v>965</v>
      </c>
      <c r="E1681" s="64" t="s">
        <v>324</v>
      </c>
      <c r="F1681" s="65" t="s">
        <v>2063</v>
      </c>
      <c r="G1681" s="64" t="s">
        <v>328</v>
      </c>
      <c r="H1681" s="64" t="s">
        <v>257</v>
      </c>
      <c r="I1681" s="64" t="s">
        <v>10</v>
      </c>
      <c r="J1681" s="64" t="s">
        <v>201</v>
      </c>
      <c r="K1681" s="66">
        <v>6.2</v>
      </c>
      <c r="L1681" s="66">
        <f>K1681*VLOOKUP(I1681,dagsoorttabel1,2,FALSE)</f>
        <v>6.2</v>
      </c>
      <c r="M1681" s="67">
        <f>prodnorm60</f>
        <v>0</v>
      </c>
      <c r="N1681" s="68">
        <f>dagwerk60</f>
        <v>0</v>
      </c>
      <c r="O1681" s="64" t="s">
        <v>38</v>
      </c>
      <c r="P1681" s="69">
        <f>uurtarief60</f>
        <v>0</v>
      </c>
      <c r="Q1681" s="66" t="e">
        <f>IF(ISBLANK(M1681),0,L1681/ROUND(M1681,4))</f>
        <v>#DIV/0!</v>
      </c>
      <c r="R1681" s="66" t="e">
        <f>IF(ISBLANK(M1681),0,Q1681*ROUND(N1681,2))</f>
        <v>#DIV/0!</v>
      </c>
      <c r="S1681" s="69" t="e">
        <f>ROUND(P1681,2)*Q1681</f>
        <v>#DIV/0!</v>
      </c>
      <c r="T1681" s="66" t="e">
        <f>Q1681*dagenperjaar1</f>
        <v>#DIV/0!</v>
      </c>
      <c r="U1681" s="70" t="e">
        <f>T1681*ROUND(P1681,2)</f>
        <v>#DIV/0!</v>
      </c>
    </row>
    <row r="1682" spans="1:21" x14ac:dyDescent="0.2">
      <c r="A1682" s="63" t="s">
        <v>2059</v>
      </c>
      <c r="B1682" s="64" t="s">
        <v>324</v>
      </c>
      <c r="C1682" s="64" t="s">
        <v>472</v>
      </c>
      <c r="D1682" s="64" t="s">
        <v>506</v>
      </c>
      <c r="E1682" s="64" t="s">
        <v>324</v>
      </c>
      <c r="F1682" s="65" t="s">
        <v>2063</v>
      </c>
      <c r="G1682" s="64" t="s">
        <v>328</v>
      </c>
      <c r="H1682" s="64" t="s">
        <v>255</v>
      </c>
      <c r="I1682" s="64" t="s">
        <v>10</v>
      </c>
      <c r="J1682" s="64" t="s">
        <v>201</v>
      </c>
      <c r="K1682" s="66">
        <v>6.2</v>
      </c>
      <c r="L1682" s="66">
        <f>K1682*VLOOKUP(I1682,dagsoorttabel1,2,FALSE)</f>
        <v>6.2</v>
      </c>
      <c r="M1682" s="67">
        <f>prodnorm59</f>
        <v>0</v>
      </c>
      <c r="N1682" s="68">
        <f>dagwerk59</f>
        <v>0</v>
      </c>
      <c r="O1682" s="64" t="s">
        <v>38</v>
      </c>
      <c r="P1682" s="69">
        <f>uurtarief59</f>
        <v>0</v>
      </c>
      <c r="Q1682" s="66" t="e">
        <f>IF(ISBLANK(M1682),0,L1682/ROUND(M1682,4))</f>
        <v>#DIV/0!</v>
      </c>
      <c r="R1682" s="66" t="e">
        <f>IF(ISBLANK(M1682),0,Q1682*ROUND(N1682,2))</f>
        <v>#DIV/0!</v>
      </c>
      <c r="S1682" s="69" t="e">
        <f>ROUND(P1682,2)*Q1682</f>
        <v>#DIV/0!</v>
      </c>
      <c r="T1682" s="66" t="e">
        <f>Q1682*dagenperjaar1</f>
        <v>#DIV/0!</v>
      </c>
      <c r="U1682" s="70" t="e">
        <f>T1682*ROUND(P1682,2)</f>
        <v>#DIV/0!</v>
      </c>
    </row>
    <row r="1683" spans="1:21" x14ac:dyDescent="0.2">
      <c r="A1683" s="63" t="s">
        <v>2059</v>
      </c>
      <c r="B1683" s="64" t="s">
        <v>324</v>
      </c>
      <c r="C1683" s="64" t="s">
        <v>472</v>
      </c>
      <c r="D1683" s="64" t="s">
        <v>506</v>
      </c>
      <c r="E1683" s="64" t="s">
        <v>324</v>
      </c>
      <c r="F1683" s="65" t="s">
        <v>2063</v>
      </c>
      <c r="G1683" s="64" t="s">
        <v>328</v>
      </c>
      <c r="H1683" s="64" t="s">
        <v>257</v>
      </c>
      <c r="I1683" s="64" t="s">
        <v>10</v>
      </c>
      <c r="J1683" s="64" t="s">
        <v>201</v>
      </c>
      <c r="K1683" s="66">
        <v>6.2</v>
      </c>
      <c r="L1683" s="66">
        <f>K1683*VLOOKUP(I1683,dagsoorttabel1,2,FALSE)</f>
        <v>6.2</v>
      </c>
      <c r="M1683" s="67">
        <f>prodnorm60</f>
        <v>0</v>
      </c>
      <c r="N1683" s="68">
        <f>dagwerk60</f>
        <v>0</v>
      </c>
      <c r="O1683" s="64" t="s">
        <v>38</v>
      </c>
      <c r="P1683" s="69">
        <f>uurtarief60</f>
        <v>0</v>
      </c>
      <c r="Q1683" s="66" t="e">
        <f>IF(ISBLANK(M1683),0,L1683/ROUND(M1683,4))</f>
        <v>#DIV/0!</v>
      </c>
      <c r="R1683" s="66" t="e">
        <f>IF(ISBLANK(M1683),0,Q1683*ROUND(N1683,2))</f>
        <v>#DIV/0!</v>
      </c>
      <c r="S1683" s="69" t="e">
        <f>ROUND(P1683,2)*Q1683</f>
        <v>#DIV/0!</v>
      </c>
      <c r="T1683" s="66" t="e">
        <f>Q1683*dagenperjaar1</f>
        <v>#DIV/0!</v>
      </c>
      <c r="U1683" s="70" t="e">
        <f>T1683*ROUND(P1683,2)</f>
        <v>#DIV/0!</v>
      </c>
    </row>
    <row r="1684" spans="1:21" x14ac:dyDescent="0.2">
      <c r="A1684" s="63" t="s">
        <v>2059</v>
      </c>
      <c r="B1684" s="64" t="s">
        <v>324</v>
      </c>
      <c r="C1684" s="64" t="s">
        <v>472</v>
      </c>
      <c r="D1684" s="64" t="s">
        <v>514</v>
      </c>
      <c r="E1684" s="64" t="s">
        <v>324</v>
      </c>
      <c r="F1684" s="65" t="s">
        <v>2063</v>
      </c>
      <c r="G1684" s="64" t="s">
        <v>642</v>
      </c>
      <c r="H1684" s="64" t="s">
        <v>255</v>
      </c>
      <c r="I1684" s="64" t="s">
        <v>10</v>
      </c>
      <c r="J1684" s="64" t="s">
        <v>201</v>
      </c>
      <c r="K1684" s="66">
        <v>5.5</v>
      </c>
      <c r="L1684" s="66">
        <f>K1684*VLOOKUP(I1684,dagsoorttabel1,2,FALSE)</f>
        <v>5.5</v>
      </c>
      <c r="M1684" s="67">
        <f>prodnorm59</f>
        <v>0</v>
      </c>
      <c r="N1684" s="68">
        <f>dagwerk59</f>
        <v>0</v>
      </c>
      <c r="O1684" s="64" t="s">
        <v>38</v>
      </c>
      <c r="P1684" s="69">
        <f>uurtarief59</f>
        <v>0</v>
      </c>
      <c r="Q1684" s="66" t="e">
        <f>IF(ISBLANK(M1684),0,L1684/ROUND(M1684,4))</f>
        <v>#DIV/0!</v>
      </c>
      <c r="R1684" s="66" t="e">
        <f>IF(ISBLANK(M1684),0,Q1684*ROUND(N1684,2))</f>
        <v>#DIV/0!</v>
      </c>
      <c r="S1684" s="69" t="e">
        <f>ROUND(P1684,2)*Q1684</f>
        <v>#DIV/0!</v>
      </c>
      <c r="T1684" s="66" t="e">
        <f>Q1684*dagenperjaar1</f>
        <v>#DIV/0!</v>
      </c>
      <c r="U1684" s="70" t="e">
        <f>T1684*ROUND(P1684,2)</f>
        <v>#DIV/0!</v>
      </c>
    </row>
    <row r="1685" spans="1:21" x14ac:dyDescent="0.2">
      <c r="A1685" s="63" t="s">
        <v>2059</v>
      </c>
      <c r="B1685" s="64" t="s">
        <v>324</v>
      </c>
      <c r="C1685" s="64" t="s">
        <v>472</v>
      </c>
      <c r="D1685" s="64" t="s">
        <v>514</v>
      </c>
      <c r="E1685" s="64" t="s">
        <v>324</v>
      </c>
      <c r="F1685" s="65" t="s">
        <v>2063</v>
      </c>
      <c r="G1685" s="64" t="s">
        <v>642</v>
      </c>
      <c r="H1685" s="64" t="s">
        <v>257</v>
      </c>
      <c r="I1685" s="64" t="s">
        <v>10</v>
      </c>
      <c r="J1685" s="64" t="s">
        <v>201</v>
      </c>
      <c r="K1685" s="66">
        <v>5.5</v>
      </c>
      <c r="L1685" s="66">
        <f>K1685*VLOOKUP(I1685,dagsoorttabel1,2,FALSE)</f>
        <v>5.5</v>
      </c>
      <c r="M1685" s="67">
        <f>prodnorm60</f>
        <v>0</v>
      </c>
      <c r="N1685" s="68">
        <f>dagwerk60</f>
        <v>0</v>
      </c>
      <c r="O1685" s="64" t="s">
        <v>38</v>
      </c>
      <c r="P1685" s="69">
        <f>uurtarief60</f>
        <v>0</v>
      </c>
      <c r="Q1685" s="66" t="e">
        <f>IF(ISBLANK(M1685),0,L1685/ROUND(M1685,4))</f>
        <v>#DIV/0!</v>
      </c>
      <c r="R1685" s="66" t="e">
        <f>IF(ISBLANK(M1685),0,Q1685*ROUND(N1685,2))</f>
        <v>#DIV/0!</v>
      </c>
      <c r="S1685" s="69" t="e">
        <f>ROUND(P1685,2)*Q1685</f>
        <v>#DIV/0!</v>
      </c>
      <c r="T1685" s="66" t="e">
        <f>Q1685*dagenperjaar1</f>
        <v>#DIV/0!</v>
      </c>
      <c r="U1685" s="70" t="e">
        <f>T1685*ROUND(P1685,2)</f>
        <v>#DIV/0!</v>
      </c>
    </row>
    <row r="1686" spans="1:21" x14ac:dyDescent="0.2">
      <c r="A1686" s="63" t="s">
        <v>2059</v>
      </c>
      <c r="B1686" s="64" t="s">
        <v>324</v>
      </c>
      <c r="C1686" s="64" t="s">
        <v>472</v>
      </c>
      <c r="D1686" s="64" t="s">
        <v>516</v>
      </c>
      <c r="E1686" s="64" t="s">
        <v>324</v>
      </c>
      <c r="F1686" s="65" t="s">
        <v>2063</v>
      </c>
      <c r="G1686" s="64" t="s">
        <v>642</v>
      </c>
      <c r="H1686" s="64" t="s">
        <v>255</v>
      </c>
      <c r="I1686" s="64" t="s">
        <v>10</v>
      </c>
      <c r="J1686" s="64" t="s">
        <v>201</v>
      </c>
      <c r="K1686" s="66">
        <v>5.5</v>
      </c>
      <c r="L1686" s="66">
        <f>K1686*VLOOKUP(I1686,dagsoorttabel1,2,FALSE)</f>
        <v>5.5</v>
      </c>
      <c r="M1686" s="67">
        <f>prodnorm59</f>
        <v>0</v>
      </c>
      <c r="N1686" s="68">
        <f>dagwerk59</f>
        <v>0</v>
      </c>
      <c r="O1686" s="64" t="s">
        <v>38</v>
      </c>
      <c r="P1686" s="69">
        <f>uurtarief59</f>
        <v>0</v>
      </c>
      <c r="Q1686" s="66" t="e">
        <f>IF(ISBLANK(M1686),0,L1686/ROUND(M1686,4))</f>
        <v>#DIV/0!</v>
      </c>
      <c r="R1686" s="66" t="e">
        <f>IF(ISBLANK(M1686),0,Q1686*ROUND(N1686,2))</f>
        <v>#DIV/0!</v>
      </c>
      <c r="S1686" s="69" t="e">
        <f>ROUND(P1686,2)*Q1686</f>
        <v>#DIV/0!</v>
      </c>
      <c r="T1686" s="66" t="e">
        <f>Q1686*dagenperjaar1</f>
        <v>#DIV/0!</v>
      </c>
      <c r="U1686" s="70" t="e">
        <f>T1686*ROUND(P1686,2)</f>
        <v>#DIV/0!</v>
      </c>
    </row>
    <row r="1687" spans="1:21" x14ac:dyDescent="0.2">
      <c r="A1687" s="63" t="s">
        <v>2059</v>
      </c>
      <c r="B1687" s="64" t="s">
        <v>324</v>
      </c>
      <c r="C1687" s="64" t="s">
        <v>472</v>
      </c>
      <c r="D1687" s="64" t="s">
        <v>516</v>
      </c>
      <c r="E1687" s="64" t="s">
        <v>324</v>
      </c>
      <c r="F1687" s="65" t="s">
        <v>2063</v>
      </c>
      <c r="G1687" s="64" t="s">
        <v>642</v>
      </c>
      <c r="H1687" s="64" t="s">
        <v>257</v>
      </c>
      <c r="I1687" s="64" t="s">
        <v>10</v>
      </c>
      <c r="J1687" s="64" t="s">
        <v>201</v>
      </c>
      <c r="K1687" s="66">
        <v>5.5</v>
      </c>
      <c r="L1687" s="66">
        <f>K1687*VLOOKUP(I1687,dagsoorttabel1,2,FALSE)</f>
        <v>5.5</v>
      </c>
      <c r="M1687" s="67">
        <f>prodnorm60</f>
        <v>0</v>
      </c>
      <c r="N1687" s="68">
        <f>dagwerk60</f>
        <v>0</v>
      </c>
      <c r="O1687" s="64" t="s">
        <v>38</v>
      </c>
      <c r="P1687" s="69">
        <f>uurtarief60</f>
        <v>0</v>
      </c>
      <c r="Q1687" s="66" t="e">
        <f>IF(ISBLANK(M1687),0,L1687/ROUND(M1687,4))</f>
        <v>#DIV/0!</v>
      </c>
      <c r="R1687" s="66" t="e">
        <f>IF(ISBLANK(M1687),0,Q1687*ROUND(N1687,2))</f>
        <v>#DIV/0!</v>
      </c>
      <c r="S1687" s="69" t="e">
        <f>ROUND(P1687,2)*Q1687</f>
        <v>#DIV/0!</v>
      </c>
      <c r="T1687" s="66" t="e">
        <f>Q1687*dagenperjaar1</f>
        <v>#DIV/0!</v>
      </c>
      <c r="U1687" s="70" t="e">
        <f>T1687*ROUND(P1687,2)</f>
        <v>#DIV/0!</v>
      </c>
    </row>
    <row r="1688" spans="1:21" x14ac:dyDescent="0.2">
      <c r="A1688" s="63" t="s">
        <v>2059</v>
      </c>
      <c r="B1688" s="64" t="s">
        <v>324</v>
      </c>
      <c r="C1688" s="64" t="s">
        <v>472</v>
      </c>
      <c r="D1688" s="64" t="s">
        <v>971</v>
      </c>
      <c r="E1688" s="64" t="s">
        <v>324</v>
      </c>
      <c r="F1688" s="65" t="s">
        <v>2081</v>
      </c>
      <c r="G1688" s="64" t="s">
        <v>351</v>
      </c>
      <c r="H1688" s="64" t="s">
        <v>245</v>
      </c>
      <c r="I1688" s="64" t="s">
        <v>10</v>
      </c>
      <c r="J1688" s="64" t="s">
        <v>201</v>
      </c>
      <c r="K1688" s="66">
        <v>60.9</v>
      </c>
      <c r="L1688" s="66">
        <f>K1688*VLOOKUP(I1688,dagsoorttabel1,2,FALSE)</f>
        <v>60.9</v>
      </c>
      <c r="M1688" s="67">
        <f>prodnorm54</f>
        <v>0</v>
      </c>
      <c r="N1688" s="68">
        <f>dagwerk54</f>
        <v>0</v>
      </c>
      <c r="O1688" s="64" t="s">
        <v>38</v>
      </c>
      <c r="P1688" s="69">
        <f>uurtarief54</f>
        <v>0</v>
      </c>
      <c r="Q1688" s="66" t="e">
        <f>IF(ISBLANK(M1688),0,L1688/ROUND(M1688,4))</f>
        <v>#DIV/0!</v>
      </c>
      <c r="R1688" s="66" t="e">
        <f>IF(ISBLANK(M1688),0,Q1688*ROUND(N1688,2))</f>
        <v>#DIV/0!</v>
      </c>
      <c r="S1688" s="69" t="e">
        <f>ROUND(P1688,2)*Q1688</f>
        <v>#DIV/0!</v>
      </c>
      <c r="T1688" s="66" t="e">
        <f>Q1688*dagenperjaar1</f>
        <v>#DIV/0!</v>
      </c>
      <c r="U1688" s="70" t="e">
        <f>T1688*ROUND(P1688,2)</f>
        <v>#DIV/0!</v>
      </c>
    </row>
    <row r="1689" spans="1:21" x14ac:dyDescent="0.2">
      <c r="A1689" s="63" t="s">
        <v>2059</v>
      </c>
      <c r="B1689" s="64" t="s">
        <v>324</v>
      </c>
      <c r="C1689" s="64" t="s">
        <v>472</v>
      </c>
      <c r="D1689" s="64" t="s">
        <v>2084</v>
      </c>
      <c r="E1689" s="64" t="s">
        <v>324</v>
      </c>
      <c r="F1689" s="65" t="s">
        <v>555</v>
      </c>
      <c r="G1689" s="64" t="s">
        <v>328</v>
      </c>
      <c r="H1689" s="64" t="s">
        <v>241</v>
      </c>
      <c r="I1689" s="64" t="s">
        <v>10</v>
      </c>
      <c r="J1689" s="64" t="s">
        <v>201</v>
      </c>
      <c r="K1689" s="66">
        <v>4</v>
      </c>
      <c r="L1689" s="66">
        <f>K1689*VLOOKUP(I1689,dagsoorttabel1,2,FALSE)</f>
        <v>4</v>
      </c>
      <c r="M1689" s="67">
        <f>prodnorm51</f>
        <v>0</v>
      </c>
      <c r="N1689" s="68">
        <f>dagwerk51</f>
        <v>0</v>
      </c>
      <c r="O1689" s="64" t="s">
        <v>38</v>
      </c>
      <c r="P1689" s="69">
        <f>uurtarief51</f>
        <v>0</v>
      </c>
      <c r="Q1689" s="66" t="e">
        <f>IF(ISBLANK(M1689),0,L1689/ROUND(M1689,4))</f>
        <v>#DIV/0!</v>
      </c>
      <c r="R1689" s="66" t="e">
        <f>IF(ISBLANK(M1689),0,Q1689*ROUND(N1689,2))</f>
        <v>#DIV/0!</v>
      </c>
      <c r="S1689" s="69" t="e">
        <f>ROUND(P1689,2)*Q1689</f>
        <v>#DIV/0!</v>
      </c>
      <c r="T1689" s="66" t="e">
        <f>Q1689*dagenperjaar1</f>
        <v>#DIV/0!</v>
      </c>
      <c r="U1689" s="70" t="e">
        <f>T1689*ROUND(P1689,2)</f>
        <v>#DIV/0!</v>
      </c>
    </row>
    <row r="1690" spans="1:21" x14ac:dyDescent="0.2">
      <c r="A1690" s="63" t="s">
        <v>2059</v>
      </c>
      <c r="B1690" s="64" t="s">
        <v>324</v>
      </c>
      <c r="C1690" s="64" t="s">
        <v>472</v>
      </c>
      <c r="D1690" s="64" t="s">
        <v>2085</v>
      </c>
      <c r="E1690" s="64" t="s">
        <v>324</v>
      </c>
      <c r="F1690" s="65" t="s">
        <v>381</v>
      </c>
      <c r="G1690" s="64" t="s">
        <v>351</v>
      </c>
      <c r="H1690" s="64" t="s">
        <v>207</v>
      </c>
      <c r="I1690" s="64" t="s">
        <v>10</v>
      </c>
      <c r="J1690" s="64" t="s">
        <v>201</v>
      </c>
      <c r="K1690" s="66">
        <v>32.4</v>
      </c>
      <c r="L1690" s="66">
        <f>K1690*VLOOKUP(I1690,dagsoorttabel1,2,FALSE)</f>
        <v>32.4</v>
      </c>
      <c r="M1690" s="67">
        <f>prodnorm28</f>
        <v>0</v>
      </c>
      <c r="N1690" s="68">
        <f>dagwerk28</f>
        <v>0</v>
      </c>
      <c r="O1690" s="64" t="s">
        <v>38</v>
      </c>
      <c r="P1690" s="69">
        <f>uurtarief28</f>
        <v>0</v>
      </c>
      <c r="Q1690" s="66" t="e">
        <f>IF(ISBLANK(M1690),0,L1690/ROUND(M1690,4))</f>
        <v>#DIV/0!</v>
      </c>
      <c r="R1690" s="66" t="e">
        <f>IF(ISBLANK(M1690),0,Q1690*ROUND(N1690,2))</f>
        <v>#DIV/0!</v>
      </c>
      <c r="S1690" s="69" t="e">
        <f>ROUND(P1690,2)*Q1690</f>
        <v>#DIV/0!</v>
      </c>
      <c r="T1690" s="66" t="e">
        <f>Q1690*dagenperjaar1</f>
        <v>#DIV/0!</v>
      </c>
      <c r="U1690" s="70" t="e">
        <f>T1690*ROUND(P1690,2)</f>
        <v>#DIV/0!</v>
      </c>
    </row>
    <row r="1691" spans="1:21" x14ac:dyDescent="0.2">
      <c r="A1691" s="63" t="s">
        <v>2059</v>
      </c>
      <c r="B1691" s="64" t="s">
        <v>324</v>
      </c>
      <c r="C1691" s="64" t="s">
        <v>472</v>
      </c>
      <c r="D1691" s="64" t="s">
        <v>973</v>
      </c>
      <c r="E1691" s="64" t="s">
        <v>324</v>
      </c>
      <c r="F1691" s="65" t="s">
        <v>2081</v>
      </c>
      <c r="G1691" s="64" t="s">
        <v>351</v>
      </c>
      <c r="H1691" s="64" t="s">
        <v>245</v>
      </c>
      <c r="I1691" s="64" t="s">
        <v>10</v>
      </c>
      <c r="J1691" s="64" t="s">
        <v>201</v>
      </c>
      <c r="K1691" s="66">
        <v>113.5</v>
      </c>
      <c r="L1691" s="66">
        <f>K1691*VLOOKUP(I1691,dagsoorttabel1,2,FALSE)</f>
        <v>113.5</v>
      </c>
      <c r="M1691" s="67">
        <f>prodnorm54</f>
        <v>0</v>
      </c>
      <c r="N1691" s="68">
        <f>dagwerk54</f>
        <v>0</v>
      </c>
      <c r="O1691" s="64" t="s">
        <v>38</v>
      </c>
      <c r="P1691" s="69">
        <f>uurtarief54</f>
        <v>0</v>
      </c>
      <c r="Q1691" s="66" t="e">
        <f>IF(ISBLANK(M1691),0,L1691/ROUND(M1691,4))</f>
        <v>#DIV/0!</v>
      </c>
      <c r="R1691" s="66" t="e">
        <f>IF(ISBLANK(M1691),0,Q1691*ROUND(N1691,2))</f>
        <v>#DIV/0!</v>
      </c>
      <c r="S1691" s="69" t="e">
        <f>ROUND(P1691,2)*Q1691</f>
        <v>#DIV/0!</v>
      </c>
      <c r="T1691" s="66" t="e">
        <f>Q1691*dagenperjaar1</f>
        <v>#DIV/0!</v>
      </c>
      <c r="U1691" s="70" t="e">
        <f>T1691*ROUND(P1691,2)</f>
        <v>#DIV/0!</v>
      </c>
    </row>
    <row r="1692" spans="1:21" x14ac:dyDescent="0.2">
      <c r="A1692" s="63" t="s">
        <v>2059</v>
      </c>
      <c r="B1692" s="64" t="s">
        <v>324</v>
      </c>
      <c r="C1692" s="64" t="s">
        <v>472</v>
      </c>
      <c r="D1692" s="64" t="s">
        <v>525</v>
      </c>
      <c r="E1692" s="64" t="s">
        <v>324</v>
      </c>
      <c r="F1692" s="65" t="s">
        <v>457</v>
      </c>
      <c r="G1692" s="64" t="s">
        <v>351</v>
      </c>
      <c r="H1692" s="64" t="s">
        <v>231</v>
      </c>
      <c r="I1692" s="64" t="s">
        <v>10</v>
      </c>
      <c r="J1692" s="64" t="s">
        <v>201</v>
      </c>
      <c r="K1692" s="66">
        <v>60.9</v>
      </c>
      <c r="L1692" s="66">
        <f>K1692*VLOOKUP(I1692,dagsoorttabel1,2,FALSE)</f>
        <v>60.9</v>
      </c>
      <c r="M1692" s="67">
        <f>prodnorm44</f>
        <v>0</v>
      </c>
      <c r="N1692" s="68">
        <f>dagwerk44</f>
        <v>0</v>
      </c>
      <c r="O1692" s="64" t="s">
        <v>38</v>
      </c>
      <c r="P1692" s="69">
        <f>uurtarief44</f>
        <v>0</v>
      </c>
      <c r="Q1692" s="66" t="e">
        <f>IF(ISBLANK(M1692),0,L1692/ROUND(M1692,4))</f>
        <v>#DIV/0!</v>
      </c>
      <c r="R1692" s="66" t="e">
        <f>IF(ISBLANK(M1692),0,Q1692*ROUND(N1692,2))</f>
        <v>#DIV/0!</v>
      </c>
      <c r="S1692" s="69" t="e">
        <f>ROUND(P1692,2)*Q1692</f>
        <v>#DIV/0!</v>
      </c>
      <c r="T1692" s="66" t="e">
        <f>Q1692*dagenperjaar1</f>
        <v>#DIV/0!</v>
      </c>
      <c r="U1692" s="70" t="e">
        <f>T1692*ROUND(P1692,2)</f>
        <v>#DIV/0!</v>
      </c>
    </row>
    <row r="1693" spans="1:21" x14ac:dyDescent="0.2">
      <c r="A1693" s="63" t="s">
        <v>2059</v>
      </c>
      <c r="B1693" s="64" t="s">
        <v>324</v>
      </c>
      <c r="C1693" s="64" t="s">
        <v>472</v>
      </c>
      <c r="D1693" s="64" t="s">
        <v>527</v>
      </c>
      <c r="E1693" s="64" t="s">
        <v>324</v>
      </c>
      <c r="F1693" s="65" t="s">
        <v>457</v>
      </c>
      <c r="G1693" s="64" t="s">
        <v>351</v>
      </c>
      <c r="H1693" s="64" t="s">
        <v>231</v>
      </c>
      <c r="I1693" s="64" t="s">
        <v>10</v>
      </c>
      <c r="J1693" s="64" t="s">
        <v>201</v>
      </c>
      <c r="K1693" s="66">
        <v>39.1</v>
      </c>
      <c r="L1693" s="66">
        <f>K1693*VLOOKUP(I1693,dagsoorttabel1,2,FALSE)</f>
        <v>39.1</v>
      </c>
      <c r="M1693" s="67">
        <f>prodnorm44</f>
        <v>0</v>
      </c>
      <c r="N1693" s="68">
        <f>dagwerk44</f>
        <v>0</v>
      </c>
      <c r="O1693" s="64" t="s">
        <v>38</v>
      </c>
      <c r="P1693" s="69">
        <f>uurtarief44</f>
        <v>0</v>
      </c>
      <c r="Q1693" s="66" t="e">
        <f>IF(ISBLANK(M1693),0,L1693/ROUND(M1693,4))</f>
        <v>#DIV/0!</v>
      </c>
      <c r="R1693" s="66" t="e">
        <f>IF(ISBLANK(M1693),0,Q1693*ROUND(N1693,2))</f>
        <v>#DIV/0!</v>
      </c>
      <c r="S1693" s="69" t="e">
        <f>ROUND(P1693,2)*Q1693</f>
        <v>#DIV/0!</v>
      </c>
      <c r="T1693" s="66" t="e">
        <f>Q1693*dagenperjaar1</f>
        <v>#DIV/0!</v>
      </c>
      <c r="U1693" s="70" t="e">
        <f>T1693*ROUND(P1693,2)</f>
        <v>#DIV/0!</v>
      </c>
    </row>
    <row r="1694" spans="1:21" x14ac:dyDescent="0.2">
      <c r="A1694" s="63" t="s">
        <v>2059</v>
      </c>
      <c r="B1694" s="64" t="s">
        <v>324</v>
      </c>
      <c r="C1694" s="64" t="s">
        <v>472</v>
      </c>
      <c r="D1694" s="64" t="s">
        <v>974</v>
      </c>
      <c r="E1694" s="64" t="s">
        <v>324</v>
      </c>
      <c r="F1694" s="65" t="s">
        <v>457</v>
      </c>
      <c r="G1694" s="64" t="s">
        <v>351</v>
      </c>
      <c r="H1694" s="64" t="s">
        <v>231</v>
      </c>
      <c r="I1694" s="64" t="s">
        <v>10</v>
      </c>
      <c r="J1694" s="64" t="s">
        <v>201</v>
      </c>
      <c r="K1694" s="66">
        <v>51.7</v>
      </c>
      <c r="L1694" s="66">
        <f>K1694*VLOOKUP(I1694,dagsoorttabel1,2,FALSE)</f>
        <v>51.7</v>
      </c>
      <c r="M1694" s="67">
        <f>prodnorm44</f>
        <v>0</v>
      </c>
      <c r="N1694" s="68">
        <f>dagwerk44</f>
        <v>0</v>
      </c>
      <c r="O1694" s="64" t="s">
        <v>38</v>
      </c>
      <c r="P1694" s="69">
        <f>uurtarief44</f>
        <v>0</v>
      </c>
      <c r="Q1694" s="66" t="e">
        <f>IF(ISBLANK(M1694),0,L1694/ROUND(M1694,4))</f>
        <v>#DIV/0!</v>
      </c>
      <c r="R1694" s="66" t="e">
        <f>IF(ISBLANK(M1694),0,Q1694*ROUND(N1694,2))</f>
        <v>#DIV/0!</v>
      </c>
      <c r="S1694" s="69" t="e">
        <f>ROUND(P1694,2)*Q1694</f>
        <v>#DIV/0!</v>
      </c>
      <c r="T1694" s="66" t="e">
        <f>Q1694*dagenperjaar1</f>
        <v>#DIV/0!</v>
      </c>
      <c r="U1694" s="70" t="e">
        <f>T1694*ROUND(P1694,2)</f>
        <v>#DIV/0!</v>
      </c>
    </row>
    <row r="1695" spans="1:21" x14ac:dyDescent="0.2">
      <c r="A1695" s="63" t="s">
        <v>2059</v>
      </c>
      <c r="B1695" s="64" t="s">
        <v>324</v>
      </c>
      <c r="C1695" s="64" t="s">
        <v>472</v>
      </c>
      <c r="D1695" s="64" t="s">
        <v>976</v>
      </c>
      <c r="E1695" s="64" t="s">
        <v>324</v>
      </c>
      <c r="F1695" s="65" t="s">
        <v>457</v>
      </c>
      <c r="G1695" s="64" t="s">
        <v>351</v>
      </c>
      <c r="H1695" s="64" t="s">
        <v>231</v>
      </c>
      <c r="I1695" s="64" t="s">
        <v>10</v>
      </c>
      <c r="J1695" s="64" t="s">
        <v>201</v>
      </c>
      <c r="K1695" s="66">
        <v>56.8</v>
      </c>
      <c r="L1695" s="66">
        <f>K1695*VLOOKUP(I1695,dagsoorttabel1,2,FALSE)</f>
        <v>56.8</v>
      </c>
      <c r="M1695" s="67">
        <f>prodnorm44</f>
        <v>0</v>
      </c>
      <c r="N1695" s="68">
        <f>dagwerk44</f>
        <v>0</v>
      </c>
      <c r="O1695" s="64" t="s">
        <v>38</v>
      </c>
      <c r="P1695" s="69">
        <f>uurtarief44</f>
        <v>0</v>
      </c>
      <c r="Q1695" s="66" t="e">
        <f>IF(ISBLANK(M1695),0,L1695/ROUND(M1695,4))</f>
        <v>#DIV/0!</v>
      </c>
      <c r="R1695" s="66" t="e">
        <f>IF(ISBLANK(M1695),0,Q1695*ROUND(N1695,2))</f>
        <v>#DIV/0!</v>
      </c>
      <c r="S1695" s="69" t="e">
        <f>ROUND(P1695,2)*Q1695</f>
        <v>#DIV/0!</v>
      </c>
      <c r="T1695" s="66" t="e">
        <f>Q1695*dagenperjaar1</f>
        <v>#DIV/0!</v>
      </c>
      <c r="U1695" s="70" t="e">
        <f>T1695*ROUND(P1695,2)</f>
        <v>#DIV/0!</v>
      </c>
    </row>
    <row r="1696" spans="1:21" x14ac:dyDescent="0.2">
      <c r="A1696" s="63" t="s">
        <v>2059</v>
      </c>
      <c r="B1696" s="64" t="s">
        <v>324</v>
      </c>
      <c r="C1696" s="64" t="s">
        <v>472</v>
      </c>
      <c r="D1696" s="64" t="s">
        <v>978</v>
      </c>
      <c r="E1696" s="64" t="s">
        <v>324</v>
      </c>
      <c r="F1696" s="65" t="s">
        <v>457</v>
      </c>
      <c r="G1696" s="64" t="s">
        <v>351</v>
      </c>
      <c r="H1696" s="64" t="s">
        <v>231</v>
      </c>
      <c r="I1696" s="64" t="s">
        <v>10</v>
      </c>
      <c r="J1696" s="64" t="s">
        <v>201</v>
      </c>
      <c r="K1696" s="66">
        <v>70.900000000000006</v>
      </c>
      <c r="L1696" s="66">
        <f>K1696*VLOOKUP(I1696,dagsoorttabel1,2,FALSE)</f>
        <v>70.900000000000006</v>
      </c>
      <c r="M1696" s="67">
        <f>prodnorm44</f>
        <v>0</v>
      </c>
      <c r="N1696" s="68">
        <f>dagwerk44</f>
        <v>0</v>
      </c>
      <c r="O1696" s="64" t="s">
        <v>38</v>
      </c>
      <c r="P1696" s="69">
        <f>uurtarief44</f>
        <v>0</v>
      </c>
      <c r="Q1696" s="66" t="e">
        <f>IF(ISBLANK(M1696),0,L1696/ROUND(M1696,4))</f>
        <v>#DIV/0!</v>
      </c>
      <c r="R1696" s="66" t="e">
        <f>IF(ISBLANK(M1696),0,Q1696*ROUND(N1696,2))</f>
        <v>#DIV/0!</v>
      </c>
      <c r="S1696" s="69" t="e">
        <f>ROUND(P1696,2)*Q1696</f>
        <v>#DIV/0!</v>
      </c>
      <c r="T1696" s="66" t="e">
        <f>Q1696*dagenperjaar1</f>
        <v>#DIV/0!</v>
      </c>
      <c r="U1696" s="70" t="e">
        <f>T1696*ROUND(P1696,2)</f>
        <v>#DIV/0!</v>
      </c>
    </row>
    <row r="1697" spans="1:21" x14ac:dyDescent="0.2">
      <c r="A1697" s="63" t="s">
        <v>2059</v>
      </c>
      <c r="B1697" s="64" t="s">
        <v>324</v>
      </c>
      <c r="C1697" s="64" t="s">
        <v>472</v>
      </c>
      <c r="D1697" s="64" t="s">
        <v>980</v>
      </c>
      <c r="E1697" s="64" t="s">
        <v>324</v>
      </c>
      <c r="F1697" s="65" t="s">
        <v>381</v>
      </c>
      <c r="G1697" s="64" t="s">
        <v>351</v>
      </c>
      <c r="H1697" s="64" t="s">
        <v>207</v>
      </c>
      <c r="I1697" s="64" t="s">
        <v>10</v>
      </c>
      <c r="J1697" s="64" t="s">
        <v>201</v>
      </c>
      <c r="K1697" s="66">
        <v>19.600000000000001</v>
      </c>
      <c r="L1697" s="66">
        <f>K1697*VLOOKUP(I1697,dagsoorttabel1,2,FALSE)</f>
        <v>19.600000000000001</v>
      </c>
      <c r="M1697" s="67">
        <f>prodnorm28</f>
        <v>0</v>
      </c>
      <c r="N1697" s="68">
        <f>dagwerk28</f>
        <v>0</v>
      </c>
      <c r="O1697" s="64" t="s">
        <v>38</v>
      </c>
      <c r="P1697" s="69">
        <f>uurtarief28</f>
        <v>0</v>
      </c>
      <c r="Q1697" s="66" t="e">
        <f>IF(ISBLANK(M1697),0,L1697/ROUND(M1697,4))</f>
        <v>#DIV/0!</v>
      </c>
      <c r="R1697" s="66" t="e">
        <f>IF(ISBLANK(M1697),0,Q1697*ROUND(N1697,2))</f>
        <v>#DIV/0!</v>
      </c>
      <c r="S1697" s="69" t="e">
        <f>ROUND(P1697,2)*Q1697</f>
        <v>#DIV/0!</v>
      </c>
      <c r="T1697" s="66" t="e">
        <f>Q1697*dagenperjaar1</f>
        <v>#DIV/0!</v>
      </c>
      <c r="U1697" s="70" t="e">
        <f>T1697*ROUND(P1697,2)</f>
        <v>#DIV/0!</v>
      </c>
    </row>
    <row r="1698" spans="1:21" x14ac:dyDescent="0.2">
      <c r="A1698" s="63" t="s">
        <v>2059</v>
      </c>
      <c r="B1698" s="64" t="s">
        <v>324</v>
      </c>
      <c r="C1698" s="64" t="s">
        <v>472</v>
      </c>
      <c r="D1698" s="64" t="s">
        <v>981</v>
      </c>
      <c r="E1698" s="64" t="s">
        <v>324</v>
      </c>
      <c r="F1698" s="65" t="s">
        <v>381</v>
      </c>
      <c r="G1698" s="64" t="s">
        <v>351</v>
      </c>
      <c r="H1698" s="64" t="s">
        <v>207</v>
      </c>
      <c r="I1698" s="64" t="s">
        <v>10</v>
      </c>
      <c r="J1698" s="64" t="s">
        <v>201</v>
      </c>
      <c r="K1698" s="66">
        <v>9.5</v>
      </c>
      <c r="L1698" s="66">
        <f>K1698*VLOOKUP(I1698,dagsoorttabel1,2,FALSE)</f>
        <v>9.5</v>
      </c>
      <c r="M1698" s="67">
        <f>prodnorm28</f>
        <v>0</v>
      </c>
      <c r="N1698" s="68">
        <f>dagwerk28</f>
        <v>0</v>
      </c>
      <c r="O1698" s="64" t="s">
        <v>38</v>
      </c>
      <c r="P1698" s="69">
        <f>uurtarief28</f>
        <v>0</v>
      </c>
      <c r="Q1698" s="66" t="e">
        <f>IF(ISBLANK(M1698),0,L1698/ROUND(M1698,4))</f>
        <v>#DIV/0!</v>
      </c>
      <c r="R1698" s="66" t="e">
        <f>IF(ISBLANK(M1698),0,Q1698*ROUND(N1698,2))</f>
        <v>#DIV/0!</v>
      </c>
      <c r="S1698" s="69" t="e">
        <f>ROUND(P1698,2)*Q1698</f>
        <v>#DIV/0!</v>
      </c>
      <c r="T1698" s="66" t="e">
        <f>Q1698*dagenperjaar1</f>
        <v>#DIV/0!</v>
      </c>
      <c r="U1698" s="70" t="e">
        <f>T1698*ROUND(P1698,2)</f>
        <v>#DIV/0!</v>
      </c>
    </row>
    <row r="1699" spans="1:21" x14ac:dyDescent="0.2">
      <c r="A1699" s="63" t="s">
        <v>2059</v>
      </c>
      <c r="B1699" s="64" t="s">
        <v>324</v>
      </c>
      <c r="C1699" s="64" t="s">
        <v>472</v>
      </c>
      <c r="D1699" s="64" t="s">
        <v>982</v>
      </c>
      <c r="E1699" s="64" t="s">
        <v>324</v>
      </c>
      <c r="F1699" s="65" t="s">
        <v>381</v>
      </c>
      <c r="G1699" s="64" t="s">
        <v>351</v>
      </c>
      <c r="H1699" s="64" t="s">
        <v>207</v>
      </c>
      <c r="I1699" s="64" t="s">
        <v>10</v>
      </c>
      <c r="J1699" s="64" t="s">
        <v>201</v>
      </c>
      <c r="K1699" s="66">
        <v>9.5</v>
      </c>
      <c r="L1699" s="66">
        <f>K1699*VLOOKUP(I1699,dagsoorttabel1,2,FALSE)</f>
        <v>9.5</v>
      </c>
      <c r="M1699" s="67">
        <f>prodnorm28</f>
        <v>0</v>
      </c>
      <c r="N1699" s="68">
        <f>dagwerk28</f>
        <v>0</v>
      </c>
      <c r="O1699" s="64" t="s">
        <v>38</v>
      </c>
      <c r="P1699" s="69">
        <f>uurtarief28</f>
        <v>0</v>
      </c>
      <c r="Q1699" s="66" t="e">
        <f>IF(ISBLANK(M1699),0,L1699/ROUND(M1699,4))</f>
        <v>#DIV/0!</v>
      </c>
      <c r="R1699" s="66" t="e">
        <f>IF(ISBLANK(M1699),0,Q1699*ROUND(N1699,2))</f>
        <v>#DIV/0!</v>
      </c>
      <c r="S1699" s="69" t="e">
        <f>ROUND(P1699,2)*Q1699</f>
        <v>#DIV/0!</v>
      </c>
      <c r="T1699" s="66" t="e">
        <f>Q1699*dagenperjaar1</f>
        <v>#DIV/0!</v>
      </c>
      <c r="U1699" s="70" t="e">
        <f>T1699*ROUND(P1699,2)</f>
        <v>#DIV/0!</v>
      </c>
    </row>
    <row r="1700" spans="1:21" x14ac:dyDescent="0.2">
      <c r="A1700" s="63" t="s">
        <v>2059</v>
      </c>
      <c r="B1700" s="64" t="s">
        <v>324</v>
      </c>
      <c r="C1700" s="64" t="s">
        <v>472</v>
      </c>
      <c r="D1700" s="64" t="s">
        <v>983</v>
      </c>
      <c r="E1700" s="64" t="s">
        <v>324</v>
      </c>
      <c r="F1700" s="65" t="s">
        <v>2063</v>
      </c>
      <c r="G1700" s="64" t="s">
        <v>328</v>
      </c>
      <c r="H1700" s="64" t="s">
        <v>255</v>
      </c>
      <c r="I1700" s="64" t="s">
        <v>10</v>
      </c>
      <c r="J1700" s="64" t="s">
        <v>201</v>
      </c>
      <c r="K1700" s="66">
        <v>6.2</v>
      </c>
      <c r="L1700" s="66">
        <f>K1700*VLOOKUP(I1700,dagsoorttabel1,2,FALSE)</f>
        <v>6.2</v>
      </c>
      <c r="M1700" s="67">
        <f>prodnorm59</f>
        <v>0</v>
      </c>
      <c r="N1700" s="68">
        <f>dagwerk59</f>
        <v>0</v>
      </c>
      <c r="O1700" s="64" t="s">
        <v>38</v>
      </c>
      <c r="P1700" s="69">
        <f>uurtarief59</f>
        <v>0</v>
      </c>
      <c r="Q1700" s="66" t="e">
        <f>IF(ISBLANK(M1700),0,L1700/ROUND(M1700,4))</f>
        <v>#DIV/0!</v>
      </c>
      <c r="R1700" s="66" t="e">
        <f>IF(ISBLANK(M1700),0,Q1700*ROUND(N1700,2))</f>
        <v>#DIV/0!</v>
      </c>
      <c r="S1700" s="69" t="e">
        <f>ROUND(P1700,2)*Q1700</f>
        <v>#DIV/0!</v>
      </c>
      <c r="T1700" s="66" t="e">
        <f>Q1700*dagenperjaar1</f>
        <v>#DIV/0!</v>
      </c>
      <c r="U1700" s="70" t="e">
        <f>T1700*ROUND(P1700,2)</f>
        <v>#DIV/0!</v>
      </c>
    </row>
    <row r="1701" spans="1:21" x14ac:dyDescent="0.2">
      <c r="A1701" s="63" t="s">
        <v>2059</v>
      </c>
      <c r="B1701" s="64" t="s">
        <v>324</v>
      </c>
      <c r="C1701" s="64" t="s">
        <v>472</v>
      </c>
      <c r="D1701" s="64" t="s">
        <v>983</v>
      </c>
      <c r="E1701" s="64" t="s">
        <v>324</v>
      </c>
      <c r="F1701" s="65" t="s">
        <v>2063</v>
      </c>
      <c r="G1701" s="64" t="s">
        <v>328</v>
      </c>
      <c r="H1701" s="64" t="s">
        <v>257</v>
      </c>
      <c r="I1701" s="64" t="s">
        <v>10</v>
      </c>
      <c r="J1701" s="64" t="s">
        <v>201</v>
      </c>
      <c r="K1701" s="66">
        <v>6.2</v>
      </c>
      <c r="L1701" s="66">
        <f>K1701*VLOOKUP(I1701,dagsoorttabel1,2,FALSE)</f>
        <v>6.2</v>
      </c>
      <c r="M1701" s="67">
        <f>prodnorm60</f>
        <v>0</v>
      </c>
      <c r="N1701" s="68">
        <f>dagwerk60</f>
        <v>0</v>
      </c>
      <c r="O1701" s="64" t="s">
        <v>38</v>
      </c>
      <c r="P1701" s="69">
        <f>uurtarief60</f>
        <v>0</v>
      </c>
      <c r="Q1701" s="66" t="e">
        <f>IF(ISBLANK(M1701),0,L1701/ROUND(M1701,4))</f>
        <v>#DIV/0!</v>
      </c>
      <c r="R1701" s="66" t="e">
        <f>IF(ISBLANK(M1701),0,Q1701*ROUND(N1701,2))</f>
        <v>#DIV/0!</v>
      </c>
      <c r="S1701" s="69" t="e">
        <f>ROUND(P1701,2)*Q1701</f>
        <v>#DIV/0!</v>
      </c>
      <c r="T1701" s="66" t="e">
        <f>Q1701*dagenperjaar1</f>
        <v>#DIV/0!</v>
      </c>
      <c r="U1701" s="70" t="e">
        <f>T1701*ROUND(P1701,2)</f>
        <v>#DIV/0!</v>
      </c>
    </row>
    <row r="1702" spans="1:21" x14ac:dyDescent="0.2">
      <c r="A1702" s="63" t="s">
        <v>2059</v>
      </c>
      <c r="B1702" s="64" t="s">
        <v>324</v>
      </c>
      <c r="C1702" s="64" t="s">
        <v>472</v>
      </c>
      <c r="D1702" s="64" t="s">
        <v>984</v>
      </c>
      <c r="E1702" s="64" t="s">
        <v>324</v>
      </c>
      <c r="F1702" s="65" t="s">
        <v>2063</v>
      </c>
      <c r="G1702" s="64" t="s">
        <v>328</v>
      </c>
      <c r="H1702" s="64" t="s">
        <v>255</v>
      </c>
      <c r="I1702" s="64" t="s">
        <v>10</v>
      </c>
      <c r="J1702" s="64" t="s">
        <v>201</v>
      </c>
      <c r="K1702" s="66">
        <v>6.2</v>
      </c>
      <c r="L1702" s="66">
        <f>K1702*VLOOKUP(I1702,dagsoorttabel1,2,FALSE)</f>
        <v>6.2</v>
      </c>
      <c r="M1702" s="67">
        <f>prodnorm59</f>
        <v>0</v>
      </c>
      <c r="N1702" s="68">
        <f>dagwerk59</f>
        <v>0</v>
      </c>
      <c r="O1702" s="64" t="s">
        <v>38</v>
      </c>
      <c r="P1702" s="69">
        <f>uurtarief59</f>
        <v>0</v>
      </c>
      <c r="Q1702" s="66" t="e">
        <f>IF(ISBLANK(M1702),0,L1702/ROUND(M1702,4))</f>
        <v>#DIV/0!</v>
      </c>
      <c r="R1702" s="66" t="e">
        <f>IF(ISBLANK(M1702),0,Q1702*ROUND(N1702,2))</f>
        <v>#DIV/0!</v>
      </c>
      <c r="S1702" s="69" t="e">
        <f>ROUND(P1702,2)*Q1702</f>
        <v>#DIV/0!</v>
      </c>
      <c r="T1702" s="66" t="e">
        <f>Q1702*dagenperjaar1</f>
        <v>#DIV/0!</v>
      </c>
      <c r="U1702" s="70" t="e">
        <f>T1702*ROUND(P1702,2)</f>
        <v>#DIV/0!</v>
      </c>
    </row>
    <row r="1703" spans="1:21" x14ac:dyDescent="0.2">
      <c r="A1703" s="63" t="s">
        <v>2059</v>
      </c>
      <c r="B1703" s="64" t="s">
        <v>324</v>
      </c>
      <c r="C1703" s="64" t="s">
        <v>472</v>
      </c>
      <c r="D1703" s="64" t="s">
        <v>984</v>
      </c>
      <c r="E1703" s="64" t="s">
        <v>324</v>
      </c>
      <c r="F1703" s="65" t="s">
        <v>2063</v>
      </c>
      <c r="G1703" s="64" t="s">
        <v>328</v>
      </c>
      <c r="H1703" s="64" t="s">
        <v>257</v>
      </c>
      <c r="I1703" s="64" t="s">
        <v>10</v>
      </c>
      <c r="J1703" s="64" t="s">
        <v>201</v>
      </c>
      <c r="K1703" s="66">
        <v>6.2</v>
      </c>
      <c r="L1703" s="66">
        <f>K1703*VLOOKUP(I1703,dagsoorttabel1,2,FALSE)</f>
        <v>6.2</v>
      </c>
      <c r="M1703" s="67">
        <f>prodnorm60</f>
        <v>0</v>
      </c>
      <c r="N1703" s="68">
        <f>dagwerk60</f>
        <v>0</v>
      </c>
      <c r="O1703" s="64" t="s">
        <v>38</v>
      </c>
      <c r="P1703" s="69">
        <f>uurtarief60</f>
        <v>0</v>
      </c>
      <c r="Q1703" s="66" t="e">
        <f>IF(ISBLANK(M1703),0,L1703/ROUND(M1703,4))</f>
        <v>#DIV/0!</v>
      </c>
      <c r="R1703" s="66" t="e">
        <f>IF(ISBLANK(M1703),0,Q1703*ROUND(N1703,2))</f>
        <v>#DIV/0!</v>
      </c>
      <c r="S1703" s="69" t="e">
        <f>ROUND(P1703,2)*Q1703</f>
        <v>#DIV/0!</v>
      </c>
      <c r="T1703" s="66" t="e">
        <f>Q1703*dagenperjaar1</f>
        <v>#DIV/0!</v>
      </c>
      <c r="U1703" s="70" t="e">
        <f>T1703*ROUND(P1703,2)</f>
        <v>#DIV/0!</v>
      </c>
    </row>
    <row r="1704" spans="1:21" x14ac:dyDescent="0.2">
      <c r="A1704" s="63" t="s">
        <v>2059</v>
      </c>
      <c r="B1704" s="64" t="s">
        <v>324</v>
      </c>
      <c r="C1704" s="64" t="s">
        <v>472</v>
      </c>
      <c r="D1704" s="64" t="s">
        <v>986</v>
      </c>
      <c r="E1704" s="64" t="s">
        <v>324</v>
      </c>
      <c r="F1704" s="65" t="s">
        <v>2063</v>
      </c>
      <c r="G1704" s="64" t="s">
        <v>642</v>
      </c>
      <c r="H1704" s="64" t="s">
        <v>255</v>
      </c>
      <c r="I1704" s="64" t="s">
        <v>10</v>
      </c>
      <c r="J1704" s="64" t="s">
        <v>201</v>
      </c>
      <c r="K1704" s="66">
        <v>5.5</v>
      </c>
      <c r="L1704" s="66">
        <f>K1704*VLOOKUP(I1704,dagsoorttabel1,2,FALSE)</f>
        <v>5.5</v>
      </c>
      <c r="M1704" s="67">
        <f>prodnorm59</f>
        <v>0</v>
      </c>
      <c r="N1704" s="68">
        <f>dagwerk59</f>
        <v>0</v>
      </c>
      <c r="O1704" s="64" t="s">
        <v>38</v>
      </c>
      <c r="P1704" s="69">
        <f>uurtarief59</f>
        <v>0</v>
      </c>
      <c r="Q1704" s="66" t="e">
        <f>IF(ISBLANK(M1704),0,L1704/ROUND(M1704,4))</f>
        <v>#DIV/0!</v>
      </c>
      <c r="R1704" s="66" t="e">
        <f>IF(ISBLANK(M1704),0,Q1704*ROUND(N1704,2))</f>
        <v>#DIV/0!</v>
      </c>
      <c r="S1704" s="69" t="e">
        <f>ROUND(P1704,2)*Q1704</f>
        <v>#DIV/0!</v>
      </c>
      <c r="T1704" s="66" t="e">
        <f>Q1704*dagenperjaar1</f>
        <v>#DIV/0!</v>
      </c>
      <c r="U1704" s="70" t="e">
        <f>T1704*ROUND(P1704,2)</f>
        <v>#DIV/0!</v>
      </c>
    </row>
    <row r="1705" spans="1:21" x14ac:dyDescent="0.2">
      <c r="A1705" s="63" t="s">
        <v>2059</v>
      </c>
      <c r="B1705" s="64" t="s">
        <v>324</v>
      </c>
      <c r="C1705" s="64" t="s">
        <v>472</v>
      </c>
      <c r="D1705" s="64" t="s">
        <v>986</v>
      </c>
      <c r="E1705" s="64" t="s">
        <v>324</v>
      </c>
      <c r="F1705" s="65" t="s">
        <v>2063</v>
      </c>
      <c r="G1705" s="64" t="s">
        <v>642</v>
      </c>
      <c r="H1705" s="64" t="s">
        <v>257</v>
      </c>
      <c r="I1705" s="64" t="s">
        <v>10</v>
      </c>
      <c r="J1705" s="64" t="s">
        <v>201</v>
      </c>
      <c r="K1705" s="66">
        <v>5.5</v>
      </c>
      <c r="L1705" s="66">
        <f>K1705*VLOOKUP(I1705,dagsoorttabel1,2,FALSE)</f>
        <v>5.5</v>
      </c>
      <c r="M1705" s="67">
        <f>prodnorm60</f>
        <v>0</v>
      </c>
      <c r="N1705" s="68">
        <f>dagwerk60</f>
        <v>0</v>
      </c>
      <c r="O1705" s="64" t="s">
        <v>38</v>
      </c>
      <c r="P1705" s="69">
        <f>uurtarief60</f>
        <v>0</v>
      </c>
      <c r="Q1705" s="66" t="e">
        <f>IF(ISBLANK(M1705),0,L1705/ROUND(M1705,4))</f>
        <v>#DIV/0!</v>
      </c>
      <c r="R1705" s="66" t="e">
        <f>IF(ISBLANK(M1705),0,Q1705*ROUND(N1705,2))</f>
        <v>#DIV/0!</v>
      </c>
      <c r="S1705" s="69" t="e">
        <f>ROUND(P1705,2)*Q1705</f>
        <v>#DIV/0!</v>
      </c>
      <c r="T1705" s="66" t="e">
        <f>Q1705*dagenperjaar1</f>
        <v>#DIV/0!</v>
      </c>
      <c r="U1705" s="70" t="e">
        <f>T1705*ROUND(P1705,2)</f>
        <v>#DIV/0!</v>
      </c>
    </row>
    <row r="1706" spans="1:21" x14ac:dyDescent="0.2">
      <c r="A1706" s="63" t="s">
        <v>2059</v>
      </c>
      <c r="B1706" s="64" t="s">
        <v>324</v>
      </c>
      <c r="C1706" s="64" t="s">
        <v>472</v>
      </c>
      <c r="D1706" s="64" t="s">
        <v>987</v>
      </c>
      <c r="E1706" s="64" t="s">
        <v>324</v>
      </c>
      <c r="F1706" s="65" t="s">
        <v>2063</v>
      </c>
      <c r="G1706" s="64" t="s">
        <v>642</v>
      </c>
      <c r="H1706" s="64" t="s">
        <v>255</v>
      </c>
      <c r="I1706" s="64" t="s">
        <v>10</v>
      </c>
      <c r="J1706" s="64" t="s">
        <v>201</v>
      </c>
      <c r="K1706" s="66">
        <v>5.5</v>
      </c>
      <c r="L1706" s="66">
        <f>K1706*VLOOKUP(I1706,dagsoorttabel1,2,FALSE)</f>
        <v>5.5</v>
      </c>
      <c r="M1706" s="67">
        <f>prodnorm59</f>
        <v>0</v>
      </c>
      <c r="N1706" s="68">
        <f>dagwerk59</f>
        <v>0</v>
      </c>
      <c r="O1706" s="64" t="s">
        <v>38</v>
      </c>
      <c r="P1706" s="69">
        <f>uurtarief59</f>
        <v>0</v>
      </c>
      <c r="Q1706" s="66" t="e">
        <f>IF(ISBLANK(M1706),0,L1706/ROUND(M1706,4))</f>
        <v>#DIV/0!</v>
      </c>
      <c r="R1706" s="66" t="e">
        <f>IF(ISBLANK(M1706),0,Q1706*ROUND(N1706,2))</f>
        <v>#DIV/0!</v>
      </c>
      <c r="S1706" s="69" t="e">
        <f>ROUND(P1706,2)*Q1706</f>
        <v>#DIV/0!</v>
      </c>
      <c r="T1706" s="66" t="e">
        <f>Q1706*dagenperjaar1</f>
        <v>#DIV/0!</v>
      </c>
      <c r="U1706" s="70" t="e">
        <f>T1706*ROUND(P1706,2)</f>
        <v>#DIV/0!</v>
      </c>
    </row>
    <row r="1707" spans="1:21" x14ac:dyDescent="0.2">
      <c r="A1707" s="63" t="s">
        <v>2059</v>
      </c>
      <c r="B1707" s="64" t="s">
        <v>324</v>
      </c>
      <c r="C1707" s="64" t="s">
        <v>472</v>
      </c>
      <c r="D1707" s="64" t="s">
        <v>987</v>
      </c>
      <c r="E1707" s="64" t="s">
        <v>324</v>
      </c>
      <c r="F1707" s="65" t="s">
        <v>2063</v>
      </c>
      <c r="G1707" s="64" t="s">
        <v>642</v>
      </c>
      <c r="H1707" s="64" t="s">
        <v>257</v>
      </c>
      <c r="I1707" s="64" t="s">
        <v>10</v>
      </c>
      <c r="J1707" s="64" t="s">
        <v>201</v>
      </c>
      <c r="K1707" s="66">
        <v>5.5</v>
      </c>
      <c r="L1707" s="66">
        <f>K1707*VLOOKUP(I1707,dagsoorttabel1,2,FALSE)</f>
        <v>5.5</v>
      </c>
      <c r="M1707" s="67">
        <f>prodnorm60</f>
        <v>0</v>
      </c>
      <c r="N1707" s="68">
        <f>dagwerk60</f>
        <v>0</v>
      </c>
      <c r="O1707" s="64" t="s">
        <v>38</v>
      </c>
      <c r="P1707" s="69">
        <f>uurtarief60</f>
        <v>0</v>
      </c>
      <c r="Q1707" s="66" t="e">
        <f>IF(ISBLANK(M1707),0,L1707/ROUND(M1707,4))</f>
        <v>#DIV/0!</v>
      </c>
      <c r="R1707" s="66" t="e">
        <f>IF(ISBLANK(M1707),0,Q1707*ROUND(N1707,2))</f>
        <v>#DIV/0!</v>
      </c>
      <c r="S1707" s="69" t="e">
        <f>ROUND(P1707,2)*Q1707</f>
        <v>#DIV/0!</v>
      </c>
      <c r="T1707" s="66" t="e">
        <f>Q1707*dagenperjaar1</f>
        <v>#DIV/0!</v>
      </c>
      <c r="U1707" s="70" t="e">
        <f>T1707*ROUND(P1707,2)</f>
        <v>#DIV/0!</v>
      </c>
    </row>
    <row r="1708" spans="1:21" x14ac:dyDescent="0.2">
      <c r="A1708" s="63" t="s">
        <v>2059</v>
      </c>
      <c r="B1708" s="64" t="s">
        <v>324</v>
      </c>
      <c r="C1708" s="64" t="s">
        <v>472</v>
      </c>
      <c r="D1708" s="64" t="s">
        <v>1394</v>
      </c>
      <c r="E1708" s="64" t="s">
        <v>324</v>
      </c>
      <c r="F1708" s="65" t="s">
        <v>2086</v>
      </c>
      <c r="G1708" s="64" t="s">
        <v>351</v>
      </c>
      <c r="H1708" s="64" t="s">
        <v>245</v>
      </c>
      <c r="I1708" s="64" t="s">
        <v>10</v>
      </c>
      <c r="J1708" s="64" t="s">
        <v>201</v>
      </c>
      <c r="K1708" s="66">
        <v>48</v>
      </c>
      <c r="L1708" s="66">
        <f>K1708*VLOOKUP(I1708,dagsoorttabel1,2,FALSE)</f>
        <v>48</v>
      </c>
      <c r="M1708" s="67">
        <f>prodnorm54</f>
        <v>0</v>
      </c>
      <c r="N1708" s="68">
        <f>dagwerk54</f>
        <v>0</v>
      </c>
      <c r="O1708" s="64" t="s">
        <v>38</v>
      </c>
      <c r="P1708" s="69">
        <f>uurtarief54</f>
        <v>0</v>
      </c>
      <c r="Q1708" s="66" t="e">
        <f>IF(ISBLANK(M1708),0,L1708/ROUND(M1708,4))</f>
        <v>#DIV/0!</v>
      </c>
      <c r="R1708" s="66" t="e">
        <f>IF(ISBLANK(M1708),0,Q1708*ROUND(N1708,2))</f>
        <v>#DIV/0!</v>
      </c>
      <c r="S1708" s="69" t="e">
        <f>ROUND(P1708,2)*Q1708</f>
        <v>#DIV/0!</v>
      </c>
      <c r="T1708" s="66" t="e">
        <f>Q1708*dagenperjaar1</f>
        <v>#DIV/0!</v>
      </c>
      <c r="U1708" s="70" t="e">
        <f>T1708*ROUND(P1708,2)</f>
        <v>#DIV/0!</v>
      </c>
    </row>
    <row r="1709" spans="1:21" x14ac:dyDescent="0.2">
      <c r="A1709" s="63" t="s">
        <v>2059</v>
      </c>
      <c r="B1709" s="64" t="s">
        <v>324</v>
      </c>
      <c r="C1709" s="64" t="s">
        <v>472</v>
      </c>
      <c r="D1709" s="64" t="s">
        <v>2087</v>
      </c>
      <c r="E1709" s="64" t="s">
        <v>324</v>
      </c>
      <c r="F1709" s="65" t="s">
        <v>335</v>
      </c>
      <c r="G1709" s="64" t="s">
        <v>328</v>
      </c>
      <c r="H1709" s="64" t="s">
        <v>267</v>
      </c>
      <c r="I1709" s="64" t="s">
        <v>10</v>
      </c>
      <c r="J1709" s="64" t="s">
        <v>201</v>
      </c>
      <c r="K1709" s="66">
        <v>34.1</v>
      </c>
      <c r="L1709" s="66">
        <f>K1709*VLOOKUP(I1709,dagsoorttabel1,2,FALSE)</f>
        <v>34.1</v>
      </c>
      <c r="M1709" s="67">
        <f>prodnorm65</f>
        <v>0</v>
      </c>
      <c r="N1709" s="68">
        <f>dagwerk65</f>
        <v>0</v>
      </c>
      <c r="O1709" s="64" t="s">
        <v>38</v>
      </c>
      <c r="P1709" s="69">
        <f>uurtarief65</f>
        <v>0</v>
      </c>
      <c r="Q1709" s="66" t="e">
        <f>IF(ISBLANK(M1709),0,L1709/ROUND(M1709,4))</f>
        <v>#DIV/0!</v>
      </c>
      <c r="R1709" s="66" t="e">
        <f>IF(ISBLANK(M1709),0,Q1709*ROUND(N1709,2))</f>
        <v>#DIV/0!</v>
      </c>
      <c r="S1709" s="69" t="e">
        <f>ROUND(P1709,2)*Q1709</f>
        <v>#DIV/0!</v>
      </c>
      <c r="T1709" s="66" t="e">
        <f>Q1709*dagenperjaar1</f>
        <v>#DIV/0!</v>
      </c>
      <c r="U1709" s="70" t="e">
        <f>T1709*ROUND(P1709,2)</f>
        <v>#DIV/0!</v>
      </c>
    </row>
    <row r="1710" spans="1:21" x14ac:dyDescent="0.2">
      <c r="A1710" s="63" t="s">
        <v>2059</v>
      </c>
      <c r="B1710" s="64" t="s">
        <v>324</v>
      </c>
      <c r="C1710" s="64" t="s">
        <v>472</v>
      </c>
      <c r="D1710" s="64" t="s">
        <v>2088</v>
      </c>
      <c r="E1710" s="64" t="s">
        <v>324</v>
      </c>
      <c r="F1710" s="65" t="s">
        <v>335</v>
      </c>
      <c r="G1710" s="64" t="s">
        <v>328</v>
      </c>
      <c r="H1710" s="64" t="s">
        <v>267</v>
      </c>
      <c r="I1710" s="64" t="s">
        <v>10</v>
      </c>
      <c r="J1710" s="64" t="s">
        <v>201</v>
      </c>
      <c r="K1710" s="66">
        <v>54.4</v>
      </c>
      <c r="L1710" s="66">
        <f>K1710*VLOOKUP(I1710,dagsoorttabel1,2,FALSE)</f>
        <v>54.4</v>
      </c>
      <c r="M1710" s="67">
        <f>prodnorm65</f>
        <v>0</v>
      </c>
      <c r="N1710" s="68">
        <f>dagwerk65</f>
        <v>0</v>
      </c>
      <c r="O1710" s="64" t="s">
        <v>38</v>
      </c>
      <c r="P1710" s="69">
        <f>uurtarief65</f>
        <v>0</v>
      </c>
      <c r="Q1710" s="66" t="e">
        <f>IF(ISBLANK(M1710),0,L1710/ROUND(M1710,4))</f>
        <v>#DIV/0!</v>
      </c>
      <c r="R1710" s="66" t="e">
        <f>IF(ISBLANK(M1710),0,Q1710*ROUND(N1710,2))</f>
        <v>#DIV/0!</v>
      </c>
      <c r="S1710" s="69" t="e">
        <f>ROUND(P1710,2)*Q1710</f>
        <v>#DIV/0!</v>
      </c>
      <c r="T1710" s="66" t="e">
        <f>Q1710*dagenperjaar1</f>
        <v>#DIV/0!</v>
      </c>
      <c r="U1710" s="70" t="e">
        <f>T1710*ROUND(P1710,2)</f>
        <v>#DIV/0!</v>
      </c>
    </row>
    <row r="1711" spans="1:21" x14ac:dyDescent="0.2">
      <c r="A1711" s="63" t="s">
        <v>2059</v>
      </c>
      <c r="B1711" s="64" t="s">
        <v>324</v>
      </c>
      <c r="C1711" s="64" t="s">
        <v>472</v>
      </c>
      <c r="D1711" s="64" t="s">
        <v>2089</v>
      </c>
      <c r="E1711" s="64" t="s">
        <v>324</v>
      </c>
      <c r="F1711" s="65" t="s">
        <v>335</v>
      </c>
      <c r="G1711" s="64" t="s">
        <v>328</v>
      </c>
      <c r="H1711" s="64" t="s">
        <v>267</v>
      </c>
      <c r="I1711" s="64" t="s">
        <v>10</v>
      </c>
      <c r="J1711" s="64" t="s">
        <v>201</v>
      </c>
      <c r="K1711" s="66">
        <v>47.7</v>
      </c>
      <c r="L1711" s="66">
        <f>K1711*VLOOKUP(I1711,dagsoorttabel1,2,FALSE)</f>
        <v>47.7</v>
      </c>
      <c r="M1711" s="67">
        <f>prodnorm65</f>
        <v>0</v>
      </c>
      <c r="N1711" s="68">
        <f>dagwerk65</f>
        <v>0</v>
      </c>
      <c r="O1711" s="64" t="s">
        <v>38</v>
      </c>
      <c r="P1711" s="69">
        <f>uurtarief65</f>
        <v>0</v>
      </c>
      <c r="Q1711" s="66" t="e">
        <f>IF(ISBLANK(M1711),0,L1711/ROUND(M1711,4))</f>
        <v>#DIV/0!</v>
      </c>
      <c r="R1711" s="66" t="e">
        <f>IF(ISBLANK(M1711),0,Q1711*ROUND(N1711,2))</f>
        <v>#DIV/0!</v>
      </c>
      <c r="S1711" s="69" t="e">
        <f>ROUND(P1711,2)*Q1711</f>
        <v>#DIV/0!</v>
      </c>
      <c r="T1711" s="66" t="e">
        <f>Q1711*dagenperjaar1</f>
        <v>#DIV/0!</v>
      </c>
      <c r="U1711" s="70" t="e">
        <f>T1711*ROUND(P1711,2)</f>
        <v>#DIV/0!</v>
      </c>
    </row>
    <row r="1712" spans="1:21" x14ac:dyDescent="0.2">
      <c r="A1712" s="63" t="s">
        <v>2059</v>
      </c>
      <c r="B1712" s="64" t="s">
        <v>324</v>
      </c>
      <c r="C1712" s="64" t="s">
        <v>472</v>
      </c>
      <c r="D1712" s="64" t="s">
        <v>2090</v>
      </c>
      <c r="E1712" s="64" t="s">
        <v>324</v>
      </c>
      <c r="F1712" s="65" t="s">
        <v>335</v>
      </c>
      <c r="G1712" s="64" t="s">
        <v>328</v>
      </c>
      <c r="H1712" s="64" t="s">
        <v>267</v>
      </c>
      <c r="I1712" s="64" t="s">
        <v>10</v>
      </c>
      <c r="J1712" s="64" t="s">
        <v>201</v>
      </c>
      <c r="K1712" s="66">
        <v>34.1</v>
      </c>
      <c r="L1712" s="66">
        <f>K1712*VLOOKUP(I1712,dagsoorttabel1,2,FALSE)</f>
        <v>34.1</v>
      </c>
      <c r="M1712" s="67">
        <f>prodnorm65</f>
        <v>0</v>
      </c>
      <c r="N1712" s="68">
        <f>dagwerk65</f>
        <v>0</v>
      </c>
      <c r="O1712" s="64" t="s">
        <v>38</v>
      </c>
      <c r="P1712" s="69">
        <f>uurtarief65</f>
        <v>0</v>
      </c>
      <c r="Q1712" s="66" t="e">
        <f>IF(ISBLANK(M1712),0,L1712/ROUND(M1712,4))</f>
        <v>#DIV/0!</v>
      </c>
      <c r="R1712" s="66" t="e">
        <f>IF(ISBLANK(M1712),0,Q1712*ROUND(N1712,2))</f>
        <v>#DIV/0!</v>
      </c>
      <c r="S1712" s="69" t="e">
        <f>ROUND(P1712,2)*Q1712</f>
        <v>#DIV/0!</v>
      </c>
      <c r="T1712" s="66" t="e">
        <f>Q1712*dagenperjaar1</f>
        <v>#DIV/0!</v>
      </c>
      <c r="U1712" s="70" t="e">
        <f>T1712*ROUND(P1712,2)</f>
        <v>#DIV/0!</v>
      </c>
    </row>
    <row r="1713" spans="1:21" x14ac:dyDescent="0.2">
      <c r="A1713" s="63" t="s">
        <v>2059</v>
      </c>
      <c r="B1713" s="64" t="s">
        <v>324</v>
      </c>
      <c r="C1713" s="64" t="s">
        <v>472</v>
      </c>
      <c r="D1713" s="64" t="s">
        <v>2091</v>
      </c>
      <c r="E1713" s="64" t="s">
        <v>324</v>
      </c>
      <c r="F1713" s="65" t="s">
        <v>2073</v>
      </c>
      <c r="G1713" s="64" t="s">
        <v>328</v>
      </c>
      <c r="H1713" s="64" t="s">
        <v>267</v>
      </c>
      <c r="I1713" s="64" t="s">
        <v>10</v>
      </c>
      <c r="J1713" s="64" t="s">
        <v>201</v>
      </c>
      <c r="K1713" s="66">
        <v>7.8</v>
      </c>
      <c r="L1713" s="66">
        <f>K1713*VLOOKUP(I1713,dagsoorttabel1,2,FALSE)</f>
        <v>7.8</v>
      </c>
      <c r="M1713" s="67">
        <f>prodnorm65</f>
        <v>0</v>
      </c>
      <c r="N1713" s="68">
        <f>dagwerk65</f>
        <v>0</v>
      </c>
      <c r="O1713" s="64" t="s">
        <v>38</v>
      </c>
      <c r="P1713" s="69">
        <f>uurtarief65</f>
        <v>0</v>
      </c>
      <c r="Q1713" s="66" t="e">
        <f>IF(ISBLANK(M1713),0,L1713/ROUND(M1713,4))</f>
        <v>#DIV/0!</v>
      </c>
      <c r="R1713" s="66" t="e">
        <f>IF(ISBLANK(M1713),0,Q1713*ROUND(N1713,2))</f>
        <v>#DIV/0!</v>
      </c>
      <c r="S1713" s="69" t="e">
        <f>ROUND(P1713,2)*Q1713</f>
        <v>#DIV/0!</v>
      </c>
      <c r="T1713" s="66" t="e">
        <f>Q1713*dagenperjaar1</f>
        <v>#DIV/0!</v>
      </c>
      <c r="U1713" s="70" t="e">
        <f>T1713*ROUND(P1713,2)</f>
        <v>#DIV/0!</v>
      </c>
    </row>
    <row r="1714" spans="1:21" x14ac:dyDescent="0.2">
      <c r="A1714" s="63" t="s">
        <v>2059</v>
      </c>
      <c r="B1714" s="64" t="s">
        <v>324</v>
      </c>
      <c r="C1714" s="64" t="s">
        <v>472</v>
      </c>
      <c r="D1714" s="64" t="s">
        <v>2092</v>
      </c>
      <c r="E1714" s="64" t="s">
        <v>324</v>
      </c>
      <c r="F1714" s="65" t="s">
        <v>335</v>
      </c>
      <c r="G1714" s="64" t="s">
        <v>328</v>
      </c>
      <c r="H1714" s="64" t="s">
        <v>267</v>
      </c>
      <c r="I1714" s="64" t="s">
        <v>10</v>
      </c>
      <c r="J1714" s="64" t="s">
        <v>201</v>
      </c>
      <c r="K1714" s="66">
        <v>36.5</v>
      </c>
      <c r="L1714" s="66">
        <f>K1714*VLOOKUP(I1714,dagsoorttabel1,2,FALSE)</f>
        <v>36.5</v>
      </c>
      <c r="M1714" s="67">
        <f>prodnorm65</f>
        <v>0</v>
      </c>
      <c r="N1714" s="68">
        <f>dagwerk65</f>
        <v>0</v>
      </c>
      <c r="O1714" s="64" t="s">
        <v>38</v>
      </c>
      <c r="P1714" s="69">
        <f>uurtarief65</f>
        <v>0</v>
      </c>
      <c r="Q1714" s="66" t="e">
        <f>IF(ISBLANK(M1714),0,L1714/ROUND(M1714,4))</f>
        <v>#DIV/0!</v>
      </c>
      <c r="R1714" s="66" t="e">
        <f>IF(ISBLANK(M1714),0,Q1714*ROUND(N1714,2))</f>
        <v>#DIV/0!</v>
      </c>
      <c r="S1714" s="69" t="e">
        <f>ROUND(P1714,2)*Q1714</f>
        <v>#DIV/0!</v>
      </c>
      <c r="T1714" s="66" t="e">
        <f>Q1714*dagenperjaar1</f>
        <v>#DIV/0!</v>
      </c>
      <c r="U1714" s="70" t="e">
        <f>T1714*ROUND(P1714,2)</f>
        <v>#DIV/0!</v>
      </c>
    </row>
    <row r="1715" spans="1:21" x14ac:dyDescent="0.2">
      <c r="A1715" s="63" t="s">
        <v>2059</v>
      </c>
      <c r="B1715" s="64" t="s">
        <v>324</v>
      </c>
      <c r="C1715" s="64" t="s">
        <v>472</v>
      </c>
      <c r="D1715" s="64" t="s">
        <v>2093</v>
      </c>
      <c r="E1715" s="64" t="s">
        <v>324</v>
      </c>
      <c r="F1715" s="65" t="s">
        <v>335</v>
      </c>
      <c r="G1715" s="64" t="s">
        <v>328</v>
      </c>
      <c r="H1715" s="64" t="s">
        <v>267</v>
      </c>
      <c r="I1715" s="64" t="s">
        <v>10</v>
      </c>
      <c r="J1715" s="64" t="s">
        <v>201</v>
      </c>
      <c r="K1715" s="66">
        <v>15</v>
      </c>
      <c r="L1715" s="66">
        <f>K1715*VLOOKUP(I1715,dagsoorttabel1,2,FALSE)</f>
        <v>15</v>
      </c>
      <c r="M1715" s="67">
        <f>prodnorm65</f>
        <v>0</v>
      </c>
      <c r="N1715" s="68">
        <f>dagwerk65</f>
        <v>0</v>
      </c>
      <c r="O1715" s="64" t="s">
        <v>38</v>
      </c>
      <c r="P1715" s="69">
        <f>uurtarief65</f>
        <v>0</v>
      </c>
      <c r="Q1715" s="66" t="e">
        <f>IF(ISBLANK(M1715),0,L1715/ROUND(M1715,4))</f>
        <v>#DIV/0!</v>
      </c>
      <c r="R1715" s="66" t="e">
        <f>IF(ISBLANK(M1715),0,Q1715*ROUND(N1715,2))</f>
        <v>#DIV/0!</v>
      </c>
      <c r="S1715" s="69" t="e">
        <f>ROUND(P1715,2)*Q1715</f>
        <v>#DIV/0!</v>
      </c>
      <c r="T1715" s="66" t="e">
        <f>Q1715*dagenperjaar1</f>
        <v>#DIV/0!</v>
      </c>
      <c r="U1715" s="70" t="e">
        <f>T1715*ROUND(P1715,2)</f>
        <v>#DIV/0!</v>
      </c>
    </row>
    <row r="1716" spans="1:21" x14ac:dyDescent="0.2">
      <c r="A1716" s="63" t="s">
        <v>2059</v>
      </c>
      <c r="B1716" s="64" t="s">
        <v>324</v>
      </c>
      <c r="C1716" s="64" t="s">
        <v>472</v>
      </c>
      <c r="D1716" s="64" t="s">
        <v>2094</v>
      </c>
      <c r="E1716" s="64" t="s">
        <v>324</v>
      </c>
      <c r="F1716" s="65" t="s">
        <v>335</v>
      </c>
      <c r="G1716" s="64" t="s">
        <v>328</v>
      </c>
      <c r="H1716" s="64" t="s">
        <v>267</v>
      </c>
      <c r="I1716" s="64" t="s">
        <v>10</v>
      </c>
      <c r="J1716" s="64" t="s">
        <v>201</v>
      </c>
      <c r="K1716" s="66">
        <v>3.2</v>
      </c>
      <c r="L1716" s="66">
        <f>K1716*VLOOKUP(I1716,dagsoorttabel1,2,FALSE)</f>
        <v>3.2</v>
      </c>
      <c r="M1716" s="67">
        <f>prodnorm65</f>
        <v>0</v>
      </c>
      <c r="N1716" s="68">
        <f>dagwerk65</f>
        <v>0</v>
      </c>
      <c r="O1716" s="64" t="s">
        <v>38</v>
      </c>
      <c r="P1716" s="69">
        <f>uurtarief65</f>
        <v>0</v>
      </c>
      <c r="Q1716" s="66" t="e">
        <f>IF(ISBLANK(M1716),0,L1716/ROUND(M1716,4))</f>
        <v>#DIV/0!</v>
      </c>
      <c r="R1716" s="66" t="e">
        <f>IF(ISBLANK(M1716),0,Q1716*ROUND(N1716,2))</f>
        <v>#DIV/0!</v>
      </c>
      <c r="S1716" s="69" t="e">
        <f>ROUND(P1716,2)*Q1716</f>
        <v>#DIV/0!</v>
      </c>
      <c r="T1716" s="66" t="e">
        <f>Q1716*dagenperjaar1</f>
        <v>#DIV/0!</v>
      </c>
      <c r="U1716" s="70" t="e">
        <f>T1716*ROUND(P1716,2)</f>
        <v>#DIV/0!</v>
      </c>
    </row>
    <row r="1717" spans="1:21" x14ac:dyDescent="0.2">
      <c r="A1717" s="63" t="s">
        <v>2059</v>
      </c>
      <c r="B1717" s="64" t="s">
        <v>324</v>
      </c>
      <c r="C1717" s="64" t="s">
        <v>472</v>
      </c>
      <c r="D1717" s="64" t="s">
        <v>2095</v>
      </c>
      <c r="E1717" s="64" t="s">
        <v>324</v>
      </c>
      <c r="F1717" s="65" t="s">
        <v>335</v>
      </c>
      <c r="G1717" s="64" t="s">
        <v>328</v>
      </c>
      <c r="H1717" s="64" t="s">
        <v>267</v>
      </c>
      <c r="I1717" s="64" t="s">
        <v>10</v>
      </c>
      <c r="J1717" s="64" t="s">
        <v>201</v>
      </c>
      <c r="K1717" s="66">
        <v>55.7</v>
      </c>
      <c r="L1717" s="66">
        <f>K1717*VLOOKUP(I1717,dagsoorttabel1,2,FALSE)</f>
        <v>55.7</v>
      </c>
      <c r="M1717" s="67">
        <f>prodnorm65</f>
        <v>0</v>
      </c>
      <c r="N1717" s="68">
        <f>dagwerk65</f>
        <v>0</v>
      </c>
      <c r="O1717" s="64" t="s">
        <v>38</v>
      </c>
      <c r="P1717" s="69">
        <f>uurtarief65</f>
        <v>0</v>
      </c>
      <c r="Q1717" s="66" t="e">
        <f>IF(ISBLANK(M1717),0,L1717/ROUND(M1717,4))</f>
        <v>#DIV/0!</v>
      </c>
      <c r="R1717" s="66" t="e">
        <f>IF(ISBLANK(M1717),0,Q1717*ROUND(N1717,2))</f>
        <v>#DIV/0!</v>
      </c>
      <c r="S1717" s="69" t="e">
        <f>ROUND(P1717,2)*Q1717</f>
        <v>#DIV/0!</v>
      </c>
      <c r="T1717" s="66" t="e">
        <f>Q1717*dagenperjaar1</f>
        <v>#DIV/0!</v>
      </c>
      <c r="U1717" s="70" t="e">
        <f>T1717*ROUND(P1717,2)</f>
        <v>#DIV/0!</v>
      </c>
    </row>
    <row r="1718" spans="1:21" x14ac:dyDescent="0.2">
      <c r="A1718" s="63" t="s">
        <v>2059</v>
      </c>
      <c r="B1718" s="64" t="s">
        <v>324</v>
      </c>
      <c r="C1718" s="64" t="s">
        <v>472</v>
      </c>
      <c r="D1718" s="64" t="s">
        <v>2096</v>
      </c>
      <c r="E1718" s="64" t="s">
        <v>324</v>
      </c>
      <c r="F1718" s="65" t="s">
        <v>335</v>
      </c>
      <c r="G1718" s="64" t="s">
        <v>328</v>
      </c>
      <c r="H1718" s="64" t="s">
        <v>267</v>
      </c>
      <c r="I1718" s="64" t="s">
        <v>10</v>
      </c>
      <c r="J1718" s="64" t="s">
        <v>201</v>
      </c>
      <c r="K1718" s="66">
        <v>24.2</v>
      </c>
      <c r="L1718" s="66">
        <f>K1718*VLOOKUP(I1718,dagsoorttabel1,2,FALSE)</f>
        <v>24.2</v>
      </c>
      <c r="M1718" s="67">
        <f>prodnorm65</f>
        <v>0</v>
      </c>
      <c r="N1718" s="68">
        <f>dagwerk65</f>
        <v>0</v>
      </c>
      <c r="O1718" s="64" t="s">
        <v>38</v>
      </c>
      <c r="P1718" s="69">
        <f>uurtarief65</f>
        <v>0</v>
      </c>
      <c r="Q1718" s="66" t="e">
        <f>IF(ISBLANK(M1718),0,L1718/ROUND(M1718,4))</f>
        <v>#DIV/0!</v>
      </c>
      <c r="R1718" s="66" t="e">
        <f>IF(ISBLANK(M1718),0,Q1718*ROUND(N1718,2))</f>
        <v>#DIV/0!</v>
      </c>
      <c r="S1718" s="69" t="e">
        <f>ROUND(P1718,2)*Q1718</f>
        <v>#DIV/0!</v>
      </c>
      <c r="T1718" s="66" t="e">
        <f>Q1718*dagenperjaar1</f>
        <v>#DIV/0!</v>
      </c>
      <c r="U1718" s="70" t="e">
        <f>T1718*ROUND(P1718,2)</f>
        <v>#DIV/0!</v>
      </c>
    </row>
    <row r="1719" spans="1:21" x14ac:dyDescent="0.2">
      <c r="A1719" s="71" t="s">
        <v>2059</v>
      </c>
      <c r="B1719" s="72" t="s">
        <v>324</v>
      </c>
      <c r="C1719" s="72" t="s">
        <v>472</v>
      </c>
      <c r="D1719" s="72" t="s">
        <v>2097</v>
      </c>
      <c r="E1719" s="72" t="s">
        <v>324</v>
      </c>
      <c r="F1719" s="73" t="s">
        <v>335</v>
      </c>
      <c r="G1719" s="72" t="s">
        <v>328</v>
      </c>
      <c r="H1719" s="72" t="s">
        <v>267</v>
      </c>
      <c r="I1719" s="72" t="s">
        <v>10</v>
      </c>
      <c r="J1719" s="72" t="s">
        <v>201</v>
      </c>
      <c r="K1719" s="74">
        <v>7.8</v>
      </c>
      <c r="L1719" s="74">
        <f>K1719*VLOOKUP(I1719,dagsoorttabel1,2,FALSE)</f>
        <v>7.8</v>
      </c>
      <c r="M1719" s="75">
        <f>prodnorm65</f>
        <v>0</v>
      </c>
      <c r="N1719" s="76">
        <f>dagwerk65</f>
        <v>0</v>
      </c>
      <c r="O1719" s="72" t="s">
        <v>38</v>
      </c>
      <c r="P1719" s="77">
        <f>uurtarief65</f>
        <v>0</v>
      </c>
      <c r="Q1719" s="74" t="e">
        <f>IF(ISBLANK(M1719),0,L1719/ROUND(M1719,4))</f>
        <v>#DIV/0!</v>
      </c>
      <c r="R1719" s="74" t="e">
        <f>IF(ISBLANK(M1719),0,Q1719*ROUND(N1719,2))</f>
        <v>#DIV/0!</v>
      </c>
      <c r="S1719" s="77" t="e">
        <f>ROUND(P1719,2)*Q1719</f>
        <v>#DIV/0!</v>
      </c>
      <c r="T1719" s="74" t="e">
        <f>Q1719*dagenperjaar1</f>
        <v>#DIV/0!</v>
      </c>
      <c r="U1719" s="78" t="e">
        <f>T1719*ROUND(P1719,2)</f>
        <v>#DIV/0!</v>
      </c>
    </row>
    <row r="1720" spans="1:21" x14ac:dyDescent="0.2">
      <c r="A1720" s="79" t="s">
        <v>602</v>
      </c>
      <c r="B1720" s="44"/>
      <c r="C1720" s="44"/>
      <c r="D1720" s="44"/>
      <c r="E1720" s="44"/>
      <c r="F1720" s="44"/>
      <c r="G1720" s="44"/>
      <c r="H1720" s="44"/>
      <c r="I1720" s="44"/>
      <c r="J1720" s="44"/>
      <c r="K1720" s="44"/>
      <c r="L1720" s="44"/>
      <c r="M1720" s="44"/>
      <c r="N1720" s="44"/>
      <c r="O1720" s="44"/>
      <c r="P1720" s="46" t="e">
        <f>IF(_xlfn.SINGLE(object15_urenjaar1)&gt;0,_xlfn.SINGLE(object15_prijsjaar1)/_xlfn.SINGLE(object15_urenjaar1),0)</f>
        <v>#DIV/0!</v>
      </c>
      <c r="Q1720" s="45" t="e">
        <f>SUM(Q1622:Q1719)</f>
        <v>#DIV/0!</v>
      </c>
      <c r="R1720" s="45" t="e">
        <f>SUM(R1622:R1719)</f>
        <v>#DIV/0!</v>
      </c>
      <c r="S1720" s="46" t="e">
        <f>SUM(S1622:S1719)</f>
        <v>#DIV/0!</v>
      </c>
      <c r="T1720" s="45" t="e">
        <f>SUM(T1622:T1719)</f>
        <v>#DIV/0!</v>
      </c>
      <c r="U1720" s="47" t="e">
        <f>SUM(U1622:U1719)</f>
        <v>#DIV/0!</v>
      </c>
    </row>
    <row r="1721" spans="1:21" x14ac:dyDescent="0.2">
      <c r="A1721" s="54" t="s">
        <v>2098</v>
      </c>
      <c r="B1721" s="13"/>
      <c r="C1721" s="13"/>
      <c r="D1721" s="13"/>
      <c r="E1721" s="13"/>
      <c r="F1721" s="13"/>
      <c r="G1721" s="13"/>
      <c r="H1721" s="13"/>
      <c r="I1721" s="13"/>
      <c r="J1721" s="13"/>
      <c r="K1721" s="13"/>
      <c r="L1721" s="13"/>
      <c r="M1721" s="13"/>
      <c r="N1721" s="13"/>
      <c r="O1721" s="13"/>
      <c r="P1721" s="13"/>
      <c r="Q1721" s="13"/>
      <c r="R1721" s="13"/>
      <c r="S1721" s="13"/>
      <c r="T1721" s="13"/>
      <c r="U1721" s="42"/>
    </row>
    <row r="1722" spans="1:21" x14ac:dyDescent="0.2">
      <c r="A1722" s="55" t="s">
        <v>2099</v>
      </c>
      <c r="B1722" s="56" t="s">
        <v>324</v>
      </c>
      <c r="C1722" s="56" t="s">
        <v>345</v>
      </c>
      <c r="D1722" s="56" t="s">
        <v>2100</v>
      </c>
      <c r="E1722" s="56" t="s">
        <v>2101</v>
      </c>
      <c r="F1722" s="57" t="s">
        <v>2102</v>
      </c>
      <c r="G1722" s="56" t="s">
        <v>328</v>
      </c>
      <c r="H1722" s="56" t="s">
        <v>273</v>
      </c>
      <c r="I1722" s="56" t="s">
        <v>16</v>
      </c>
      <c r="J1722" s="56" t="s">
        <v>274</v>
      </c>
      <c r="K1722" s="58">
        <v>60.44</v>
      </c>
      <c r="L1722" s="58">
        <f>K1722*VLOOKUP(I1722,dagsoorttabel1,2,FALSE)</f>
        <v>12.088000000000001</v>
      </c>
      <c r="M1722" s="59">
        <f>prodnorm12</f>
        <v>0</v>
      </c>
      <c r="N1722" s="60">
        <f>dagwerk12</f>
        <v>0</v>
      </c>
      <c r="O1722" s="56" t="s">
        <v>38</v>
      </c>
      <c r="P1722" s="61">
        <f>uurtarief12</f>
        <v>0</v>
      </c>
      <c r="Q1722" s="58" t="e">
        <f>IF(ISBLANK(M1722),0,L1722/ROUND(M1722,4))</f>
        <v>#DIV/0!</v>
      </c>
      <c r="R1722" s="58" t="e">
        <f>IF(ISBLANK(M1722),0,Q1722*ROUND(N1722,2))</f>
        <v>#DIV/0!</v>
      </c>
      <c r="S1722" s="61" t="e">
        <f>ROUND(P1722,2)*Q1722</f>
        <v>#DIV/0!</v>
      </c>
      <c r="T1722" s="58" t="e">
        <f>Q1722*dagenperjaar1</f>
        <v>#DIV/0!</v>
      </c>
      <c r="U1722" s="62" t="e">
        <f>T1722*ROUND(P1722,2)</f>
        <v>#DIV/0!</v>
      </c>
    </row>
    <row r="1723" spans="1:21" x14ac:dyDescent="0.2">
      <c r="A1723" s="63" t="s">
        <v>2099</v>
      </c>
      <c r="B1723" s="64" t="s">
        <v>324</v>
      </c>
      <c r="C1723" s="64" t="s">
        <v>345</v>
      </c>
      <c r="D1723" s="64" t="s">
        <v>2100</v>
      </c>
      <c r="E1723" s="64" t="s">
        <v>2101</v>
      </c>
      <c r="F1723" s="65" t="s">
        <v>2102</v>
      </c>
      <c r="G1723" s="64" t="s">
        <v>328</v>
      </c>
      <c r="H1723" s="64" t="s">
        <v>229</v>
      </c>
      <c r="I1723" s="64" t="s">
        <v>10</v>
      </c>
      <c r="J1723" s="64" t="s">
        <v>201</v>
      </c>
      <c r="K1723" s="66">
        <v>60.44</v>
      </c>
      <c r="L1723" s="66">
        <f>K1723*VLOOKUP(I1723,dagsoorttabel1,2,FALSE)</f>
        <v>60.44</v>
      </c>
      <c r="M1723" s="67">
        <f>prodnorm43</f>
        <v>0</v>
      </c>
      <c r="N1723" s="68">
        <f>dagwerk43</f>
        <v>0</v>
      </c>
      <c r="O1723" s="64" t="s">
        <v>38</v>
      </c>
      <c r="P1723" s="69">
        <f>uurtarief43</f>
        <v>0</v>
      </c>
      <c r="Q1723" s="66" t="e">
        <f>IF(ISBLANK(M1723),0,L1723/ROUND(M1723,4))</f>
        <v>#DIV/0!</v>
      </c>
      <c r="R1723" s="66" t="e">
        <f>IF(ISBLANK(M1723),0,Q1723*ROUND(N1723,2))</f>
        <v>#DIV/0!</v>
      </c>
      <c r="S1723" s="69" t="e">
        <f>ROUND(P1723,2)*Q1723</f>
        <v>#DIV/0!</v>
      </c>
      <c r="T1723" s="66" t="e">
        <f>Q1723*dagenperjaar1</f>
        <v>#DIV/0!</v>
      </c>
      <c r="U1723" s="70" t="e">
        <f>T1723*ROUND(P1723,2)</f>
        <v>#DIV/0!</v>
      </c>
    </row>
    <row r="1724" spans="1:21" x14ac:dyDescent="0.2">
      <c r="A1724" s="63" t="s">
        <v>2099</v>
      </c>
      <c r="B1724" s="64" t="s">
        <v>324</v>
      </c>
      <c r="C1724" s="64" t="s">
        <v>345</v>
      </c>
      <c r="D1724" s="64" t="s">
        <v>2103</v>
      </c>
      <c r="E1724" s="64" t="s">
        <v>2104</v>
      </c>
      <c r="F1724" s="65" t="s">
        <v>2105</v>
      </c>
      <c r="G1724" s="64" t="s">
        <v>328</v>
      </c>
      <c r="H1724" s="64" t="s">
        <v>205</v>
      </c>
      <c r="I1724" s="64" t="s">
        <v>10</v>
      </c>
      <c r="J1724" s="64" t="s">
        <v>201</v>
      </c>
      <c r="K1724" s="66">
        <v>16.670000000000002</v>
      </c>
      <c r="L1724" s="66">
        <f>K1724*VLOOKUP(I1724,dagsoorttabel1,2,FALSE)</f>
        <v>16.670000000000002</v>
      </c>
      <c r="M1724" s="67">
        <f>prodnorm26</f>
        <v>0</v>
      </c>
      <c r="N1724" s="68">
        <f>dagwerk26</f>
        <v>0</v>
      </c>
      <c r="O1724" s="64" t="s">
        <v>38</v>
      </c>
      <c r="P1724" s="69">
        <f>uurtarief26</f>
        <v>0</v>
      </c>
      <c r="Q1724" s="66" t="e">
        <f>IF(ISBLANK(M1724),0,L1724/ROUND(M1724,4))</f>
        <v>#DIV/0!</v>
      </c>
      <c r="R1724" s="66" t="e">
        <f>IF(ISBLANK(M1724),0,Q1724*ROUND(N1724,2))</f>
        <v>#DIV/0!</v>
      </c>
      <c r="S1724" s="69" t="e">
        <f>ROUND(P1724,2)*Q1724</f>
        <v>#DIV/0!</v>
      </c>
      <c r="T1724" s="66" t="e">
        <f>Q1724*dagenperjaar1</f>
        <v>#DIV/0!</v>
      </c>
      <c r="U1724" s="70" t="e">
        <f>T1724*ROUND(P1724,2)</f>
        <v>#DIV/0!</v>
      </c>
    </row>
    <row r="1725" spans="1:21" x14ac:dyDescent="0.2">
      <c r="A1725" s="63" t="s">
        <v>2099</v>
      </c>
      <c r="B1725" s="64" t="s">
        <v>324</v>
      </c>
      <c r="C1725" s="64" t="s">
        <v>345</v>
      </c>
      <c r="D1725" s="64" t="s">
        <v>2106</v>
      </c>
      <c r="E1725" s="64" t="s">
        <v>2107</v>
      </c>
      <c r="F1725" s="65" t="s">
        <v>2108</v>
      </c>
      <c r="G1725" s="64" t="s">
        <v>328</v>
      </c>
      <c r="H1725" s="64" t="s">
        <v>273</v>
      </c>
      <c r="I1725" s="64" t="s">
        <v>16</v>
      </c>
      <c r="J1725" s="64" t="s">
        <v>274</v>
      </c>
      <c r="K1725" s="66">
        <v>58.42</v>
      </c>
      <c r="L1725" s="66">
        <f>K1725*VLOOKUP(I1725,dagsoorttabel1,2,FALSE)</f>
        <v>11.684000000000001</v>
      </c>
      <c r="M1725" s="67">
        <f>prodnorm12</f>
        <v>0</v>
      </c>
      <c r="N1725" s="68">
        <f>dagwerk12</f>
        <v>0</v>
      </c>
      <c r="O1725" s="64" t="s">
        <v>38</v>
      </c>
      <c r="P1725" s="69">
        <f>uurtarief12</f>
        <v>0</v>
      </c>
      <c r="Q1725" s="66" t="e">
        <f>IF(ISBLANK(M1725),0,L1725/ROUND(M1725,4))</f>
        <v>#DIV/0!</v>
      </c>
      <c r="R1725" s="66" t="e">
        <f>IF(ISBLANK(M1725),0,Q1725*ROUND(N1725,2))</f>
        <v>#DIV/0!</v>
      </c>
      <c r="S1725" s="69" t="e">
        <f>ROUND(P1725,2)*Q1725</f>
        <v>#DIV/0!</v>
      </c>
      <c r="T1725" s="66" t="e">
        <f>Q1725*dagenperjaar1</f>
        <v>#DIV/0!</v>
      </c>
      <c r="U1725" s="70" t="e">
        <f>T1725*ROUND(P1725,2)</f>
        <v>#DIV/0!</v>
      </c>
    </row>
    <row r="1726" spans="1:21" x14ac:dyDescent="0.2">
      <c r="A1726" s="63" t="s">
        <v>2099</v>
      </c>
      <c r="B1726" s="64" t="s">
        <v>324</v>
      </c>
      <c r="C1726" s="64" t="s">
        <v>345</v>
      </c>
      <c r="D1726" s="64" t="s">
        <v>2106</v>
      </c>
      <c r="E1726" s="64" t="s">
        <v>2107</v>
      </c>
      <c r="F1726" s="65" t="s">
        <v>2108</v>
      </c>
      <c r="G1726" s="64" t="s">
        <v>328</v>
      </c>
      <c r="H1726" s="64" t="s">
        <v>229</v>
      </c>
      <c r="I1726" s="64" t="s">
        <v>10</v>
      </c>
      <c r="J1726" s="64" t="s">
        <v>201</v>
      </c>
      <c r="K1726" s="66">
        <v>58.42</v>
      </c>
      <c r="L1726" s="66">
        <f>K1726*VLOOKUP(I1726,dagsoorttabel1,2,FALSE)</f>
        <v>58.42</v>
      </c>
      <c r="M1726" s="67">
        <f>prodnorm43</f>
        <v>0</v>
      </c>
      <c r="N1726" s="68">
        <f>dagwerk43</f>
        <v>0</v>
      </c>
      <c r="O1726" s="64" t="s">
        <v>38</v>
      </c>
      <c r="P1726" s="69">
        <f>uurtarief43</f>
        <v>0</v>
      </c>
      <c r="Q1726" s="66" t="e">
        <f>IF(ISBLANK(M1726),0,L1726/ROUND(M1726,4))</f>
        <v>#DIV/0!</v>
      </c>
      <c r="R1726" s="66" t="e">
        <f>IF(ISBLANK(M1726),0,Q1726*ROUND(N1726,2))</f>
        <v>#DIV/0!</v>
      </c>
      <c r="S1726" s="69" t="e">
        <f>ROUND(P1726,2)*Q1726</f>
        <v>#DIV/0!</v>
      </c>
      <c r="T1726" s="66" t="e">
        <f>Q1726*dagenperjaar1</f>
        <v>#DIV/0!</v>
      </c>
      <c r="U1726" s="70" t="e">
        <f>T1726*ROUND(P1726,2)</f>
        <v>#DIV/0!</v>
      </c>
    </row>
    <row r="1727" spans="1:21" x14ac:dyDescent="0.2">
      <c r="A1727" s="63" t="s">
        <v>2099</v>
      </c>
      <c r="B1727" s="64" t="s">
        <v>324</v>
      </c>
      <c r="C1727" s="64" t="s">
        <v>345</v>
      </c>
      <c r="D1727" s="64" t="s">
        <v>2109</v>
      </c>
      <c r="E1727" s="64" t="s">
        <v>2110</v>
      </c>
      <c r="F1727" s="65" t="s">
        <v>2111</v>
      </c>
      <c r="G1727" s="64" t="s">
        <v>328</v>
      </c>
      <c r="H1727" s="64" t="s">
        <v>273</v>
      </c>
      <c r="I1727" s="64" t="s">
        <v>16</v>
      </c>
      <c r="J1727" s="64" t="s">
        <v>274</v>
      </c>
      <c r="K1727" s="66">
        <v>60.37</v>
      </c>
      <c r="L1727" s="66">
        <f>K1727*VLOOKUP(I1727,dagsoorttabel1,2,FALSE)</f>
        <v>12.074</v>
      </c>
      <c r="M1727" s="67">
        <f>prodnorm12</f>
        <v>0</v>
      </c>
      <c r="N1727" s="68">
        <f>dagwerk12</f>
        <v>0</v>
      </c>
      <c r="O1727" s="64" t="s">
        <v>38</v>
      </c>
      <c r="P1727" s="69">
        <f>uurtarief12</f>
        <v>0</v>
      </c>
      <c r="Q1727" s="66" t="e">
        <f>IF(ISBLANK(M1727),0,L1727/ROUND(M1727,4))</f>
        <v>#DIV/0!</v>
      </c>
      <c r="R1727" s="66" t="e">
        <f>IF(ISBLANK(M1727),0,Q1727*ROUND(N1727,2))</f>
        <v>#DIV/0!</v>
      </c>
      <c r="S1727" s="69" t="e">
        <f>ROUND(P1727,2)*Q1727</f>
        <v>#DIV/0!</v>
      </c>
      <c r="T1727" s="66" t="e">
        <f>Q1727*dagenperjaar1</f>
        <v>#DIV/0!</v>
      </c>
      <c r="U1727" s="70" t="e">
        <f>T1727*ROUND(P1727,2)</f>
        <v>#DIV/0!</v>
      </c>
    </row>
    <row r="1728" spans="1:21" x14ac:dyDescent="0.2">
      <c r="A1728" s="63" t="s">
        <v>2099</v>
      </c>
      <c r="B1728" s="64" t="s">
        <v>324</v>
      </c>
      <c r="C1728" s="64" t="s">
        <v>345</v>
      </c>
      <c r="D1728" s="64" t="s">
        <v>2109</v>
      </c>
      <c r="E1728" s="64" t="s">
        <v>2110</v>
      </c>
      <c r="F1728" s="65" t="s">
        <v>2111</v>
      </c>
      <c r="G1728" s="64" t="s">
        <v>328</v>
      </c>
      <c r="H1728" s="64" t="s">
        <v>229</v>
      </c>
      <c r="I1728" s="64" t="s">
        <v>10</v>
      </c>
      <c r="J1728" s="64" t="s">
        <v>201</v>
      </c>
      <c r="K1728" s="66">
        <v>60.37</v>
      </c>
      <c r="L1728" s="66">
        <f>K1728*VLOOKUP(I1728,dagsoorttabel1,2,FALSE)</f>
        <v>60.37</v>
      </c>
      <c r="M1728" s="67">
        <f>prodnorm43</f>
        <v>0</v>
      </c>
      <c r="N1728" s="68">
        <f>dagwerk43</f>
        <v>0</v>
      </c>
      <c r="O1728" s="64" t="s">
        <v>38</v>
      </c>
      <c r="P1728" s="69">
        <f>uurtarief43</f>
        <v>0</v>
      </c>
      <c r="Q1728" s="66" t="e">
        <f>IF(ISBLANK(M1728),0,L1728/ROUND(M1728,4))</f>
        <v>#DIV/0!</v>
      </c>
      <c r="R1728" s="66" t="e">
        <f>IF(ISBLANK(M1728),0,Q1728*ROUND(N1728,2))</f>
        <v>#DIV/0!</v>
      </c>
      <c r="S1728" s="69" t="e">
        <f>ROUND(P1728,2)*Q1728</f>
        <v>#DIV/0!</v>
      </c>
      <c r="T1728" s="66" t="e">
        <f>Q1728*dagenperjaar1</f>
        <v>#DIV/0!</v>
      </c>
      <c r="U1728" s="70" t="e">
        <f>T1728*ROUND(P1728,2)</f>
        <v>#DIV/0!</v>
      </c>
    </row>
    <row r="1729" spans="1:21" x14ac:dyDescent="0.2">
      <c r="A1729" s="63" t="s">
        <v>2099</v>
      </c>
      <c r="B1729" s="64" t="s">
        <v>324</v>
      </c>
      <c r="C1729" s="64" t="s">
        <v>345</v>
      </c>
      <c r="D1729" s="64" t="s">
        <v>2112</v>
      </c>
      <c r="E1729" s="64" t="s">
        <v>2113</v>
      </c>
      <c r="F1729" s="65" t="s">
        <v>2114</v>
      </c>
      <c r="G1729" s="64" t="s">
        <v>328</v>
      </c>
      <c r="H1729" s="64" t="s">
        <v>273</v>
      </c>
      <c r="I1729" s="64" t="s">
        <v>16</v>
      </c>
      <c r="J1729" s="64" t="s">
        <v>274</v>
      </c>
      <c r="K1729" s="66">
        <v>59.620000000000005</v>
      </c>
      <c r="L1729" s="66">
        <f>K1729*VLOOKUP(I1729,dagsoorttabel1,2,FALSE)</f>
        <v>11.924000000000001</v>
      </c>
      <c r="M1729" s="67">
        <f>prodnorm12</f>
        <v>0</v>
      </c>
      <c r="N1729" s="68">
        <f>dagwerk12</f>
        <v>0</v>
      </c>
      <c r="O1729" s="64" t="s">
        <v>38</v>
      </c>
      <c r="P1729" s="69">
        <f>uurtarief12</f>
        <v>0</v>
      </c>
      <c r="Q1729" s="66" t="e">
        <f>IF(ISBLANK(M1729),0,L1729/ROUND(M1729,4))</f>
        <v>#DIV/0!</v>
      </c>
      <c r="R1729" s="66" t="e">
        <f>IF(ISBLANK(M1729),0,Q1729*ROUND(N1729,2))</f>
        <v>#DIV/0!</v>
      </c>
      <c r="S1729" s="69" t="e">
        <f>ROUND(P1729,2)*Q1729</f>
        <v>#DIV/0!</v>
      </c>
      <c r="T1729" s="66" t="e">
        <f>Q1729*dagenperjaar1</f>
        <v>#DIV/0!</v>
      </c>
      <c r="U1729" s="70" t="e">
        <f>T1729*ROUND(P1729,2)</f>
        <v>#DIV/0!</v>
      </c>
    </row>
    <row r="1730" spans="1:21" x14ac:dyDescent="0.2">
      <c r="A1730" s="63" t="s">
        <v>2099</v>
      </c>
      <c r="B1730" s="64" t="s">
        <v>324</v>
      </c>
      <c r="C1730" s="64" t="s">
        <v>345</v>
      </c>
      <c r="D1730" s="64" t="s">
        <v>2112</v>
      </c>
      <c r="E1730" s="64" t="s">
        <v>2113</v>
      </c>
      <c r="F1730" s="65" t="s">
        <v>2114</v>
      </c>
      <c r="G1730" s="64" t="s">
        <v>328</v>
      </c>
      <c r="H1730" s="64" t="s">
        <v>229</v>
      </c>
      <c r="I1730" s="64" t="s">
        <v>10</v>
      </c>
      <c r="J1730" s="64" t="s">
        <v>201</v>
      </c>
      <c r="K1730" s="66">
        <v>59.620000000000005</v>
      </c>
      <c r="L1730" s="66">
        <f>K1730*VLOOKUP(I1730,dagsoorttabel1,2,FALSE)</f>
        <v>59.620000000000005</v>
      </c>
      <c r="M1730" s="67">
        <f>prodnorm43</f>
        <v>0</v>
      </c>
      <c r="N1730" s="68">
        <f>dagwerk43</f>
        <v>0</v>
      </c>
      <c r="O1730" s="64" t="s">
        <v>38</v>
      </c>
      <c r="P1730" s="69">
        <f>uurtarief43</f>
        <v>0</v>
      </c>
      <c r="Q1730" s="66" t="e">
        <f>IF(ISBLANK(M1730),0,L1730/ROUND(M1730,4))</f>
        <v>#DIV/0!</v>
      </c>
      <c r="R1730" s="66" t="e">
        <f>IF(ISBLANK(M1730),0,Q1730*ROUND(N1730,2))</f>
        <v>#DIV/0!</v>
      </c>
      <c r="S1730" s="69" t="e">
        <f>ROUND(P1730,2)*Q1730</f>
        <v>#DIV/0!</v>
      </c>
      <c r="T1730" s="66" t="e">
        <f>Q1730*dagenperjaar1</f>
        <v>#DIV/0!</v>
      </c>
      <c r="U1730" s="70" t="e">
        <f>T1730*ROUND(P1730,2)</f>
        <v>#DIV/0!</v>
      </c>
    </row>
    <row r="1731" spans="1:21" x14ac:dyDescent="0.2">
      <c r="A1731" s="63" t="s">
        <v>2099</v>
      </c>
      <c r="B1731" s="64" t="s">
        <v>324</v>
      </c>
      <c r="C1731" s="64" t="s">
        <v>345</v>
      </c>
      <c r="D1731" s="64" t="s">
        <v>2115</v>
      </c>
      <c r="E1731" s="64" t="s">
        <v>2116</v>
      </c>
      <c r="F1731" s="65" t="s">
        <v>2117</v>
      </c>
      <c r="G1731" s="64" t="s">
        <v>328</v>
      </c>
      <c r="H1731" s="64" t="s">
        <v>273</v>
      </c>
      <c r="I1731" s="64" t="s">
        <v>16</v>
      </c>
      <c r="J1731" s="64" t="s">
        <v>274</v>
      </c>
      <c r="K1731" s="66">
        <v>60.46</v>
      </c>
      <c r="L1731" s="66">
        <f>K1731*VLOOKUP(I1731,dagsoorttabel1,2,FALSE)</f>
        <v>12.092000000000001</v>
      </c>
      <c r="M1731" s="67">
        <f>prodnorm12</f>
        <v>0</v>
      </c>
      <c r="N1731" s="68">
        <f>dagwerk12</f>
        <v>0</v>
      </c>
      <c r="O1731" s="64" t="s">
        <v>38</v>
      </c>
      <c r="P1731" s="69">
        <f>uurtarief12</f>
        <v>0</v>
      </c>
      <c r="Q1731" s="66" t="e">
        <f>IF(ISBLANK(M1731),0,L1731/ROUND(M1731,4))</f>
        <v>#DIV/0!</v>
      </c>
      <c r="R1731" s="66" t="e">
        <f>IF(ISBLANK(M1731),0,Q1731*ROUND(N1731,2))</f>
        <v>#DIV/0!</v>
      </c>
      <c r="S1731" s="69" t="e">
        <f>ROUND(P1731,2)*Q1731</f>
        <v>#DIV/0!</v>
      </c>
      <c r="T1731" s="66" t="e">
        <f>Q1731*dagenperjaar1</f>
        <v>#DIV/0!</v>
      </c>
      <c r="U1731" s="70" t="e">
        <f>T1731*ROUND(P1731,2)</f>
        <v>#DIV/0!</v>
      </c>
    </row>
    <row r="1732" spans="1:21" x14ac:dyDescent="0.2">
      <c r="A1732" s="63" t="s">
        <v>2099</v>
      </c>
      <c r="B1732" s="64" t="s">
        <v>324</v>
      </c>
      <c r="C1732" s="64" t="s">
        <v>345</v>
      </c>
      <c r="D1732" s="64" t="s">
        <v>2115</v>
      </c>
      <c r="E1732" s="64" t="s">
        <v>2116</v>
      </c>
      <c r="F1732" s="65" t="s">
        <v>2117</v>
      </c>
      <c r="G1732" s="64" t="s">
        <v>328</v>
      </c>
      <c r="H1732" s="64" t="s">
        <v>229</v>
      </c>
      <c r="I1732" s="64" t="s">
        <v>10</v>
      </c>
      <c r="J1732" s="64" t="s">
        <v>201</v>
      </c>
      <c r="K1732" s="66">
        <v>60.46</v>
      </c>
      <c r="L1732" s="66">
        <f>K1732*VLOOKUP(I1732,dagsoorttabel1,2,FALSE)</f>
        <v>60.46</v>
      </c>
      <c r="M1732" s="67">
        <f>prodnorm43</f>
        <v>0</v>
      </c>
      <c r="N1732" s="68">
        <f>dagwerk43</f>
        <v>0</v>
      </c>
      <c r="O1732" s="64" t="s">
        <v>38</v>
      </c>
      <c r="P1732" s="69">
        <f>uurtarief43</f>
        <v>0</v>
      </c>
      <c r="Q1732" s="66" t="e">
        <f>IF(ISBLANK(M1732),0,L1732/ROUND(M1732,4))</f>
        <v>#DIV/0!</v>
      </c>
      <c r="R1732" s="66" t="e">
        <f>IF(ISBLANK(M1732),0,Q1732*ROUND(N1732,2))</f>
        <v>#DIV/0!</v>
      </c>
      <c r="S1732" s="69" t="e">
        <f>ROUND(P1732,2)*Q1732</f>
        <v>#DIV/0!</v>
      </c>
      <c r="T1732" s="66" t="e">
        <f>Q1732*dagenperjaar1</f>
        <v>#DIV/0!</v>
      </c>
      <c r="U1732" s="70" t="e">
        <f>T1732*ROUND(P1732,2)</f>
        <v>#DIV/0!</v>
      </c>
    </row>
    <row r="1733" spans="1:21" x14ac:dyDescent="0.2">
      <c r="A1733" s="63" t="s">
        <v>2099</v>
      </c>
      <c r="B1733" s="64" t="s">
        <v>324</v>
      </c>
      <c r="C1733" s="64" t="s">
        <v>345</v>
      </c>
      <c r="D1733" s="64" t="s">
        <v>2118</v>
      </c>
      <c r="E1733" s="64" t="s">
        <v>2119</v>
      </c>
      <c r="F1733" s="65" t="s">
        <v>2120</v>
      </c>
      <c r="G1733" s="64" t="s">
        <v>328</v>
      </c>
      <c r="H1733" s="64" t="s">
        <v>273</v>
      </c>
      <c r="I1733" s="64" t="s">
        <v>16</v>
      </c>
      <c r="J1733" s="64" t="s">
        <v>274</v>
      </c>
      <c r="K1733" s="66">
        <v>59.44</v>
      </c>
      <c r="L1733" s="66">
        <f>K1733*VLOOKUP(I1733,dagsoorttabel1,2,FALSE)</f>
        <v>11.888</v>
      </c>
      <c r="M1733" s="67">
        <f>prodnorm12</f>
        <v>0</v>
      </c>
      <c r="N1733" s="68">
        <f>dagwerk12</f>
        <v>0</v>
      </c>
      <c r="O1733" s="64" t="s">
        <v>38</v>
      </c>
      <c r="P1733" s="69">
        <f>uurtarief12</f>
        <v>0</v>
      </c>
      <c r="Q1733" s="66" t="e">
        <f>IF(ISBLANK(M1733),0,L1733/ROUND(M1733,4))</f>
        <v>#DIV/0!</v>
      </c>
      <c r="R1733" s="66" t="e">
        <f>IF(ISBLANK(M1733),0,Q1733*ROUND(N1733,2))</f>
        <v>#DIV/0!</v>
      </c>
      <c r="S1733" s="69" t="e">
        <f>ROUND(P1733,2)*Q1733</f>
        <v>#DIV/0!</v>
      </c>
      <c r="T1733" s="66" t="e">
        <f>Q1733*dagenperjaar1</f>
        <v>#DIV/0!</v>
      </c>
      <c r="U1733" s="70" t="e">
        <f>T1733*ROUND(P1733,2)</f>
        <v>#DIV/0!</v>
      </c>
    </row>
    <row r="1734" spans="1:21" x14ac:dyDescent="0.2">
      <c r="A1734" s="63" t="s">
        <v>2099</v>
      </c>
      <c r="B1734" s="64" t="s">
        <v>324</v>
      </c>
      <c r="C1734" s="64" t="s">
        <v>345</v>
      </c>
      <c r="D1734" s="64" t="s">
        <v>2118</v>
      </c>
      <c r="E1734" s="64" t="s">
        <v>2119</v>
      </c>
      <c r="F1734" s="65" t="s">
        <v>2120</v>
      </c>
      <c r="G1734" s="64" t="s">
        <v>328</v>
      </c>
      <c r="H1734" s="64" t="s">
        <v>229</v>
      </c>
      <c r="I1734" s="64" t="s">
        <v>10</v>
      </c>
      <c r="J1734" s="64" t="s">
        <v>201</v>
      </c>
      <c r="K1734" s="66">
        <v>59.44</v>
      </c>
      <c r="L1734" s="66">
        <f>K1734*VLOOKUP(I1734,dagsoorttabel1,2,FALSE)</f>
        <v>59.44</v>
      </c>
      <c r="M1734" s="67">
        <f>prodnorm43</f>
        <v>0</v>
      </c>
      <c r="N1734" s="68">
        <f>dagwerk43</f>
        <v>0</v>
      </c>
      <c r="O1734" s="64" t="s">
        <v>38</v>
      </c>
      <c r="P1734" s="69">
        <f>uurtarief43</f>
        <v>0</v>
      </c>
      <c r="Q1734" s="66" t="e">
        <f>IF(ISBLANK(M1734),0,L1734/ROUND(M1734,4))</f>
        <v>#DIV/0!</v>
      </c>
      <c r="R1734" s="66" t="e">
        <f>IF(ISBLANK(M1734),0,Q1734*ROUND(N1734,2))</f>
        <v>#DIV/0!</v>
      </c>
      <c r="S1734" s="69" t="e">
        <f>ROUND(P1734,2)*Q1734</f>
        <v>#DIV/0!</v>
      </c>
      <c r="T1734" s="66" t="e">
        <f>Q1734*dagenperjaar1</f>
        <v>#DIV/0!</v>
      </c>
      <c r="U1734" s="70" t="e">
        <f>T1734*ROUND(P1734,2)</f>
        <v>#DIV/0!</v>
      </c>
    </row>
    <row r="1735" spans="1:21" x14ac:dyDescent="0.2">
      <c r="A1735" s="63" t="s">
        <v>2099</v>
      </c>
      <c r="B1735" s="64" t="s">
        <v>324</v>
      </c>
      <c r="C1735" s="64" t="s">
        <v>345</v>
      </c>
      <c r="D1735" s="64" t="s">
        <v>2121</v>
      </c>
      <c r="E1735" s="64" t="s">
        <v>2122</v>
      </c>
      <c r="F1735" s="65" t="s">
        <v>2120</v>
      </c>
      <c r="G1735" s="64" t="s">
        <v>328</v>
      </c>
      <c r="H1735" s="64" t="s">
        <v>273</v>
      </c>
      <c r="I1735" s="64" t="s">
        <v>16</v>
      </c>
      <c r="J1735" s="64" t="s">
        <v>274</v>
      </c>
      <c r="K1735" s="66">
        <v>51.55</v>
      </c>
      <c r="L1735" s="66">
        <f>K1735*VLOOKUP(I1735,dagsoorttabel1,2,FALSE)</f>
        <v>10.31</v>
      </c>
      <c r="M1735" s="67">
        <f>prodnorm12</f>
        <v>0</v>
      </c>
      <c r="N1735" s="68">
        <f>dagwerk12</f>
        <v>0</v>
      </c>
      <c r="O1735" s="64" t="s">
        <v>38</v>
      </c>
      <c r="P1735" s="69">
        <f>uurtarief12</f>
        <v>0</v>
      </c>
      <c r="Q1735" s="66" t="e">
        <f>IF(ISBLANK(M1735),0,L1735/ROUND(M1735,4))</f>
        <v>#DIV/0!</v>
      </c>
      <c r="R1735" s="66" t="e">
        <f>IF(ISBLANK(M1735),0,Q1735*ROUND(N1735,2))</f>
        <v>#DIV/0!</v>
      </c>
      <c r="S1735" s="69" t="e">
        <f>ROUND(P1735,2)*Q1735</f>
        <v>#DIV/0!</v>
      </c>
      <c r="T1735" s="66" t="e">
        <f>Q1735*dagenperjaar1</f>
        <v>#DIV/0!</v>
      </c>
      <c r="U1735" s="70" t="e">
        <f>T1735*ROUND(P1735,2)</f>
        <v>#DIV/0!</v>
      </c>
    </row>
    <row r="1736" spans="1:21" x14ac:dyDescent="0.2">
      <c r="A1736" s="63" t="s">
        <v>2099</v>
      </c>
      <c r="B1736" s="64" t="s">
        <v>324</v>
      </c>
      <c r="C1736" s="64" t="s">
        <v>345</v>
      </c>
      <c r="D1736" s="64" t="s">
        <v>2121</v>
      </c>
      <c r="E1736" s="64" t="s">
        <v>2122</v>
      </c>
      <c r="F1736" s="65" t="s">
        <v>2120</v>
      </c>
      <c r="G1736" s="64" t="s">
        <v>328</v>
      </c>
      <c r="H1736" s="64" t="s">
        <v>229</v>
      </c>
      <c r="I1736" s="64" t="s">
        <v>10</v>
      </c>
      <c r="J1736" s="64" t="s">
        <v>201</v>
      </c>
      <c r="K1736" s="66">
        <v>51.55</v>
      </c>
      <c r="L1736" s="66">
        <f>K1736*VLOOKUP(I1736,dagsoorttabel1,2,FALSE)</f>
        <v>51.55</v>
      </c>
      <c r="M1736" s="67">
        <f>prodnorm43</f>
        <v>0</v>
      </c>
      <c r="N1736" s="68">
        <f>dagwerk43</f>
        <v>0</v>
      </c>
      <c r="O1736" s="64" t="s">
        <v>38</v>
      </c>
      <c r="P1736" s="69">
        <f>uurtarief43</f>
        <v>0</v>
      </c>
      <c r="Q1736" s="66" t="e">
        <f>IF(ISBLANK(M1736),0,L1736/ROUND(M1736,4))</f>
        <v>#DIV/0!</v>
      </c>
      <c r="R1736" s="66" t="e">
        <f>IF(ISBLANK(M1736),0,Q1736*ROUND(N1736,2))</f>
        <v>#DIV/0!</v>
      </c>
      <c r="S1736" s="69" t="e">
        <f>ROUND(P1736,2)*Q1736</f>
        <v>#DIV/0!</v>
      </c>
      <c r="T1736" s="66" t="e">
        <f>Q1736*dagenperjaar1</f>
        <v>#DIV/0!</v>
      </c>
      <c r="U1736" s="70" t="e">
        <f>T1736*ROUND(P1736,2)</f>
        <v>#DIV/0!</v>
      </c>
    </row>
    <row r="1737" spans="1:21" x14ac:dyDescent="0.2">
      <c r="A1737" s="63" t="s">
        <v>2099</v>
      </c>
      <c r="B1737" s="64" t="s">
        <v>324</v>
      </c>
      <c r="C1737" s="64" t="s">
        <v>345</v>
      </c>
      <c r="D1737" s="64" t="s">
        <v>2123</v>
      </c>
      <c r="E1737" s="64" t="s">
        <v>2124</v>
      </c>
      <c r="F1737" s="65" t="s">
        <v>2125</v>
      </c>
      <c r="G1737" s="64" t="s">
        <v>328</v>
      </c>
      <c r="H1737" s="64" t="s">
        <v>273</v>
      </c>
      <c r="I1737" s="64" t="s">
        <v>16</v>
      </c>
      <c r="J1737" s="64" t="s">
        <v>274</v>
      </c>
      <c r="K1737" s="66">
        <v>51.28</v>
      </c>
      <c r="L1737" s="66">
        <f>K1737*VLOOKUP(I1737,dagsoorttabel1,2,FALSE)</f>
        <v>10.256</v>
      </c>
      <c r="M1737" s="67">
        <f>prodnorm12</f>
        <v>0</v>
      </c>
      <c r="N1737" s="68">
        <f>dagwerk12</f>
        <v>0</v>
      </c>
      <c r="O1737" s="64" t="s">
        <v>38</v>
      </c>
      <c r="P1737" s="69">
        <f>uurtarief12</f>
        <v>0</v>
      </c>
      <c r="Q1737" s="66" t="e">
        <f>IF(ISBLANK(M1737),0,L1737/ROUND(M1737,4))</f>
        <v>#DIV/0!</v>
      </c>
      <c r="R1737" s="66" t="e">
        <f>IF(ISBLANK(M1737),0,Q1737*ROUND(N1737,2))</f>
        <v>#DIV/0!</v>
      </c>
      <c r="S1737" s="69" t="e">
        <f>ROUND(P1737,2)*Q1737</f>
        <v>#DIV/0!</v>
      </c>
      <c r="T1737" s="66" t="e">
        <f>Q1737*dagenperjaar1</f>
        <v>#DIV/0!</v>
      </c>
      <c r="U1737" s="70" t="e">
        <f>T1737*ROUND(P1737,2)</f>
        <v>#DIV/0!</v>
      </c>
    </row>
    <row r="1738" spans="1:21" x14ac:dyDescent="0.2">
      <c r="A1738" s="63" t="s">
        <v>2099</v>
      </c>
      <c r="B1738" s="64" t="s">
        <v>324</v>
      </c>
      <c r="C1738" s="64" t="s">
        <v>345</v>
      </c>
      <c r="D1738" s="64" t="s">
        <v>2123</v>
      </c>
      <c r="E1738" s="64" t="s">
        <v>2124</v>
      </c>
      <c r="F1738" s="65" t="s">
        <v>2125</v>
      </c>
      <c r="G1738" s="64" t="s">
        <v>328</v>
      </c>
      <c r="H1738" s="64" t="s">
        <v>229</v>
      </c>
      <c r="I1738" s="64" t="s">
        <v>10</v>
      </c>
      <c r="J1738" s="64" t="s">
        <v>201</v>
      </c>
      <c r="K1738" s="66">
        <v>51.28</v>
      </c>
      <c r="L1738" s="66">
        <f>K1738*VLOOKUP(I1738,dagsoorttabel1,2,FALSE)</f>
        <v>51.28</v>
      </c>
      <c r="M1738" s="67">
        <f>prodnorm43</f>
        <v>0</v>
      </c>
      <c r="N1738" s="68">
        <f>dagwerk43</f>
        <v>0</v>
      </c>
      <c r="O1738" s="64" t="s">
        <v>38</v>
      </c>
      <c r="P1738" s="69">
        <f>uurtarief43</f>
        <v>0</v>
      </c>
      <c r="Q1738" s="66" t="e">
        <f>IF(ISBLANK(M1738),0,L1738/ROUND(M1738,4))</f>
        <v>#DIV/0!</v>
      </c>
      <c r="R1738" s="66" t="e">
        <f>IF(ISBLANK(M1738),0,Q1738*ROUND(N1738,2))</f>
        <v>#DIV/0!</v>
      </c>
      <c r="S1738" s="69" t="e">
        <f>ROUND(P1738,2)*Q1738</f>
        <v>#DIV/0!</v>
      </c>
      <c r="T1738" s="66" t="e">
        <f>Q1738*dagenperjaar1</f>
        <v>#DIV/0!</v>
      </c>
      <c r="U1738" s="70" t="e">
        <f>T1738*ROUND(P1738,2)</f>
        <v>#DIV/0!</v>
      </c>
    </row>
    <row r="1739" spans="1:21" x14ac:dyDescent="0.2">
      <c r="A1739" s="63" t="s">
        <v>2099</v>
      </c>
      <c r="B1739" s="64" t="s">
        <v>324</v>
      </c>
      <c r="C1739" s="64" t="s">
        <v>345</v>
      </c>
      <c r="D1739" s="64" t="s">
        <v>2126</v>
      </c>
      <c r="E1739" s="64" t="s">
        <v>2127</v>
      </c>
      <c r="F1739" s="65" t="s">
        <v>641</v>
      </c>
      <c r="G1739" s="64" t="s">
        <v>2128</v>
      </c>
      <c r="H1739" s="64" t="s">
        <v>255</v>
      </c>
      <c r="I1739" s="64" t="s">
        <v>10</v>
      </c>
      <c r="J1739" s="64" t="s">
        <v>201</v>
      </c>
      <c r="K1739" s="66">
        <v>9.7399999999999984</v>
      </c>
      <c r="L1739" s="66">
        <f>K1739*VLOOKUP(I1739,dagsoorttabel1,2,FALSE)</f>
        <v>9.7399999999999984</v>
      </c>
      <c r="M1739" s="67">
        <f>prodnorm59</f>
        <v>0</v>
      </c>
      <c r="N1739" s="68">
        <f>dagwerk59</f>
        <v>0</v>
      </c>
      <c r="O1739" s="64" t="s">
        <v>38</v>
      </c>
      <c r="P1739" s="69">
        <f>uurtarief59</f>
        <v>0</v>
      </c>
      <c r="Q1739" s="66" t="e">
        <f>IF(ISBLANK(M1739),0,L1739/ROUND(M1739,4))</f>
        <v>#DIV/0!</v>
      </c>
      <c r="R1739" s="66" t="e">
        <f>IF(ISBLANK(M1739),0,Q1739*ROUND(N1739,2))</f>
        <v>#DIV/0!</v>
      </c>
      <c r="S1739" s="69" t="e">
        <f>ROUND(P1739,2)*Q1739</f>
        <v>#DIV/0!</v>
      </c>
      <c r="T1739" s="66" t="e">
        <f>Q1739*dagenperjaar1</f>
        <v>#DIV/0!</v>
      </c>
      <c r="U1739" s="70" t="e">
        <f>T1739*ROUND(P1739,2)</f>
        <v>#DIV/0!</v>
      </c>
    </row>
    <row r="1740" spans="1:21" x14ac:dyDescent="0.2">
      <c r="A1740" s="63" t="s">
        <v>2099</v>
      </c>
      <c r="B1740" s="64" t="s">
        <v>324</v>
      </c>
      <c r="C1740" s="64" t="s">
        <v>345</v>
      </c>
      <c r="D1740" s="64" t="s">
        <v>2126</v>
      </c>
      <c r="E1740" s="64" t="s">
        <v>2127</v>
      </c>
      <c r="F1740" s="65" t="s">
        <v>641</v>
      </c>
      <c r="G1740" s="64" t="s">
        <v>2128</v>
      </c>
      <c r="H1740" s="64" t="s">
        <v>257</v>
      </c>
      <c r="I1740" s="64" t="s">
        <v>10</v>
      </c>
      <c r="J1740" s="64" t="s">
        <v>201</v>
      </c>
      <c r="K1740" s="66">
        <v>9.7399999999999984</v>
      </c>
      <c r="L1740" s="66">
        <f>K1740*VLOOKUP(I1740,dagsoorttabel1,2,FALSE)</f>
        <v>9.7399999999999984</v>
      </c>
      <c r="M1740" s="67">
        <f>prodnorm60</f>
        <v>0</v>
      </c>
      <c r="N1740" s="68">
        <f>dagwerk60</f>
        <v>0</v>
      </c>
      <c r="O1740" s="64" t="s">
        <v>38</v>
      </c>
      <c r="P1740" s="69">
        <f>uurtarief60</f>
        <v>0</v>
      </c>
      <c r="Q1740" s="66" t="e">
        <f>IF(ISBLANK(M1740),0,L1740/ROUND(M1740,4))</f>
        <v>#DIV/0!</v>
      </c>
      <c r="R1740" s="66" t="e">
        <f>IF(ISBLANK(M1740),0,Q1740*ROUND(N1740,2))</f>
        <v>#DIV/0!</v>
      </c>
      <c r="S1740" s="69" t="e">
        <f>ROUND(P1740,2)*Q1740</f>
        <v>#DIV/0!</v>
      </c>
      <c r="T1740" s="66" t="e">
        <f>Q1740*dagenperjaar1</f>
        <v>#DIV/0!</v>
      </c>
      <c r="U1740" s="70" t="e">
        <f>T1740*ROUND(P1740,2)</f>
        <v>#DIV/0!</v>
      </c>
    </row>
    <row r="1741" spans="1:21" x14ac:dyDescent="0.2">
      <c r="A1741" s="63" t="s">
        <v>2099</v>
      </c>
      <c r="B1741" s="64" t="s">
        <v>324</v>
      </c>
      <c r="C1741" s="64" t="s">
        <v>345</v>
      </c>
      <c r="D1741" s="64" t="s">
        <v>2129</v>
      </c>
      <c r="E1741" s="64" t="s">
        <v>2130</v>
      </c>
      <c r="F1741" s="65" t="s">
        <v>2125</v>
      </c>
      <c r="G1741" s="64" t="s">
        <v>328</v>
      </c>
      <c r="H1741" s="64" t="s">
        <v>273</v>
      </c>
      <c r="I1741" s="64" t="s">
        <v>16</v>
      </c>
      <c r="J1741" s="64" t="s">
        <v>274</v>
      </c>
      <c r="K1741" s="66">
        <v>51.46</v>
      </c>
      <c r="L1741" s="66">
        <f>K1741*VLOOKUP(I1741,dagsoorttabel1,2,FALSE)</f>
        <v>10.292000000000002</v>
      </c>
      <c r="M1741" s="67">
        <f>prodnorm12</f>
        <v>0</v>
      </c>
      <c r="N1741" s="68">
        <f>dagwerk12</f>
        <v>0</v>
      </c>
      <c r="O1741" s="64" t="s">
        <v>38</v>
      </c>
      <c r="P1741" s="69">
        <f>uurtarief12</f>
        <v>0</v>
      </c>
      <c r="Q1741" s="66" t="e">
        <f>IF(ISBLANK(M1741),0,L1741/ROUND(M1741,4))</f>
        <v>#DIV/0!</v>
      </c>
      <c r="R1741" s="66" t="e">
        <f>IF(ISBLANK(M1741),0,Q1741*ROUND(N1741,2))</f>
        <v>#DIV/0!</v>
      </c>
      <c r="S1741" s="69" t="e">
        <f>ROUND(P1741,2)*Q1741</f>
        <v>#DIV/0!</v>
      </c>
      <c r="T1741" s="66" t="e">
        <f>Q1741*dagenperjaar1</f>
        <v>#DIV/0!</v>
      </c>
      <c r="U1741" s="70" t="e">
        <f>T1741*ROUND(P1741,2)</f>
        <v>#DIV/0!</v>
      </c>
    </row>
    <row r="1742" spans="1:21" x14ac:dyDescent="0.2">
      <c r="A1742" s="63" t="s">
        <v>2099</v>
      </c>
      <c r="B1742" s="64" t="s">
        <v>324</v>
      </c>
      <c r="C1742" s="64" t="s">
        <v>345</v>
      </c>
      <c r="D1742" s="64" t="s">
        <v>2129</v>
      </c>
      <c r="E1742" s="64" t="s">
        <v>2130</v>
      </c>
      <c r="F1742" s="65" t="s">
        <v>2125</v>
      </c>
      <c r="G1742" s="64" t="s">
        <v>328</v>
      </c>
      <c r="H1742" s="64" t="s">
        <v>229</v>
      </c>
      <c r="I1742" s="64" t="s">
        <v>10</v>
      </c>
      <c r="J1742" s="64" t="s">
        <v>201</v>
      </c>
      <c r="K1742" s="66">
        <v>51.46</v>
      </c>
      <c r="L1742" s="66">
        <f>K1742*VLOOKUP(I1742,dagsoorttabel1,2,FALSE)</f>
        <v>51.46</v>
      </c>
      <c r="M1742" s="67">
        <f>prodnorm43</f>
        <v>0</v>
      </c>
      <c r="N1742" s="68">
        <f>dagwerk43</f>
        <v>0</v>
      </c>
      <c r="O1742" s="64" t="s">
        <v>38</v>
      </c>
      <c r="P1742" s="69">
        <f>uurtarief43</f>
        <v>0</v>
      </c>
      <c r="Q1742" s="66" t="e">
        <f>IF(ISBLANK(M1742),0,L1742/ROUND(M1742,4))</f>
        <v>#DIV/0!</v>
      </c>
      <c r="R1742" s="66" t="e">
        <f>IF(ISBLANK(M1742),0,Q1742*ROUND(N1742,2))</f>
        <v>#DIV/0!</v>
      </c>
      <c r="S1742" s="69" t="e">
        <f>ROUND(P1742,2)*Q1742</f>
        <v>#DIV/0!</v>
      </c>
      <c r="T1742" s="66" t="e">
        <f>Q1742*dagenperjaar1</f>
        <v>#DIV/0!</v>
      </c>
      <c r="U1742" s="70" t="e">
        <f>T1742*ROUND(P1742,2)</f>
        <v>#DIV/0!</v>
      </c>
    </row>
    <row r="1743" spans="1:21" x14ac:dyDescent="0.2">
      <c r="A1743" s="63" t="s">
        <v>2099</v>
      </c>
      <c r="B1743" s="64" t="s">
        <v>324</v>
      </c>
      <c r="C1743" s="64" t="s">
        <v>345</v>
      </c>
      <c r="D1743" s="64" t="s">
        <v>2131</v>
      </c>
      <c r="E1743" s="64" t="s">
        <v>2132</v>
      </c>
      <c r="F1743" s="65" t="s">
        <v>2133</v>
      </c>
      <c r="G1743" s="64" t="s">
        <v>328</v>
      </c>
      <c r="H1743" s="64" t="s">
        <v>205</v>
      </c>
      <c r="I1743" s="64" t="s">
        <v>10</v>
      </c>
      <c r="J1743" s="64" t="s">
        <v>201</v>
      </c>
      <c r="K1743" s="66">
        <v>16.739999999999998</v>
      </c>
      <c r="L1743" s="66">
        <f>K1743*VLOOKUP(I1743,dagsoorttabel1,2,FALSE)</f>
        <v>16.739999999999998</v>
      </c>
      <c r="M1743" s="67">
        <f>prodnorm26</f>
        <v>0</v>
      </c>
      <c r="N1743" s="68">
        <f>dagwerk26</f>
        <v>0</v>
      </c>
      <c r="O1743" s="64" t="s">
        <v>38</v>
      </c>
      <c r="P1743" s="69">
        <f>uurtarief26</f>
        <v>0</v>
      </c>
      <c r="Q1743" s="66" t="e">
        <f>IF(ISBLANK(M1743),0,L1743/ROUND(M1743,4))</f>
        <v>#DIV/0!</v>
      </c>
      <c r="R1743" s="66" t="e">
        <f>IF(ISBLANK(M1743),0,Q1743*ROUND(N1743,2))</f>
        <v>#DIV/0!</v>
      </c>
      <c r="S1743" s="69" t="e">
        <f>ROUND(P1743,2)*Q1743</f>
        <v>#DIV/0!</v>
      </c>
      <c r="T1743" s="66" t="e">
        <f>Q1743*dagenperjaar1</f>
        <v>#DIV/0!</v>
      </c>
      <c r="U1743" s="70" t="e">
        <f>T1743*ROUND(P1743,2)</f>
        <v>#DIV/0!</v>
      </c>
    </row>
    <row r="1744" spans="1:21" x14ac:dyDescent="0.2">
      <c r="A1744" s="63" t="s">
        <v>2099</v>
      </c>
      <c r="B1744" s="64" t="s">
        <v>324</v>
      </c>
      <c r="C1744" s="64" t="s">
        <v>345</v>
      </c>
      <c r="D1744" s="64" t="s">
        <v>2134</v>
      </c>
      <c r="E1744" s="64" t="s">
        <v>2135</v>
      </c>
      <c r="F1744" s="65" t="s">
        <v>2136</v>
      </c>
      <c r="G1744" s="64" t="s">
        <v>328</v>
      </c>
      <c r="H1744" s="64" t="s">
        <v>205</v>
      </c>
      <c r="I1744" s="64" t="s">
        <v>10</v>
      </c>
      <c r="J1744" s="64" t="s">
        <v>201</v>
      </c>
      <c r="K1744" s="66">
        <v>16.670000000000002</v>
      </c>
      <c r="L1744" s="66">
        <f>K1744*VLOOKUP(I1744,dagsoorttabel1,2,FALSE)</f>
        <v>16.670000000000002</v>
      </c>
      <c r="M1744" s="67">
        <f>prodnorm26</f>
        <v>0</v>
      </c>
      <c r="N1744" s="68">
        <f>dagwerk26</f>
        <v>0</v>
      </c>
      <c r="O1744" s="64" t="s">
        <v>38</v>
      </c>
      <c r="P1744" s="69">
        <f>uurtarief26</f>
        <v>0</v>
      </c>
      <c r="Q1744" s="66" t="e">
        <f>IF(ISBLANK(M1744),0,L1744/ROUND(M1744,4))</f>
        <v>#DIV/0!</v>
      </c>
      <c r="R1744" s="66" t="e">
        <f>IF(ISBLANK(M1744),0,Q1744*ROUND(N1744,2))</f>
        <v>#DIV/0!</v>
      </c>
      <c r="S1744" s="69" t="e">
        <f>ROUND(P1744,2)*Q1744</f>
        <v>#DIV/0!</v>
      </c>
      <c r="T1744" s="66" t="e">
        <f>Q1744*dagenperjaar1</f>
        <v>#DIV/0!</v>
      </c>
      <c r="U1744" s="70" t="e">
        <f>T1744*ROUND(P1744,2)</f>
        <v>#DIV/0!</v>
      </c>
    </row>
    <row r="1745" spans="1:21" x14ac:dyDescent="0.2">
      <c r="A1745" s="63" t="s">
        <v>2099</v>
      </c>
      <c r="B1745" s="64" t="s">
        <v>324</v>
      </c>
      <c r="C1745" s="64" t="s">
        <v>345</v>
      </c>
      <c r="D1745" s="64" t="s">
        <v>2137</v>
      </c>
      <c r="E1745" s="64" t="s">
        <v>2138</v>
      </c>
      <c r="F1745" s="65" t="s">
        <v>2139</v>
      </c>
      <c r="G1745" s="64" t="s">
        <v>328</v>
      </c>
      <c r="H1745" s="64" t="s">
        <v>205</v>
      </c>
      <c r="I1745" s="64" t="s">
        <v>10</v>
      </c>
      <c r="J1745" s="64" t="s">
        <v>201</v>
      </c>
      <c r="K1745" s="66">
        <v>16.97</v>
      </c>
      <c r="L1745" s="66">
        <f>K1745*VLOOKUP(I1745,dagsoorttabel1,2,FALSE)</f>
        <v>16.97</v>
      </c>
      <c r="M1745" s="67">
        <f>prodnorm26</f>
        <v>0</v>
      </c>
      <c r="N1745" s="68">
        <f>dagwerk26</f>
        <v>0</v>
      </c>
      <c r="O1745" s="64" t="s">
        <v>38</v>
      </c>
      <c r="P1745" s="69">
        <f>uurtarief26</f>
        <v>0</v>
      </c>
      <c r="Q1745" s="66" t="e">
        <f>IF(ISBLANK(M1745),0,L1745/ROUND(M1745,4))</f>
        <v>#DIV/0!</v>
      </c>
      <c r="R1745" s="66" t="e">
        <f>IF(ISBLANK(M1745),0,Q1745*ROUND(N1745,2))</f>
        <v>#DIV/0!</v>
      </c>
      <c r="S1745" s="69" t="e">
        <f>ROUND(P1745,2)*Q1745</f>
        <v>#DIV/0!</v>
      </c>
      <c r="T1745" s="66" t="e">
        <f>Q1745*dagenperjaar1</f>
        <v>#DIV/0!</v>
      </c>
      <c r="U1745" s="70" t="e">
        <f>T1745*ROUND(P1745,2)</f>
        <v>#DIV/0!</v>
      </c>
    </row>
    <row r="1746" spans="1:21" x14ac:dyDescent="0.2">
      <c r="A1746" s="63" t="s">
        <v>2099</v>
      </c>
      <c r="B1746" s="64" t="s">
        <v>324</v>
      </c>
      <c r="C1746" s="64" t="s">
        <v>345</v>
      </c>
      <c r="D1746" s="64" t="s">
        <v>2140</v>
      </c>
      <c r="E1746" s="64" t="s">
        <v>2141</v>
      </c>
      <c r="F1746" s="65" t="s">
        <v>2142</v>
      </c>
      <c r="G1746" s="64" t="s">
        <v>328</v>
      </c>
      <c r="H1746" s="64" t="s">
        <v>205</v>
      </c>
      <c r="I1746" s="64" t="s">
        <v>10</v>
      </c>
      <c r="J1746" s="64" t="s">
        <v>201</v>
      </c>
      <c r="K1746" s="66">
        <v>16.739999999999998</v>
      </c>
      <c r="L1746" s="66">
        <f>K1746*VLOOKUP(I1746,dagsoorttabel1,2,FALSE)</f>
        <v>16.739999999999998</v>
      </c>
      <c r="M1746" s="67">
        <f>prodnorm26</f>
        <v>0</v>
      </c>
      <c r="N1746" s="68">
        <f>dagwerk26</f>
        <v>0</v>
      </c>
      <c r="O1746" s="64" t="s">
        <v>38</v>
      </c>
      <c r="P1746" s="69">
        <f>uurtarief26</f>
        <v>0</v>
      </c>
      <c r="Q1746" s="66" t="e">
        <f>IF(ISBLANK(M1746),0,L1746/ROUND(M1746,4))</f>
        <v>#DIV/0!</v>
      </c>
      <c r="R1746" s="66" t="e">
        <f>IF(ISBLANK(M1746),0,Q1746*ROUND(N1746,2))</f>
        <v>#DIV/0!</v>
      </c>
      <c r="S1746" s="69" t="e">
        <f>ROUND(P1746,2)*Q1746</f>
        <v>#DIV/0!</v>
      </c>
      <c r="T1746" s="66" t="e">
        <f>Q1746*dagenperjaar1</f>
        <v>#DIV/0!</v>
      </c>
      <c r="U1746" s="70" t="e">
        <f>T1746*ROUND(P1746,2)</f>
        <v>#DIV/0!</v>
      </c>
    </row>
    <row r="1747" spans="1:21" x14ac:dyDescent="0.2">
      <c r="A1747" s="63" t="s">
        <v>2099</v>
      </c>
      <c r="B1747" s="64" t="s">
        <v>324</v>
      </c>
      <c r="C1747" s="64" t="s">
        <v>345</v>
      </c>
      <c r="D1747" s="64" t="s">
        <v>2143</v>
      </c>
      <c r="E1747" s="64" t="s">
        <v>2144</v>
      </c>
      <c r="F1747" s="65" t="s">
        <v>2145</v>
      </c>
      <c r="G1747" s="64" t="s">
        <v>328</v>
      </c>
      <c r="H1747" s="64" t="s">
        <v>205</v>
      </c>
      <c r="I1747" s="64" t="s">
        <v>10</v>
      </c>
      <c r="J1747" s="64" t="s">
        <v>201</v>
      </c>
      <c r="K1747" s="66">
        <v>16.55</v>
      </c>
      <c r="L1747" s="66">
        <f>K1747*VLOOKUP(I1747,dagsoorttabel1,2,FALSE)</f>
        <v>16.55</v>
      </c>
      <c r="M1747" s="67">
        <f>prodnorm26</f>
        <v>0</v>
      </c>
      <c r="N1747" s="68">
        <f>dagwerk26</f>
        <v>0</v>
      </c>
      <c r="O1747" s="64" t="s">
        <v>38</v>
      </c>
      <c r="P1747" s="69">
        <f>uurtarief26</f>
        <v>0</v>
      </c>
      <c r="Q1747" s="66" t="e">
        <f>IF(ISBLANK(M1747),0,L1747/ROUND(M1747,4))</f>
        <v>#DIV/0!</v>
      </c>
      <c r="R1747" s="66" t="e">
        <f>IF(ISBLANK(M1747),0,Q1747*ROUND(N1747,2))</f>
        <v>#DIV/0!</v>
      </c>
      <c r="S1747" s="69" t="e">
        <f>ROUND(P1747,2)*Q1747</f>
        <v>#DIV/0!</v>
      </c>
      <c r="T1747" s="66" t="e">
        <f>Q1747*dagenperjaar1</f>
        <v>#DIV/0!</v>
      </c>
      <c r="U1747" s="70" t="e">
        <f>T1747*ROUND(P1747,2)</f>
        <v>#DIV/0!</v>
      </c>
    </row>
    <row r="1748" spans="1:21" x14ac:dyDescent="0.2">
      <c r="A1748" s="63" t="s">
        <v>2099</v>
      </c>
      <c r="B1748" s="64" t="s">
        <v>324</v>
      </c>
      <c r="C1748" s="64" t="s">
        <v>345</v>
      </c>
      <c r="D1748" s="64" t="s">
        <v>2101</v>
      </c>
      <c r="E1748" s="64" t="s">
        <v>2146</v>
      </c>
      <c r="F1748" s="65" t="s">
        <v>2147</v>
      </c>
      <c r="G1748" s="64" t="s">
        <v>328</v>
      </c>
      <c r="H1748" s="64" t="s">
        <v>205</v>
      </c>
      <c r="I1748" s="64" t="s">
        <v>10</v>
      </c>
      <c r="J1748" s="64" t="s">
        <v>201</v>
      </c>
      <c r="K1748" s="66">
        <v>17.54</v>
      </c>
      <c r="L1748" s="66">
        <f>K1748*VLOOKUP(I1748,dagsoorttabel1,2,FALSE)</f>
        <v>17.54</v>
      </c>
      <c r="M1748" s="67">
        <f>prodnorm26</f>
        <v>0</v>
      </c>
      <c r="N1748" s="68">
        <f>dagwerk26</f>
        <v>0</v>
      </c>
      <c r="O1748" s="64" t="s">
        <v>38</v>
      </c>
      <c r="P1748" s="69">
        <f>uurtarief26</f>
        <v>0</v>
      </c>
      <c r="Q1748" s="66" t="e">
        <f>IF(ISBLANK(M1748),0,L1748/ROUND(M1748,4))</f>
        <v>#DIV/0!</v>
      </c>
      <c r="R1748" s="66" t="e">
        <f>IF(ISBLANK(M1748),0,Q1748*ROUND(N1748,2))</f>
        <v>#DIV/0!</v>
      </c>
      <c r="S1748" s="69" t="e">
        <f>ROUND(P1748,2)*Q1748</f>
        <v>#DIV/0!</v>
      </c>
      <c r="T1748" s="66" t="e">
        <f>Q1748*dagenperjaar1</f>
        <v>#DIV/0!</v>
      </c>
      <c r="U1748" s="70" t="e">
        <f>T1748*ROUND(P1748,2)</f>
        <v>#DIV/0!</v>
      </c>
    </row>
    <row r="1749" spans="1:21" x14ac:dyDescent="0.2">
      <c r="A1749" s="63" t="s">
        <v>2099</v>
      </c>
      <c r="B1749" s="64" t="s">
        <v>324</v>
      </c>
      <c r="C1749" s="64" t="s">
        <v>345</v>
      </c>
      <c r="D1749" s="64" t="s">
        <v>2104</v>
      </c>
      <c r="E1749" s="64" t="s">
        <v>2148</v>
      </c>
      <c r="F1749" s="65" t="s">
        <v>2149</v>
      </c>
      <c r="G1749" s="64" t="s">
        <v>328</v>
      </c>
      <c r="H1749" s="64" t="s">
        <v>237</v>
      </c>
      <c r="I1749" s="64" t="s">
        <v>19</v>
      </c>
      <c r="J1749" s="64" t="s">
        <v>201</v>
      </c>
      <c r="K1749" s="66">
        <v>16.77</v>
      </c>
      <c r="L1749" s="66">
        <f>K1749*VLOOKUP(I1749,dagsoorttabel1,2,FALSE)</f>
        <v>0.83850000000000002</v>
      </c>
      <c r="M1749" s="67">
        <f>prodnorm47</f>
        <v>0</v>
      </c>
      <c r="N1749" s="68">
        <f>dagwerk47</f>
        <v>0</v>
      </c>
      <c r="O1749" s="64" t="s">
        <v>38</v>
      </c>
      <c r="P1749" s="69">
        <f>uurtarief47</f>
        <v>0</v>
      </c>
      <c r="Q1749" s="66" t="e">
        <f>IF(ISBLANK(M1749),0,L1749/ROUND(M1749,4))</f>
        <v>#DIV/0!</v>
      </c>
      <c r="R1749" s="66" t="e">
        <f>IF(ISBLANK(M1749),0,Q1749*ROUND(N1749,2))</f>
        <v>#DIV/0!</v>
      </c>
      <c r="S1749" s="69" t="e">
        <f>ROUND(P1749,2)*Q1749</f>
        <v>#DIV/0!</v>
      </c>
      <c r="T1749" s="66" t="e">
        <f>Q1749*dagenperjaar1</f>
        <v>#DIV/0!</v>
      </c>
      <c r="U1749" s="70" t="e">
        <f>T1749*ROUND(P1749,2)</f>
        <v>#DIV/0!</v>
      </c>
    </row>
    <row r="1750" spans="1:21" x14ac:dyDescent="0.2">
      <c r="A1750" s="63" t="s">
        <v>2099</v>
      </c>
      <c r="B1750" s="64" t="s">
        <v>324</v>
      </c>
      <c r="C1750" s="64" t="s">
        <v>345</v>
      </c>
      <c r="D1750" s="64" t="s">
        <v>2150</v>
      </c>
      <c r="E1750" s="64" t="s">
        <v>2151</v>
      </c>
      <c r="F1750" s="65" t="s">
        <v>2152</v>
      </c>
      <c r="G1750" s="64" t="s">
        <v>328</v>
      </c>
      <c r="H1750" s="64" t="s">
        <v>273</v>
      </c>
      <c r="I1750" s="64" t="s">
        <v>16</v>
      </c>
      <c r="J1750" s="64" t="s">
        <v>274</v>
      </c>
      <c r="K1750" s="66">
        <v>51.42</v>
      </c>
      <c r="L1750" s="66">
        <f>K1750*VLOOKUP(I1750,dagsoorttabel1,2,FALSE)</f>
        <v>10.284000000000001</v>
      </c>
      <c r="M1750" s="67">
        <f>prodnorm12</f>
        <v>0</v>
      </c>
      <c r="N1750" s="68">
        <f>dagwerk12</f>
        <v>0</v>
      </c>
      <c r="O1750" s="64" t="s">
        <v>38</v>
      </c>
      <c r="P1750" s="69">
        <f>uurtarief12</f>
        <v>0</v>
      </c>
      <c r="Q1750" s="66" t="e">
        <f>IF(ISBLANK(M1750),0,L1750/ROUND(M1750,4))</f>
        <v>#DIV/0!</v>
      </c>
      <c r="R1750" s="66" t="e">
        <f>IF(ISBLANK(M1750),0,Q1750*ROUND(N1750,2))</f>
        <v>#DIV/0!</v>
      </c>
      <c r="S1750" s="69" t="e">
        <f>ROUND(P1750,2)*Q1750</f>
        <v>#DIV/0!</v>
      </c>
      <c r="T1750" s="66" t="e">
        <f>Q1750*dagenperjaar1</f>
        <v>#DIV/0!</v>
      </c>
      <c r="U1750" s="70" t="e">
        <f>T1750*ROUND(P1750,2)</f>
        <v>#DIV/0!</v>
      </c>
    </row>
    <row r="1751" spans="1:21" x14ac:dyDescent="0.2">
      <c r="A1751" s="63" t="s">
        <v>2099</v>
      </c>
      <c r="B1751" s="64" t="s">
        <v>324</v>
      </c>
      <c r="C1751" s="64" t="s">
        <v>345</v>
      </c>
      <c r="D1751" s="64" t="s">
        <v>2150</v>
      </c>
      <c r="E1751" s="64" t="s">
        <v>2151</v>
      </c>
      <c r="F1751" s="65" t="s">
        <v>2152</v>
      </c>
      <c r="G1751" s="64" t="s">
        <v>328</v>
      </c>
      <c r="H1751" s="64" t="s">
        <v>229</v>
      </c>
      <c r="I1751" s="64" t="s">
        <v>10</v>
      </c>
      <c r="J1751" s="64" t="s">
        <v>201</v>
      </c>
      <c r="K1751" s="66">
        <v>51.42</v>
      </c>
      <c r="L1751" s="66">
        <f>K1751*VLOOKUP(I1751,dagsoorttabel1,2,FALSE)</f>
        <v>51.42</v>
      </c>
      <c r="M1751" s="67">
        <f>prodnorm43</f>
        <v>0</v>
      </c>
      <c r="N1751" s="68">
        <f>dagwerk43</f>
        <v>0</v>
      </c>
      <c r="O1751" s="64" t="s">
        <v>38</v>
      </c>
      <c r="P1751" s="69">
        <f>uurtarief43</f>
        <v>0</v>
      </c>
      <c r="Q1751" s="66" t="e">
        <f>IF(ISBLANK(M1751),0,L1751/ROUND(M1751,4))</f>
        <v>#DIV/0!</v>
      </c>
      <c r="R1751" s="66" t="e">
        <f>IF(ISBLANK(M1751),0,Q1751*ROUND(N1751,2))</f>
        <v>#DIV/0!</v>
      </c>
      <c r="S1751" s="69" t="e">
        <f>ROUND(P1751,2)*Q1751</f>
        <v>#DIV/0!</v>
      </c>
      <c r="T1751" s="66" t="e">
        <f>Q1751*dagenperjaar1</f>
        <v>#DIV/0!</v>
      </c>
      <c r="U1751" s="70" t="e">
        <f>T1751*ROUND(P1751,2)</f>
        <v>#DIV/0!</v>
      </c>
    </row>
    <row r="1752" spans="1:21" x14ac:dyDescent="0.2">
      <c r="A1752" s="63" t="s">
        <v>2099</v>
      </c>
      <c r="B1752" s="64" t="s">
        <v>324</v>
      </c>
      <c r="C1752" s="64" t="s">
        <v>345</v>
      </c>
      <c r="D1752" s="64" t="s">
        <v>2153</v>
      </c>
      <c r="E1752" s="64" t="s">
        <v>2154</v>
      </c>
      <c r="F1752" s="65" t="s">
        <v>2152</v>
      </c>
      <c r="G1752" s="64" t="s">
        <v>328</v>
      </c>
      <c r="H1752" s="64" t="s">
        <v>273</v>
      </c>
      <c r="I1752" s="64" t="s">
        <v>16</v>
      </c>
      <c r="J1752" s="64" t="s">
        <v>274</v>
      </c>
      <c r="K1752" s="66">
        <v>51.27</v>
      </c>
      <c r="L1752" s="66">
        <f>K1752*VLOOKUP(I1752,dagsoorttabel1,2,FALSE)</f>
        <v>10.254000000000001</v>
      </c>
      <c r="M1752" s="67">
        <f>prodnorm12</f>
        <v>0</v>
      </c>
      <c r="N1752" s="68">
        <f>dagwerk12</f>
        <v>0</v>
      </c>
      <c r="O1752" s="64" t="s">
        <v>38</v>
      </c>
      <c r="P1752" s="69">
        <f>uurtarief12</f>
        <v>0</v>
      </c>
      <c r="Q1752" s="66" t="e">
        <f>IF(ISBLANK(M1752),0,L1752/ROUND(M1752,4))</f>
        <v>#DIV/0!</v>
      </c>
      <c r="R1752" s="66" t="e">
        <f>IF(ISBLANK(M1752),0,Q1752*ROUND(N1752,2))</f>
        <v>#DIV/0!</v>
      </c>
      <c r="S1752" s="69" t="e">
        <f>ROUND(P1752,2)*Q1752</f>
        <v>#DIV/0!</v>
      </c>
      <c r="T1752" s="66" t="e">
        <f>Q1752*dagenperjaar1</f>
        <v>#DIV/0!</v>
      </c>
      <c r="U1752" s="70" t="e">
        <f>T1752*ROUND(P1752,2)</f>
        <v>#DIV/0!</v>
      </c>
    </row>
    <row r="1753" spans="1:21" x14ac:dyDescent="0.2">
      <c r="A1753" s="63" t="s">
        <v>2099</v>
      </c>
      <c r="B1753" s="64" t="s">
        <v>324</v>
      </c>
      <c r="C1753" s="64" t="s">
        <v>345</v>
      </c>
      <c r="D1753" s="64" t="s">
        <v>2153</v>
      </c>
      <c r="E1753" s="64" t="s">
        <v>2154</v>
      </c>
      <c r="F1753" s="65" t="s">
        <v>2152</v>
      </c>
      <c r="G1753" s="64" t="s">
        <v>328</v>
      </c>
      <c r="H1753" s="64" t="s">
        <v>229</v>
      </c>
      <c r="I1753" s="64" t="s">
        <v>10</v>
      </c>
      <c r="J1753" s="64" t="s">
        <v>201</v>
      </c>
      <c r="K1753" s="66">
        <v>51.27</v>
      </c>
      <c r="L1753" s="66">
        <f>K1753*VLOOKUP(I1753,dagsoorttabel1,2,FALSE)</f>
        <v>51.27</v>
      </c>
      <c r="M1753" s="67">
        <f>prodnorm43</f>
        <v>0</v>
      </c>
      <c r="N1753" s="68">
        <f>dagwerk43</f>
        <v>0</v>
      </c>
      <c r="O1753" s="64" t="s">
        <v>38</v>
      </c>
      <c r="P1753" s="69">
        <f>uurtarief43</f>
        <v>0</v>
      </c>
      <c r="Q1753" s="66" t="e">
        <f>IF(ISBLANK(M1753),0,L1753/ROUND(M1753,4))</f>
        <v>#DIV/0!</v>
      </c>
      <c r="R1753" s="66" t="e">
        <f>IF(ISBLANK(M1753),0,Q1753*ROUND(N1753,2))</f>
        <v>#DIV/0!</v>
      </c>
      <c r="S1753" s="69" t="e">
        <f>ROUND(P1753,2)*Q1753</f>
        <v>#DIV/0!</v>
      </c>
      <c r="T1753" s="66" t="e">
        <f>Q1753*dagenperjaar1</f>
        <v>#DIV/0!</v>
      </c>
      <c r="U1753" s="70" t="e">
        <f>T1753*ROUND(P1753,2)</f>
        <v>#DIV/0!</v>
      </c>
    </row>
    <row r="1754" spans="1:21" x14ac:dyDescent="0.2">
      <c r="A1754" s="63" t="s">
        <v>2099</v>
      </c>
      <c r="B1754" s="64" t="s">
        <v>324</v>
      </c>
      <c r="C1754" s="64" t="s">
        <v>345</v>
      </c>
      <c r="D1754" s="64" t="s">
        <v>2155</v>
      </c>
      <c r="E1754" s="64" t="s">
        <v>2156</v>
      </c>
      <c r="F1754" s="65" t="s">
        <v>2157</v>
      </c>
      <c r="G1754" s="64" t="s">
        <v>328</v>
      </c>
      <c r="H1754" s="64" t="s">
        <v>273</v>
      </c>
      <c r="I1754" s="64" t="s">
        <v>16</v>
      </c>
      <c r="J1754" s="64" t="s">
        <v>274</v>
      </c>
      <c r="K1754" s="66">
        <v>51.36</v>
      </c>
      <c r="L1754" s="66">
        <f>K1754*VLOOKUP(I1754,dagsoorttabel1,2,FALSE)</f>
        <v>10.272</v>
      </c>
      <c r="M1754" s="67">
        <f>prodnorm12</f>
        <v>0</v>
      </c>
      <c r="N1754" s="68">
        <f>dagwerk12</f>
        <v>0</v>
      </c>
      <c r="O1754" s="64" t="s">
        <v>38</v>
      </c>
      <c r="P1754" s="69">
        <f>uurtarief12</f>
        <v>0</v>
      </c>
      <c r="Q1754" s="66" t="e">
        <f>IF(ISBLANK(M1754),0,L1754/ROUND(M1754,4))</f>
        <v>#DIV/0!</v>
      </c>
      <c r="R1754" s="66" t="e">
        <f>IF(ISBLANK(M1754),0,Q1754*ROUND(N1754,2))</f>
        <v>#DIV/0!</v>
      </c>
      <c r="S1754" s="69" t="e">
        <f>ROUND(P1754,2)*Q1754</f>
        <v>#DIV/0!</v>
      </c>
      <c r="T1754" s="66" t="e">
        <f>Q1754*dagenperjaar1</f>
        <v>#DIV/0!</v>
      </c>
      <c r="U1754" s="70" t="e">
        <f>T1754*ROUND(P1754,2)</f>
        <v>#DIV/0!</v>
      </c>
    </row>
    <row r="1755" spans="1:21" x14ac:dyDescent="0.2">
      <c r="A1755" s="63" t="s">
        <v>2099</v>
      </c>
      <c r="B1755" s="64" t="s">
        <v>324</v>
      </c>
      <c r="C1755" s="64" t="s">
        <v>345</v>
      </c>
      <c r="D1755" s="64" t="s">
        <v>2155</v>
      </c>
      <c r="E1755" s="64" t="s">
        <v>2156</v>
      </c>
      <c r="F1755" s="65" t="s">
        <v>2157</v>
      </c>
      <c r="G1755" s="64" t="s">
        <v>328</v>
      </c>
      <c r="H1755" s="64" t="s">
        <v>229</v>
      </c>
      <c r="I1755" s="64" t="s">
        <v>10</v>
      </c>
      <c r="J1755" s="64" t="s">
        <v>201</v>
      </c>
      <c r="K1755" s="66">
        <v>51.36</v>
      </c>
      <c r="L1755" s="66">
        <f>K1755*VLOOKUP(I1755,dagsoorttabel1,2,FALSE)</f>
        <v>51.36</v>
      </c>
      <c r="M1755" s="67">
        <f>prodnorm43</f>
        <v>0</v>
      </c>
      <c r="N1755" s="68">
        <f>dagwerk43</f>
        <v>0</v>
      </c>
      <c r="O1755" s="64" t="s">
        <v>38</v>
      </c>
      <c r="P1755" s="69">
        <f>uurtarief43</f>
        <v>0</v>
      </c>
      <c r="Q1755" s="66" t="e">
        <f>IF(ISBLANK(M1755),0,L1755/ROUND(M1755,4))</f>
        <v>#DIV/0!</v>
      </c>
      <c r="R1755" s="66" t="e">
        <f>IF(ISBLANK(M1755),0,Q1755*ROUND(N1755,2))</f>
        <v>#DIV/0!</v>
      </c>
      <c r="S1755" s="69" t="e">
        <f>ROUND(P1755,2)*Q1755</f>
        <v>#DIV/0!</v>
      </c>
      <c r="T1755" s="66" t="e">
        <f>Q1755*dagenperjaar1</f>
        <v>#DIV/0!</v>
      </c>
      <c r="U1755" s="70" t="e">
        <f>T1755*ROUND(P1755,2)</f>
        <v>#DIV/0!</v>
      </c>
    </row>
    <row r="1756" spans="1:21" x14ac:dyDescent="0.2">
      <c r="A1756" s="63" t="s">
        <v>2099</v>
      </c>
      <c r="B1756" s="64" t="s">
        <v>324</v>
      </c>
      <c r="C1756" s="64" t="s">
        <v>345</v>
      </c>
      <c r="D1756" s="64" t="s">
        <v>2158</v>
      </c>
      <c r="E1756" s="64" t="s">
        <v>2159</v>
      </c>
      <c r="F1756" s="65" t="s">
        <v>2152</v>
      </c>
      <c r="G1756" s="64" t="s">
        <v>328</v>
      </c>
      <c r="H1756" s="64" t="s">
        <v>273</v>
      </c>
      <c r="I1756" s="64" t="s">
        <v>16</v>
      </c>
      <c r="J1756" s="64" t="s">
        <v>274</v>
      </c>
      <c r="K1756" s="66">
        <v>52.120000000000005</v>
      </c>
      <c r="L1756" s="66">
        <f>K1756*VLOOKUP(I1756,dagsoorttabel1,2,FALSE)</f>
        <v>10.424000000000001</v>
      </c>
      <c r="M1756" s="67">
        <f>prodnorm12</f>
        <v>0</v>
      </c>
      <c r="N1756" s="68">
        <f>dagwerk12</f>
        <v>0</v>
      </c>
      <c r="O1756" s="64" t="s">
        <v>38</v>
      </c>
      <c r="P1756" s="69">
        <f>uurtarief12</f>
        <v>0</v>
      </c>
      <c r="Q1756" s="66" t="e">
        <f>IF(ISBLANK(M1756),0,L1756/ROUND(M1756,4))</f>
        <v>#DIV/0!</v>
      </c>
      <c r="R1756" s="66" t="e">
        <f>IF(ISBLANK(M1756),0,Q1756*ROUND(N1756,2))</f>
        <v>#DIV/0!</v>
      </c>
      <c r="S1756" s="69" t="e">
        <f>ROUND(P1756,2)*Q1756</f>
        <v>#DIV/0!</v>
      </c>
      <c r="T1756" s="66" t="e">
        <f>Q1756*dagenperjaar1</f>
        <v>#DIV/0!</v>
      </c>
      <c r="U1756" s="70" t="e">
        <f>T1756*ROUND(P1756,2)</f>
        <v>#DIV/0!</v>
      </c>
    </row>
    <row r="1757" spans="1:21" x14ac:dyDescent="0.2">
      <c r="A1757" s="63" t="s">
        <v>2099</v>
      </c>
      <c r="B1757" s="64" t="s">
        <v>324</v>
      </c>
      <c r="C1757" s="64" t="s">
        <v>345</v>
      </c>
      <c r="D1757" s="64" t="s">
        <v>2158</v>
      </c>
      <c r="E1757" s="64" t="s">
        <v>2159</v>
      </c>
      <c r="F1757" s="65" t="s">
        <v>2152</v>
      </c>
      <c r="G1757" s="64" t="s">
        <v>328</v>
      </c>
      <c r="H1757" s="64" t="s">
        <v>229</v>
      </c>
      <c r="I1757" s="64" t="s">
        <v>10</v>
      </c>
      <c r="J1757" s="64" t="s">
        <v>201</v>
      </c>
      <c r="K1757" s="66">
        <v>52.120000000000005</v>
      </c>
      <c r="L1757" s="66">
        <f>K1757*VLOOKUP(I1757,dagsoorttabel1,2,FALSE)</f>
        <v>52.120000000000005</v>
      </c>
      <c r="M1757" s="67">
        <f>prodnorm43</f>
        <v>0</v>
      </c>
      <c r="N1757" s="68">
        <f>dagwerk43</f>
        <v>0</v>
      </c>
      <c r="O1757" s="64" t="s">
        <v>38</v>
      </c>
      <c r="P1757" s="69">
        <f>uurtarief43</f>
        <v>0</v>
      </c>
      <c r="Q1757" s="66" t="e">
        <f>IF(ISBLANK(M1757),0,L1757/ROUND(M1757,4))</f>
        <v>#DIV/0!</v>
      </c>
      <c r="R1757" s="66" t="e">
        <f>IF(ISBLANK(M1757),0,Q1757*ROUND(N1757,2))</f>
        <v>#DIV/0!</v>
      </c>
      <c r="S1757" s="69" t="e">
        <f>ROUND(P1757,2)*Q1757</f>
        <v>#DIV/0!</v>
      </c>
      <c r="T1757" s="66" t="e">
        <f>Q1757*dagenperjaar1</f>
        <v>#DIV/0!</v>
      </c>
      <c r="U1757" s="70" t="e">
        <f>T1757*ROUND(P1757,2)</f>
        <v>#DIV/0!</v>
      </c>
    </row>
    <row r="1758" spans="1:21" x14ac:dyDescent="0.2">
      <c r="A1758" s="63" t="s">
        <v>2099</v>
      </c>
      <c r="B1758" s="64" t="s">
        <v>324</v>
      </c>
      <c r="C1758" s="64" t="s">
        <v>345</v>
      </c>
      <c r="D1758" s="64" t="s">
        <v>2160</v>
      </c>
      <c r="E1758" s="64" t="s">
        <v>2161</v>
      </c>
      <c r="F1758" s="65" t="s">
        <v>2162</v>
      </c>
      <c r="G1758" s="64" t="s">
        <v>328</v>
      </c>
      <c r="H1758" s="64" t="s">
        <v>273</v>
      </c>
      <c r="I1758" s="64" t="s">
        <v>16</v>
      </c>
      <c r="J1758" s="64" t="s">
        <v>274</v>
      </c>
      <c r="K1758" s="66">
        <v>51.27</v>
      </c>
      <c r="L1758" s="66">
        <f>K1758*VLOOKUP(I1758,dagsoorttabel1,2,FALSE)</f>
        <v>10.254000000000001</v>
      </c>
      <c r="M1758" s="67">
        <f>prodnorm12</f>
        <v>0</v>
      </c>
      <c r="N1758" s="68">
        <f>dagwerk12</f>
        <v>0</v>
      </c>
      <c r="O1758" s="64" t="s">
        <v>38</v>
      </c>
      <c r="P1758" s="69">
        <f>uurtarief12</f>
        <v>0</v>
      </c>
      <c r="Q1758" s="66" t="e">
        <f>IF(ISBLANK(M1758),0,L1758/ROUND(M1758,4))</f>
        <v>#DIV/0!</v>
      </c>
      <c r="R1758" s="66" t="e">
        <f>IF(ISBLANK(M1758),0,Q1758*ROUND(N1758,2))</f>
        <v>#DIV/0!</v>
      </c>
      <c r="S1758" s="69" t="e">
        <f>ROUND(P1758,2)*Q1758</f>
        <v>#DIV/0!</v>
      </c>
      <c r="T1758" s="66" t="e">
        <f>Q1758*dagenperjaar1</f>
        <v>#DIV/0!</v>
      </c>
      <c r="U1758" s="70" t="e">
        <f>T1758*ROUND(P1758,2)</f>
        <v>#DIV/0!</v>
      </c>
    </row>
    <row r="1759" spans="1:21" x14ac:dyDescent="0.2">
      <c r="A1759" s="63" t="s">
        <v>2099</v>
      </c>
      <c r="B1759" s="64" t="s">
        <v>324</v>
      </c>
      <c r="C1759" s="64" t="s">
        <v>345</v>
      </c>
      <c r="D1759" s="64" t="s">
        <v>2160</v>
      </c>
      <c r="E1759" s="64" t="s">
        <v>2161</v>
      </c>
      <c r="F1759" s="65" t="s">
        <v>2162</v>
      </c>
      <c r="G1759" s="64" t="s">
        <v>328</v>
      </c>
      <c r="H1759" s="64" t="s">
        <v>229</v>
      </c>
      <c r="I1759" s="64" t="s">
        <v>10</v>
      </c>
      <c r="J1759" s="64" t="s">
        <v>201</v>
      </c>
      <c r="K1759" s="66">
        <v>51.27</v>
      </c>
      <c r="L1759" s="66">
        <f>K1759*VLOOKUP(I1759,dagsoorttabel1,2,FALSE)</f>
        <v>51.27</v>
      </c>
      <c r="M1759" s="67">
        <f>prodnorm43</f>
        <v>0</v>
      </c>
      <c r="N1759" s="68">
        <f>dagwerk43</f>
        <v>0</v>
      </c>
      <c r="O1759" s="64" t="s">
        <v>38</v>
      </c>
      <c r="P1759" s="69">
        <f>uurtarief43</f>
        <v>0</v>
      </c>
      <c r="Q1759" s="66" t="e">
        <f>IF(ISBLANK(M1759),0,L1759/ROUND(M1759,4))</f>
        <v>#DIV/0!</v>
      </c>
      <c r="R1759" s="66" t="e">
        <f>IF(ISBLANK(M1759),0,Q1759*ROUND(N1759,2))</f>
        <v>#DIV/0!</v>
      </c>
      <c r="S1759" s="69" t="e">
        <f>ROUND(P1759,2)*Q1759</f>
        <v>#DIV/0!</v>
      </c>
      <c r="T1759" s="66" t="e">
        <f>Q1759*dagenperjaar1</f>
        <v>#DIV/0!</v>
      </c>
      <c r="U1759" s="70" t="e">
        <f>T1759*ROUND(P1759,2)</f>
        <v>#DIV/0!</v>
      </c>
    </row>
    <row r="1760" spans="1:21" x14ac:dyDescent="0.2">
      <c r="A1760" s="63" t="s">
        <v>2099</v>
      </c>
      <c r="B1760" s="64" t="s">
        <v>324</v>
      </c>
      <c r="C1760" s="64" t="s">
        <v>345</v>
      </c>
      <c r="D1760" s="64" t="s">
        <v>2107</v>
      </c>
      <c r="E1760" s="64" t="s">
        <v>2163</v>
      </c>
      <c r="F1760" s="65" t="s">
        <v>2162</v>
      </c>
      <c r="G1760" s="64" t="s">
        <v>328</v>
      </c>
      <c r="H1760" s="64" t="s">
        <v>273</v>
      </c>
      <c r="I1760" s="64" t="s">
        <v>16</v>
      </c>
      <c r="J1760" s="64" t="s">
        <v>274</v>
      </c>
      <c r="K1760" s="66">
        <v>50.55</v>
      </c>
      <c r="L1760" s="66">
        <f>K1760*VLOOKUP(I1760,dagsoorttabel1,2,FALSE)</f>
        <v>10.11</v>
      </c>
      <c r="M1760" s="67">
        <f>prodnorm12</f>
        <v>0</v>
      </c>
      <c r="N1760" s="68">
        <f>dagwerk12</f>
        <v>0</v>
      </c>
      <c r="O1760" s="64" t="s">
        <v>38</v>
      </c>
      <c r="P1760" s="69">
        <f>uurtarief12</f>
        <v>0</v>
      </c>
      <c r="Q1760" s="66" t="e">
        <f>IF(ISBLANK(M1760),0,L1760/ROUND(M1760,4))</f>
        <v>#DIV/0!</v>
      </c>
      <c r="R1760" s="66" t="e">
        <f>IF(ISBLANK(M1760),0,Q1760*ROUND(N1760,2))</f>
        <v>#DIV/0!</v>
      </c>
      <c r="S1760" s="69" t="e">
        <f>ROUND(P1760,2)*Q1760</f>
        <v>#DIV/0!</v>
      </c>
      <c r="T1760" s="66" t="e">
        <f>Q1760*dagenperjaar1</f>
        <v>#DIV/0!</v>
      </c>
      <c r="U1760" s="70" t="e">
        <f>T1760*ROUND(P1760,2)</f>
        <v>#DIV/0!</v>
      </c>
    </row>
    <row r="1761" spans="1:21" x14ac:dyDescent="0.2">
      <c r="A1761" s="63" t="s">
        <v>2099</v>
      </c>
      <c r="B1761" s="64" t="s">
        <v>324</v>
      </c>
      <c r="C1761" s="64" t="s">
        <v>345</v>
      </c>
      <c r="D1761" s="64" t="s">
        <v>2107</v>
      </c>
      <c r="E1761" s="64" t="s">
        <v>2163</v>
      </c>
      <c r="F1761" s="65" t="s">
        <v>2162</v>
      </c>
      <c r="G1761" s="64" t="s">
        <v>328</v>
      </c>
      <c r="H1761" s="64" t="s">
        <v>229</v>
      </c>
      <c r="I1761" s="64" t="s">
        <v>10</v>
      </c>
      <c r="J1761" s="64" t="s">
        <v>201</v>
      </c>
      <c r="K1761" s="66">
        <v>50.55</v>
      </c>
      <c r="L1761" s="66">
        <f>K1761*VLOOKUP(I1761,dagsoorttabel1,2,FALSE)</f>
        <v>50.55</v>
      </c>
      <c r="M1761" s="67">
        <f>prodnorm43</f>
        <v>0</v>
      </c>
      <c r="N1761" s="68">
        <f>dagwerk43</f>
        <v>0</v>
      </c>
      <c r="O1761" s="64" t="s">
        <v>38</v>
      </c>
      <c r="P1761" s="69">
        <f>uurtarief43</f>
        <v>0</v>
      </c>
      <c r="Q1761" s="66" t="e">
        <f>IF(ISBLANK(M1761),0,L1761/ROUND(M1761,4))</f>
        <v>#DIV/0!</v>
      </c>
      <c r="R1761" s="66" t="e">
        <f>IF(ISBLANK(M1761),0,Q1761*ROUND(N1761,2))</f>
        <v>#DIV/0!</v>
      </c>
      <c r="S1761" s="69" t="e">
        <f>ROUND(P1761,2)*Q1761</f>
        <v>#DIV/0!</v>
      </c>
      <c r="T1761" s="66" t="e">
        <f>Q1761*dagenperjaar1</f>
        <v>#DIV/0!</v>
      </c>
      <c r="U1761" s="70" t="e">
        <f>T1761*ROUND(P1761,2)</f>
        <v>#DIV/0!</v>
      </c>
    </row>
    <row r="1762" spans="1:21" x14ac:dyDescent="0.2">
      <c r="A1762" s="63" t="s">
        <v>2099</v>
      </c>
      <c r="B1762" s="64" t="s">
        <v>324</v>
      </c>
      <c r="C1762" s="64" t="s">
        <v>345</v>
      </c>
      <c r="D1762" s="64" t="s">
        <v>2110</v>
      </c>
      <c r="E1762" s="64" t="s">
        <v>2164</v>
      </c>
      <c r="F1762" s="65" t="s">
        <v>2165</v>
      </c>
      <c r="G1762" s="64" t="s">
        <v>328</v>
      </c>
      <c r="H1762" s="64" t="s">
        <v>273</v>
      </c>
      <c r="I1762" s="64" t="s">
        <v>16</v>
      </c>
      <c r="J1762" s="64" t="s">
        <v>274</v>
      </c>
      <c r="K1762" s="66">
        <v>51.48</v>
      </c>
      <c r="L1762" s="66">
        <f>K1762*VLOOKUP(I1762,dagsoorttabel1,2,FALSE)</f>
        <v>10.295999999999999</v>
      </c>
      <c r="M1762" s="67">
        <f>prodnorm12</f>
        <v>0</v>
      </c>
      <c r="N1762" s="68">
        <f>dagwerk12</f>
        <v>0</v>
      </c>
      <c r="O1762" s="64" t="s">
        <v>38</v>
      </c>
      <c r="P1762" s="69">
        <f>uurtarief12</f>
        <v>0</v>
      </c>
      <c r="Q1762" s="66" t="e">
        <f>IF(ISBLANK(M1762),0,L1762/ROUND(M1762,4))</f>
        <v>#DIV/0!</v>
      </c>
      <c r="R1762" s="66" t="e">
        <f>IF(ISBLANK(M1762),0,Q1762*ROUND(N1762,2))</f>
        <v>#DIV/0!</v>
      </c>
      <c r="S1762" s="69" t="e">
        <f>ROUND(P1762,2)*Q1762</f>
        <v>#DIV/0!</v>
      </c>
      <c r="T1762" s="66" t="e">
        <f>Q1762*dagenperjaar1</f>
        <v>#DIV/0!</v>
      </c>
      <c r="U1762" s="70" t="e">
        <f>T1762*ROUND(P1762,2)</f>
        <v>#DIV/0!</v>
      </c>
    </row>
    <row r="1763" spans="1:21" x14ac:dyDescent="0.2">
      <c r="A1763" s="63" t="s">
        <v>2099</v>
      </c>
      <c r="B1763" s="64" t="s">
        <v>324</v>
      </c>
      <c r="C1763" s="64" t="s">
        <v>345</v>
      </c>
      <c r="D1763" s="64" t="s">
        <v>2110</v>
      </c>
      <c r="E1763" s="64" t="s">
        <v>2164</v>
      </c>
      <c r="F1763" s="65" t="s">
        <v>2165</v>
      </c>
      <c r="G1763" s="64" t="s">
        <v>328</v>
      </c>
      <c r="H1763" s="64" t="s">
        <v>229</v>
      </c>
      <c r="I1763" s="64" t="s">
        <v>10</v>
      </c>
      <c r="J1763" s="64" t="s">
        <v>201</v>
      </c>
      <c r="K1763" s="66">
        <v>51.48</v>
      </c>
      <c r="L1763" s="66">
        <f>K1763*VLOOKUP(I1763,dagsoorttabel1,2,FALSE)</f>
        <v>51.48</v>
      </c>
      <c r="M1763" s="67">
        <f>prodnorm43</f>
        <v>0</v>
      </c>
      <c r="N1763" s="68">
        <f>dagwerk43</f>
        <v>0</v>
      </c>
      <c r="O1763" s="64" t="s">
        <v>38</v>
      </c>
      <c r="P1763" s="69">
        <f>uurtarief43</f>
        <v>0</v>
      </c>
      <c r="Q1763" s="66" t="e">
        <f>IF(ISBLANK(M1763),0,L1763/ROUND(M1763,4))</f>
        <v>#DIV/0!</v>
      </c>
      <c r="R1763" s="66" t="e">
        <f>IF(ISBLANK(M1763),0,Q1763*ROUND(N1763,2))</f>
        <v>#DIV/0!</v>
      </c>
      <c r="S1763" s="69" t="e">
        <f>ROUND(P1763,2)*Q1763</f>
        <v>#DIV/0!</v>
      </c>
      <c r="T1763" s="66" t="e">
        <f>Q1763*dagenperjaar1</f>
        <v>#DIV/0!</v>
      </c>
      <c r="U1763" s="70" t="e">
        <f>T1763*ROUND(P1763,2)</f>
        <v>#DIV/0!</v>
      </c>
    </row>
    <row r="1764" spans="1:21" x14ac:dyDescent="0.2">
      <c r="A1764" s="63" t="s">
        <v>2099</v>
      </c>
      <c r="B1764" s="64" t="s">
        <v>324</v>
      </c>
      <c r="C1764" s="64" t="s">
        <v>345</v>
      </c>
      <c r="D1764" s="64" t="s">
        <v>2166</v>
      </c>
      <c r="E1764" s="64" t="s">
        <v>2167</v>
      </c>
      <c r="F1764" s="65" t="s">
        <v>2165</v>
      </c>
      <c r="G1764" s="64" t="s">
        <v>328</v>
      </c>
      <c r="H1764" s="64" t="s">
        <v>273</v>
      </c>
      <c r="I1764" s="64" t="s">
        <v>16</v>
      </c>
      <c r="J1764" s="64" t="s">
        <v>274</v>
      </c>
      <c r="K1764" s="66">
        <v>51.28</v>
      </c>
      <c r="L1764" s="66">
        <f>K1764*VLOOKUP(I1764,dagsoorttabel1,2,FALSE)</f>
        <v>10.256</v>
      </c>
      <c r="M1764" s="67">
        <f>prodnorm12</f>
        <v>0</v>
      </c>
      <c r="N1764" s="68">
        <f>dagwerk12</f>
        <v>0</v>
      </c>
      <c r="O1764" s="64" t="s">
        <v>38</v>
      </c>
      <c r="P1764" s="69">
        <f>uurtarief12</f>
        <v>0</v>
      </c>
      <c r="Q1764" s="66" t="e">
        <f>IF(ISBLANK(M1764),0,L1764/ROUND(M1764,4))</f>
        <v>#DIV/0!</v>
      </c>
      <c r="R1764" s="66" t="e">
        <f>IF(ISBLANK(M1764),0,Q1764*ROUND(N1764,2))</f>
        <v>#DIV/0!</v>
      </c>
      <c r="S1764" s="69" t="e">
        <f>ROUND(P1764,2)*Q1764</f>
        <v>#DIV/0!</v>
      </c>
      <c r="T1764" s="66" t="e">
        <f>Q1764*dagenperjaar1</f>
        <v>#DIV/0!</v>
      </c>
      <c r="U1764" s="70" t="e">
        <f>T1764*ROUND(P1764,2)</f>
        <v>#DIV/0!</v>
      </c>
    </row>
    <row r="1765" spans="1:21" x14ac:dyDescent="0.2">
      <c r="A1765" s="63" t="s">
        <v>2099</v>
      </c>
      <c r="B1765" s="64" t="s">
        <v>324</v>
      </c>
      <c r="C1765" s="64" t="s">
        <v>345</v>
      </c>
      <c r="D1765" s="64" t="s">
        <v>2166</v>
      </c>
      <c r="E1765" s="64" t="s">
        <v>2167</v>
      </c>
      <c r="F1765" s="65" t="s">
        <v>2165</v>
      </c>
      <c r="G1765" s="64" t="s">
        <v>328</v>
      </c>
      <c r="H1765" s="64" t="s">
        <v>229</v>
      </c>
      <c r="I1765" s="64" t="s">
        <v>10</v>
      </c>
      <c r="J1765" s="64" t="s">
        <v>201</v>
      </c>
      <c r="K1765" s="66">
        <v>51.28</v>
      </c>
      <c r="L1765" s="66">
        <f>K1765*VLOOKUP(I1765,dagsoorttabel1,2,FALSE)</f>
        <v>51.28</v>
      </c>
      <c r="M1765" s="67">
        <f>prodnorm43</f>
        <v>0</v>
      </c>
      <c r="N1765" s="68">
        <f>dagwerk43</f>
        <v>0</v>
      </c>
      <c r="O1765" s="64" t="s">
        <v>38</v>
      </c>
      <c r="P1765" s="69">
        <f>uurtarief43</f>
        <v>0</v>
      </c>
      <c r="Q1765" s="66" t="e">
        <f>IF(ISBLANK(M1765),0,L1765/ROUND(M1765,4))</f>
        <v>#DIV/0!</v>
      </c>
      <c r="R1765" s="66" t="e">
        <f>IF(ISBLANK(M1765),0,Q1765*ROUND(N1765,2))</f>
        <v>#DIV/0!</v>
      </c>
      <c r="S1765" s="69" t="e">
        <f>ROUND(P1765,2)*Q1765</f>
        <v>#DIV/0!</v>
      </c>
      <c r="T1765" s="66" t="e">
        <f>Q1765*dagenperjaar1</f>
        <v>#DIV/0!</v>
      </c>
      <c r="U1765" s="70" t="e">
        <f>T1765*ROUND(P1765,2)</f>
        <v>#DIV/0!</v>
      </c>
    </row>
    <row r="1766" spans="1:21" x14ac:dyDescent="0.2">
      <c r="A1766" s="63" t="s">
        <v>2099</v>
      </c>
      <c r="B1766" s="64" t="s">
        <v>324</v>
      </c>
      <c r="C1766" s="64" t="s">
        <v>345</v>
      </c>
      <c r="D1766" s="64" t="s">
        <v>2168</v>
      </c>
      <c r="E1766" s="64" t="s">
        <v>2169</v>
      </c>
      <c r="F1766" s="65" t="s">
        <v>2170</v>
      </c>
      <c r="G1766" s="64" t="s">
        <v>328</v>
      </c>
      <c r="H1766" s="64" t="s">
        <v>273</v>
      </c>
      <c r="I1766" s="64" t="s">
        <v>16</v>
      </c>
      <c r="J1766" s="64" t="s">
        <v>274</v>
      </c>
      <c r="K1766" s="66">
        <v>51.41</v>
      </c>
      <c r="L1766" s="66">
        <f>K1766*VLOOKUP(I1766,dagsoorttabel1,2,FALSE)</f>
        <v>10.282</v>
      </c>
      <c r="M1766" s="67">
        <f>prodnorm12</f>
        <v>0</v>
      </c>
      <c r="N1766" s="68">
        <f>dagwerk12</f>
        <v>0</v>
      </c>
      <c r="O1766" s="64" t="s">
        <v>38</v>
      </c>
      <c r="P1766" s="69">
        <f>uurtarief12</f>
        <v>0</v>
      </c>
      <c r="Q1766" s="66" t="e">
        <f>IF(ISBLANK(M1766),0,L1766/ROUND(M1766,4))</f>
        <v>#DIV/0!</v>
      </c>
      <c r="R1766" s="66" t="e">
        <f>IF(ISBLANK(M1766),0,Q1766*ROUND(N1766,2))</f>
        <v>#DIV/0!</v>
      </c>
      <c r="S1766" s="69" t="e">
        <f>ROUND(P1766,2)*Q1766</f>
        <v>#DIV/0!</v>
      </c>
      <c r="T1766" s="66" t="e">
        <f>Q1766*dagenperjaar1</f>
        <v>#DIV/0!</v>
      </c>
      <c r="U1766" s="70" t="e">
        <f>T1766*ROUND(P1766,2)</f>
        <v>#DIV/0!</v>
      </c>
    </row>
    <row r="1767" spans="1:21" x14ac:dyDescent="0.2">
      <c r="A1767" s="63" t="s">
        <v>2099</v>
      </c>
      <c r="B1767" s="64" t="s">
        <v>324</v>
      </c>
      <c r="C1767" s="64" t="s">
        <v>345</v>
      </c>
      <c r="D1767" s="64" t="s">
        <v>2168</v>
      </c>
      <c r="E1767" s="64" t="s">
        <v>2169</v>
      </c>
      <c r="F1767" s="65" t="s">
        <v>2170</v>
      </c>
      <c r="G1767" s="64" t="s">
        <v>328</v>
      </c>
      <c r="H1767" s="64" t="s">
        <v>229</v>
      </c>
      <c r="I1767" s="64" t="s">
        <v>10</v>
      </c>
      <c r="J1767" s="64" t="s">
        <v>201</v>
      </c>
      <c r="K1767" s="66">
        <v>51.41</v>
      </c>
      <c r="L1767" s="66">
        <f>K1767*VLOOKUP(I1767,dagsoorttabel1,2,FALSE)</f>
        <v>51.41</v>
      </c>
      <c r="M1767" s="67">
        <f>prodnorm43</f>
        <v>0</v>
      </c>
      <c r="N1767" s="68">
        <f>dagwerk43</f>
        <v>0</v>
      </c>
      <c r="O1767" s="64" t="s">
        <v>38</v>
      </c>
      <c r="P1767" s="69">
        <f>uurtarief43</f>
        <v>0</v>
      </c>
      <c r="Q1767" s="66" t="e">
        <f>IF(ISBLANK(M1767),0,L1767/ROUND(M1767,4))</f>
        <v>#DIV/0!</v>
      </c>
      <c r="R1767" s="66" t="e">
        <f>IF(ISBLANK(M1767),0,Q1767*ROUND(N1767,2))</f>
        <v>#DIV/0!</v>
      </c>
      <c r="S1767" s="69" t="e">
        <f>ROUND(P1767,2)*Q1767</f>
        <v>#DIV/0!</v>
      </c>
      <c r="T1767" s="66" t="e">
        <f>Q1767*dagenperjaar1</f>
        <v>#DIV/0!</v>
      </c>
      <c r="U1767" s="70" t="e">
        <f>T1767*ROUND(P1767,2)</f>
        <v>#DIV/0!</v>
      </c>
    </row>
    <row r="1768" spans="1:21" x14ac:dyDescent="0.2">
      <c r="A1768" s="63" t="s">
        <v>2099</v>
      </c>
      <c r="B1768" s="64" t="s">
        <v>324</v>
      </c>
      <c r="C1768" s="64" t="s">
        <v>345</v>
      </c>
      <c r="D1768" s="64" t="s">
        <v>2113</v>
      </c>
      <c r="E1768" s="64" t="s">
        <v>2171</v>
      </c>
      <c r="F1768" s="65" t="s">
        <v>2172</v>
      </c>
      <c r="G1768" s="64" t="s">
        <v>328</v>
      </c>
      <c r="H1768" s="64" t="s">
        <v>273</v>
      </c>
      <c r="I1768" s="64" t="s">
        <v>16</v>
      </c>
      <c r="J1768" s="64" t="s">
        <v>274</v>
      </c>
      <c r="K1768" s="66">
        <v>69.510000000000005</v>
      </c>
      <c r="L1768" s="66">
        <f>K1768*VLOOKUP(I1768,dagsoorttabel1,2,FALSE)</f>
        <v>13.902000000000001</v>
      </c>
      <c r="M1768" s="67">
        <f>prodnorm12</f>
        <v>0</v>
      </c>
      <c r="N1768" s="68">
        <f>dagwerk12</f>
        <v>0</v>
      </c>
      <c r="O1768" s="64" t="s">
        <v>38</v>
      </c>
      <c r="P1768" s="69">
        <f>uurtarief12</f>
        <v>0</v>
      </c>
      <c r="Q1768" s="66" t="e">
        <f>IF(ISBLANK(M1768),0,L1768/ROUND(M1768,4))</f>
        <v>#DIV/0!</v>
      </c>
      <c r="R1768" s="66" t="e">
        <f>IF(ISBLANK(M1768),0,Q1768*ROUND(N1768,2))</f>
        <v>#DIV/0!</v>
      </c>
      <c r="S1768" s="69" t="e">
        <f>ROUND(P1768,2)*Q1768</f>
        <v>#DIV/0!</v>
      </c>
      <c r="T1768" s="66" t="e">
        <f>Q1768*dagenperjaar1</f>
        <v>#DIV/0!</v>
      </c>
      <c r="U1768" s="70" t="e">
        <f>T1768*ROUND(P1768,2)</f>
        <v>#DIV/0!</v>
      </c>
    </row>
    <row r="1769" spans="1:21" x14ac:dyDescent="0.2">
      <c r="A1769" s="63" t="s">
        <v>2099</v>
      </c>
      <c r="B1769" s="64" t="s">
        <v>324</v>
      </c>
      <c r="C1769" s="64" t="s">
        <v>345</v>
      </c>
      <c r="D1769" s="64" t="s">
        <v>2113</v>
      </c>
      <c r="E1769" s="64" t="s">
        <v>2171</v>
      </c>
      <c r="F1769" s="65" t="s">
        <v>2172</v>
      </c>
      <c r="G1769" s="64" t="s">
        <v>328</v>
      </c>
      <c r="H1769" s="64" t="s">
        <v>229</v>
      </c>
      <c r="I1769" s="64" t="s">
        <v>10</v>
      </c>
      <c r="J1769" s="64" t="s">
        <v>201</v>
      </c>
      <c r="K1769" s="66">
        <v>69.510000000000005</v>
      </c>
      <c r="L1769" s="66">
        <f>K1769*VLOOKUP(I1769,dagsoorttabel1,2,FALSE)</f>
        <v>69.510000000000005</v>
      </c>
      <c r="M1769" s="67">
        <f>prodnorm43</f>
        <v>0</v>
      </c>
      <c r="N1769" s="68">
        <f>dagwerk43</f>
        <v>0</v>
      </c>
      <c r="O1769" s="64" t="s">
        <v>38</v>
      </c>
      <c r="P1769" s="69">
        <f>uurtarief43</f>
        <v>0</v>
      </c>
      <c r="Q1769" s="66" t="e">
        <f>IF(ISBLANK(M1769),0,L1769/ROUND(M1769,4))</f>
        <v>#DIV/0!</v>
      </c>
      <c r="R1769" s="66" t="e">
        <f>IF(ISBLANK(M1769),0,Q1769*ROUND(N1769,2))</f>
        <v>#DIV/0!</v>
      </c>
      <c r="S1769" s="69" t="e">
        <f>ROUND(P1769,2)*Q1769</f>
        <v>#DIV/0!</v>
      </c>
      <c r="T1769" s="66" t="e">
        <f>Q1769*dagenperjaar1</f>
        <v>#DIV/0!</v>
      </c>
      <c r="U1769" s="70" t="e">
        <f>T1769*ROUND(P1769,2)</f>
        <v>#DIV/0!</v>
      </c>
    </row>
    <row r="1770" spans="1:21" x14ac:dyDescent="0.2">
      <c r="A1770" s="63" t="s">
        <v>2099</v>
      </c>
      <c r="B1770" s="64" t="s">
        <v>324</v>
      </c>
      <c r="C1770" s="64" t="s">
        <v>345</v>
      </c>
      <c r="D1770" s="64" t="s">
        <v>2173</v>
      </c>
      <c r="E1770" s="64" t="s">
        <v>2174</v>
      </c>
      <c r="F1770" s="65" t="s">
        <v>354</v>
      </c>
      <c r="G1770" s="64" t="s">
        <v>685</v>
      </c>
      <c r="H1770" s="64" t="s">
        <v>215</v>
      </c>
      <c r="I1770" s="64" t="s">
        <v>10</v>
      </c>
      <c r="J1770" s="64" t="s">
        <v>201</v>
      </c>
      <c r="K1770" s="66">
        <v>7.74</v>
      </c>
      <c r="L1770" s="66">
        <f>K1770*VLOOKUP(I1770,dagsoorttabel1,2,FALSE)</f>
        <v>7.74</v>
      </c>
      <c r="M1770" s="67">
        <f>prodnorm34</f>
        <v>0</v>
      </c>
      <c r="N1770" s="68">
        <f>dagwerk34</f>
        <v>0</v>
      </c>
      <c r="O1770" s="64" t="s">
        <v>38</v>
      </c>
      <c r="P1770" s="69">
        <f>uurtarief34</f>
        <v>0</v>
      </c>
      <c r="Q1770" s="66" t="e">
        <f>IF(ISBLANK(M1770),0,L1770/ROUND(M1770,4))</f>
        <v>#DIV/0!</v>
      </c>
      <c r="R1770" s="66" t="e">
        <f>IF(ISBLANK(M1770),0,Q1770*ROUND(N1770,2))</f>
        <v>#DIV/0!</v>
      </c>
      <c r="S1770" s="69" t="e">
        <f>ROUND(P1770,2)*Q1770</f>
        <v>#DIV/0!</v>
      </c>
      <c r="T1770" s="66" t="e">
        <f>Q1770*dagenperjaar1</f>
        <v>#DIV/0!</v>
      </c>
      <c r="U1770" s="70" t="e">
        <f>T1770*ROUND(P1770,2)</f>
        <v>#DIV/0!</v>
      </c>
    </row>
    <row r="1771" spans="1:21" x14ac:dyDescent="0.2">
      <c r="A1771" s="63" t="s">
        <v>2099</v>
      </c>
      <c r="B1771" s="64" t="s">
        <v>324</v>
      </c>
      <c r="C1771" s="64" t="s">
        <v>345</v>
      </c>
      <c r="D1771" s="64" t="s">
        <v>2175</v>
      </c>
      <c r="E1771" s="64" t="s">
        <v>2174</v>
      </c>
      <c r="F1771" s="65" t="s">
        <v>347</v>
      </c>
      <c r="G1771" s="64" t="s">
        <v>324</v>
      </c>
      <c r="H1771" s="64" t="s">
        <v>281</v>
      </c>
      <c r="I1771" s="64" t="s">
        <v>10</v>
      </c>
      <c r="J1771" s="64" t="s">
        <v>274</v>
      </c>
      <c r="K1771" s="66">
        <v>10</v>
      </c>
      <c r="L1771" s="66">
        <f>K1771*VLOOKUP(I1771,dagsoorttabel1,2,FALSE)</f>
        <v>10</v>
      </c>
      <c r="M1771" s="67">
        <f>prodnorm15</f>
        <v>0</v>
      </c>
      <c r="N1771" s="68">
        <f>dagwerk15</f>
        <v>0</v>
      </c>
      <c r="O1771" s="64" t="s">
        <v>38</v>
      </c>
      <c r="P1771" s="69">
        <f>uurtarief15</f>
        <v>0</v>
      </c>
      <c r="Q1771" s="66" t="e">
        <f>IF(ISBLANK(M1771),0,L1771/ROUND(M1771,4))</f>
        <v>#DIV/0!</v>
      </c>
      <c r="R1771" s="66" t="e">
        <f>IF(ISBLANK(M1771),0,Q1771*ROUND(N1771,2))</f>
        <v>#DIV/0!</v>
      </c>
      <c r="S1771" s="69" t="e">
        <f>ROUND(P1771,2)*Q1771</f>
        <v>#DIV/0!</v>
      </c>
      <c r="T1771" s="66" t="e">
        <f>Q1771*dagenperjaar1</f>
        <v>#DIV/0!</v>
      </c>
      <c r="U1771" s="70" t="e">
        <f>T1771*ROUND(P1771,2)</f>
        <v>#DIV/0!</v>
      </c>
    </row>
    <row r="1772" spans="1:21" x14ac:dyDescent="0.2">
      <c r="A1772" s="63" t="s">
        <v>2099</v>
      </c>
      <c r="B1772" s="64" t="s">
        <v>324</v>
      </c>
      <c r="C1772" s="64" t="s">
        <v>345</v>
      </c>
      <c r="D1772" s="64" t="s">
        <v>2176</v>
      </c>
      <c r="E1772" s="64" t="s">
        <v>2177</v>
      </c>
      <c r="F1772" s="65" t="s">
        <v>2178</v>
      </c>
      <c r="G1772" s="64" t="s">
        <v>685</v>
      </c>
      <c r="H1772" s="64" t="s">
        <v>215</v>
      </c>
      <c r="I1772" s="64" t="s">
        <v>10</v>
      </c>
      <c r="J1772" s="64" t="s">
        <v>201</v>
      </c>
      <c r="K1772" s="66">
        <v>15.93</v>
      </c>
      <c r="L1772" s="66">
        <f>K1772*VLOOKUP(I1772,dagsoorttabel1,2,FALSE)</f>
        <v>15.93</v>
      </c>
      <c r="M1772" s="67">
        <f>prodnorm34</f>
        <v>0</v>
      </c>
      <c r="N1772" s="68">
        <f>dagwerk34</f>
        <v>0</v>
      </c>
      <c r="O1772" s="64" t="s">
        <v>38</v>
      </c>
      <c r="P1772" s="69">
        <f>uurtarief34</f>
        <v>0</v>
      </c>
      <c r="Q1772" s="66" t="e">
        <f>IF(ISBLANK(M1772),0,L1772/ROUND(M1772,4))</f>
        <v>#DIV/0!</v>
      </c>
      <c r="R1772" s="66" t="e">
        <f>IF(ISBLANK(M1772),0,Q1772*ROUND(N1772,2))</f>
        <v>#DIV/0!</v>
      </c>
      <c r="S1772" s="69" t="e">
        <f>ROUND(P1772,2)*Q1772</f>
        <v>#DIV/0!</v>
      </c>
      <c r="T1772" s="66" t="e">
        <f>Q1772*dagenperjaar1</f>
        <v>#DIV/0!</v>
      </c>
      <c r="U1772" s="70" t="e">
        <f>T1772*ROUND(P1772,2)</f>
        <v>#DIV/0!</v>
      </c>
    </row>
    <row r="1773" spans="1:21" x14ac:dyDescent="0.2">
      <c r="A1773" s="63" t="s">
        <v>2099</v>
      </c>
      <c r="B1773" s="64" t="s">
        <v>324</v>
      </c>
      <c r="C1773" s="64" t="s">
        <v>345</v>
      </c>
      <c r="D1773" s="64" t="s">
        <v>2179</v>
      </c>
      <c r="E1773" s="64" t="s">
        <v>2177</v>
      </c>
      <c r="F1773" s="65" t="s">
        <v>347</v>
      </c>
      <c r="G1773" s="64" t="s">
        <v>324</v>
      </c>
      <c r="H1773" s="64" t="s">
        <v>281</v>
      </c>
      <c r="I1773" s="64" t="s">
        <v>10</v>
      </c>
      <c r="J1773" s="64" t="s">
        <v>274</v>
      </c>
      <c r="K1773" s="66">
        <v>10</v>
      </c>
      <c r="L1773" s="66">
        <f>K1773*VLOOKUP(I1773,dagsoorttabel1,2,FALSE)</f>
        <v>10</v>
      </c>
      <c r="M1773" s="67">
        <f>prodnorm15</f>
        <v>0</v>
      </c>
      <c r="N1773" s="68">
        <f>dagwerk15</f>
        <v>0</v>
      </c>
      <c r="O1773" s="64" t="s">
        <v>38</v>
      </c>
      <c r="P1773" s="69">
        <f>uurtarief15</f>
        <v>0</v>
      </c>
      <c r="Q1773" s="66" t="e">
        <f>IF(ISBLANK(M1773),0,L1773/ROUND(M1773,4))</f>
        <v>#DIV/0!</v>
      </c>
      <c r="R1773" s="66" t="e">
        <f>IF(ISBLANK(M1773),0,Q1773*ROUND(N1773,2))</f>
        <v>#DIV/0!</v>
      </c>
      <c r="S1773" s="69" t="e">
        <f>ROUND(P1773,2)*Q1773</f>
        <v>#DIV/0!</v>
      </c>
      <c r="T1773" s="66" t="e">
        <f>Q1773*dagenperjaar1</f>
        <v>#DIV/0!</v>
      </c>
      <c r="U1773" s="70" t="e">
        <f>T1773*ROUND(P1773,2)</f>
        <v>#DIV/0!</v>
      </c>
    </row>
    <row r="1774" spans="1:21" x14ac:dyDescent="0.2">
      <c r="A1774" s="63" t="s">
        <v>2099</v>
      </c>
      <c r="B1774" s="64" t="s">
        <v>324</v>
      </c>
      <c r="C1774" s="64" t="s">
        <v>345</v>
      </c>
      <c r="D1774" s="64" t="s">
        <v>2180</v>
      </c>
      <c r="E1774" s="64" t="s">
        <v>2181</v>
      </c>
      <c r="F1774" s="65" t="s">
        <v>2182</v>
      </c>
      <c r="G1774" s="64" t="s">
        <v>328</v>
      </c>
      <c r="H1774" s="64" t="s">
        <v>237</v>
      </c>
      <c r="I1774" s="64" t="s">
        <v>19</v>
      </c>
      <c r="J1774" s="64" t="s">
        <v>201</v>
      </c>
      <c r="K1774" s="66">
        <v>8.02</v>
      </c>
      <c r="L1774" s="66">
        <f>K1774*VLOOKUP(I1774,dagsoorttabel1,2,FALSE)</f>
        <v>0.40100000000000002</v>
      </c>
      <c r="M1774" s="67">
        <f>prodnorm47</f>
        <v>0</v>
      </c>
      <c r="N1774" s="68">
        <f>dagwerk47</f>
        <v>0</v>
      </c>
      <c r="O1774" s="64" t="s">
        <v>38</v>
      </c>
      <c r="P1774" s="69">
        <f>uurtarief47</f>
        <v>0</v>
      </c>
      <c r="Q1774" s="66" t="e">
        <f>IF(ISBLANK(M1774),0,L1774/ROUND(M1774,4))</f>
        <v>#DIV/0!</v>
      </c>
      <c r="R1774" s="66" t="e">
        <f>IF(ISBLANK(M1774),0,Q1774*ROUND(N1774,2))</f>
        <v>#DIV/0!</v>
      </c>
      <c r="S1774" s="69" t="e">
        <f>ROUND(P1774,2)*Q1774</f>
        <v>#DIV/0!</v>
      </c>
      <c r="T1774" s="66" t="e">
        <f>Q1774*dagenperjaar1</f>
        <v>#DIV/0!</v>
      </c>
      <c r="U1774" s="70" t="e">
        <f>T1774*ROUND(P1774,2)</f>
        <v>#DIV/0!</v>
      </c>
    </row>
    <row r="1775" spans="1:21" ht="25.5" x14ac:dyDescent="0.2">
      <c r="A1775" s="63" t="s">
        <v>2099</v>
      </c>
      <c r="B1775" s="64" t="s">
        <v>324</v>
      </c>
      <c r="C1775" s="64" t="s">
        <v>345</v>
      </c>
      <c r="D1775" s="64" t="s">
        <v>2183</v>
      </c>
      <c r="E1775" s="64" t="s">
        <v>377</v>
      </c>
      <c r="F1775" s="65" t="s">
        <v>2184</v>
      </c>
      <c r="G1775" s="64" t="s">
        <v>328</v>
      </c>
      <c r="H1775" s="64" t="s">
        <v>205</v>
      </c>
      <c r="I1775" s="64" t="s">
        <v>10</v>
      </c>
      <c r="J1775" s="64" t="s">
        <v>201</v>
      </c>
      <c r="K1775" s="66">
        <v>17.510000000000002</v>
      </c>
      <c r="L1775" s="66">
        <f>K1775*VLOOKUP(I1775,dagsoorttabel1,2,FALSE)</f>
        <v>17.510000000000002</v>
      </c>
      <c r="M1775" s="67">
        <f>prodnorm26</f>
        <v>0</v>
      </c>
      <c r="N1775" s="68">
        <f>dagwerk26</f>
        <v>0</v>
      </c>
      <c r="O1775" s="64" t="s">
        <v>38</v>
      </c>
      <c r="P1775" s="69">
        <f>uurtarief26</f>
        <v>0</v>
      </c>
      <c r="Q1775" s="66" t="e">
        <f>IF(ISBLANK(M1775),0,L1775/ROUND(M1775,4))</f>
        <v>#DIV/0!</v>
      </c>
      <c r="R1775" s="66" t="e">
        <f>IF(ISBLANK(M1775),0,Q1775*ROUND(N1775,2))</f>
        <v>#DIV/0!</v>
      </c>
      <c r="S1775" s="69" t="e">
        <f>ROUND(P1775,2)*Q1775</f>
        <v>#DIV/0!</v>
      </c>
      <c r="T1775" s="66" t="e">
        <f>Q1775*dagenperjaar1</f>
        <v>#DIV/0!</v>
      </c>
      <c r="U1775" s="70" t="e">
        <f>T1775*ROUND(P1775,2)</f>
        <v>#DIV/0!</v>
      </c>
    </row>
    <row r="1776" spans="1:21" x14ac:dyDescent="0.2">
      <c r="A1776" s="63" t="s">
        <v>2099</v>
      </c>
      <c r="B1776" s="64" t="s">
        <v>324</v>
      </c>
      <c r="C1776" s="64" t="s">
        <v>345</v>
      </c>
      <c r="D1776" s="64" t="s">
        <v>2116</v>
      </c>
      <c r="E1776" s="64" t="s">
        <v>2185</v>
      </c>
      <c r="F1776" s="65" t="s">
        <v>641</v>
      </c>
      <c r="G1776" s="64" t="s">
        <v>2128</v>
      </c>
      <c r="H1776" s="64" t="s">
        <v>255</v>
      </c>
      <c r="I1776" s="64" t="s">
        <v>10</v>
      </c>
      <c r="J1776" s="64" t="s">
        <v>201</v>
      </c>
      <c r="K1776" s="66">
        <v>1.47</v>
      </c>
      <c r="L1776" s="66">
        <f>K1776*VLOOKUP(I1776,dagsoorttabel1,2,FALSE)</f>
        <v>1.47</v>
      </c>
      <c r="M1776" s="67">
        <f>prodnorm59</f>
        <v>0</v>
      </c>
      <c r="N1776" s="68">
        <f>dagwerk59</f>
        <v>0</v>
      </c>
      <c r="O1776" s="64" t="s">
        <v>38</v>
      </c>
      <c r="P1776" s="69">
        <f>uurtarief59</f>
        <v>0</v>
      </c>
      <c r="Q1776" s="66" t="e">
        <f>IF(ISBLANK(M1776),0,L1776/ROUND(M1776,4))</f>
        <v>#DIV/0!</v>
      </c>
      <c r="R1776" s="66" t="e">
        <f>IF(ISBLANK(M1776),0,Q1776*ROUND(N1776,2))</f>
        <v>#DIV/0!</v>
      </c>
      <c r="S1776" s="69" t="e">
        <f>ROUND(P1776,2)*Q1776</f>
        <v>#DIV/0!</v>
      </c>
      <c r="T1776" s="66" t="e">
        <f>Q1776*dagenperjaar1</f>
        <v>#DIV/0!</v>
      </c>
      <c r="U1776" s="70" t="e">
        <f>T1776*ROUND(P1776,2)</f>
        <v>#DIV/0!</v>
      </c>
    </row>
    <row r="1777" spans="1:21" x14ac:dyDescent="0.2">
      <c r="A1777" s="63" t="s">
        <v>2099</v>
      </c>
      <c r="B1777" s="64" t="s">
        <v>324</v>
      </c>
      <c r="C1777" s="64" t="s">
        <v>345</v>
      </c>
      <c r="D1777" s="64" t="s">
        <v>2116</v>
      </c>
      <c r="E1777" s="64" t="s">
        <v>2185</v>
      </c>
      <c r="F1777" s="65" t="s">
        <v>641</v>
      </c>
      <c r="G1777" s="64" t="s">
        <v>2128</v>
      </c>
      <c r="H1777" s="64" t="s">
        <v>257</v>
      </c>
      <c r="I1777" s="64" t="s">
        <v>10</v>
      </c>
      <c r="J1777" s="64" t="s">
        <v>201</v>
      </c>
      <c r="K1777" s="66">
        <v>1.47</v>
      </c>
      <c r="L1777" s="66">
        <f>K1777*VLOOKUP(I1777,dagsoorttabel1,2,FALSE)</f>
        <v>1.47</v>
      </c>
      <c r="M1777" s="67">
        <f>prodnorm60</f>
        <v>0</v>
      </c>
      <c r="N1777" s="68">
        <f>dagwerk60</f>
        <v>0</v>
      </c>
      <c r="O1777" s="64" t="s">
        <v>38</v>
      </c>
      <c r="P1777" s="69">
        <f>uurtarief60</f>
        <v>0</v>
      </c>
      <c r="Q1777" s="66" t="e">
        <f>IF(ISBLANK(M1777),0,L1777/ROUND(M1777,4))</f>
        <v>#DIV/0!</v>
      </c>
      <c r="R1777" s="66" t="e">
        <f>IF(ISBLANK(M1777),0,Q1777*ROUND(N1777,2))</f>
        <v>#DIV/0!</v>
      </c>
      <c r="S1777" s="69" t="e">
        <f>ROUND(P1777,2)*Q1777</f>
        <v>#DIV/0!</v>
      </c>
      <c r="T1777" s="66" t="e">
        <f>Q1777*dagenperjaar1</f>
        <v>#DIV/0!</v>
      </c>
      <c r="U1777" s="70" t="e">
        <f>T1777*ROUND(P1777,2)</f>
        <v>#DIV/0!</v>
      </c>
    </row>
    <row r="1778" spans="1:21" x14ac:dyDescent="0.2">
      <c r="A1778" s="63" t="s">
        <v>2099</v>
      </c>
      <c r="B1778" s="64" t="s">
        <v>324</v>
      </c>
      <c r="C1778" s="64" t="s">
        <v>345</v>
      </c>
      <c r="D1778" s="64" t="s">
        <v>2186</v>
      </c>
      <c r="E1778" s="64" t="s">
        <v>2187</v>
      </c>
      <c r="F1778" s="65" t="s">
        <v>641</v>
      </c>
      <c r="G1778" s="64" t="s">
        <v>2128</v>
      </c>
      <c r="H1778" s="64" t="s">
        <v>255</v>
      </c>
      <c r="I1778" s="64" t="s">
        <v>10</v>
      </c>
      <c r="J1778" s="64" t="s">
        <v>201</v>
      </c>
      <c r="K1778" s="66">
        <v>1.47</v>
      </c>
      <c r="L1778" s="66">
        <f>K1778*VLOOKUP(I1778,dagsoorttabel1,2,FALSE)</f>
        <v>1.47</v>
      </c>
      <c r="M1778" s="67">
        <f>prodnorm59</f>
        <v>0</v>
      </c>
      <c r="N1778" s="68">
        <f>dagwerk59</f>
        <v>0</v>
      </c>
      <c r="O1778" s="64" t="s">
        <v>38</v>
      </c>
      <c r="P1778" s="69">
        <f>uurtarief59</f>
        <v>0</v>
      </c>
      <c r="Q1778" s="66" t="e">
        <f>IF(ISBLANK(M1778),0,L1778/ROUND(M1778,4))</f>
        <v>#DIV/0!</v>
      </c>
      <c r="R1778" s="66" t="e">
        <f>IF(ISBLANK(M1778),0,Q1778*ROUND(N1778,2))</f>
        <v>#DIV/0!</v>
      </c>
      <c r="S1778" s="69" t="e">
        <f>ROUND(P1778,2)*Q1778</f>
        <v>#DIV/0!</v>
      </c>
      <c r="T1778" s="66" t="e">
        <f>Q1778*dagenperjaar1</f>
        <v>#DIV/0!</v>
      </c>
      <c r="U1778" s="70" t="e">
        <f>T1778*ROUND(P1778,2)</f>
        <v>#DIV/0!</v>
      </c>
    </row>
    <row r="1779" spans="1:21" x14ac:dyDescent="0.2">
      <c r="A1779" s="63" t="s">
        <v>2099</v>
      </c>
      <c r="B1779" s="64" t="s">
        <v>324</v>
      </c>
      <c r="C1779" s="64" t="s">
        <v>345</v>
      </c>
      <c r="D1779" s="64" t="s">
        <v>2186</v>
      </c>
      <c r="E1779" s="64" t="s">
        <v>2187</v>
      </c>
      <c r="F1779" s="65" t="s">
        <v>641</v>
      </c>
      <c r="G1779" s="64" t="s">
        <v>2128</v>
      </c>
      <c r="H1779" s="64" t="s">
        <v>257</v>
      </c>
      <c r="I1779" s="64" t="s">
        <v>10</v>
      </c>
      <c r="J1779" s="64" t="s">
        <v>201</v>
      </c>
      <c r="K1779" s="66">
        <v>1.47</v>
      </c>
      <c r="L1779" s="66">
        <f>K1779*VLOOKUP(I1779,dagsoorttabel1,2,FALSE)</f>
        <v>1.47</v>
      </c>
      <c r="M1779" s="67">
        <f>prodnorm60</f>
        <v>0</v>
      </c>
      <c r="N1779" s="68">
        <f>dagwerk60</f>
        <v>0</v>
      </c>
      <c r="O1779" s="64" t="s">
        <v>38</v>
      </c>
      <c r="P1779" s="69">
        <f>uurtarief60</f>
        <v>0</v>
      </c>
      <c r="Q1779" s="66" t="e">
        <f>IF(ISBLANK(M1779),0,L1779/ROUND(M1779,4))</f>
        <v>#DIV/0!</v>
      </c>
      <c r="R1779" s="66" t="e">
        <f>IF(ISBLANK(M1779),0,Q1779*ROUND(N1779,2))</f>
        <v>#DIV/0!</v>
      </c>
      <c r="S1779" s="69" t="e">
        <f>ROUND(P1779,2)*Q1779</f>
        <v>#DIV/0!</v>
      </c>
      <c r="T1779" s="66" t="e">
        <f>Q1779*dagenperjaar1</f>
        <v>#DIV/0!</v>
      </c>
      <c r="U1779" s="70" t="e">
        <f>T1779*ROUND(P1779,2)</f>
        <v>#DIV/0!</v>
      </c>
    </row>
    <row r="1780" spans="1:21" x14ac:dyDescent="0.2">
      <c r="A1780" s="63" t="s">
        <v>2099</v>
      </c>
      <c r="B1780" s="64" t="s">
        <v>324</v>
      </c>
      <c r="C1780" s="64" t="s">
        <v>345</v>
      </c>
      <c r="D1780" s="64" t="s">
        <v>2124</v>
      </c>
      <c r="E1780" s="64" t="s">
        <v>2188</v>
      </c>
      <c r="F1780" s="65" t="s">
        <v>834</v>
      </c>
      <c r="G1780" s="64" t="s">
        <v>328</v>
      </c>
      <c r="H1780" s="64" t="s">
        <v>267</v>
      </c>
      <c r="I1780" s="64" t="s">
        <v>10</v>
      </c>
      <c r="J1780" s="64" t="s">
        <v>201</v>
      </c>
      <c r="K1780" s="66">
        <v>82.53</v>
      </c>
      <c r="L1780" s="66">
        <f>K1780*VLOOKUP(I1780,dagsoorttabel1,2,FALSE)</f>
        <v>82.53</v>
      </c>
      <c r="M1780" s="67">
        <f>prodnorm65</f>
        <v>0</v>
      </c>
      <c r="N1780" s="68">
        <f>dagwerk65</f>
        <v>0</v>
      </c>
      <c r="O1780" s="64" t="s">
        <v>38</v>
      </c>
      <c r="P1780" s="69">
        <f>uurtarief65</f>
        <v>0</v>
      </c>
      <c r="Q1780" s="66" t="e">
        <f>IF(ISBLANK(M1780),0,L1780/ROUND(M1780,4))</f>
        <v>#DIV/0!</v>
      </c>
      <c r="R1780" s="66" t="e">
        <f>IF(ISBLANK(M1780),0,Q1780*ROUND(N1780,2))</f>
        <v>#DIV/0!</v>
      </c>
      <c r="S1780" s="69" t="e">
        <f>ROUND(P1780,2)*Q1780</f>
        <v>#DIV/0!</v>
      </c>
      <c r="T1780" s="66" t="e">
        <f>Q1780*dagenperjaar1</f>
        <v>#DIV/0!</v>
      </c>
      <c r="U1780" s="70" t="e">
        <f>T1780*ROUND(P1780,2)</f>
        <v>#DIV/0!</v>
      </c>
    </row>
    <row r="1781" spans="1:21" x14ac:dyDescent="0.2">
      <c r="A1781" s="63" t="s">
        <v>2099</v>
      </c>
      <c r="B1781" s="64" t="s">
        <v>324</v>
      </c>
      <c r="C1781" s="64" t="s">
        <v>345</v>
      </c>
      <c r="D1781" s="64" t="s">
        <v>2189</v>
      </c>
      <c r="E1781" s="64" t="s">
        <v>382</v>
      </c>
      <c r="F1781" s="65" t="s">
        <v>2190</v>
      </c>
      <c r="G1781" s="64" t="s">
        <v>328</v>
      </c>
      <c r="H1781" s="64" t="s">
        <v>205</v>
      </c>
      <c r="I1781" s="64" t="s">
        <v>10</v>
      </c>
      <c r="J1781" s="64" t="s">
        <v>201</v>
      </c>
      <c r="K1781" s="66">
        <v>16.739999999999998</v>
      </c>
      <c r="L1781" s="66">
        <f>K1781*VLOOKUP(I1781,dagsoorttabel1,2,FALSE)</f>
        <v>16.739999999999998</v>
      </c>
      <c r="M1781" s="67">
        <f>prodnorm26</f>
        <v>0</v>
      </c>
      <c r="N1781" s="68">
        <f>dagwerk26</f>
        <v>0</v>
      </c>
      <c r="O1781" s="64" t="s">
        <v>38</v>
      </c>
      <c r="P1781" s="69">
        <f>uurtarief26</f>
        <v>0</v>
      </c>
      <c r="Q1781" s="66" t="e">
        <f>IF(ISBLANK(M1781),0,L1781/ROUND(M1781,4))</f>
        <v>#DIV/0!</v>
      </c>
      <c r="R1781" s="66" t="e">
        <f>IF(ISBLANK(M1781),0,Q1781*ROUND(N1781,2))</f>
        <v>#DIV/0!</v>
      </c>
      <c r="S1781" s="69" t="e">
        <f>ROUND(P1781,2)*Q1781</f>
        <v>#DIV/0!</v>
      </c>
      <c r="T1781" s="66" t="e">
        <f>Q1781*dagenperjaar1</f>
        <v>#DIV/0!</v>
      </c>
      <c r="U1781" s="70" t="e">
        <f>T1781*ROUND(P1781,2)</f>
        <v>#DIV/0!</v>
      </c>
    </row>
    <row r="1782" spans="1:21" x14ac:dyDescent="0.2">
      <c r="A1782" s="63" t="s">
        <v>2099</v>
      </c>
      <c r="B1782" s="64" t="s">
        <v>324</v>
      </c>
      <c r="C1782" s="64" t="s">
        <v>345</v>
      </c>
      <c r="D1782" s="64" t="s">
        <v>2127</v>
      </c>
      <c r="E1782" s="64" t="s">
        <v>2191</v>
      </c>
      <c r="F1782" s="65" t="s">
        <v>354</v>
      </c>
      <c r="G1782" s="64" t="s">
        <v>685</v>
      </c>
      <c r="H1782" s="64" t="s">
        <v>215</v>
      </c>
      <c r="I1782" s="64" t="s">
        <v>10</v>
      </c>
      <c r="J1782" s="64" t="s">
        <v>201</v>
      </c>
      <c r="K1782" s="66">
        <v>16.079999999999998</v>
      </c>
      <c r="L1782" s="66">
        <f>K1782*VLOOKUP(I1782,dagsoorttabel1,2,FALSE)</f>
        <v>16.079999999999998</v>
      </c>
      <c r="M1782" s="67">
        <f>prodnorm34</f>
        <v>0</v>
      </c>
      <c r="N1782" s="68">
        <f>dagwerk34</f>
        <v>0</v>
      </c>
      <c r="O1782" s="64" t="s">
        <v>38</v>
      </c>
      <c r="P1782" s="69">
        <f>uurtarief34</f>
        <v>0</v>
      </c>
      <c r="Q1782" s="66" t="e">
        <f>IF(ISBLANK(M1782),0,L1782/ROUND(M1782,4))</f>
        <v>#DIV/0!</v>
      </c>
      <c r="R1782" s="66" t="e">
        <f>IF(ISBLANK(M1782),0,Q1782*ROUND(N1782,2))</f>
        <v>#DIV/0!</v>
      </c>
      <c r="S1782" s="69" t="e">
        <f>ROUND(P1782,2)*Q1782</f>
        <v>#DIV/0!</v>
      </c>
      <c r="T1782" s="66" t="e">
        <f>Q1782*dagenperjaar1</f>
        <v>#DIV/0!</v>
      </c>
      <c r="U1782" s="70" t="e">
        <f>T1782*ROUND(P1782,2)</f>
        <v>#DIV/0!</v>
      </c>
    </row>
    <row r="1783" spans="1:21" x14ac:dyDescent="0.2">
      <c r="A1783" s="63" t="s">
        <v>2099</v>
      </c>
      <c r="B1783" s="64" t="s">
        <v>324</v>
      </c>
      <c r="C1783" s="64" t="s">
        <v>345</v>
      </c>
      <c r="D1783" s="64" t="s">
        <v>2192</v>
      </c>
      <c r="E1783" s="64" t="s">
        <v>2191</v>
      </c>
      <c r="F1783" s="65" t="s">
        <v>347</v>
      </c>
      <c r="G1783" s="64" t="s">
        <v>324</v>
      </c>
      <c r="H1783" s="64" t="s">
        <v>281</v>
      </c>
      <c r="I1783" s="64" t="s">
        <v>10</v>
      </c>
      <c r="J1783" s="64" t="s">
        <v>274</v>
      </c>
      <c r="K1783" s="66">
        <v>10</v>
      </c>
      <c r="L1783" s="66">
        <f>K1783*VLOOKUP(I1783,dagsoorttabel1,2,FALSE)</f>
        <v>10</v>
      </c>
      <c r="M1783" s="67">
        <f>prodnorm15</f>
        <v>0</v>
      </c>
      <c r="N1783" s="68">
        <f>dagwerk15</f>
        <v>0</v>
      </c>
      <c r="O1783" s="64" t="s">
        <v>38</v>
      </c>
      <c r="P1783" s="69">
        <f>uurtarief15</f>
        <v>0</v>
      </c>
      <c r="Q1783" s="66" t="e">
        <f>IF(ISBLANK(M1783),0,L1783/ROUND(M1783,4))</f>
        <v>#DIV/0!</v>
      </c>
      <c r="R1783" s="66" t="e">
        <f>IF(ISBLANK(M1783),0,Q1783*ROUND(N1783,2))</f>
        <v>#DIV/0!</v>
      </c>
      <c r="S1783" s="69" t="e">
        <f>ROUND(P1783,2)*Q1783</f>
        <v>#DIV/0!</v>
      </c>
      <c r="T1783" s="66" t="e">
        <f>Q1783*dagenperjaar1</f>
        <v>#DIV/0!</v>
      </c>
      <c r="U1783" s="70" t="e">
        <f>T1783*ROUND(P1783,2)</f>
        <v>#DIV/0!</v>
      </c>
    </row>
    <row r="1784" spans="1:21" x14ac:dyDescent="0.2">
      <c r="A1784" s="63" t="s">
        <v>2099</v>
      </c>
      <c r="B1784" s="64" t="s">
        <v>324</v>
      </c>
      <c r="C1784" s="64" t="s">
        <v>345</v>
      </c>
      <c r="D1784" s="64" t="s">
        <v>2193</v>
      </c>
      <c r="E1784" s="64" t="s">
        <v>1317</v>
      </c>
      <c r="F1784" s="65" t="s">
        <v>2194</v>
      </c>
      <c r="G1784" s="64" t="s">
        <v>328</v>
      </c>
      <c r="H1784" s="64" t="s">
        <v>273</v>
      </c>
      <c r="I1784" s="64" t="s">
        <v>16</v>
      </c>
      <c r="J1784" s="64" t="s">
        <v>274</v>
      </c>
      <c r="K1784" s="66">
        <v>59.59</v>
      </c>
      <c r="L1784" s="66">
        <f>K1784*VLOOKUP(I1784,dagsoorttabel1,2,FALSE)</f>
        <v>11.918000000000001</v>
      </c>
      <c r="M1784" s="67">
        <f>prodnorm12</f>
        <v>0</v>
      </c>
      <c r="N1784" s="68">
        <f>dagwerk12</f>
        <v>0</v>
      </c>
      <c r="O1784" s="64" t="s">
        <v>38</v>
      </c>
      <c r="P1784" s="69">
        <f>uurtarief12</f>
        <v>0</v>
      </c>
      <c r="Q1784" s="66" t="e">
        <f>IF(ISBLANK(M1784),0,L1784/ROUND(M1784,4))</f>
        <v>#DIV/0!</v>
      </c>
      <c r="R1784" s="66" t="e">
        <f>IF(ISBLANK(M1784),0,Q1784*ROUND(N1784,2))</f>
        <v>#DIV/0!</v>
      </c>
      <c r="S1784" s="69" t="e">
        <f>ROUND(P1784,2)*Q1784</f>
        <v>#DIV/0!</v>
      </c>
      <c r="T1784" s="66" t="e">
        <f>Q1784*dagenperjaar1</f>
        <v>#DIV/0!</v>
      </c>
      <c r="U1784" s="70" t="e">
        <f>T1784*ROUND(P1784,2)</f>
        <v>#DIV/0!</v>
      </c>
    </row>
    <row r="1785" spans="1:21" x14ac:dyDescent="0.2">
      <c r="A1785" s="63" t="s">
        <v>2099</v>
      </c>
      <c r="B1785" s="64" t="s">
        <v>324</v>
      </c>
      <c r="C1785" s="64" t="s">
        <v>345</v>
      </c>
      <c r="D1785" s="64" t="s">
        <v>2193</v>
      </c>
      <c r="E1785" s="64" t="s">
        <v>1317</v>
      </c>
      <c r="F1785" s="65" t="s">
        <v>2194</v>
      </c>
      <c r="G1785" s="64" t="s">
        <v>328</v>
      </c>
      <c r="H1785" s="64" t="s">
        <v>229</v>
      </c>
      <c r="I1785" s="64" t="s">
        <v>10</v>
      </c>
      <c r="J1785" s="64" t="s">
        <v>201</v>
      </c>
      <c r="K1785" s="66">
        <v>59.59</v>
      </c>
      <c r="L1785" s="66">
        <f>K1785*VLOOKUP(I1785,dagsoorttabel1,2,FALSE)</f>
        <v>59.59</v>
      </c>
      <c r="M1785" s="67">
        <f>prodnorm43</f>
        <v>0</v>
      </c>
      <c r="N1785" s="68">
        <f>dagwerk43</f>
        <v>0</v>
      </c>
      <c r="O1785" s="64" t="s">
        <v>38</v>
      </c>
      <c r="P1785" s="69">
        <f>uurtarief43</f>
        <v>0</v>
      </c>
      <c r="Q1785" s="66" t="e">
        <f>IF(ISBLANK(M1785),0,L1785/ROUND(M1785,4))</f>
        <v>#DIV/0!</v>
      </c>
      <c r="R1785" s="66" t="e">
        <f>IF(ISBLANK(M1785),0,Q1785*ROUND(N1785,2))</f>
        <v>#DIV/0!</v>
      </c>
      <c r="S1785" s="69" t="e">
        <f>ROUND(P1785,2)*Q1785</f>
        <v>#DIV/0!</v>
      </c>
      <c r="T1785" s="66" t="e">
        <f>Q1785*dagenperjaar1</f>
        <v>#DIV/0!</v>
      </c>
      <c r="U1785" s="70" t="e">
        <f>T1785*ROUND(P1785,2)</f>
        <v>#DIV/0!</v>
      </c>
    </row>
    <row r="1786" spans="1:21" x14ac:dyDescent="0.2">
      <c r="A1786" s="63" t="s">
        <v>2099</v>
      </c>
      <c r="B1786" s="64" t="s">
        <v>324</v>
      </c>
      <c r="C1786" s="64" t="s">
        <v>345</v>
      </c>
      <c r="D1786" s="64" t="s">
        <v>2130</v>
      </c>
      <c r="E1786" s="64" t="s">
        <v>868</v>
      </c>
      <c r="F1786" s="65" t="s">
        <v>2195</v>
      </c>
      <c r="G1786" s="64" t="s">
        <v>328</v>
      </c>
      <c r="H1786" s="64" t="s">
        <v>273</v>
      </c>
      <c r="I1786" s="64" t="s">
        <v>16</v>
      </c>
      <c r="J1786" s="64" t="s">
        <v>274</v>
      </c>
      <c r="K1786" s="66">
        <v>81.48</v>
      </c>
      <c r="L1786" s="66">
        <f>K1786*VLOOKUP(I1786,dagsoorttabel1,2,FALSE)</f>
        <v>16.296000000000003</v>
      </c>
      <c r="M1786" s="67">
        <f>prodnorm12</f>
        <v>0</v>
      </c>
      <c r="N1786" s="68">
        <f>dagwerk12</f>
        <v>0</v>
      </c>
      <c r="O1786" s="64" t="s">
        <v>38</v>
      </c>
      <c r="P1786" s="69">
        <f>uurtarief12</f>
        <v>0</v>
      </c>
      <c r="Q1786" s="66" t="e">
        <f>IF(ISBLANK(M1786),0,L1786/ROUND(M1786,4))</f>
        <v>#DIV/0!</v>
      </c>
      <c r="R1786" s="66" t="e">
        <f>IF(ISBLANK(M1786),0,Q1786*ROUND(N1786,2))</f>
        <v>#DIV/0!</v>
      </c>
      <c r="S1786" s="69" t="e">
        <f>ROUND(P1786,2)*Q1786</f>
        <v>#DIV/0!</v>
      </c>
      <c r="T1786" s="66" t="e">
        <f>Q1786*dagenperjaar1</f>
        <v>#DIV/0!</v>
      </c>
      <c r="U1786" s="70" t="e">
        <f>T1786*ROUND(P1786,2)</f>
        <v>#DIV/0!</v>
      </c>
    </row>
    <row r="1787" spans="1:21" x14ac:dyDescent="0.2">
      <c r="A1787" s="63" t="s">
        <v>2099</v>
      </c>
      <c r="B1787" s="64" t="s">
        <v>324</v>
      </c>
      <c r="C1787" s="64" t="s">
        <v>345</v>
      </c>
      <c r="D1787" s="64" t="s">
        <v>2130</v>
      </c>
      <c r="E1787" s="64" t="s">
        <v>868</v>
      </c>
      <c r="F1787" s="65" t="s">
        <v>2195</v>
      </c>
      <c r="G1787" s="64" t="s">
        <v>328</v>
      </c>
      <c r="H1787" s="64" t="s">
        <v>233</v>
      </c>
      <c r="I1787" s="64" t="s">
        <v>10</v>
      </c>
      <c r="J1787" s="64" t="s">
        <v>201</v>
      </c>
      <c r="K1787" s="66">
        <v>81.48</v>
      </c>
      <c r="L1787" s="66">
        <f>K1787*VLOOKUP(I1787,dagsoorttabel1,2,FALSE)</f>
        <v>81.48</v>
      </c>
      <c r="M1787" s="67">
        <f>prodnorm45</f>
        <v>0</v>
      </c>
      <c r="N1787" s="68">
        <f>dagwerk45</f>
        <v>0</v>
      </c>
      <c r="O1787" s="64" t="s">
        <v>38</v>
      </c>
      <c r="P1787" s="69">
        <f>uurtarief45</f>
        <v>0</v>
      </c>
      <c r="Q1787" s="66" t="e">
        <f>IF(ISBLANK(M1787),0,L1787/ROUND(M1787,4))</f>
        <v>#DIV/0!</v>
      </c>
      <c r="R1787" s="66" t="e">
        <f>IF(ISBLANK(M1787),0,Q1787*ROUND(N1787,2))</f>
        <v>#DIV/0!</v>
      </c>
      <c r="S1787" s="69" t="e">
        <f>ROUND(P1787,2)*Q1787</f>
        <v>#DIV/0!</v>
      </c>
      <c r="T1787" s="66" t="e">
        <f>Q1787*dagenperjaar1</f>
        <v>#DIV/0!</v>
      </c>
      <c r="U1787" s="70" t="e">
        <f>T1787*ROUND(P1787,2)</f>
        <v>#DIV/0!</v>
      </c>
    </row>
    <row r="1788" spans="1:21" x14ac:dyDescent="0.2">
      <c r="A1788" s="63" t="s">
        <v>2099</v>
      </c>
      <c r="B1788" s="64" t="s">
        <v>324</v>
      </c>
      <c r="C1788" s="64" t="s">
        <v>345</v>
      </c>
      <c r="D1788" s="64" t="s">
        <v>2196</v>
      </c>
      <c r="E1788" s="64" t="s">
        <v>2197</v>
      </c>
      <c r="F1788" s="65" t="s">
        <v>354</v>
      </c>
      <c r="G1788" s="64" t="s">
        <v>685</v>
      </c>
      <c r="H1788" s="64" t="s">
        <v>215</v>
      </c>
      <c r="I1788" s="64" t="s">
        <v>10</v>
      </c>
      <c r="J1788" s="64" t="s">
        <v>201</v>
      </c>
      <c r="K1788" s="66">
        <v>16.079999999999998</v>
      </c>
      <c r="L1788" s="66">
        <f>K1788*VLOOKUP(I1788,dagsoorttabel1,2,FALSE)</f>
        <v>16.079999999999998</v>
      </c>
      <c r="M1788" s="67">
        <f>prodnorm34</f>
        <v>0</v>
      </c>
      <c r="N1788" s="68">
        <f>dagwerk34</f>
        <v>0</v>
      </c>
      <c r="O1788" s="64" t="s">
        <v>38</v>
      </c>
      <c r="P1788" s="69">
        <f>uurtarief34</f>
        <v>0</v>
      </c>
      <c r="Q1788" s="66" t="e">
        <f>IF(ISBLANK(M1788),0,L1788/ROUND(M1788,4))</f>
        <v>#DIV/0!</v>
      </c>
      <c r="R1788" s="66" t="e">
        <f>IF(ISBLANK(M1788),0,Q1788*ROUND(N1788,2))</f>
        <v>#DIV/0!</v>
      </c>
      <c r="S1788" s="69" t="e">
        <f>ROUND(P1788,2)*Q1788</f>
        <v>#DIV/0!</v>
      </c>
      <c r="T1788" s="66" t="e">
        <f>Q1788*dagenperjaar1</f>
        <v>#DIV/0!</v>
      </c>
      <c r="U1788" s="70" t="e">
        <f>T1788*ROUND(P1788,2)</f>
        <v>#DIV/0!</v>
      </c>
    </row>
    <row r="1789" spans="1:21" x14ac:dyDescent="0.2">
      <c r="A1789" s="63" t="s">
        <v>2099</v>
      </c>
      <c r="B1789" s="64" t="s">
        <v>324</v>
      </c>
      <c r="C1789" s="64" t="s">
        <v>345</v>
      </c>
      <c r="D1789" s="64" t="s">
        <v>2198</v>
      </c>
      <c r="E1789" s="64" t="s">
        <v>2197</v>
      </c>
      <c r="F1789" s="65" t="s">
        <v>347</v>
      </c>
      <c r="G1789" s="64" t="s">
        <v>324</v>
      </c>
      <c r="H1789" s="64" t="s">
        <v>281</v>
      </c>
      <c r="I1789" s="64" t="s">
        <v>10</v>
      </c>
      <c r="J1789" s="64" t="s">
        <v>274</v>
      </c>
      <c r="K1789" s="66">
        <v>10</v>
      </c>
      <c r="L1789" s="66">
        <f>K1789*VLOOKUP(I1789,dagsoorttabel1,2,FALSE)</f>
        <v>10</v>
      </c>
      <c r="M1789" s="67">
        <f>prodnorm15</f>
        <v>0</v>
      </c>
      <c r="N1789" s="68">
        <f>dagwerk15</f>
        <v>0</v>
      </c>
      <c r="O1789" s="64" t="s">
        <v>38</v>
      </c>
      <c r="P1789" s="69">
        <f>uurtarief15</f>
        <v>0</v>
      </c>
      <c r="Q1789" s="66" t="e">
        <f>IF(ISBLANK(M1789),0,L1789/ROUND(M1789,4))</f>
        <v>#DIV/0!</v>
      </c>
      <c r="R1789" s="66" t="e">
        <f>IF(ISBLANK(M1789),0,Q1789*ROUND(N1789,2))</f>
        <v>#DIV/0!</v>
      </c>
      <c r="S1789" s="69" t="e">
        <f>ROUND(P1789,2)*Q1789</f>
        <v>#DIV/0!</v>
      </c>
      <c r="T1789" s="66" t="e">
        <f>Q1789*dagenperjaar1</f>
        <v>#DIV/0!</v>
      </c>
      <c r="U1789" s="70" t="e">
        <f>T1789*ROUND(P1789,2)</f>
        <v>#DIV/0!</v>
      </c>
    </row>
    <row r="1790" spans="1:21" x14ac:dyDescent="0.2">
      <c r="A1790" s="63" t="s">
        <v>2099</v>
      </c>
      <c r="B1790" s="64" t="s">
        <v>324</v>
      </c>
      <c r="C1790" s="64" t="s">
        <v>345</v>
      </c>
      <c r="D1790" s="64" t="s">
        <v>2132</v>
      </c>
      <c r="E1790" s="64" t="s">
        <v>2199</v>
      </c>
      <c r="F1790" s="65" t="s">
        <v>641</v>
      </c>
      <c r="G1790" s="64" t="s">
        <v>2128</v>
      </c>
      <c r="H1790" s="64" t="s">
        <v>255</v>
      </c>
      <c r="I1790" s="64" t="s">
        <v>10</v>
      </c>
      <c r="J1790" s="64" t="s">
        <v>201</v>
      </c>
      <c r="K1790" s="66">
        <v>7.28</v>
      </c>
      <c r="L1790" s="66">
        <f>K1790*VLOOKUP(I1790,dagsoorttabel1,2,FALSE)</f>
        <v>7.28</v>
      </c>
      <c r="M1790" s="67">
        <f>prodnorm59</f>
        <v>0</v>
      </c>
      <c r="N1790" s="68">
        <f>dagwerk59</f>
        <v>0</v>
      </c>
      <c r="O1790" s="64" t="s">
        <v>38</v>
      </c>
      <c r="P1790" s="69">
        <f>uurtarief59</f>
        <v>0</v>
      </c>
      <c r="Q1790" s="66" t="e">
        <f>IF(ISBLANK(M1790),0,L1790/ROUND(M1790,4))</f>
        <v>#DIV/0!</v>
      </c>
      <c r="R1790" s="66" t="e">
        <f>IF(ISBLANK(M1790),0,Q1790*ROUND(N1790,2))</f>
        <v>#DIV/0!</v>
      </c>
      <c r="S1790" s="69" t="e">
        <f>ROUND(P1790,2)*Q1790</f>
        <v>#DIV/0!</v>
      </c>
      <c r="T1790" s="66" t="e">
        <f>Q1790*dagenperjaar1</f>
        <v>#DIV/0!</v>
      </c>
      <c r="U1790" s="70" t="e">
        <f>T1790*ROUND(P1790,2)</f>
        <v>#DIV/0!</v>
      </c>
    </row>
    <row r="1791" spans="1:21" x14ac:dyDescent="0.2">
      <c r="A1791" s="63" t="s">
        <v>2099</v>
      </c>
      <c r="B1791" s="64" t="s">
        <v>324</v>
      </c>
      <c r="C1791" s="64" t="s">
        <v>345</v>
      </c>
      <c r="D1791" s="64" t="s">
        <v>2132</v>
      </c>
      <c r="E1791" s="64" t="s">
        <v>2199</v>
      </c>
      <c r="F1791" s="65" t="s">
        <v>641</v>
      </c>
      <c r="G1791" s="64" t="s">
        <v>2128</v>
      </c>
      <c r="H1791" s="64" t="s">
        <v>257</v>
      </c>
      <c r="I1791" s="64" t="s">
        <v>10</v>
      </c>
      <c r="J1791" s="64" t="s">
        <v>201</v>
      </c>
      <c r="K1791" s="66">
        <v>7.28</v>
      </c>
      <c r="L1791" s="66">
        <f>K1791*VLOOKUP(I1791,dagsoorttabel1,2,FALSE)</f>
        <v>7.28</v>
      </c>
      <c r="M1791" s="67">
        <f>prodnorm60</f>
        <v>0</v>
      </c>
      <c r="N1791" s="68">
        <f>dagwerk60</f>
        <v>0</v>
      </c>
      <c r="O1791" s="64" t="s">
        <v>38</v>
      </c>
      <c r="P1791" s="69">
        <f>uurtarief60</f>
        <v>0</v>
      </c>
      <c r="Q1791" s="66" t="e">
        <f>IF(ISBLANK(M1791),0,L1791/ROUND(M1791,4))</f>
        <v>#DIV/0!</v>
      </c>
      <c r="R1791" s="66" t="e">
        <f>IF(ISBLANK(M1791),0,Q1791*ROUND(N1791,2))</f>
        <v>#DIV/0!</v>
      </c>
      <c r="S1791" s="69" t="e">
        <f>ROUND(P1791,2)*Q1791</f>
        <v>#DIV/0!</v>
      </c>
      <c r="T1791" s="66" t="e">
        <f>Q1791*dagenperjaar1</f>
        <v>#DIV/0!</v>
      </c>
      <c r="U1791" s="70" t="e">
        <f>T1791*ROUND(P1791,2)</f>
        <v>#DIV/0!</v>
      </c>
    </row>
    <row r="1792" spans="1:21" x14ac:dyDescent="0.2">
      <c r="A1792" s="63" t="s">
        <v>2099</v>
      </c>
      <c r="B1792" s="64" t="s">
        <v>324</v>
      </c>
      <c r="C1792" s="64" t="s">
        <v>345</v>
      </c>
      <c r="D1792" s="64" t="s">
        <v>2135</v>
      </c>
      <c r="E1792" s="64" t="s">
        <v>2200</v>
      </c>
      <c r="F1792" s="65" t="s">
        <v>641</v>
      </c>
      <c r="G1792" s="64" t="s">
        <v>2128</v>
      </c>
      <c r="H1792" s="64" t="s">
        <v>255</v>
      </c>
      <c r="I1792" s="64" t="s">
        <v>10</v>
      </c>
      <c r="J1792" s="64" t="s">
        <v>201</v>
      </c>
      <c r="K1792" s="66">
        <v>7.28</v>
      </c>
      <c r="L1792" s="66">
        <f>K1792*VLOOKUP(I1792,dagsoorttabel1,2,FALSE)</f>
        <v>7.28</v>
      </c>
      <c r="M1792" s="67">
        <f>prodnorm59</f>
        <v>0</v>
      </c>
      <c r="N1792" s="68">
        <f>dagwerk59</f>
        <v>0</v>
      </c>
      <c r="O1792" s="64" t="s">
        <v>38</v>
      </c>
      <c r="P1792" s="69">
        <f>uurtarief59</f>
        <v>0</v>
      </c>
      <c r="Q1792" s="66" t="e">
        <f>IF(ISBLANK(M1792),0,L1792/ROUND(M1792,4))</f>
        <v>#DIV/0!</v>
      </c>
      <c r="R1792" s="66" t="e">
        <f>IF(ISBLANK(M1792),0,Q1792*ROUND(N1792,2))</f>
        <v>#DIV/0!</v>
      </c>
      <c r="S1792" s="69" t="e">
        <f>ROUND(P1792,2)*Q1792</f>
        <v>#DIV/0!</v>
      </c>
      <c r="T1792" s="66" t="e">
        <f>Q1792*dagenperjaar1</f>
        <v>#DIV/0!</v>
      </c>
      <c r="U1792" s="70" t="e">
        <f>T1792*ROUND(P1792,2)</f>
        <v>#DIV/0!</v>
      </c>
    </row>
    <row r="1793" spans="1:21" x14ac:dyDescent="0.2">
      <c r="A1793" s="63" t="s">
        <v>2099</v>
      </c>
      <c r="B1793" s="64" t="s">
        <v>324</v>
      </c>
      <c r="C1793" s="64" t="s">
        <v>345</v>
      </c>
      <c r="D1793" s="64" t="s">
        <v>2135</v>
      </c>
      <c r="E1793" s="64" t="s">
        <v>2200</v>
      </c>
      <c r="F1793" s="65" t="s">
        <v>641</v>
      </c>
      <c r="G1793" s="64" t="s">
        <v>2128</v>
      </c>
      <c r="H1793" s="64" t="s">
        <v>257</v>
      </c>
      <c r="I1793" s="64" t="s">
        <v>10</v>
      </c>
      <c r="J1793" s="64" t="s">
        <v>201</v>
      </c>
      <c r="K1793" s="66">
        <v>7.28</v>
      </c>
      <c r="L1793" s="66">
        <f>K1793*VLOOKUP(I1793,dagsoorttabel1,2,FALSE)</f>
        <v>7.28</v>
      </c>
      <c r="M1793" s="67">
        <f>prodnorm60</f>
        <v>0</v>
      </c>
      <c r="N1793" s="68">
        <f>dagwerk60</f>
        <v>0</v>
      </c>
      <c r="O1793" s="64" t="s">
        <v>38</v>
      </c>
      <c r="P1793" s="69">
        <f>uurtarief60</f>
        <v>0</v>
      </c>
      <c r="Q1793" s="66" t="e">
        <f>IF(ISBLANK(M1793),0,L1793/ROUND(M1793,4))</f>
        <v>#DIV/0!</v>
      </c>
      <c r="R1793" s="66" t="e">
        <f>IF(ISBLANK(M1793),0,Q1793*ROUND(N1793,2))</f>
        <v>#DIV/0!</v>
      </c>
      <c r="S1793" s="69" t="e">
        <f>ROUND(P1793,2)*Q1793</f>
        <v>#DIV/0!</v>
      </c>
      <c r="T1793" s="66" t="e">
        <f>Q1793*dagenperjaar1</f>
        <v>#DIV/0!</v>
      </c>
      <c r="U1793" s="70" t="e">
        <f>T1793*ROUND(P1793,2)</f>
        <v>#DIV/0!</v>
      </c>
    </row>
    <row r="1794" spans="1:21" x14ac:dyDescent="0.2">
      <c r="A1794" s="63" t="s">
        <v>2099</v>
      </c>
      <c r="B1794" s="64" t="s">
        <v>324</v>
      </c>
      <c r="C1794" s="64" t="s">
        <v>345</v>
      </c>
      <c r="D1794" s="64" t="s">
        <v>2138</v>
      </c>
      <c r="E1794" s="64" t="s">
        <v>869</v>
      </c>
      <c r="F1794" s="65" t="s">
        <v>2201</v>
      </c>
      <c r="G1794" s="64" t="s">
        <v>328</v>
      </c>
      <c r="H1794" s="64" t="s">
        <v>237</v>
      </c>
      <c r="I1794" s="64" t="s">
        <v>19</v>
      </c>
      <c r="J1794" s="64" t="s">
        <v>201</v>
      </c>
      <c r="K1794" s="66">
        <v>17.03</v>
      </c>
      <c r="L1794" s="66">
        <f>K1794*VLOOKUP(I1794,dagsoorttabel1,2,FALSE)</f>
        <v>0.85150000000000015</v>
      </c>
      <c r="M1794" s="67">
        <f>prodnorm47</f>
        <v>0</v>
      </c>
      <c r="N1794" s="68">
        <f>dagwerk47</f>
        <v>0</v>
      </c>
      <c r="O1794" s="64" t="s">
        <v>38</v>
      </c>
      <c r="P1794" s="69">
        <f>uurtarief47</f>
        <v>0</v>
      </c>
      <c r="Q1794" s="66" t="e">
        <f>IF(ISBLANK(M1794),0,L1794/ROUND(M1794,4))</f>
        <v>#DIV/0!</v>
      </c>
      <c r="R1794" s="66" t="e">
        <f>IF(ISBLANK(M1794),0,Q1794*ROUND(N1794,2))</f>
        <v>#DIV/0!</v>
      </c>
      <c r="S1794" s="69" t="e">
        <f>ROUND(P1794,2)*Q1794</f>
        <v>#DIV/0!</v>
      </c>
      <c r="T1794" s="66" t="e">
        <f>Q1794*dagenperjaar1</f>
        <v>#DIV/0!</v>
      </c>
      <c r="U1794" s="70" t="e">
        <f>T1794*ROUND(P1794,2)</f>
        <v>#DIV/0!</v>
      </c>
    </row>
    <row r="1795" spans="1:21" x14ac:dyDescent="0.2">
      <c r="A1795" s="63" t="s">
        <v>2099</v>
      </c>
      <c r="B1795" s="64" t="s">
        <v>324</v>
      </c>
      <c r="C1795" s="64" t="s">
        <v>345</v>
      </c>
      <c r="D1795" s="64" t="s">
        <v>2141</v>
      </c>
      <c r="E1795" s="64" t="s">
        <v>400</v>
      </c>
      <c r="F1795" s="65" t="s">
        <v>2201</v>
      </c>
      <c r="G1795" s="64" t="s">
        <v>328</v>
      </c>
      <c r="H1795" s="64" t="s">
        <v>237</v>
      </c>
      <c r="I1795" s="64" t="s">
        <v>19</v>
      </c>
      <c r="J1795" s="64" t="s">
        <v>201</v>
      </c>
      <c r="K1795" s="66">
        <v>17.059999999999999</v>
      </c>
      <c r="L1795" s="66">
        <f>K1795*VLOOKUP(I1795,dagsoorttabel1,2,FALSE)</f>
        <v>0.85299999999999998</v>
      </c>
      <c r="M1795" s="67">
        <f>prodnorm47</f>
        <v>0</v>
      </c>
      <c r="N1795" s="68">
        <f>dagwerk47</f>
        <v>0</v>
      </c>
      <c r="O1795" s="64" t="s">
        <v>38</v>
      </c>
      <c r="P1795" s="69">
        <f>uurtarief47</f>
        <v>0</v>
      </c>
      <c r="Q1795" s="66" t="e">
        <f>IF(ISBLANK(M1795),0,L1795/ROUND(M1795,4))</f>
        <v>#DIV/0!</v>
      </c>
      <c r="R1795" s="66" t="e">
        <f>IF(ISBLANK(M1795),0,Q1795*ROUND(N1795,2))</f>
        <v>#DIV/0!</v>
      </c>
      <c r="S1795" s="69" t="e">
        <f>ROUND(P1795,2)*Q1795</f>
        <v>#DIV/0!</v>
      </c>
      <c r="T1795" s="66" t="e">
        <f>Q1795*dagenperjaar1</f>
        <v>#DIV/0!</v>
      </c>
      <c r="U1795" s="70" t="e">
        <f>T1795*ROUND(P1795,2)</f>
        <v>#DIV/0!</v>
      </c>
    </row>
    <row r="1796" spans="1:21" x14ac:dyDescent="0.2">
      <c r="A1796" s="63" t="s">
        <v>2099</v>
      </c>
      <c r="B1796" s="64" t="s">
        <v>324</v>
      </c>
      <c r="C1796" s="64" t="s">
        <v>345</v>
      </c>
      <c r="D1796" s="64" t="s">
        <v>2202</v>
      </c>
      <c r="E1796" s="64" t="s">
        <v>402</v>
      </c>
      <c r="F1796" s="65" t="s">
        <v>2142</v>
      </c>
      <c r="G1796" s="64" t="s">
        <v>328</v>
      </c>
      <c r="H1796" s="64" t="s">
        <v>205</v>
      </c>
      <c r="I1796" s="64" t="s">
        <v>10</v>
      </c>
      <c r="J1796" s="64" t="s">
        <v>201</v>
      </c>
      <c r="K1796" s="66">
        <v>17</v>
      </c>
      <c r="L1796" s="66">
        <f>K1796*VLOOKUP(I1796,dagsoorttabel1,2,FALSE)</f>
        <v>17</v>
      </c>
      <c r="M1796" s="67">
        <f>prodnorm26</f>
        <v>0</v>
      </c>
      <c r="N1796" s="68">
        <f>dagwerk26</f>
        <v>0</v>
      </c>
      <c r="O1796" s="64" t="s">
        <v>38</v>
      </c>
      <c r="P1796" s="69">
        <f>uurtarief26</f>
        <v>0</v>
      </c>
      <c r="Q1796" s="66" t="e">
        <f>IF(ISBLANK(M1796),0,L1796/ROUND(M1796,4))</f>
        <v>#DIV/0!</v>
      </c>
      <c r="R1796" s="66" t="e">
        <f>IF(ISBLANK(M1796),0,Q1796*ROUND(N1796,2))</f>
        <v>#DIV/0!</v>
      </c>
      <c r="S1796" s="69" t="e">
        <f>ROUND(P1796,2)*Q1796</f>
        <v>#DIV/0!</v>
      </c>
      <c r="T1796" s="66" t="e">
        <f>Q1796*dagenperjaar1</f>
        <v>#DIV/0!</v>
      </c>
      <c r="U1796" s="70" t="e">
        <f>T1796*ROUND(P1796,2)</f>
        <v>#DIV/0!</v>
      </c>
    </row>
    <row r="1797" spans="1:21" x14ac:dyDescent="0.2">
      <c r="A1797" s="63" t="s">
        <v>2099</v>
      </c>
      <c r="B1797" s="64" t="s">
        <v>324</v>
      </c>
      <c r="C1797" s="64" t="s">
        <v>345</v>
      </c>
      <c r="D1797" s="64" t="s">
        <v>2203</v>
      </c>
      <c r="E1797" s="64" t="s">
        <v>2204</v>
      </c>
      <c r="F1797" s="65" t="s">
        <v>834</v>
      </c>
      <c r="G1797" s="64" t="s">
        <v>328</v>
      </c>
      <c r="H1797" s="64" t="s">
        <v>267</v>
      </c>
      <c r="I1797" s="64" t="s">
        <v>10</v>
      </c>
      <c r="J1797" s="64" t="s">
        <v>201</v>
      </c>
      <c r="K1797" s="66">
        <v>82.53</v>
      </c>
      <c r="L1797" s="66">
        <f>K1797*VLOOKUP(I1797,dagsoorttabel1,2,FALSE)</f>
        <v>82.53</v>
      </c>
      <c r="M1797" s="67">
        <f>prodnorm65</f>
        <v>0</v>
      </c>
      <c r="N1797" s="68">
        <f>dagwerk65</f>
        <v>0</v>
      </c>
      <c r="O1797" s="64" t="s">
        <v>38</v>
      </c>
      <c r="P1797" s="69">
        <f>uurtarief65</f>
        <v>0</v>
      </c>
      <c r="Q1797" s="66" t="e">
        <f>IF(ISBLANK(M1797),0,L1797/ROUND(M1797,4))</f>
        <v>#DIV/0!</v>
      </c>
      <c r="R1797" s="66" t="e">
        <f>IF(ISBLANK(M1797),0,Q1797*ROUND(N1797,2))</f>
        <v>#DIV/0!</v>
      </c>
      <c r="S1797" s="69" t="e">
        <f>ROUND(P1797,2)*Q1797</f>
        <v>#DIV/0!</v>
      </c>
      <c r="T1797" s="66" t="e">
        <f>Q1797*dagenperjaar1</f>
        <v>#DIV/0!</v>
      </c>
      <c r="U1797" s="70" t="e">
        <f>T1797*ROUND(P1797,2)</f>
        <v>#DIV/0!</v>
      </c>
    </row>
    <row r="1798" spans="1:21" x14ac:dyDescent="0.2">
      <c r="A1798" s="63" t="s">
        <v>2099</v>
      </c>
      <c r="B1798" s="64" t="s">
        <v>324</v>
      </c>
      <c r="C1798" s="64" t="s">
        <v>345</v>
      </c>
      <c r="D1798" s="64" t="s">
        <v>2146</v>
      </c>
      <c r="E1798" s="64" t="s">
        <v>423</v>
      </c>
      <c r="F1798" s="65" t="s">
        <v>2205</v>
      </c>
      <c r="G1798" s="64" t="s">
        <v>328</v>
      </c>
      <c r="H1798" s="64" t="s">
        <v>205</v>
      </c>
      <c r="I1798" s="64" t="s">
        <v>10</v>
      </c>
      <c r="J1798" s="64" t="s">
        <v>201</v>
      </c>
      <c r="K1798" s="66">
        <v>6.83</v>
      </c>
      <c r="L1798" s="66">
        <f>K1798*VLOOKUP(I1798,dagsoorttabel1,2,FALSE)</f>
        <v>6.83</v>
      </c>
      <c r="M1798" s="67">
        <f>prodnorm26</f>
        <v>0</v>
      </c>
      <c r="N1798" s="68">
        <f>dagwerk26</f>
        <v>0</v>
      </c>
      <c r="O1798" s="64" t="s">
        <v>38</v>
      </c>
      <c r="P1798" s="69">
        <f>uurtarief26</f>
        <v>0</v>
      </c>
      <c r="Q1798" s="66" t="e">
        <f>IF(ISBLANK(M1798),0,L1798/ROUND(M1798,4))</f>
        <v>#DIV/0!</v>
      </c>
      <c r="R1798" s="66" t="e">
        <f>IF(ISBLANK(M1798),0,Q1798*ROUND(N1798,2))</f>
        <v>#DIV/0!</v>
      </c>
      <c r="S1798" s="69" t="e">
        <f>ROUND(P1798,2)*Q1798</f>
        <v>#DIV/0!</v>
      </c>
      <c r="T1798" s="66" t="e">
        <f>Q1798*dagenperjaar1</f>
        <v>#DIV/0!</v>
      </c>
      <c r="U1798" s="70" t="e">
        <f>T1798*ROUND(P1798,2)</f>
        <v>#DIV/0!</v>
      </c>
    </row>
    <row r="1799" spans="1:21" x14ac:dyDescent="0.2">
      <c r="A1799" s="63" t="s">
        <v>2099</v>
      </c>
      <c r="B1799" s="64" t="s">
        <v>324</v>
      </c>
      <c r="C1799" s="64" t="s">
        <v>345</v>
      </c>
      <c r="D1799" s="64" t="s">
        <v>2148</v>
      </c>
      <c r="E1799" s="64" t="s">
        <v>1594</v>
      </c>
      <c r="F1799" s="65" t="s">
        <v>641</v>
      </c>
      <c r="G1799" s="64" t="s">
        <v>2128</v>
      </c>
      <c r="H1799" s="64" t="s">
        <v>255</v>
      </c>
      <c r="I1799" s="64" t="s">
        <v>10</v>
      </c>
      <c r="J1799" s="64" t="s">
        <v>201</v>
      </c>
      <c r="K1799" s="66">
        <v>8.65</v>
      </c>
      <c r="L1799" s="66">
        <f>K1799*VLOOKUP(I1799,dagsoorttabel1,2,FALSE)</f>
        <v>8.65</v>
      </c>
      <c r="M1799" s="67">
        <f>prodnorm59</f>
        <v>0</v>
      </c>
      <c r="N1799" s="68">
        <f>dagwerk59</f>
        <v>0</v>
      </c>
      <c r="O1799" s="64" t="s">
        <v>38</v>
      </c>
      <c r="P1799" s="69">
        <f>uurtarief59</f>
        <v>0</v>
      </c>
      <c r="Q1799" s="66" t="e">
        <f>IF(ISBLANK(M1799),0,L1799/ROUND(M1799,4))</f>
        <v>#DIV/0!</v>
      </c>
      <c r="R1799" s="66" t="e">
        <f>IF(ISBLANK(M1799),0,Q1799*ROUND(N1799,2))</f>
        <v>#DIV/0!</v>
      </c>
      <c r="S1799" s="69" t="e">
        <f>ROUND(P1799,2)*Q1799</f>
        <v>#DIV/0!</v>
      </c>
      <c r="T1799" s="66" t="e">
        <f>Q1799*dagenperjaar1</f>
        <v>#DIV/0!</v>
      </c>
      <c r="U1799" s="70" t="e">
        <f>T1799*ROUND(P1799,2)</f>
        <v>#DIV/0!</v>
      </c>
    </row>
    <row r="1800" spans="1:21" x14ac:dyDescent="0.2">
      <c r="A1800" s="63" t="s">
        <v>2099</v>
      </c>
      <c r="B1800" s="64" t="s">
        <v>324</v>
      </c>
      <c r="C1800" s="64" t="s">
        <v>345</v>
      </c>
      <c r="D1800" s="64" t="s">
        <v>2148</v>
      </c>
      <c r="E1800" s="64" t="s">
        <v>1594</v>
      </c>
      <c r="F1800" s="65" t="s">
        <v>641</v>
      </c>
      <c r="G1800" s="64" t="s">
        <v>2128</v>
      </c>
      <c r="H1800" s="64" t="s">
        <v>257</v>
      </c>
      <c r="I1800" s="64" t="s">
        <v>10</v>
      </c>
      <c r="J1800" s="64" t="s">
        <v>201</v>
      </c>
      <c r="K1800" s="66">
        <v>8.65</v>
      </c>
      <c r="L1800" s="66">
        <f>K1800*VLOOKUP(I1800,dagsoorttabel1,2,FALSE)</f>
        <v>8.65</v>
      </c>
      <c r="M1800" s="67">
        <f>prodnorm60</f>
        <v>0</v>
      </c>
      <c r="N1800" s="68">
        <f>dagwerk60</f>
        <v>0</v>
      </c>
      <c r="O1800" s="64" t="s">
        <v>38</v>
      </c>
      <c r="P1800" s="69">
        <f>uurtarief60</f>
        <v>0</v>
      </c>
      <c r="Q1800" s="66" t="e">
        <f>IF(ISBLANK(M1800),0,L1800/ROUND(M1800,4))</f>
        <v>#DIV/0!</v>
      </c>
      <c r="R1800" s="66" t="e">
        <f>IF(ISBLANK(M1800),0,Q1800*ROUND(N1800,2))</f>
        <v>#DIV/0!</v>
      </c>
      <c r="S1800" s="69" t="e">
        <f>ROUND(P1800,2)*Q1800</f>
        <v>#DIV/0!</v>
      </c>
      <c r="T1800" s="66" t="e">
        <f>Q1800*dagenperjaar1</f>
        <v>#DIV/0!</v>
      </c>
      <c r="U1800" s="70" t="e">
        <f>T1800*ROUND(P1800,2)</f>
        <v>#DIV/0!</v>
      </c>
    </row>
    <row r="1801" spans="1:21" x14ac:dyDescent="0.2">
      <c r="A1801" s="63" t="s">
        <v>2099</v>
      </c>
      <c r="B1801" s="64" t="s">
        <v>324</v>
      </c>
      <c r="C1801" s="64" t="s">
        <v>345</v>
      </c>
      <c r="D1801" s="64" t="s">
        <v>2206</v>
      </c>
      <c r="E1801" s="64" t="s">
        <v>875</v>
      </c>
      <c r="F1801" s="65" t="s">
        <v>2207</v>
      </c>
      <c r="G1801" s="64" t="s">
        <v>328</v>
      </c>
      <c r="H1801" s="64" t="s">
        <v>219</v>
      </c>
      <c r="I1801" s="64" t="s">
        <v>16</v>
      </c>
      <c r="J1801" s="64" t="s">
        <v>201</v>
      </c>
      <c r="K1801" s="66">
        <v>9.83</v>
      </c>
      <c r="L1801" s="66">
        <f>K1801*VLOOKUP(I1801,dagsoorttabel1,2,FALSE)</f>
        <v>1.9660000000000002</v>
      </c>
      <c r="M1801" s="67">
        <f>prodnorm37</f>
        <v>0</v>
      </c>
      <c r="N1801" s="68">
        <f>dagwerk37</f>
        <v>0</v>
      </c>
      <c r="O1801" s="64" t="s">
        <v>38</v>
      </c>
      <c r="P1801" s="69">
        <f>uurtarief37</f>
        <v>0</v>
      </c>
      <c r="Q1801" s="66" t="e">
        <f>IF(ISBLANK(M1801),0,L1801/ROUND(M1801,4))</f>
        <v>#DIV/0!</v>
      </c>
      <c r="R1801" s="66" t="e">
        <f>IF(ISBLANK(M1801),0,Q1801*ROUND(N1801,2))</f>
        <v>#DIV/0!</v>
      </c>
      <c r="S1801" s="69" t="e">
        <f>ROUND(P1801,2)*Q1801</f>
        <v>#DIV/0!</v>
      </c>
      <c r="T1801" s="66" t="e">
        <f>Q1801*dagenperjaar1</f>
        <v>#DIV/0!</v>
      </c>
      <c r="U1801" s="70" t="e">
        <f>T1801*ROUND(P1801,2)</f>
        <v>#DIV/0!</v>
      </c>
    </row>
    <row r="1802" spans="1:21" x14ac:dyDescent="0.2">
      <c r="A1802" s="63" t="s">
        <v>2099</v>
      </c>
      <c r="B1802" s="64" t="s">
        <v>324</v>
      </c>
      <c r="C1802" s="64" t="s">
        <v>345</v>
      </c>
      <c r="D1802" s="64" t="s">
        <v>2208</v>
      </c>
      <c r="E1802" s="64" t="s">
        <v>1324</v>
      </c>
      <c r="F1802" s="65" t="s">
        <v>2209</v>
      </c>
      <c r="G1802" s="64" t="s">
        <v>328</v>
      </c>
      <c r="H1802" s="64" t="s">
        <v>273</v>
      </c>
      <c r="I1802" s="64" t="s">
        <v>16</v>
      </c>
      <c r="J1802" s="64" t="s">
        <v>274</v>
      </c>
      <c r="K1802" s="66">
        <v>59.3</v>
      </c>
      <c r="L1802" s="66">
        <f>K1802*VLOOKUP(I1802,dagsoorttabel1,2,FALSE)</f>
        <v>11.86</v>
      </c>
      <c r="M1802" s="67">
        <f>prodnorm12</f>
        <v>0</v>
      </c>
      <c r="N1802" s="68">
        <f>dagwerk12</f>
        <v>0</v>
      </c>
      <c r="O1802" s="64" t="s">
        <v>38</v>
      </c>
      <c r="P1802" s="69">
        <f>uurtarief12</f>
        <v>0</v>
      </c>
      <c r="Q1802" s="66" t="e">
        <f>IF(ISBLANK(M1802),0,L1802/ROUND(M1802,4))</f>
        <v>#DIV/0!</v>
      </c>
      <c r="R1802" s="66" t="e">
        <f>IF(ISBLANK(M1802),0,Q1802*ROUND(N1802,2))</f>
        <v>#DIV/0!</v>
      </c>
      <c r="S1802" s="69" t="e">
        <f>ROUND(P1802,2)*Q1802</f>
        <v>#DIV/0!</v>
      </c>
      <c r="T1802" s="66" t="e">
        <f>Q1802*dagenperjaar1</f>
        <v>#DIV/0!</v>
      </c>
      <c r="U1802" s="70" t="e">
        <f>T1802*ROUND(P1802,2)</f>
        <v>#DIV/0!</v>
      </c>
    </row>
    <row r="1803" spans="1:21" x14ac:dyDescent="0.2">
      <c r="A1803" s="63" t="s">
        <v>2099</v>
      </c>
      <c r="B1803" s="64" t="s">
        <v>324</v>
      </c>
      <c r="C1803" s="64" t="s">
        <v>345</v>
      </c>
      <c r="D1803" s="64" t="s">
        <v>2208</v>
      </c>
      <c r="E1803" s="64" t="s">
        <v>1324</v>
      </c>
      <c r="F1803" s="65" t="s">
        <v>2209</v>
      </c>
      <c r="G1803" s="64" t="s">
        <v>328</v>
      </c>
      <c r="H1803" s="64" t="s">
        <v>219</v>
      </c>
      <c r="I1803" s="64" t="s">
        <v>10</v>
      </c>
      <c r="J1803" s="64" t="s">
        <v>201</v>
      </c>
      <c r="K1803" s="66">
        <v>59.3</v>
      </c>
      <c r="L1803" s="66">
        <f>K1803*VLOOKUP(I1803,dagsoorttabel1,2,FALSE)</f>
        <v>59.3</v>
      </c>
      <c r="M1803" s="67">
        <f>prodnorm36</f>
        <v>0</v>
      </c>
      <c r="N1803" s="68">
        <f>dagwerk36</f>
        <v>0</v>
      </c>
      <c r="O1803" s="64" t="s">
        <v>38</v>
      </c>
      <c r="P1803" s="69">
        <f>uurtarief36</f>
        <v>0</v>
      </c>
      <c r="Q1803" s="66" t="e">
        <f>IF(ISBLANK(M1803),0,L1803/ROUND(M1803,4))</f>
        <v>#DIV/0!</v>
      </c>
      <c r="R1803" s="66" t="e">
        <f>IF(ISBLANK(M1803),0,Q1803*ROUND(N1803,2))</f>
        <v>#DIV/0!</v>
      </c>
      <c r="S1803" s="69" t="e">
        <f>ROUND(P1803,2)*Q1803</f>
        <v>#DIV/0!</v>
      </c>
      <c r="T1803" s="66" t="e">
        <f>Q1803*dagenperjaar1</f>
        <v>#DIV/0!</v>
      </c>
      <c r="U1803" s="70" t="e">
        <f>T1803*ROUND(P1803,2)</f>
        <v>#DIV/0!</v>
      </c>
    </row>
    <row r="1804" spans="1:21" x14ac:dyDescent="0.2">
      <c r="A1804" s="63" t="s">
        <v>2099</v>
      </c>
      <c r="B1804" s="64" t="s">
        <v>324</v>
      </c>
      <c r="C1804" s="64" t="s">
        <v>345</v>
      </c>
      <c r="D1804" s="64" t="s">
        <v>2210</v>
      </c>
      <c r="E1804" s="64" t="s">
        <v>2211</v>
      </c>
      <c r="F1804" s="65" t="s">
        <v>834</v>
      </c>
      <c r="G1804" s="64" t="s">
        <v>328</v>
      </c>
      <c r="H1804" s="64" t="s">
        <v>267</v>
      </c>
      <c r="I1804" s="64" t="s">
        <v>10</v>
      </c>
      <c r="J1804" s="64" t="s">
        <v>201</v>
      </c>
      <c r="K1804" s="66">
        <v>97.09</v>
      </c>
      <c r="L1804" s="66">
        <f>K1804*VLOOKUP(I1804,dagsoorttabel1,2,FALSE)</f>
        <v>97.09</v>
      </c>
      <c r="M1804" s="67">
        <f>prodnorm65</f>
        <v>0</v>
      </c>
      <c r="N1804" s="68">
        <f>dagwerk65</f>
        <v>0</v>
      </c>
      <c r="O1804" s="64" t="s">
        <v>38</v>
      </c>
      <c r="P1804" s="69">
        <f>uurtarief65</f>
        <v>0</v>
      </c>
      <c r="Q1804" s="66" t="e">
        <f>IF(ISBLANK(M1804),0,L1804/ROUND(M1804,4))</f>
        <v>#DIV/0!</v>
      </c>
      <c r="R1804" s="66" t="e">
        <f>IF(ISBLANK(M1804),0,Q1804*ROUND(N1804,2))</f>
        <v>#DIV/0!</v>
      </c>
      <c r="S1804" s="69" t="e">
        <f>ROUND(P1804,2)*Q1804</f>
        <v>#DIV/0!</v>
      </c>
      <c r="T1804" s="66" t="e">
        <f>Q1804*dagenperjaar1</f>
        <v>#DIV/0!</v>
      </c>
      <c r="U1804" s="70" t="e">
        <f>T1804*ROUND(P1804,2)</f>
        <v>#DIV/0!</v>
      </c>
    </row>
    <row r="1805" spans="1:21" ht="25.5" x14ac:dyDescent="0.2">
      <c r="A1805" s="63" t="s">
        <v>2099</v>
      </c>
      <c r="B1805" s="64" t="s">
        <v>324</v>
      </c>
      <c r="C1805" s="64" t="s">
        <v>345</v>
      </c>
      <c r="D1805" s="64" t="s">
        <v>2212</v>
      </c>
      <c r="E1805" s="64" t="s">
        <v>877</v>
      </c>
      <c r="F1805" s="65" t="s">
        <v>2213</v>
      </c>
      <c r="G1805" s="64" t="s">
        <v>328</v>
      </c>
      <c r="H1805" s="64" t="s">
        <v>205</v>
      </c>
      <c r="I1805" s="64" t="s">
        <v>10</v>
      </c>
      <c r="J1805" s="64" t="s">
        <v>201</v>
      </c>
      <c r="K1805" s="66">
        <v>23.55</v>
      </c>
      <c r="L1805" s="66">
        <f>K1805*VLOOKUP(I1805,dagsoorttabel1,2,FALSE)</f>
        <v>23.55</v>
      </c>
      <c r="M1805" s="67">
        <f>prodnorm26</f>
        <v>0</v>
      </c>
      <c r="N1805" s="68">
        <f>dagwerk26</f>
        <v>0</v>
      </c>
      <c r="O1805" s="64" t="s">
        <v>38</v>
      </c>
      <c r="P1805" s="69">
        <f>uurtarief26</f>
        <v>0</v>
      </c>
      <c r="Q1805" s="66" t="e">
        <f>IF(ISBLANK(M1805),0,L1805/ROUND(M1805,4))</f>
        <v>#DIV/0!</v>
      </c>
      <c r="R1805" s="66" t="e">
        <f>IF(ISBLANK(M1805),0,Q1805*ROUND(N1805,2))</f>
        <v>#DIV/0!</v>
      </c>
      <c r="S1805" s="69" t="e">
        <f>ROUND(P1805,2)*Q1805</f>
        <v>#DIV/0!</v>
      </c>
      <c r="T1805" s="66" t="e">
        <f>Q1805*dagenperjaar1</f>
        <v>#DIV/0!</v>
      </c>
      <c r="U1805" s="70" t="e">
        <f>T1805*ROUND(P1805,2)</f>
        <v>#DIV/0!</v>
      </c>
    </row>
    <row r="1806" spans="1:21" x14ac:dyDescent="0.2">
      <c r="A1806" s="63" t="s">
        <v>2099</v>
      </c>
      <c r="B1806" s="64" t="s">
        <v>324</v>
      </c>
      <c r="C1806" s="64" t="s">
        <v>345</v>
      </c>
      <c r="D1806" s="64" t="s">
        <v>2214</v>
      </c>
      <c r="E1806" s="64" t="s">
        <v>2215</v>
      </c>
      <c r="F1806" s="65" t="s">
        <v>834</v>
      </c>
      <c r="G1806" s="64" t="s">
        <v>328</v>
      </c>
      <c r="H1806" s="64" t="s">
        <v>267</v>
      </c>
      <c r="I1806" s="64" t="s">
        <v>10</v>
      </c>
      <c r="J1806" s="64" t="s">
        <v>201</v>
      </c>
      <c r="K1806" s="66">
        <v>112.61999999999999</v>
      </c>
      <c r="L1806" s="66">
        <f>K1806*VLOOKUP(I1806,dagsoorttabel1,2,FALSE)</f>
        <v>112.61999999999999</v>
      </c>
      <c r="M1806" s="67">
        <f>prodnorm65</f>
        <v>0</v>
      </c>
      <c r="N1806" s="68">
        <f>dagwerk65</f>
        <v>0</v>
      </c>
      <c r="O1806" s="64" t="s">
        <v>38</v>
      </c>
      <c r="P1806" s="69">
        <f>uurtarief65</f>
        <v>0</v>
      </c>
      <c r="Q1806" s="66" t="e">
        <f>IF(ISBLANK(M1806),0,L1806/ROUND(M1806,4))</f>
        <v>#DIV/0!</v>
      </c>
      <c r="R1806" s="66" t="e">
        <f>IF(ISBLANK(M1806),0,Q1806*ROUND(N1806,2))</f>
        <v>#DIV/0!</v>
      </c>
      <c r="S1806" s="69" t="e">
        <f>ROUND(P1806,2)*Q1806</f>
        <v>#DIV/0!</v>
      </c>
      <c r="T1806" s="66" t="e">
        <f>Q1806*dagenperjaar1</f>
        <v>#DIV/0!</v>
      </c>
      <c r="U1806" s="70" t="e">
        <f>T1806*ROUND(P1806,2)</f>
        <v>#DIV/0!</v>
      </c>
    </row>
    <row r="1807" spans="1:21" x14ac:dyDescent="0.2">
      <c r="A1807" s="63" t="s">
        <v>2099</v>
      </c>
      <c r="B1807" s="64" t="s">
        <v>324</v>
      </c>
      <c r="C1807" s="64" t="s">
        <v>345</v>
      </c>
      <c r="D1807" s="64" t="s">
        <v>2151</v>
      </c>
      <c r="E1807" s="64" t="s">
        <v>885</v>
      </c>
      <c r="F1807" s="65" t="s">
        <v>2216</v>
      </c>
      <c r="G1807" s="64" t="s">
        <v>328</v>
      </c>
      <c r="H1807" s="64" t="s">
        <v>205</v>
      </c>
      <c r="I1807" s="64" t="s">
        <v>10</v>
      </c>
      <c r="J1807" s="64" t="s">
        <v>201</v>
      </c>
      <c r="K1807" s="66">
        <v>11.58</v>
      </c>
      <c r="L1807" s="66">
        <f>K1807*VLOOKUP(I1807,dagsoorttabel1,2,FALSE)</f>
        <v>11.58</v>
      </c>
      <c r="M1807" s="67">
        <f>prodnorm26</f>
        <v>0</v>
      </c>
      <c r="N1807" s="68">
        <f>dagwerk26</f>
        <v>0</v>
      </c>
      <c r="O1807" s="64" t="s">
        <v>38</v>
      </c>
      <c r="P1807" s="69">
        <f>uurtarief26</f>
        <v>0</v>
      </c>
      <c r="Q1807" s="66" t="e">
        <f>IF(ISBLANK(M1807),0,L1807/ROUND(M1807,4))</f>
        <v>#DIV/0!</v>
      </c>
      <c r="R1807" s="66" t="e">
        <f>IF(ISBLANK(M1807),0,Q1807*ROUND(N1807,2))</f>
        <v>#DIV/0!</v>
      </c>
      <c r="S1807" s="69" t="e">
        <f>ROUND(P1807,2)*Q1807</f>
        <v>#DIV/0!</v>
      </c>
      <c r="T1807" s="66" t="e">
        <f>Q1807*dagenperjaar1</f>
        <v>#DIV/0!</v>
      </c>
      <c r="U1807" s="70" t="e">
        <f>T1807*ROUND(P1807,2)</f>
        <v>#DIV/0!</v>
      </c>
    </row>
    <row r="1808" spans="1:21" x14ac:dyDescent="0.2">
      <c r="A1808" s="63" t="s">
        <v>2099</v>
      </c>
      <c r="B1808" s="64" t="s">
        <v>324</v>
      </c>
      <c r="C1808" s="64" t="s">
        <v>345</v>
      </c>
      <c r="D1808" s="64" t="s">
        <v>2154</v>
      </c>
      <c r="E1808" s="64" t="s">
        <v>885</v>
      </c>
      <c r="F1808" s="65" t="s">
        <v>2217</v>
      </c>
      <c r="G1808" s="64" t="s">
        <v>328</v>
      </c>
      <c r="H1808" s="64" t="s">
        <v>273</v>
      </c>
      <c r="I1808" s="64" t="s">
        <v>16</v>
      </c>
      <c r="J1808" s="64" t="s">
        <v>274</v>
      </c>
      <c r="K1808" s="66">
        <v>52.07</v>
      </c>
      <c r="L1808" s="66">
        <f>K1808*VLOOKUP(I1808,dagsoorttabel1,2,FALSE)</f>
        <v>10.414000000000001</v>
      </c>
      <c r="M1808" s="67">
        <f>prodnorm12</f>
        <v>0</v>
      </c>
      <c r="N1808" s="68">
        <f>dagwerk12</f>
        <v>0</v>
      </c>
      <c r="O1808" s="64" t="s">
        <v>38</v>
      </c>
      <c r="P1808" s="69">
        <f>uurtarief12</f>
        <v>0</v>
      </c>
      <c r="Q1808" s="66" t="e">
        <f>IF(ISBLANK(M1808),0,L1808/ROUND(M1808,4))</f>
        <v>#DIV/0!</v>
      </c>
      <c r="R1808" s="66" t="e">
        <f>IF(ISBLANK(M1808),0,Q1808*ROUND(N1808,2))</f>
        <v>#DIV/0!</v>
      </c>
      <c r="S1808" s="69" t="e">
        <f>ROUND(P1808,2)*Q1808</f>
        <v>#DIV/0!</v>
      </c>
      <c r="T1808" s="66" t="e">
        <f>Q1808*dagenperjaar1</f>
        <v>#DIV/0!</v>
      </c>
      <c r="U1808" s="70" t="e">
        <f>T1808*ROUND(P1808,2)</f>
        <v>#DIV/0!</v>
      </c>
    </row>
    <row r="1809" spans="1:21" x14ac:dyDescent="0.2">
      <c r="A1809" s="63" t="s">
        <v>2099</v>
      </c>
      <c r="B1809" s="64" t="s">
        <v>324</v>
      </c>
      <c r="C1809" s="64" t="s">
        <v>345</v>
      </c>
      <c r="D1809" s="64" t="s">
        <v>2154</v>
      </c>
      <c r="E1809" s="64" t="s">
        <v>885</v>
      </c>
      <c r="F1809" s="65" t="s">
        <v>2217</v>
      </c>
      <c r="G1809" s="64" t="s">
        <v>328</v>
      </c>
      <c r="H1809" s="64" t="s">
        <v>229</v>
      </c>
      <c r="I1809" s="64" t="s">
        <v>10</v>
      </c>
      <c r="J1809" s="64" t="s">
        <v>201</v>
      </c>
      <c r="K1809" s="66">
        <v>52.07</v>
      </c>
      <c r="L1809" s="66">
        <f>K1809*VLOOKUP(I1809,dagsoorttabel1,2,FALSE)</f>
        <v>52.07</v>
      </c>
      <c r="M1809" s="67">
        <f>prodnorm43</f>
        <v>0</v>
      </c>
      <c r="N1809" s="68">
        <f>dagwerk43</f>
        <v>0</v>
      </c>
      <c r="O1809" s="64" t="s">
        <v>38</v>
      </c>
      <c r="P1809" s="69">
        <f>uurtarief43</f>
        <v>0</v>
      </c>
      <c r="Q1809" s="66" t="e">
        <f>IF(ISBLANK(M1809),0,L1809/ROUND(M1809,4))</f>
        <v>#DIV/0!</v>
      </c>
      <c r="R1809" s="66" t="e">
        <f>IF(ISBLANK(M1809),0,Q1809*ROUND(N1809,2))</f>
        <v>#DIV/0!</v>
      </c>
      <c r="S1809" s="69" t="e">
        <f>ROUND(P1809,2)*Q1809</f>
        <v>#DIV/0!</v>
      </c>
      <c r="T1809" s="66" t="e">
        <f>Q1809*dagenperjaar1</f>
        <v>#DIV/0!</v>
      </c>
      <c r="U1809" s="70" t="e">
        <f>T1809*ROUND(P1809,2)</f>
        <v>#DIV/0!</v>
      </c>
    </row>
    <row r="1810" spans="1:21" x14ac:dyDescent="0.2">
      <c r="A1810" s="63" t="s">
        <v>2099</v>
      </c>
      <c r="B1810" s="64" t="s">
        <v>324</v>
      </c>
      <c r="C1810" s="64" t="s">
        <v>345</v>
      </c>
      <c r="D1810" s="64" t="s">
        <v>2218</v>
      </c>
      <c r="E1810" s="64" t="s">
        <v>1337</v>
      </c>
      <c r="F1810" s="65" t="s">
        <v>2219</v>
      </c>
      <c r="G1810" s="64" t="s">
        <v>328</v>
      </c>
      <c r="H1810" s="64" t="s">
        <v>273</v>
      </c>
      <c r="I1810" s="64" t="s">
        <v>16</v>
      </c>
      <c r="J1810" s="64" t="s">
        <v>274</v>
      </c>
      <c r="K1810" s="66">
        <v>61.01</v>
      </c>
      <c r="L1810" s="66">
        <f>K1810*VLOOKUP(I1810,dagsoorttabel1,2,FALSE)</f>
        <v>12.202</v>
      </c>
      <c r="M1810" s="67">
        <f>prodnorm12</f>
        <v>0</v>
      </c>
      <c r="N1810" s="68">
        <f>dagwerk12</f>
        <v>0</v>
      </c>
      <c r="O1810" s="64" t="s">
        <v>38</v>
      </c>
      <c r="P1810" s="69">
        <f>uurtarief12</f>
        <v>0</v>
      </c>
      <c r="Q1810" s="66" t="e">
        <f>IF(ISBLANK(M1810),0,L1810/ROUND(M1810,4))</f>
        <v>#DIV/0!</v>
      </c>
      <c r="R1810" s="66" t="e">
        <f>IF(ISBLANK(M1810),0,Q1810*ROUND(N1810,2))</f>
        <v>#DIV/0!</v>
      </c>
      <c r="S1810" s="69" t="e">
        <f>ROUND(P1810,2)*Q1810</f>
        <v>#DIV/0!</v>
      </c>
      <c r="T1810" s="66" t="e">
        <f>Q1810*dagenperjaar1</f>
        <v>#DIV/0!</v>
      </c>
      <c r="U1810" s="70" t="e">
        <f>T1810*ROUND(P1810,2)</f>
        <v>#DIV/0!</v>
      </c>
    </row>
    <row r="1811" spans="1:21" x14ac:dyDescent="0.2">
      <c r="A1811" s="63" t="s">
        <v>2099</v>
      </c>
      <c r="B1811" s="64" t="s">
        <v>324</v>
      </c>
      <c r="C1811" s="64" t="s">
        <v>345</v>
      </c>
      <c r="D1811" s="64" t="s">
        <v>2218</v>
      </c>
      <c r="E1811" s="64" t="s">
        <v>1337</v>
      </c>
      <c r="F1811" s="65" t="s">
        <v>2219</v>
      </c>
      <c r="G1811" s="64" t="s">
        <v>328</v>
      </c>
      <c r="H1811" s="64" t="s">
        <v>229</v>
      </c>
      <c r="I1811" s="64" t="s">
        <v>10</v>
      </c>
      <c r="J1811" s="64" t="s">
        <v>201</v>
      </c>
      <c r="K1811" s="66">
        <v>61.01</v>
      </c>
      <c r="L1811" s="66">
        <f>K1811*VLOOKUP(I1811,dagsoorttabel1,2,FALSE)</f>
        <v>61.01</v>
      </c>
      <c r="M1811" s="67">
        <f>prodnorm43</f>
        <v>0</v>
      </c>
      <c r="N1811" s="68">
        <f>dagwerk43</f>
        <v>0</v>
      </c>
      <c r="O1811" s="64" t="s">
        <v>38</v>
      </c>
      <c r="P1811" s="69">
        <f>uurtarief43</f>
        <v>0</v>
      </c>
      <c r="Q1811" s="66" t="e">
        <f>IF(ISBLANK(M1811),0,L1811/ROUND(M1811,4))</f>
        <v>#DIV/0!</v>
      </c>
      <c r="R1811" s="66" t="e">
        <f>IF(ISBLANK(M1811),0,Q1811*ROUND(N1811,2))</f>
        <v>#DIV/0!</v>
      </c>
      <c r="S1811" s="69" t="e">
        <f>ROUND(P1811,2)*Q1811</f>
        <v>#DIV/0!</v>
      </c>
      <c r="T1811" s="66" t="e">
        <f>Q1811*dagenperjaar1</f>
        <v>#DIV/0!</v>
      </c>
      <c r="U1811" s="70" t="e">
        <f>T1811*ROUND(P1811,2)</f>
        <v>#DIV/0!</v>
      </c>
    </row>
    <row r="1812" spans="1:21" x14ac:dyDescent="0.2">
      <c r="A1812" s="63" t="s">
        <v>2099</v>
      </c>
      <c r="B1812" s="64" t="s">
        <v>324</v>
      </c>
      <c r="C1812" s="64" t="s">
        <v>345</v>
      </c>
      <c r="D1812" s="64" t="s">
        <v>2220</v>
      </c>
      <c r="E1812" s="64" t="s">
        <v>1339</v>
      </c>
      <c r="F1812" s="65" t="s">
        <v>2221</v>
      </c>
      <c r="G1812" s="64" t="s">
        <v>328</v>
      </c>
      <c r="H1812" s="64" t="s">
        <v>273</v>
      </c>
      <c r="I1812" s="64" t="s">
        <v>16</v>
      </c>
      <c r="J1812" s="64" t="s">
        <v>274</v>
      </c>
      <c r="K1812" s="66">
        <v>61.01</v>
      </c>
      <c r="L1812" s="66">
        <f>K1812*VLOOKUP(I1812,dagsoorttabel1,2,FALSE)</f>
        <v>12.202</v>
      </c>
      <c r="M1812" s="67">
        <f>prodnorm12</f>
        <v>0</v>
      </c>
      <c r="N1812" s="68">
        <f>dagwerk12</f>
        <v>0</v>
      </c>
      <c r="O1812" s="64" t="s">
        <v>38</v>
      </c>
      <c r="P1812" s="69">
        <f>uurtarief12</f>
        <v>0</v>
      </c>
      <c r="Q1812" s="66" t="e">
        <f>IF(ISBLANK(M1812),0,L1812/ROUND(M1812,4))</f>
        <v>#DIV/0!</v>
      </c>
      <c r="R1812" s="66" t="e">
        <f>IF(ISBLANK(M1812),0,Q1812*ROUND(N1812,2))</f>
        <v>#DIV/0!</v>
      </c>
      <c r="S1812" s="69" t="e">
        <f>ROUND(P1812,2)*Q1812</f>
        <v>#DIV/0!</v>
      </c>
      <c r="T1812" s="66" t="e">
        <f>Q1812*dagenperjaar1</f>
        <v>#DIV/0!</v>
      </c>
      <c r="U1812" s="70" t="e">
        <f>T1812*ROUND(P1812,2)</f>
        <v>#DIV/0!</v>
      </c>
    </row>
    <row r="1813" spans="1:21" x14ac:dyDescent="0.2">
      <c r="A1813" s="63" t="s">
        <v>2099</v>
      </c>
      <c r="B1813" s="64" t="s">
        <v>324</v>
      </c>
      <c r="C1813" s="64" t="s">
        <v>345</v>
      </c>
      <c r="D1813" s="64" t="s">
        <v>2220</v>
      </c>
      <c r="E1813" s="64" t="s">
        <v>1339</v>
      </c>
      <c r="F1813" s="65" t="s">
        <v>2221</v>
      </c>
      <c r="G1813" s="64" t="s">
        <v>328</v>
      </c>
      <c r="H1813" s="64" t="s">
        <v>229</v>
      </c>
      <c r="I1813" s="64" t="s">
        <v>10</v>
      </c>
      <c r="J1813" s="64" t="s">
        <v>201</v>
      </c>
      <c r="K1813" s="66">
        <v>61.01</v>
      </c>
      <c r="L1813" s="66">
        <f>K1813*VLOOKUP(I1813,dagsoorttabel1,2,FALSE)</f>
        <v>61.01</v>
      </c>
      <c r="M1813" s="67">
        <f>prodnorm43</f>
        <v>0</v>
      </c>
      <c r="N1813" s="68">
        <f>dagwerk43</f>
        <v>0</v>
      </c>
      <c r="O1813" s="64" t="s">
        <v>38</v>
      </c>
      <c r="P1813" s="69">
        <f>uurtarief43</f>
        <v>0</v>
      </c>
      <c r="Q1813" s="66" t="e">
        <f>IF(ISBLANK(M1813),0,L1813/ROUND(M1813,4))</f>
        <v>#DIV/0!</v>
      </c>
      <c r="R1813" s="66" t="e">
        <f>IF(ISBLANK(M1813),0,Q1813*ROUND(N1813,2))</f>
        <v>#DIV/0!</v>
      </c>
      <c r="S1813" s="69" t="e">
        <f>ROUND(P1813,2)*Q1813</f>
        <v>#DIV/0!</v>
      </c>
      <c r="T1813" s="66" t="e">
        <f>Q1813*dagenperjaar1</f>
        <v>#DIV/0!</v>
      </c>
      <c r="U1813" s="70" t="e">
        <f>T1813*ROUND(P1813,2)</f>
        <v>#DIV/0!</v>
      </c>
    </row>
    <row r="1814" spans="1:21" x14ac:dyDescent="0.2">
      <c r="A1814" s="63" t="s">
        <v>2099</v>
      </c>
      <c r="B1814" s="64" t="s">
        <v>324</v>
      </c>
      <c r="C1814" s="64" t="s">
        <v>345</v>
      </c>
      <c r="D1814" s="64" t="s">
        <v>2156</v>
      </c>
      <c r="E1814" s="64" t="s">
        <v>1340</v>
      </c>
      <c r="F1814" s="65" t="s">
        <v>641</v>
      </c>
      <c r="G1814" s="64" t="s">
        <v>2128</v>
      </c>
      <c r="H1814" s="64" t="s">
        <v>255</v>
      </c>
      <c r="I1814" s="64" t="s">
        <v>10</v>
      </c>
      <c r="J1814" s="64" t="s">
        <v>201</v>
      </c>
      <c r="K1814" s="66">
        <v>3.72</v>
      </c>
      <c r="L1814" s="66">
        <f>K1814*VLOOKUP(I1814,dagsoorttabel1,2,FALSE)</f>
        <v>3.72</v>
      </c>
      <c r="M1814" s="67">
        <f>prodnorm59</f>
        <v>0</v>
      </c>
      <c r="N1814" s="68">
        <f>dagwerk59</f>
        <v>0</v>
      </c>
      <c r="O1814" s="64" t="s">
        <v>38</v>
      </c>
      <c r="P1814" s="69">
        <f>uurtarief59</f>
        <v>0</v>
      </c>
      <c r="Q1814" s="66" t="e">
        <f>IF(ISBLANK(M1814),0,L1814/ROUND(M1814,4))</f>
        <v>#DIV/0!</v>
      </c>
      <c r="R1814" s="66" t="e">
        <f>IF(ISBLANK(M1814),0,Q1814*ROUND(N1814,2))</f>
        <v>#DIV/0!</v>
      </c>
      <c r="S1814" s="69" t="e">
        <f>ROUND(P1814,2)*Q1814</f>
        <v>#DIV/0!</v>
      </c>
      <c r="T1814" s="66" t="e">
        <f>Q1814*dagenperjaar1</f>
        <v>#DIV/0!</v>
      </c>
      <c r="U1814" s="70" t="e">
        <f>T1814*ROUND(P1814,2)</f>
        <v>#DIV/0!</v>
      </c>
    </row>
    <row r="1815" spans="1:21" x14ac:dyDescent="0.2">
      <c r="A1815" s="63" t="s">
        <v>2099</v>
      </c>
      <c r="B1815" s="64" t="s">
        <v>324</v>
      </c>
      <c r="C1815" s="64" t="s">
        <v>345</v>
      </c>
      <c r="D1815" s="64" t="s">
        <v>2156</v>
      </c>
      <c r="E1815" s="64" t="s">
        <v>1340</v>
      </c>
      <c r="F1815" s="65" t="s">
        <v>641</v>
      </c>
      <c r="G1815" s="64" t="s">
        <v>2128</v>
      </c>
      <c r="H1815" s="64" t="s">
        <v>257</v>
      </c>
      <c r="I1815" s="64" t="s">
        <v>10</v>
      </c>
      <c r="J1815" s="64" t="s">
        <v>201</v>
      </c>
      <c r="K1815" s="66">
        <v>3.72</v>
      </c>
      <c r="L1815" s="66">
        <f>K1815*VLOOKUP(I1815,dagsoorttabel1,2,FALSE)</f>
        <v>3.72</v>
      </c>
      <c r="M1815" s="67">
        <f>prodnorm60</f>
        <v>0</v>
      </c>
      <c r="N1815" s="68">
        <f>dagwerk60</f>
        <v>0</v>
      </c>
      <c r="O1815" s="64" t="s">
        <v>38</v>
      </c>
      <c r="P1815" s="69">
        <f>uurtarief60</f>
        <v>0</v>
      </c>
      <c r="Q1815" s="66" t="e">
        <f>IF(ISBLANK(M1815),0,L1815/ROUND(M1815,4))</f>
        <v>#DIV/0!</v>
      </c>
      <c r="R1815" s="66" t="e">
        <f>IF(ISBLANK(M1815),0,Q1815*ROUND(N1815,2))</f>
        <v>#DIV/0!</v>
      </c>
      <c r="S1815" s="69" t="e">
        <f>ROUND(P1815,2)*Q1815</f>
        <v>#DIV/0!</v>
      </c>
      <c r="T1815" s="66" t="e">
        <f>Q1815*dagenperjaar1</f>
        <v>#DIV/0!</v>
      </c>
      <c r="U1815" s="70" t="e">
        <f>T1815*ROUND(P1815,2)</f>
        <v>#DIV/0!</v>
      </c>
    </row>
    <row r="1816" spans="1:21" x14ac:dyDescent="0.2">
      <c r="A1816" s="63" t="s">
        <v>2099</v>
      </c>
      <c r="B1816" s="64" t="s">
        <v>324</v>
      </c>
      <c r="C1816" s="64" t="s">
        <v>345</v>
      </c>
      <c r="D1816" s="64" t="s">
        <v>2222</v>
      </c>
      <c r="E1816" s="64" t="s">
        <v>1889</v>
      </c>
      <c r="F1816" s="65" t="s">
        <v>641</v>
      </c>
      <c r="G1816" s="64" t="s">
        <v>2128</v>
      </c>
      <c r="H1816" s="64" t="s">
        <v>255</v>
      </c>
      <c r="I1816" s="64" t="s">
        <v>10</v>
      </c>
      <c r="J1816" s="64" t="s">
        <v>201</v>
      </c>
      <c r="K1816" s="66">
        <v>3.71</v>
      </c>
      <c r="L1816" s="66">
        <f>K1816*VLOOKUP(I1816,dagsoorttabel1,2,FALSE)</f>
        <v>3.71</v>
      </c>
      <c r="M1816" s="67">
        <f>prodnorm59</f>
        <v>0</v>
      </c>
      <c r="N1816" s="68">
        <f>dagwerk59</f>
        <v>0</v>
      </c>
      <c r="O1816" s="64" t="s">
        <v>38</v>
      </c>
      <c r="P1816" s="69">
        <f>uurtarief59</f>
        <v>0</v>
      </c>
      <c r="Q1816" s="66" t="e">
        <f>IF(ISBLANK(M1816),0,L1816/ROUND(M1816,4))</f>
        <v>#DIV/0!</v>
      </c>
      <c r="R1816" s="66" t="e">
        <f>IF(ISBLANK(M1816),0,Q1816*ROUND(N1816,2))</f>
        <v>#DIV/0!</v>
      </c>
      <c r="S1816" s="69" t="e">
        <f>ROUND(P1816,2)*Q1816</f>
        <v>#DIV/0!</v>
      </c>
      <c r="T1816" s="66" t="e">
        <f>Q1816*dagenperjaar1</f>
        <v>#DIV/0!</v>
      </c>
      <c r="U1816" s="70" t="e">
        <f>T1816*ROUND(P1816,2)</f>
        <v>#DIV/0!</v>
      </c>
    </row>
    <row r="1817" spans="1:21" x14ac:dyDescent="0.2">
      <c r="A1817" s="63" t="s">
        <v>2099</v>
      </c>
      <c r="B1817" s="64" t="s">
        <v>324</v>
      </c>
      <c r="C1817" s="64" t="s">
        <v>345</v>
      </c>
      <c r="D1817" s="64" t="s">
        <v>2222</v>
      </c>
      <c r="E1817" s="64" t="s">
        <v>1889</v>
      </c>
      <c r="F1817" s="65" t="s">
        <v>641</v>
      </c>
      <c r="G1817" s="64" t="s">
        <v>2128</v>
      </c>
      <c r="H1817" s="64" t="s">
        <v>257</v>
      </c>
      <c r="I1817" s="64" t="s">
        <v>10</v>
      </c>
      <c r="J1817" s="64" t="s">
        <v>201</v>
      </c>
      <c r="K1817" s="66">
        <v>3.71</v>
      </c>
      <c r="L1817" s="66">
        <f>K1817*VLOOKUP(I1817,dagsoorttabel1,2,FALSE)</f>
        <v>3.71</v>
      </c>
      <c r="M1817" s="67">
        <f>prodnorm60</f>
        <v>0</v>
      </c>
      <c r="N1817" s="68">
        <f>dagwerk60</f>
        <v>0</v>
      </c>
      <c r="O1817" s="64" t="s">
        <v>38</v>
      </c>
      <c r="P1817" s="69">
        <f>uurtarief60</f>
        <v>0</v>
      </c>
      <c r="Q1817" s="66" t="e">
        <f>IF(ISBLANK(M1817),0,L1817/ROUND(M1817,4))</f>
        <v>#DIV/0!</v>
      </c>
      <c r="R1817" s="66" t="e">
        <f>IF(ISBLANK(M1817),0,Q1817*ROUND(N1817,2))</f>
        <v>#DIV/0!</v>
      </c>
      <c r="S1817" s="69" t="e">
        <f>ROUND(P1817,2)*Q1817</f>
        <v>#DIV/0!</v>
      </c>
      <c r="T1817" s="66" t="e">
        <f>Q1817*dagenperjaar1</f>
        <v>#DIV/0!</v>
      </c>
      <c r="U1817" s="70" t="e">
        <f>T1817*ROUND(P1817,2)</f>
        <v>#DIV/0!</v>
      </c>
    </row>
    <row r="1818" spans="1:21" x14ac:dyDescent="0.2">
      <c r="A1818" s="63" t="s">
        <v>2099</v>
      </c>
      <c r="B1818" s="64" t="s">
        <v>324</v>
      </c>
      <c r="C1818" s="64" t="s">
        <v>345</v>
      </c>
      <c r="D1818" s="64" t="s">
        <v>2223</v>
      </c>
      <c r="E1818" s="64" t="s">
        <v>2224</v>
      </c>
      <c r="F1818" s="65" t="s">
        <v>834</v>
      </c>
      <c r="G1818" s="64" t="s">
        <v>636</v>
      </c>
      <c r="H1818" s="64" t="s">
        <v>267</v>
      </c>
      <c r="I1818" s="64" t="s">
        <v>10</v>
      </c>
      <c r="J1818" s="64" t="s">
        <v>201</v>
      </c>
      <c r="K1818" s="66">
        <v>82.53</v>
      </c>
      <c r="L1818" s="66">
        <f>K1818*VLOOKUP(I1818,dagsoorttabel1,2,FALSE)</f>
        <v>82.53</v>
      </c>
      <c r="M1818" s="67">
        <f>prodnorm65</f>
        <v>0</v>
      </c>
      <c r="N1818" s="68">
        <f>dagwerk65</f>
        <v>0</v>
      </c>
      <c r="O1818" s="64" t="s">
        <v>38</v>
      </c>
      <c r="P1818" s="69">
        <f>uurtarief65</f>
        <v>0</v>
      </c>
      <c r="Q1818" s="66" t="e">
        <f>IF(ISBLANK(M1818),0,L1818/ROUND(M1818,4))</f>
        <v>#DIV/0!</v>
      </c>
      <c r="R1818" s="66" t="e">
        <f>IF(ISBLANK(M1818),0,Q1818*ROUND(N1818,2))</f>
        <v>#DIV/0!</v>
      </c>
      <c r="S1818" s="69" t="e">
        <f>ROUND(P1818,2)*Q1818</f>
        <v>#DIV/0!</v>
      </c>
      <c r="T1818" s="66" t="e">
        <f>Q1818*dagenperjaar1</f>
        <v>#DIV/0!</v>
      </c>
      <c r="U1818" s="70" t="e">
        <f>T1818*ROUND(P1818,2)</f>
        <v>#DIV/0!</v>
      </c>
    </row>
    <row r="1819" spans="1:21" x14ac:dyDescent="0.2">
      <c r="A1819" s="63" t="s">
        <v>2099</v>
      </c>
      <c r="B1819" s="64" t="s">
        <v>324</v>
      </c>
      <c r="C1819" s="64" t="s">
        <v>345</v>
      </c>
      <c r="D1819" s="64" t="s">
        <v>2161</v>
      </c>
      <c r="E1819" s="64" t="s">
        <v>889</v>
      </c>
      <c r="F1819" s="65" t="s">
        <v>2225</v>
      </c>
      <c r="G1819" s="64" t="s">
        <v>328</v>
      </c>
      <c r="H1819" s="64" t="s">
        <v>237</v>
      </c>
      <c r="I1819" s="64" t="s">
        <v>19</v>
      </c>
      <c r="J1819" s="64" t="s">
        <v>201</v>
      </c>
      <c r="K1819" s="66">
        <v>10.58</v>
      </c>
      <c r="L1819" s="66">
        <f>K1819*VLOOKUP(I1819,dagsoorttabel1,2,FALSE)</f>
        <v>0.52900000000000003</v>
      </c>
      <c r="M1819" s="67">
        <f>prodnorm47</f>
        <v>0</v>
      </c>
      <c r="N1819" s="68">
        <f>dagwerk47</f>
        <v>0</v>
      </c>
      <c r="O1819" s="64" t="s">
        <v>38</v>
      </c>
      <c r="P1819" s="69">
        <f>uurtarief47</f>
        <v>0</v>
      </c>
      <c r="Q1819" s="66" t="e">
        <f>IF(ISBLANK(M1819),0,L1819/ROUND(M1819,4))</f>
        <v>#DIV/0!</v>
      </c>
      <c r="R1819" s="66" t="e">
        <f>IF(ISBLANK(M1819),0,Q1819*ROUND(N1819,2))</f>
        <v>#DIV/0!</v>
      </c>
      <c r="S1819" s="69" t="e">
        <f>ROUND(P1819,2)*Q1819</f>
        <v>#DIV/0!</v>
      </c>
      <c r="T1819" s="66" t="e">
        <f>Q1819*dagenperjaar1</f>
        <v>#DIV/0!</v>
      </c>
      <c r="U1819" s="70" t="e">
        <f>T1819*ROUND(P1819,2)</f>
        <v>#DIV/0!</v>
      </c>
    </row>
    <row r="1820" spans="1:21" x14ac:dyDescent="0.2">
      <c r="A1820" s="63" t="s">
        <v>2099</v>
      </c>
      <c r="B1820" s="64" t="s">
        <v>324</v>
      </c>
      <c r="C1820" s="64" t="s">
        <v>345</v>
      </c>
      <c r="D1820" s="64" t="s">
        <v>2163</v>
      </c>
      <c r="E1820" s="64" t="s">
        <v>890</v>
      </c>
      <c r="F1820" s="65" t="s">
        <v>2226</v>
      </c>
      <c r="G1820" s="64" t="s">
        <v>328</v>
      </c>
      <c r="H1820" s="64" t="s">
        <v>237</v>
      </c>
      <c r="I1820" s="64" t="s">
        <v>19</v>
      </c>
      <c r="J1820" s="64" t="s">
        <v>201</v>
      </c>
      <c r="K1820" s="66">
        <v>22.3</v>
      </c>
      <c r="L1820" s="66">
        <f>K1820*VLOOKUP(I1820,dagsoorttabel1,2,FALSE)</f>
        <v>1.115</v>
      </c>
      <c r="M1820" s="67">
        <f>prodnorm47</f>
        <v>0</v>
      </c>
      <c r="N1820" s="68">
        <f>dagwerk47</f>
        <v>0</v>
      </c>
      <c r="O1820" s="64" t="s">
        <v>38</v>
      </c>
      <c r="P1820" s="69">
        <f>uurtarief47</f>
        <v>0</v>
      </c>
      <c r="Q1820" s="66" t="e">
        <f>IF(ISBLANK(M1820),0,L1820/ROUND(M1820,4))</f>
        <v>#DIV/0!</v>
      </c>
      <c r="R1820" s="66" t="e">
        <f>IF(ISBLANK(M1820),0,Q1820*ROUND(N1820,2))</f>
        <v>#DIV/0!</v>
      </c>
      <c r="S1820" s="69" t="e">
        <f>ROUND(P1820,2)*Q1820</f>
        <v>#DIV/0!</v>
      </c>
      <c r="T1820" s="66" t="e">
        <f>Q1820*dagenperjaar1</f>
        <v>#DIV/0!</v>
      </c>
      <c r="U1820" s="70" t="e">
        <f>T1820*ROUND(P1820,2)</f>
        <v>#DIV/0!</v>
      </c>
    </row>
    <row r="1821" spans="1:21" x14ac:dyDescent="0.2">
      <c r="A1821" s="63" t="s">
        <v>2099</v>
      </c>
      <c r="B1821" s="64" t="s">
        <v>324</v>
      </c>
      <c r="C1821" s="64" t="s">
        <v>345</v>
      </c>
      <c r="D1821" s="64" t="s">
        <v>2227</v>
      </c>
      <c r="E1821" s="64" t="s">
        <v>892</v>
      </c>
      <c r="F1821" s="65" t="s">
        <v>641</v>
      </c>
      <c r="G1821" s="64" t="s">
        <v>2128</v>
      </c>
      <c r="H1821" s="64" t="s">
        <v>255</v>
      </c>
      <c r="I1821" s="64" t="s">
        <v>10</v>
      </c>
      <c r="J1821" s="64" t="s">
        <v>201</v>
      </c>
      <c r="K1821" s="66">
        <v>14.870000000000001</v>
      </c>
      <c r="L1821" s="66">
        <f>K1821*VLOOKUP(I1821,dagsoorttabel1,2,FALSE)</f>
        <v>14.870000000000001</v>
      </c>
      <c r="M1821" s="67">
        <f>prodnorm59</f>
        <v>0</v>
      </c>
      <c r="N1821" s="68">
        <f>dagwerk59</f>
        <v>0</v>
      </c>
      <c r="O1821" s="64" t="s">
        <v>38</v>
      </c>
      <c r="P1821" s="69">
        <f>uurtarief59</f>
        <v>0</v>
      </c>
      <c r="Q1821" s="66" t="e">
        <f>IF(ISBLANK(M1821),0,L1821/ROUND(M1821,4))</f>
        <v>#DIV/0!</v>
      </c>
      <c r="R1821" s="66" t="e">
        <f>IF(ISBLANK(M1821),0,Q1821*ROUND(N1821,2))</f>
        <v>#DIV/0!</v>
      </c>
      <c r="S1821" s="69" t="e">
        <f>ROUND(P1821,2)*Q1821</f>
        <v>#DIV/0!</v>
      </c>
      <c r="T1821" s="66" t="e">
        <f>Q1821*dagenperjaar1</f>
        <v>#DIV/0!</v>
      </c>
      <c r="U1821" s="70" t="e">
        <f>T1821*ROUND(P1821,2)</f>
        <v>#DIV/0!</v>
      </c>
    </row>
    <row r="1822" spans="1:21" x14ac:dyDescent="0.2">
      <c r="A1822" s="63" t="s">
        <v>2099</v>
      </c>
      <c r="B1822" s="64" t="s">
        <v>324</v>
      </c>
      <c r="C1822" s="64" t="s">
        <v>345</v>
      </c>
      <c r="D1822" s="64" t="s">
        <v>2227</v>
      </c>
      <c r="E1822" s="64" t="s">
        <v>892</v>
      </c>
      <c r="F1822" s="65" t="s">
        <v>641</v>
      </c>
      <c r="G1822" s="64" t="s">
        <v>2128</v>
      </c>
      <c r="H1822" s="64" t="s">
        <v>257</v>
      </c>
      <c r="I1822" s="64" t="s">
        <v>10</v>
      </c>
      <c r="J1822" s="64" t="s">
        <v>201</v>
      </c>
      <c r="K1822" s="66">
        <v>14.870000000000001</v>
      </c>
      <c r="L1822" s="66">
        <f>K1822*VLOOKUP(I1822,dagsoorttabel1,2,FALSE)</f>
        <v>14.870000000000001</v>
      </c>
      <c r="M1822" s="67">
        <f>prodnorm60</f>
        <v>0</v>
      </c>
      <c r="N1822" s="68">
        <f>dagwerk60</f>
        <v>0</v>
      </c>
      <c r="O1822" s="64" t="s">
        <v>38</v>
      </c>
      <c r="P1822" s="69">
        <f>uurtarief60</f>
        <v>0</v>
      </c>
      <c r="Q1822" s="66" t="e">
        <f>IF(ISBLANK(M1822),0,L1822/ROUND(M1822,4))</f>
        <v>#DIV/0!</v>
      </c>
      <c r="R1822" s="66" t="e">
        <f>IF(ISBLANK(M1822),0,Q1822*ROUND(N1822,2))</f>
        <v>#DIV/0!</v>
      </c>
      <c r="S1822" s="69" t="e">
        <f>ROUND(P1822,2)*Q1822</f>
        <v>#DIV/0!</v>
      </c>
      <c r="T1822" s="66" t="e">
        <f>Q1822*dagenperjaar1</f>
        <v>#DIV/0!</v>
      </c>
      <c r="U1822" s="70" t="e">
        <f>T1822*ROUND(P1822,2)</f>
        <v>#DIV/0!</v>
      </c>
    </row>
    <row r="1823" spans="1:21" x14ac:dyDescent="0.2">
      <c r="A1823" s="63" t="s">
        <v>2099</v>
      </c>
      <c r="B1823" s="64" t="s">
        <v>324</v>
      </c>
      <c r="C1823" s="64" t="s">
        <v>345</v>
      </c>
      <c r="D1823" s="64" t="s">
        <v>2228</v>
      </c>
      <c r="E1823" s="64" t="s">
        <v>893</v>
      </c>
      <c r="F1823" s="65" t="s">
        <v>641</v>
      </c>
      <c r="G1823" s="64" t="s">
        <v>2128</v>
      </c>
      <c r="H1823" s="64" t="s">
        <v>255</v>
      </c>
      <c r="I1823" s="64" t="s">
        <v>10</v>
      </c>
      <c r="J1823" s="64" t="s">
        <v>201</v>
      </c>
      <c r="K1823" s="66">
        <v>14.870000000000001</v>
      </c>
      <c r="L1823" s="66">
        <f>K1823*VLOOKUP(I1823,dagsoorttabel1,2,FALSE)</f>
        <v>14.870000000000001</v>
      </c>
      <c r="M1823" s="67">
        <f>prodnorm59</f>
        <v>0</v>
      </c>
      <c r="N1823" s="68">
        <f>dagwerk59</f>
        <v>0</v>
      </c>
      <c r="O1823" s="64" t="s">
        <v>38</v>
      </c>
      <c r="P1823" s="69">
        <f>uurtarief59</f>
        <v>0</v>
      </c>
      <c r="Q1823" s="66" t="e">
        <f>IF(ISBLANK(M1823),0,L1823/ROUND(M1823,4))</f>
        <v>#DIV/0!</v>
      </c>
      <c r="R1823" s="66" t="e">
        <f>IF(ISBLANK(M1823),0,Q1823*ROUND(N1823,2))</f>
        <v>#DIV/0!</v>
      </c>
      <c r="S1823" s="69" t="e">
        <f>ROUND(P1823,2)*Q1823</f>
        <v>#DIV/0!</v>
      </c>
      <c r="T1823" s="66" t="e">
        <f>Q1823*dagenperjaar1</f>
        <v>#DIV/0!</v>
      </c>
      <c r="U1823" s="70" t="e">
        <f>T1823*ROUND(P1823,2)</f>
        <v>#DIV/0!</v>
      </c>
    </row>
    <row r="1824" spans="1:21" x14ac:dyDescent="0.2">
      <c r="A1824" s="63" t="s">
        <v>2099</v>
      </c>
      <c r="B1824" s="64" t="s">
        <v>324</v>
      </c>
      <c r="C1824" s="64" t="s">
        <v>345</v>
      </c>
      <c r="D1824" s="64" t="s">
        <v>2228</v>
      </c>
      <c r="E1824" s="64" t="s">
        <v>893</v>
      </c>
      <c r="F1824" s="65" t="s">
        <v>641</v>
      </c>
      <c r="G1824" s="64" t="s">
        <v>2128</v>
      </c>
      <c r="H1824" s="64" t="s">
        <v>257</v>
      </c>
      <c r="I1824" s="64" t="s">
        <v>10</v>
      </c>
      <c r="J1824" s="64" t="s">
        <v>201</v>
      </c>
      <c r="K1824" s="66">
        <v>14.870000000000001</v>
      </c>
      <c r="L1824" s="66">
        <f>K1824*VLOOKUP(I1824,dagsoorttabel1,2,FALSE)</f>
        <v>14.870000000000001</v>
      </c>
      <c r="M1824" s="67">
        <f>prodnorm60</f>
        <v>0</v>
      </c>
      <c r="N1824" s="68">
        <f>dagwerk60</f>
        <v>0</v>
      </c>
      <c r="O1824" s="64" t="s">
        <v>38</v>
      </c>
      <c r="P1824" s="69">
        <f>uurtarief60</f>
        <v>0</v>
      </c>
      <c r="Q1824" s="66" t="e">
        <f>IF(ISBLANK(M1824),0,L1824/ROUND(M1824,4))</f>
        <v>#DIV/0!</v>
      </c>
      <c r="R1824" s="66" t="e">
        <f>IF(ISBLANK(M1824),0,Q1824*ROUND(N1824,2))</f>
        <v>#DIV/0!</v>
      </c>
      <c r="S1824" s="69" t="e">
        <f>ROUND(P1824,2)*Q1824</f>
        <v>#DIV/0!</v>
      </c>
      <c r="T1824" s="66" t="e">
        <f>Q1824*dagenperjaar1</f>
        <v>#DIV/0!</v>
      </c>
      <c r="U1824" s="70" t="e">
        <f>T1824*ROUND(P1824,2)</f>
        <v>#DIV/0!</v>
      </c>
    </row>
    <row r="1825" spans="1:21" x14ac:dyDescent="0.2">
      <c r="A1825" s="63" t="s">
        <v>2099</v>
      </c>
      <c r="B1825" s="64" t="s">
        <v>324</v>
      </c>
      <c r="C1825" s="64" t="s">
        <v>345</v>
      </c>
      <c r="D1825" s="64" t="s">
        <v>2164</v>
      </c>
      <c r="E1825" s="64" t="s">
        <v>893</v>
      </c>
      <c r="F1825" s="65" t="s">
        <v>2229</v>
      </c>
      <c r="G1825" s="64" t="s">
        <v>328</v>
      </c>
      <c r="H1825" s="64" t="s">
        <v>223</v>
      </c>
      <c r="I1825" s="64" t="s">
        <v>10</v>
      </c>
      <c r="J1825" s="64" t="s">
        <v>201</v>
      </c>
      <c r="K1825" s="66">
        <v>2.42</v>
      </c>
      <c r="L1825" s="66">
        <f>K1825*VLOOKUP(I1825,dagsoorttabel1,2,FALSE)</f>
        <v>2.42</v>
      </c>
      <c r="M1825" s="67">
        <f>prodnorm39</f>
        <v>0</v>
      </c>
      <c r="N1825" s="68">
        <f>dagwerk39</f>
        <v>0</v>
      </c>
      <c r="O1825" s="64" t="s">
        <v>38</v>
      </c>
      <c r="P1825" s="69">
        <f>uurtarief39</f>
        <v>0</v>
      </c>
      <c r="Q1825" s="66" t="e">
        <f>IF(ISBLANK(M1825),0,L1825/ROUND(M1825,4))</f>
        <v>#DIV/0!</v>
      </c>
      <c r="R1825" s="66" t="e">
        <f>IF(ISBLANK(M1825),0,Q1825*ROUND(N1825,2))</f>
        <v>#DIV/0!</v>
      </c>
      <c r="S1825" s="69" t="e">
        <f>ROUND(P1825,2)*Q1825</f>
        <v>#DIV/0!</v>
      </c>
      <c r="T1825" s="66" t="e">
        <f>Q1825*dagenperjaar1</f>
        <v>#DIV/0!</v>
      </c>
      <c r="U1825" s="70" t="e">
        <f>T1825*ROUND(P1825,2)</f>
        <v>#DIV/0!</v>
      </c>
    </row>
    <row r="1826" spans="1:21" x14ac:dyDescent="0.2">
      <c r="A1826" s="63" t="s">
        <v>2099</v>
      </c>
      <c r="B1826" s="64" t="s">
        <v>324</v>
      </c>
      <c r="C1826" s="64" t="s">
        <v>345</v>
      </c>
      <c r="D1826" s="64" t="s">
        <v>2167</v>
      </c>
      <c r="E1826" s="64" t="s">
        <v>895</v>
      </c>
      <c r="F1826" s="65" t="s">
        <v>2230</v>
      </c>
      <c r="G1826" s="64" t="s">
        <v>328</v>
      </c>
      <c r="H1826" s="64" t="s">
        <v>255</v>
      </c>
      <c r="I1826" s="64" t="s">
        <v>10</v>
      </c>
      <c r="J1826" s="64" t="s">
        <v>201</v>
      </c>
      <c r="K1826" s="66">
        <v>1.85</v>
      </c>
      <c r="L1826" s="66">
        <f>K1826*VLOOKUP(I1826,dagsoorttabel1,2,FALSE)</f>
        <v>1.85</v>
      </c>
      <c r="M1826" s="67">
        <f>prodnorm59</f>
        <v>0</v>
      </c>
      <c r="N1826" s="68">
        <f>dagwerk59</f>
        <v>0</v>
      </c>
      <c r="O1826" s="64" t="s">
        <v>38</v>
      </c>
      <c r="P1826" s="69">
        <f>uurtarief59</f>
        <v>0</v>
      </c>
      <c r="Q1826" s="66" t="e">
        <f>IF(ISBLANK(M1826),0,L1826/ROUND(M1826,4))</f>
        <v>#DIV/0!</v>
      </c>
      <c r="R1826" s="66" t="e">
        <f>IF(ISBLANK(M1826),0,Q1826*ROUND(N1826,2))</f>
        <v>#DIV/0!</v>
      </c>
      <c r="S1826" s="69" t="e">
        <f>ROUND(P1826,2)*Q1826</f>
        <v>#DIV/0!</v>
      </c>
      <c r="T1826" s="66" t="e">
        <f>Q1826*dagenperjaar1</f>
        <v>#DIV/0!</v>
      </c>
      <c r="U1826" s="70" t="e">
        <f>T1826*ROUND(P1826,2)</f>
        <v>#DIV/0!</v>
      </c>
    </row>
    <row r="1827" spans="1:21" x14ac:dyDescent="0.2">
      <c r="A1827" s="63" t="s">
        <v>2099</v>
      </c>
      <c r="B1827" s="64" t="s">
        <v>324</v>
      </c>
      <c r="C1827" s="64" t="s">
        <v>345</v>
      </c>
      <c r="D1827" s="64" t="s">
        <v>2167</v>
      </c>
      <c r="E1827" s="64" t="s">
        <v>895</v>
      </c>
      <c r="F1827" s="65" t="s">
        <v>2230</v>
      </c>
      <c r="G1827" s="64" t="s">
        <v>328</v>
      </c>
      <c r="H1827" s="64" t="s">
        <v>257</v>
      </c>
      <c r="I1827" s="64" t="s">
        <v>10</v>
      </c>
      <c r="J1827" s="64" t="s">
        <v>201</v>
      </c>
      <c r="K1827" s="66">
        <v>1.85</v>
      </c>
      <c r="L1827" s="66">
        <f>K1827*VLOOKUP(I1827,dagsoorttabel1,2,FALSE)</f>
        <v>1.85</v>
      </c>
      <c r="M1827" s="67">
        <f>prodnorm60</f>
        <v>0</v>
      </c>
      <c r="N1827" s="68">
        <f>dagwerk60</f>
        <v>0</v>
      </c>
      <c r="O1827" s="64" t="s">
        <v>38</v>
      </c>
      <c r="P1827" s="69">
        <f>uurtarief60</f>
        <v>0</v>
      </c>
      <c r="Q1827" s="66" t="e">
        <f>IF(ISBLANK(M1827),0,L1827/ROUND(M1827,4))</f>
        <v>#DIV/0!</v>
      </c>
      <c r="R1827" s="66" t="e">
        <f>IF(ISBLANK(M1827),0,Q1827*ROUND(N1827,2))</f>
        <v>#DIV/0!</v>
      </c>
      <c r="S1827" s="69" t="e">
        <f>ROUND(P1827,2)*Q1827</f>
        <v>#DIV/0!</v>
      </c>
      <c r="T1827" s="66" t="e">
        <f>Q1827*dagenperjaar1</f>
        <v>#DIV/0!</v>
      </c>
      <c r="U1827" s="70" t="e">
        <f>T1827*ROUND(P1827,2)</f>
        <v>#DIV/0!</v>
      </c>
    </row>
    <row r="1828" spans="1:21" x14ac:dyDescent="0.2">
      <c r="A1828" s="63" t="s">
        <v>2099</v>
      </c>
      <c r="B1828" s="64" t="s">
        <v>324</v>
      </c>
      <c r="C1828" s="64" t="s">
        <v>345</v>
      </c>
      <c r="D1828" s="64" t="s">
        <v>2231</v>
      </c>
      <c r="E1828" s="64" t="s">
        <v>897</v>
      </c>
      <c r="F1828" s="65" t="s">
        <v>354</v>
      </c>
      <c r="G1828" s="64" t="s">
        <v>685</v>
      </c>
      <c r="H1828" s="64" t="s">
        <v>215</v>
      </c>
      <c r="I1828" s="64" t="s">
        <v>10</v>
      </c>
      <c r="J1828" s="64" t="s">
        <v>201</v>
      </c>
      <c r="K1828" s="66">
        <v>16.079999999999998</v>
      </c>
      <c r="L1828" s="66">
        <f>K1828*VLOOKUP(I1828,dagsoorttabel1,2,FALSE)</f>
        <v>16.079999999999998</v>
      </c>
      <c r="M1828" s="67">
        <f>prodnorm34</f>
        <v>0</v>
      </c>
      <c r="N1828" s="68">
        <f>dagwerk34</f>
        <v>0</v>
      </c>
      <c r="O1828" s="64" t="s">
        <v>38</v>
      </c>
      <c r="P1828" s="69">
        <f>uurtarief34</f>
        <v>0</v>
      </c>
      <c r="Q1828" s="66" t="e">
        <f>IF(ISBLANK(M1828),0,L1828/ROUND(M1828,4))</f>
        <v>#DIV/0!</v>
      </c>
      <c r="R1828" s="66" t="e">
        <f>IF(ISBLANK(M1828),0,Q1828*ROUND(N1828,2))</f>
        <v>#DIV/0!</v>
      </c>
      <c r="S1828" s="69" t="e">
        <f>ROUND(P1828,2)*Q1828</f>
        <v>#DIV/0!</v>
      </c>
      <c r="T1828" s="66" t="e">
        <f>Q1828*dagenperjaar1</f>
        <v>#DIV/0!</v>
      </c>
      <c r="U1828" s="70" t="e">
        <f>T1828*ROUND(P1828,2)</f>
        <v>#DIV/0!</v>
      </c>
    </row>
    <row r="1829" spans="1:21" x14ac:dyDescent="0.2">
      <c r="A1829" s="63" t="s">
        <v>2099</v>
      </c>
      <c r="B1829" s="64" t="s">
        <v>324</v>
      </c>
      <c r="C1829" s="64" t="s">
        <v>345</v>
      </c>
      <c r="D1829" s="64" t="s">
        <v>2232</v>
      </c>
      <c r="E1829" s="64" t="s">
        <v>897</v>
      </c>
      <c r="F1829" s="65" t="s">
        <v>2233</v>
      </c>
      <c r="G1829" s="64" t="s">
        <v>328</v>
      </c>
      <c r="H1829" s="64" t="s">
        <v>241</v>
      </c>
      <c r="I1829" s="64" t="s">
        <v>10</v>
      </c>
      <c r="J1829" s="64" t="s">
        <v>201</v>
      </c>
      <c r="K1829" s="66">
        <v>36.36</v>
      </c>
      <c r="L1829" s="66">
        <f>K1829*VLOOKUP(I1829,dagsoorttabel1,2,FALSE)</f>
        <v>36.36</v>
      </c>
      <c r="M1829" s="67">
        <f>prodnorm51</f>
        <v>0</v>
      </c>
      <c r="N1829" s="68">
        <f>dagwerk51</f>
        <v>0</v>
      </c>
      <c r="O1829" s="64" t="s">
        <v>38</v>
      </c>
      <c r="P1829" s="69">
        <f>uurtarief51</f>
        <v>0</v>
      </c>
      <c r="Q1829" s="66" t="e">
        <f>IF(ISBLANK(M1829),0,L1829/ROUND(M1829,4))</f>
        <v>#DIV/0!</v>
      </c>
      <c r="R1829" s="66" t="e">
        <f>IF(ISBLANK(M1829),0,Q1829*ROUND(N1829,2))</f>
        <v>#DIV/0!</v>
      </c>
      <c r="S1829" s="69" t="e">
        <f>ROUND(P1829,2)*Q1829</f>
        <v>#DIV/0!</v>
      </c>
      <c r="T1829" s="66" t="e">
        <f>Q1829*dagenperjaar1</f>
        <v>#DIV/0!</v>
      </c>
      <c r="U1829" s="70" t="e">
        <f>T1829*ROUND(P1829,2)</f>
        <v>#DIV/0!</v>
      </c>
    </row>
    <row r="1830" spans="1:21" x14ac:dyDescent="0.2">
      <c r="A1830" s="63" t="s">
        <v>2099</v>
      </c>
      <c r="B1830" s="64" t="s">
        <v>324</v>
      </c>
      <c r="C1830" s="64" t="s">
        <v>345</v>
      </c>
      <c r="D1830" s="64" t="s">
        <v>2169</v>
      </c>
      <c r="E1830" s="64" t="s">
        <v>898</v>
      </c>
      <c r="F1830" s="65" t="s">
        <v>2234</v>
      </c>
      <c r="G1830" s="64" t="s">
        <v>328</v>
      </c>
      <c r="H1830" s="64" t="s">
        <v>237</v>
      </c>
      <c r="I1830" s="64" t="s">
        <v>19</v>
      </c>
      <c r="J1830" s="64" t="s">
        <v>201</v>
      </c>
      <c r="K1830" s="66">
        <v>9.11</v>
      </c>
      <c r="L1830" s="66">
        <f>K1830*VLOOKUP(I1830,dagsoorttabel1,2,FALSE)</f>
        <v>0.45550000000000002</v>
      </c>
      <c r="M1830" s="67">
        <f>prodnorm47</f>
        <v>0</v>
      </c>
      <c r="N1830" s="68">
        <f>dagwerk47</f>
        <v>0</v>
      </c>
      <c r="O1830" s="64" t="s">
        <v>38</v>
      </c>
      <c r="P1830" s="69">
        <f>uurtarief47</f>
        <v>0</v>
      </c>
      <c r="Q1830" s="66" t="e">
        <f>IF(ISBLANK(M1830),0,L1830/ROUND(M1830,4))</f>
        <v>#DIV/0!</v>
      </c>
      <c r="R1830" s="66" t="e">
        <f>IF(ISBLANK(M1830),0,Q1830*ROUND(N1830,2))</f>
        <v>#DIV/0!</v>
      </c>
      <c r="S1830" s="69" t="e">
        <f>ROUND(P1830,2)*Q1830</f>
        <v>#DIV/0!</v>
      </c>
      <c r="T1830" s="66" t="e">
        <f>Q1830*dagenperjaar1</f>
        <v>#DIV/0!</v>
      </c>
      <c r="U1830" s="70" t="e">
        <f>T1830*ROUND(P1830,2)</f>
        <v>#DIV/0!</v>
      </c>
    </row>
    <row r="1831" spans="1:21" x14ac:dyDescent="0.2">
      <c r="A1831" s="63" t="s">
        <v>2099</v>
      </c>
      <c r="B1831" s="64" t="s">
        <v>324</v>
      </c>
      <c r="C1831" s="64" t="s">
        <v>345</v>
      </c>
      <c r="D1831" s="64" t="s">
        <v>2171</v>
      </c>
      <c r="E1831" s="64" t="s">
        <v>899</v>
      </c>
      <c r="F1831" s="65" t="s">
        <v>2235</v>
      </c>
      <c r="G1831" s="64" t="s">
        <v>328</v>
      </c>
      <c r="H1831" s="64" t="s">
        <v>237</v>
      </c>
      <c r="I1831" s="64" t="s">
        <v>19</v>
      </c>
      <c r="J1831" s="64" t="s">
        <v>201</v>
      </c>
      <c r="K1831" s="66">
        <v>17.850000000000001</v>
      </c>
      <c r="L1831" s="66">
        <f>K1831*VLOOKUP(I1831,dagsoorttabel1,2,FALSE)</f>
        <v>0.89250000000000007</v>
      </c>
      <c r="M1831" s="67">
        <f>prodnorm47</f>
        <v>0</v>
      </c>
      <c r="N1831" s="68">
        <f>dagwerk47</f>
        <v>0</v>
      </c>
      <c r="O1831" s="64" t="s">
        <v>38</v>
      </c>
      <c r="P1831" s="69">
        <f>uurtarief47</f>
        <v>0</v>
      </c>
      <c r="Q1831" s="66" t="e">
        <f>IF(ISBLANK(M1831),0,L1831/ROUND(M1831,4))</f>
        <v>#DIV/0!</v>
      </c>
      <c r="R1831" s="66" t="e">
        <f>IF(ISBLANK(M1831),0,Q1831*ROUND(N1831,2))</f>
        <v>#DIV/0!</v>
      </c>
      <c r="S1831" s="69" t="e">
        <f>ROUND(P1831,2)*Q1831</f>
        <v>#DIV/0!</v>
      </c>
      <c r="T1831" s="66" t="e">
        <f>Q1831*dagenperjaar1</f>
        <v>#DIV/0!</v>
      </c>
      <c r="U1831" s="70" t="e">
        <f>T1831*ROUND(P1831,2)</f>
        <v>#DIV/0!</v>
      </c>
    </row>
    <row r="1832" spans="1:21" x14ac:dyDescent="0.2">
      <c r="A1832" s="63" t="s">
        <v>2099</v>
      </c>
      <c r="B1832" s="64" t="s">
        <v>324</v>
      </c>
      <c r="C1832" s="64" t="s">
        <v>345</v>
      </c>
      <c r="D1832" s="64" t="s">
        <v>2236</v>
      </c>
      <c r="E1832" s="64" t="s">
        <v>2237</v>
      </c>
      <c r="F1832" s="65" t="s">
        <v>834</v>
      </c>
      <c r="G1832" s="64" t="s">
        <v>328</v>
      </c>
      <c r="H1832" s="64" t="s">
        <v>267</v>
      </c>
      <c r="I1832" s="64" t="s">
        <v>10</v>
      </c>
      <c r="J1832" s="64" t="s">
        <v>201</v>
      </c>
      <c r="K1832" s="66">
        <v>89.33</v>
      </c>
      <c r="L1832" s="66">
        <f>K1832*VLOOKUP(I1832,dagsoorttabel1,2,FALSE)</f>
        <v>89.33</v>
      </c>
      <c r="M1832" s="67">
        <f>prodnorm65</f>
        <v>0</v>
      </c>
      <c r="N1832" s="68">
        <f>dagwerk65</f>
        <v>0</v>
      </c>
      <c r="O1832" s="64" t="s">
        <v>38</v>
      </c>
      <c r="P1832" s="69">
        <f>uurtarief65</f>
        <v>0</v>
      </c>
      <c r="Q1832" s="66" t="e">
        <f>IF(ISBLANK(M1832),0,L1832/ROUND(M1832,4))</f>
        <v>#DIV/0!</v>
      </c>
      <c r="R1832" s="66" t="e">
        <f>IF(ISBLANK(M1832),0,Q1832*ROUND(N1832,2))</f>
        <v>#DIV/0!</v>
      </c>
      <c r="S1832" s="69" t="e">
        <f>ROUND(P1832,2)*Q1832</f>
        <v>#DIV/0!</v>
      </c>
      <c r="T1832" s="66" t="e">
        <f>Q1832*dagenperjaar1</f>
        <v>#DIV/0!</v>
      </c>
      <c r="U1832" s="70" t="e">
        <f>T1832*ROUND(P1832,2)</f>
        <v>#DIV/0!</v>
      </c>
    </row>
    <row r="1833" spans="1:21" x14ac:dyDescent="0.2">
      <c r="A1833" s="63" t="s">
        <v>2099</v>
      </c>
      <c r="B1833" s="64" t="s">
        <v>324</v>
      </c>
      <c r="C1833" s="64" t="s">
        <v>345</v>
      </c>
      <c r="D1833" s="64" t="s">
        <v>2238</v>
      </c>
      <c r="E1833" s="64" t="s">
        <v>1892</v>
      </c>
      <c r="F1833" s="65" t="s">
        <v>2152</v>
      </c>
      <c r="G1833" s="64" t="s">
        <v>328</v>
      </c>
      <c r="H1833" s="64" t="s">
        <v>273</v>
      </c>
      <c r="I1833" s="64" t="s">
        <v>16</v>
      </c>
      <c r="J1833" s="64" t="s">
        <v>274</v>
      </c>
      <c r="K1833" s="66">
        <v>52.07</v>
      </c>
      <c r="L1833" s="66">
        <f>K1833*VLOOKUP(I1833,dagsoorttabel1,2,FALSE)</f>
        <v>10.414000000000001</v>
      </c>
      <c r="M1833" s="67">
        <f>prodnorm12</f>
        <v>0</v>
      </c>
      <c r="N1833" s="68">
        <f>dagwerk12</f>
        <v>0</v>
      </c>
      <c r="O1833" s="64" t="s">
        <v>38</v>
      </c>
      <c r="P1833" s="69">
        <f>uurtarief12</f>
        <v>0</v>
      </c>
      <c r="Q1833" s="66" t="e">
        <f>IF(ISBLANK(M1833),0,L1833/ROUND(M1833,4))</f>
        <v>#DIV/0!</v>
      </c>
      <c r="R1833" s="66" t="e">
        <f>IF(ISBLANK(M1833),0,Q1833*ROUND(N1833,2))</f>
        <v>#DIV/0!</v>
      </c>
      <c r="S1833" s="69" t="e">
        <f>ROUND(P1833,2)*Q1833</f>
        <v>#DIV/0!</v>
      </c>
      <c r="T1833" s="66" t="e">
        <f>Q1833*dagenperjaar1</f>
        <v>#DIV/0!</v>
      </c>
      <c r="U1833" s="70" t="e">
        <f>T1833*ROUND(P1833,2)</f>
        <v>#DIV/0!</v>
      </c>
    </row>
    <row r="1834" spans="1:21" x14ac:dyDescent="0.2">
      <c r="A1834" s="63" t="s">
        <v>2099</v>
      </c>
      <c r="B1834" s="64" t="s">
        <v>324</v>
      </c>
      <c r="C1834" s="64" t="s">
        <v>345</v>
      </c>
      <c r="D1834" s="64" t="s">
        <v>2238</v>
      </c>
      <c r="E1834" s="64" t="s">
        <v>1892</v>
      </c>
      <c r="F1834" s="65" t="s">
        <v>2152</v>
      </c>
      <c r="G1834" s="64" t="s">
        <v>328</v>
      </c>
      <c r="H1834" s="64" t="s">
        <v>229</v>
      </c>
      <c r="I1834" s="64" t="s">
        <v>10</v>
      </c>
      <c r="J1834" s="64" t="s">
        <v>201</v>
      </c>
      <c r="K1834" s="66">
        <v>52.07</v>
      </c>
      <c r="L1834" s="66">
        <f>K1834*VLOOKUP(I1834,dagsoorttabel1,2,FALSE)</f>
        <v>52.07</v>
      </c>
      <c r="M1834" s="67">
        <f>prodnorm43</f>
        <v>0</v>
      </c>
      <c r="N1834" s="68">
        <f>dagwerk43</f>
        <v>0</v>
      </c>
      <c r="O1834" s="64" t="s">
        <v>38</v>
      </c>
      <c r="P1834" s="69">
        <f>uurtarief43</f>
        <v>0</v>
      </c>
      <c r="Q1834" s="66" t="e">
        <f>IF(ISBLANK(M1834),0,L1834/ROUND(M1834,4))</f>
        <v>#DIV/0!</v>
      </c>
      <c r="R1834" s="66" t="e">
        <f>IF(ISBLANK(M1834),0,Q1834*ROUND(N1834,2))</f>
        <v>#DIV/0!</v>
      </c>
      <c r="S1834" s="69" t="e">
        <f>ROUND(P1834,2)*Q1834</f>
        <v>#DIV/0!</v>
      </c>
      <c r="T1834" s="66" t="e">
        <f>Q1834*dagenperjaar1</f>
        <v>#DIV/0!</v>
      </c>
      <c r="U1834" s="70" t="e">
        <f>T1834*ROUND(P1834,2)</f>
        <v>#DIV/0!</v>
      </c>
    </row>
    <row r="1835" spans="1:21" x14ac:dyDescent="0.2">
      <c r="A1835" s="63" t="s">
        <v>2099</v>
      </c>
      <c r="B1835" s="64" t="s">
        <v>324</v>
      </c>
      <c r="C1835" s="64" t="s">
        <v>345</v>
      </c>
      <c r="D1835" s="64" t="s">
        <v>2174</v>
      </c>
      <c r="E1835" s="64" t="s">
        <v>908</v>
      </c>
      <c r="F1835" s="65" t="s">
        <v>2239</v>
      </c>
      <c r="G1835" s="64" t="s">
        <v>328</v>
      </c>
      <c r="H1835" s="64" t="s">
        <v>205</v>
      </c>
      <c r="I1835" s="64" t="s">
        <v>10</v>
      </c>
      <c r="J1835" s="64" t="s">
        <v>201</v>
      </c>
      <c r="K1835" s="66">
        <v>52.27</v>
      </c>
      <c r="L1835" s="66">
        <f>K1835*VLOOKUP(I1835,dagsoorttabel1,2,FALSE)</f>
        <v>52.27</v>
      </c>
      <c r="M1835" s="67">
        <f>prodnorm26</f>
        <v>0</v>
      </c>
      <c r="N1835" s="68">
        <f>dagwerk26</f>
        <v>0</v>
      </c>
      <c r="O1835" s="64" t="s">
        <v>38</v>
      </c>
      <c r="P1835" s="69">
        <f>uurtarief26</f>
        <v>0</v>
      </c>
      <c r="Q1835" s="66" t="e">
        <f>IF(ISBLANK(M1835),0,L1835/ROUND(M1835,4))</f>
        <v>#DIV/0!</v>
      </c>
      <c r="R1835" s="66" t="e">
        <f>IF(ISBLANK(M1835),0,Q1835*ROUND(N1835,2))</f>
        <v>#DIV/0!</v>
      </c>
      <c r="S1835" s="69" t="e">
        <f>ROUND(P1835,2)*Q1835</f>
        <v>#DIV/0!</v>
      </c>
      <c r="T1835" s="66" t="e">
        <f>Q1835*dagenperjaar1</f>
        <v>#DIV/0!</v>
      </c>
      <c r="U1835" s="70" t="e">
        <f>T1835*ROUND(P1835,2)</f>
        <v>#DIV/0!</v>
      </c>
    </row>
    <row r="1836" spans="1:21" x14ac:dyDescent="0.2">
      <c r="A1836" s="63" t="s">
        <v>2099</v>
      </c>
      <c r="B1836" s="64" t="s">
        <v>324</v>
      </c>
      <c r="C1836" s="64" t="s">
        <v>345</v>
      </c>
      <c r="D1836" s="64" t="s">
        <v>2240</v>
      </c>
      <c r="E1836" s="64" t="s">
        <v>908</v>
      </c>
      <c r="F1836" s="65" t="s">
        <v>2241</v>
      </c>
      <c r="G1836" s="64" t="s">
        <v>328</v>
      </c>
      <c r="H1836" s="64" t="s">
        <v>237</v>
      </c>
      <c r="I1836" s="64" t="s">
        <v>19</v>
      </c>
      <c r="J1836" s="64" t="s">
        <v>201</v>
      </c>
      <c r="K1836" s="66">
        <v>5.29</v>
      </c>
      <c r="L1836" s="66">
        <f>K1836*VLOOKUP(I1836,dagsoorttabel1,2,FALSE)</f>
        <v>0.26450000000000001</v>
      </c>
      <c r="M1836" s="67">
        <f>prodnorm47</f>
        <v>0</v>
      </c>
      <c r="N1836" s="68">
        <f>dagwerk47</f>
        <v>0</v>
      </c>
      <c r="O1836" s="64" t="s">
        <v>38</v>
      </c>
      <c r="P1836" s="69">
        <f>uurtarief47</f>
        <v>0</v>
      </c>
      <c r="Q1836" s="66" t="e">
        <f>IF(ISBLANK(M1836),0,L1836/ROUND(M1836,4))</f>
        <v>#DIV/0!</v>
      </c>
      <c r="R1836" s="66" t="e">
        <f>IF(ISBLANK(M1836),0,Q1836*ROUND(N1836,2))</f>
        <v>#DIV/0!</v>
      </c>
      <c r="S1836" s="69" t="e">
        <f>ROUND(P1836,2)*Q1836</f>
        <v>#DIV/0!</v>
      </c>
      <c r="T1836" s="66" t="e">
        <f>Q1836*dagenperjaar1</f>
        <v>#DIV/0!</v>
      </c>
      <c r="U1836" s="70" t="e">
        <f>T1836*ROUND(P1836,2)</f>
        <v>#DIV/0!</v>
      </c>
    </row>
    <row r="1837" spans="1:21" x14ac:dyDescent="0.2">
      <c r="A1837" s="63" t="s">
        <v>2099</v>
      </c>
      <c r="B1837" s="64" t="s">
        <v>324</v>
      </c>
      <c r="C1837" s="64" t="s">
        <v>345</v>
      </c>
      <c r="D1837" s="64" t="s">
        <v>2242</v>
      </c>
      <c r="E1837" s="64" t="s">
        <v>909</v>
      </c>
      <c r="F1837" s="65" t="s">
        <v>2243</v>
      </c>
      <c r="G1837" s="64" t="s">
        <v>328</v>
      </c>
      <c r="H1837" s="64" t="s">
        <v>237</v>
      </c>
      <c r="I1837" s="64" t="s">
        <v>19</v>
      </c>
      <c r="J1837" s="64" t="s">
        <v>201</v>
      </c>
      <c r="K1837" s="66">
        <v>51.46</v>
      </c>
      <c r="L1837" s="66">
        <f>K1837*VLOOKUP(I1837,dagsoorttabel1,2,FALSE)</f>
        <v>2.5730000000000004</v>
      </c>
      <c r="M1837" s="67">
        <f>prodnorm47</f>
        <v>0</v>
      </c>
      <c r="N1837" s="68">
        <f>dagwerk47</f>
        <v>0</v>
      </c>
      <c r="O1837" s="64" t="s">
        <v>38</v>
      </c>
      <c r="P1837" s="69">
        <f>uurtarief47</f>
        <v>0</v>
      </c>
      <c r="Q1837" s="66" t="e">
        <f>IF(ISBLANK(M1837),0,L1837/ROUND(M1837,4))</f>
        <v>#DIV/0!</v>
      </c>
      <c r="R1837" s="66" t="e">
        <f>IF(ISBLANK(M1837),0,Q1837*ROUND(N1837,2))</f>
        <v>#DIV/0!</v>
      </c>
      <c r="S1837" s="69" t="e">
        <f>ROUND(P1837,2)*Q1837</f>
        <v>#DIV/0!</v>
      </c>
      <c r="T1837" s="66" t="e">
        <f>Q1837*dagenperjaar1</f>
        <v>#DIV/0!</v>
      </c>
      <c r="U1837" s="70" t="e">
        <f>T1837*ROUND(P1837,2)</f>
        <v>#DIV/0!</v>
      </c>
    </row>
    <row r="1838" spans="1:21" x14ac:dyDescent="0.2">
      <c r="A1838" s="63" t="s">
        <v>2099</v>
      </c>
      <c r="B1838" s="64" t="s">
        <v>324</v>
      </c>
      <c r="C1838" s="64" t="s">
        <v>345</v>
      </c>
      <c r="D1838" s="64" t="s">
        <v>2244</v>
      </c>
      <c r="E1838" s="64" t="s">
        <v>910</v>
      </c>
      <c r="F1838" s="65" t="s">
        <v>354</v>
      </c>
      <c r="G1838" s="64" t="s">
        <v>685</v>
      </c>
      <c r="H1838" s="64" t="s">
        <v>215</v>
      </c>
      <c r="I1838" s="64" t="s">
        <v>10</v>
      </c>
      <c r="J1838" s="64" t="s">
        <v>201</v>
      </c>
      <c r="K1838" s="66">
        <v>10.92</v>
      </c>
      <c r="L1838" s="66">
        <f>K1838*VLOOKUP(I1838,dagsoorttabel1,2,FALSE)</f>
        <v>10.92</v>
      </c>
      <c r="M1838" s="67">
        <f>prodnorm34</f>
        <v>0</v>
      </c>
      <c r="N1838" s="68">
        <f>dagwerk34</f>
        <v>0</v>
      </c>
      <c r="O1838" s="64" t="s">
        <v>38</v>
      </c>
      <c r="P1838" s="69">
        <f>uurtarief34</f>
        <v>0</v>
      </c>
      <c r="Q1838" s="66" t="e">
        <f>IF(ISBLANK(M1838),0,L1838/ROUND(M1838,4))</f>
        <v>#DIV/0!</v>
      </c>
      <c r="R1838" s="66" t="e">
        <f>IF(ISBLANK(M1838),0,Q1838*ROUND(N1838,2))</f>
        <v>#DIV/0!</v>
      </c>
      <c r="S1838" s="69" t="e">
        <f>ROUND(P1838,2)*Q1838</f>
        <v>#DIV/0!</v>
      </c>
      <c r="T1838" s="66" t="e">
        <f>Q1838*dagenperjaar1</f>
        <v>#DIV/0!</v>
      </c>
      <c r="U1838" s="70" t="e">
        <f>T1838*ROUND(P1838,2)</f>
        <v>#DIV/0!</v>
      </c>
    </row>
    <row r="1839" spans="1:21" x14ac:dyDescent="0.2">
      <c r="A1839" s="63" t="s">
        <v>2099</v>
      </c>
      <c r="B1839" s="64" t="s">
        <v>324</v>
      </c>
      <c r="C1839" s="64" t="s">
        <v>345</v>
      </c>
      <c r="D1839" s="64" t="s">
        <v>2245</v>
      </c>
      <c r="E1839" s="64" t="s">
        <v>910</v>
      </c>
      <c r="F1839" s="65" t="s">
        <v>2246</v>
      </c>
      <c r="G1839" s="64" t="s">
        <v>328</v>
      </c>
      <c r="H1839" s="64" t="s">
        <v>205</v>
      </c>
      <c r="I1839" s="64" t="s">
        <v>10</v>
      </c>
      <c r="J1839" s="64" t="s">
        <v>201</v>
      </c>
      <c r="K1839" s="66">
        <v>40.04</v>
      </c>
      <c r="L1839" s="66">
        <f>K1839*VLOOKUP(I1839,dagsoorttabel1,2,FALSE)</f>
        <v>40.04</v>
      </c>
      <c r="M1839" s="67">
        <f>prodnorm26</f>
        <v>0</v>
      </c>
      <c r="N1839" s="68">
        <f>dagwerk26</f>
        <v>0</v>
      </c>
      <c r="O1839" s="64" t="s">
        <v>38</v>
      </c>
      <c r="P1839" s="69">
        <f>uurtarief26</f>
        <v>0</v>
      </c>
      <c r="Q1839" s="66" t="e">
        <f>IF(ISBLANK(M1839),0,L1839/ROUND(M1839,4))</f>
        <v>#DIV/0!</v>
      </c>
      <c r="R1839" s="66" t="e">
        <f>IF(ISBLANK(M1839),0,Q1839*ROUND(N1839,2))</f>
        <v>#DIV/0!</v>
      </c>
      <c r="S1839" s="69" t="e">
        <f>ROUND(P1839,2)*Q1839</f>
        <v>#DIV/0!</v>
      </c>
      <c r="T1839" s="66" t="e">
        <f>Q1839*dagenperjaar1</f>
        <v>#DIV/0!</v>
      </c>
      <c r="U1839" s="70" t="e">
        <f>T1839*ROUND(P1839,2)</f>
        <v>#DIV/0!</v>
      </c>
    </row>
    <row r="1840" spans="1:21" x14ac:dyDescent="0.2">
      <c r="A1840" s="63" t="s">
        <v>2099</v>
      </c>
      <c r="B1840" s="64" t="s">
        <v>324</v>
      </c>
      <c r="C1840" s="64" t="s">
        <v>345</v>
      </c>
      <c r="D1840" s="64" t="s">
        <v>2247</v>
      </c>
      <c r="E1840" s="64" t="s">
        <v>2248</v>
      </c>
      <c r="F1840" s="65" t="s">
        <v>2249</v>
      </c>
      <c r="G1840" s="64" t="s">
        <v>328</v>
      </c>
      <c r="H1840" s="64" t="s">
        <v>205</v>
      </c>
      <c r="I1840" s="64" t="s">
        <v>10</v>
      </c>
      <c r="J1840" s="64" t="s">
        <v>201</v>
      </c>
      <c r="K1840" s="66">
        <v>17.03</v>
      </c>
      <c r="L1840" s="66">
        <f>K1840*VLOOKUP(I1840,dagsoorttabel1,2,FALSE)</f>
        <v>17.03</v>
      </c>
      <c r="M1840" s="67">
        <f>prodnorm26</f>
        <v>0</v>
      </c>
      <c r="N1840" s="68">
        <f>dagwerk26</f>
        <v>0</v>
      </c>
      <c r="O1840" s="64" t="s">
        <v>38</v>
      </c>
      <c r="P1840" s="69">
        <f>uurtarief26</f>
        <v>0</v>
      </c>
      <c r="Q1840" s="66" t="e">
        <f>IF(ISBLANK(M1840),0,L1840/ROUND(M1840,4))</f>
        <v>#DIV/0!</v>
      </c>
      <c r="R1840" s="66" t="e">
        <f>IF(ISBLANK(M1840),0,Q1840*ROUND(N1840,2))</f>
        <v>#DIV/0!</v>
      </c>
      <c r="S1840" s="69" t="e">
        <f>ROUND(P1840,2)*Q1840</f>
        <v>#DIV/0!</v>
      </c>
      <c r="T1840" s="66" t="e">
        <f>Q1840*dagenperjaar1</f>
        <v>#DIV/0!</v>
      </c>
      <c r="U1840" s="70" t="e">
        <f>T1840*ROUND(P1840,2)</f>
        <v>#DIV/0!</v>
      </c>
    </row>
    <row r="1841" spans="1:21" x14ac:dyDescent="0.2">
      <c r="A1841" s="63" t="s">
        <v>2099</v>
      </c>
      <c r="B1841" s="64" t="s">
        <v>324</v>
      </c>
      <c r="C1841" s="64" t="s">
        <v>345</v>
      </c>
      <c r="D1841" s="64" t="s">
        <v>2177</v>
      </c>
      <c r="E1841" s="64" t="s">
        <v>2250</v>
      </c>
      <c r="F1841" s="65" t="s">
        <v>834</v>
      </c>
      <c r="G1841" s="64" t="s">
        <v>328</v>
      </c>
      <c r="H1841" s="64" t="s">
        <v>267</v>
      </c>
      <c r="I1841" s="64" t="s">
        <v>10</v>
      </c>
      <c r="J1841" s="64" t="s">
        <v>201</v>
      </c>
      <c r="K1841" s="66">
        <v>61.15</v>
      </c>
      <c r="L1841" s="66">
        <f>K1841*VLOOKUP(I1841,dagsoorttabel1,2,FALSE)</f>
        <v>61.15</v>
      </c>
      <c r="M1841" s="67">
        <f>prodnorm65</f>
        <v>0</v>
      </c>
      <c r="N1841" s="68">
        <f>dagwerk65</f>
        <v>0</v>
      </c>
      <c r="O1841" s="64" t="s">
        <v>38</v>
      </c>
      <c r="P1841" s="69">
        <f>uurtarief65</f>
        <v>0</v>
      </c>
      <c r="Q1841" s="66" t="e">
        <f>IF(ISBLANK(M1841),0,L1841/ROUND(M1841,4))</f>
        <v>#DIV/0!</v>
      </c>
      <c r="R1841" s="66" t="e">
        <f>IF(ISBLANK(M1841),0,Q1841*ROUND(N1841,2))</f>
        <v>#DIV/0!</v>
      </c>
      <c r="S1841" s="69" t="e">
        <f>ROUND(P1841,2)*Q1841</f>
        <v>#DIV/0!</v>
      </c>
      <c r="T1841" s="66" t="e">
        <f>Q1841*dagenperjaar1</f>
        <v>#DIV/0!</v>
      </c>
      <c r="U1841" s="70" t="e">
        <f>T1841*ROUND(P1841,2)</f>
        <v>#DIV/0!</v>
      </c>
    </row>
    <row r="1842" spans="1:21" x14ac:dyDescent="0.2">
      <c r="A1842" s="63" t="s">
        <v>2099</v>
      </c>
      <c r="B1842" s="64" t="s">
        <v>324</v>
      </c>
      <c r="C1842" s="64" t="s">
        <v>345</v>
      </c>
      <c r="D1842" s="64" t="s">
        <v>2251</v>
      </c>
      <c r="E1842" s="64" t="s">
        <v>1899</v>
      </c>
      <c r="F1842" s="65" t="s">
        <v>641</v>
      </c>
      <c r="G1842" s="64" t="s">
        <v>2128</v>
      </c>
      <c r="H1842" s="64" t="s">
        <v>255</v>
      </c>
      <c r="I1842" s="64" t="s">
        <v>10</v>
      </c>
      <c r="J1842" s="64" t="s">
        <v>201</v>
      </c>
      <c r="K1842" s="66">
        <v>1.6</v>
      </c>
      <c r="L1842" s="66">
        <f>K1842*VLOOKUP(I1842,dagsoorttabel1,2,FALSE)</f>
        <v>1.6</v>
      </c>
      <c r="M1842" s="67">
        <f>prodnorm59</f>
        <v>0</v>
      </c>
      <c r="N1842" s="68">
        <f>dagwerk59</f>
        <v>0</v>
      </c>
      <c r="O1842" s="64" t="s">
        <v>38</v>
      </c>
      <c r="P1842" s="69">
        <f>uurtarief59</f>
        <v>0</v>
      </c>
      <c r="Q1842" s="66" t="e">
        <f>IF(ISBLANK(M1842),0,L1842/ROUND(M1842,4))</f>
        <v>#DIV/0!</v>
      </c>
      <c r="R1842" s="66" t="e">
        <f>IF(ISBLANK(M1842),0,Q1842*ROUND(N1842,2))</f>
        <v>#DIV/0!</v>
      </c>
      <c r="S1842" s="69" t="e">
        <f>ROUND(P1842,2)*Q1842</f>
        <v>#DIV/0!</v>
      </c>
      <c r="T1842" s="66" t="e">
        <f>Q1842*dagenperjaar1</f>
        <v>#DIV/0!</v>
      </c>
      <c r="U1842" s="70" t="e">
        <f>T1842*ROUND(P1842,2)</f>
        <v>#DIV/0!</v>
      </c>
    </row>
    <row r="1843" spans="1:21" x14ac:dyDescent="0.2">
      <c r="A1843" s="63" t="s">
        <v>2099</v>
      </c>
      <c r="B1843" s="64" t="s">
        <v>324</v>
      </c>
      <c r="C1843" s="64" t="s">
        <v>345</v>
      </c>
      <c r="D1843" s="64" t="s">
        <v>2251</v>
      </c>
      <c r="E1843" s="64" t="s">
        <v>1899</v>
      </c>
      <c r="F1843" s="65" t="s">
        <v>641</v>
      </c>
      <c r="G1843" s="64" t="s">
        <v>2128</v>
      </c>
      <c r="H1843" s="64" t="s">
        <v>257</v>
      </c>
      <c r="I1843" s="64" t="s">
        <v>10</v>
      </c>
      <c r="J1843" s="64" t="s">
        <v>201</v>
      </c>
      <c r="K1843" s="66">
        <v>1.6</v>
      </c>
      <c r="L1843" s="66">
        <f>K1843*VLOOKUP(I1843,dagsoorttabel1,2,FALSE)</f>
        <v>1.6</v>
      </c>
      <c r="M1843" s="67">
        <f>prodnorm60</f>
        <v>0</v>
      </c>
      <c r="N1843" s="68">
        <f>dagwerk60</f>
        <v>0</v>
      </c>
      <c r="O1843" s="64" t="s">
        <v>38</v>
      </c>
      <c r="P1843" s="69">
        <f>uurtarief60</f>
        <v>0</v>
      </c>
      <c r="Q1843" s="66" t="e">
        <f>IF(ISBLANK(M1843),0,L1843/ROUND(M1843,4))</f>
        <v>#DIV/0!</v>
      </c>
      <c r="R1843" s="66" t="e">
        <f>IF(ISBLANK(M1843),0,Q1843*ROUND(N1843,2))</f>
        <v>#DIV/0!</v>
      </c>
      <c r="S1843" s="69" t="e">
        <f>ROUND(P1843,2)*Q1843</f>
        <v>#DIV/0!</v>
      </c>
      <c r="T1843" s="66" t="e">
        <f>Q1843*dagenperjaar1</f>
        <v>#DIV/0!</v>
      </c>
      <c r="U1843" s="70" t="e">
        <f>T1843*ROUND(P1843,2)</f>
        <v>#DIV/0!</v>
      </c>
    </row>
    <row r="1844" spans="1:21" x14ac:dyDescent="0.2">
      <c r="A1844" s="63" t="s">
        <v>2099</v>
      </c>
      <c r="B1844" s="64" t="s">
        <v>324</v>
      </c>
      <c r="C1844" s="64" t="s">
        <v>345</v>
      </c>
      <c r="D1844" s="64" t="s">
        <v>2252</v>
      </c>
      <c r="E1844" s="64" t="s">
        <v>1901</v>
      </c>
      <c r="F1844" s="65" t="s">
        <v>641</v>
      </c>
      <c r="G1844" s="64" t="s">
        <v>2128</v>
      </c>
      <c r="H1844" s="64" t="s">
        <v>255</v>
      </c>
      <c r="I1844" s="64" t="s">
        <v>10</v>
      </c>
      <c r="J1844" s="64" t="s">
        <v>201</v>
      </c>
      <c r="K1844" s="66">
        <v>1.6300000000000001</v>
      </c>
      <c r="L1844" s="66">
        <f>K1844*VLOOKUP(I1844,dagsoorttabel1,2,FALSE)</f>
        <v>1.6300000000000001</v>
      </c>
      <c r="M1844" s="67">
        <f>prodnorm59</f>
        <v>0</v>
      </c>
      <c r="N1844" s="68">
        <f>dagwerk59</f>
        <v>0</v>
      </c>
      <c r="O1844" s="64" t="s">
        <v>38</v>
      </c>
      <c r="P1844" s="69">
        <f>uurtarief59</f>
        <v>0</v>
      </c>
      <c r="Q1844" s="66" t="e">
        <f>IF(ISBLANK(M1844),0,L1844/ROUND(M1844,4))</f>
        <v>#DIV/0!</v>
      </c>
      <c r="R1844" s="66" t="e">
        <f>IF(ISBLANK(M1844),0,Q1844*ROUND(N1844,2))</f>
        <v>#DIV/0!</v>
      </c>
      <c r="S1844" s="69" t="e">
        <f>ROUND(P1844,2)*Q1844</f>
        <v>#DIV/0!</v>
      </c>
      <c r="T1844" s="66" t="e">
        <f>Q1844*dagenperjaar1</f>
        <v>#DIV/0!</v>
      </c>
      <c r="U1844" s="70" t="e">
        <f>T1844*ROUND(P1844,2)</f>
        <v>#DIV/0!</v>
      </c>
    </row>
    <row r="1845" spans="1:21" x14ac:dyDescent="0.2">
      <c r="A1845" s="63" t="s">
        <v>2099</v>
      </c>
      <c r="B1845" s="64" t="s">
        <v>324</v>
      </c>
      <c r="C1845" s="64" t="s">
        <v>345</v>
      </c>
      <c r="D1845" s="64" t="s">
        <v>2252</v>
      </c>
      <c r="E1845" s="64" t="s">
        <v>1901</v>
      </c>
      <c r="F1845" s="65" t="s">
        <v>641</v>
      </c>
      <c r="G1845" s="64" t="s">
        <v>2128</v>
      </c>
      <c r="H1845" s="64" t="s">
        <v>257</v>
      </c>
      <c r="I1845" s="64" t="s">
        <v>10</v>
      </c>
      <c r="J1845" s="64" t="s">
        <v>201</v>
      </c>
      <c r="K1845" s="66">
        <v>1.6300000000000001</v>
      </c>
      <c r="L1845" s="66">
        <f>K1845*VLOOKUP(I1845,dagsoorttabel1,2,FALSE)</f>
        <v>1.6300000000000001</v>
      </c>
      <c r="M1845" s="67">
        <f>prodnorm60</f>
        <v>0</v>
      </c>
      <c r="N1845" s="68">
        <f>dagwerk60</f>
        <v>0</v>
      </c>
      <c r="O1845" s="64" t="s">
        <v>38</v>
      </c>
      <c r="P1845" s="69">
        <f>uurtarief60</f>
        <v>0</v>
      </c>
      <c r="Q1845" s="66" t="e">
        <f>IF(ISBLANK(M1845),0,L1845/ROUND(M1845,4))</f>
        <v>#DIV/0!</v>
      </c>
      <c r="R1845" s="66" t="e">
        <f>IF(ISBLANK(M1845),0,Q1845*ROUND(N1845,2))</f>
        <v>#DIV/0!</v>
      </c>
      <c r="S1845" s="69" t="e">
        <f>ROUND(P1845,2)*Q1845</f>
        <v>#DIV/0!</v>
      </c>
      <c r="T1845" s="66" t="e">
        <f>Q1845*dagenperjaar1</f>
        <v>#DIV/0!</v>
      </c>
      <c r="U1845" s="70" t="e">
        <f>T1845*ROUND(P1845,2)</f>
        <v>#DIV/0!</v>
      </c>
    </row>
    <row r="1846" spans="1:21" x14ac:dyDescent="0.2">
      <c r="A1846" s="63" t="s">
        <v>2099</v>
      </c>
      <c r="B1846" s="64" t="s">
        <v>324</v>
      </c>
      <c r="C1846" s="64" t="s">
        <v>345</v>
      </c>
      <c r="D1846" s="64" t="s">
        <v>2181</v>
      </c>
      <c r="E1846" s="64" t="s">
        <v>1902</v>
      </c>
      <c r="F1846" s="65" t="s">
        <v>641</v>
      </c>
      <c r="G1846" s="64" t="s">
        <v>2128</v>
      </c>
      <c r="H1846" s="64" t="s">
        <v>255</v>
      </c>
      <c r="I1846" s="64" t="s">
        <v>10</v>
      </c>
      <c r="J1846" s="64" t="s">
        <v>201</v>
      </c>
      <c r="K1846" s="66">
        <v>4.1499999999999995</v>
      </c>
      <c r="L1846" s="66">
        <f>K1846*VLOOKUP(I1846,dagsoorttabel1,2,FALSE)</f>
        <v>4.1499999999999995</v>
      </c>
      <c r="M1846" s="67">
        <f>prodnorm59</f>
        <v>0</v>
      </c>
      <c r="N1846" s="68">
        <f>dagwerk59</f>
        <v>0</v>
      </c>
      <c r="O1846" s="64" t="s">
        <v>38</v>
      </c>
      <c r="P1846" s="69">
        <f>uurtarief59</f>
        <v>0</v>
      </c>
      <c r="Q1846" s="66" t="e">
        <f>IF(ISBLANK(M1846),0,L1846/ROUND(M1846,4))</f>
        <v>#DIV/0!</v>
      </c>
      <c r="R1846" s="66" t="e">
        <f>IF(ISBLANK(M1846),0,Q1846*ROUND(N1846,2))</f>
        <v>#DIV/0!</v>
      </c>
      <c r="S1846" s="69" t="e">
        <f>ROUND(P1846,2)*Q1846</f>
        <v>#DIV/0!</v>
      </c>
      <c r="T1846" s="66" t="e">
        <f>Q1846*dagenperjaar1</f>
        <v>#DIV/0!</v>
      </c>
      <c r="U1846" s="70" t="e">
        <f>T1846*ROUND(P1846,2)</f>
        <v>#DIV/0!</v>
      </c>
    </row>
    <row r="1847" spans="1:21" x14ac:dyDescent="0.2">
      <c r="A1847" s="63" t="s">
        <v>2099</v>
      </c>
      <c r="B1847" s="64" t="s">
        <v>324</v>
      </c>
      <c r="C1847" s="64" t="s">
        <v>345</v>
      </c>
      <c r="D1847" s="64" t="s">
        <v>2181</v>
      </c>
      <c r="E1847" s="64" t="s">
        <v>1902</v>
      </c>
      <c r="F1847" s="65" t="s">
        <v>641</v>
      </c>
      <c r="G1847" s="64" t="s">
        <v>2128</v>
      </c>
      <c r="H1847" s="64" t="s">
        <v>257</v>
      </c>
      <c r="I1847" s="64" t="s">
        <v>10</v>
      </c>
      <c r="J1847" s="64" t="s">
        <v>201</v>
      </c>
      <c r="K1847" s="66">
        <v>4.1499999999999995</v>
      </c>
      <c r="L1847" s="66">
        <f>K1847*VLOOKUP(I1847,dagsoorttabel1,2,FALSE)</f>
        <v>4.1499999999999995</v>
      </c>
      <c r="M1847" s="67">
        <f>prodnorm60</f>
        <v>0</v>
      </c>
      <c r="N1847" s="68">
        <f>dagwerk60</f>
        <v>0</v>
      </c>
      <c r="O1847" s="64" t="s">
        <v>38</v>
      </c>
      <c r="P1847" s="69">
        <f>uurtarief60</f>
        <v>0</v>
      </c>
      <c r="Q1847" s="66" t="e">
        <f>IF(ISBLANK(M1847),0,L1847/ROUND(M1847,4))</f>
        <v>#DIV/0!</v>
      </c>
      <c r="R1847" s="66" t="e">
        <f>IF(ISBLANK(M1847),0,Q1847*ROUND(N1847,2))</f>
        <v>#DIV/0!</v>
      </c>
      <c r="S1847" s="69" t="e">
        <f>ROUND(P1847,2)*Q1847</f>
        <v>#DIV/0!</v>
      </c>
      <c r="T1847" s="66" t="e">
        <f>Q1847*dagenperjaar1</f>
        <v>#DIV/0!</v>
      </c>
      <c r="U1847" s="70" t="e">
        <f>T1847*ROUND(P1847,2)</f>
        <v>#DIV/0!</v>
      </c>
    </row>
    <row r="1848" spans="1:21" x14ac:dyDescent="0.2">
      <c r="A1848" s="63" t="s">
        <v>2099</v>
      </c>
      <c r="B1848" s="64" t="s">
        <v>324</v>
      </c>
      <c r="C1848" s="64" t="s">
        <v>345</v>
      </c>
      <c r="D1848" s="64" t="s">
        <v>2253</v>
      </c>
      <c r="E1848" s="64" t="s">
        <v>1906</v>
      </c>
      <c r="F1848" s="65" t="s">
        <v>2165</v>
      </c>
      <c r="G1848" s="64" t="s">
        <v>328</v>
      </c>
      <c r="H1848" s="64" t="s">
        <v>273</v>
      </c>
      <c r="I1848" s="64" t="s">
        <v>16</v>
      </c>
      <c r="J1848" s="64" t="s">
        <v>274</v>
      </c>
      <c r="K1848" s="66">
        <v>52.07</v>
      </c>
      <c r="L1848" s="66">
        <f>K1848*VLOOKUP(I1848,dagsoorttabel1,2,FALSE)</f>
        <v>10.414000000000001</v>
      </c>
      <c r="M1848" s="67">
        <f>prodnorm12</f>
        <v>0</v>
      </c>
      <c r="N1848" s="68">
        <f>dagwerk12</f>
        <v>0</v>
      </c>
      <c r="O1848" s="64" t="s">
        <v>38</v>
      </c>
      <c r="P1848" s="69">
        <f>uurtarief12</f>
        <v>0</v>
      </c>
      <c r="Q1848" s="66" t="e">
        <f>IF(ISBLANK(M1848),0,L1848/ROUND(M1848,4))</f>
        <v>#DIV/0!</v>
      </c>
      <c r="R1848" s="66" t="e">
        <f>IF(ISBLANK(M1848),0,Q1848*ROUND(N1848,2))</f>
        <v>#DIV/0!</v>
      </c>
      <c r="S1848" s="69" t="e">
        <f>ROUND(P1848,2)*Q1848</f>
        <v>#DIV/0!</v>
      </c>
      <c r="T1848" s="66" t="e">
        <f>Q1848*dagenperjaar1</f>
        <v>#DIV/0!</v>
      </c>
      <c r="U1848" s="70" t="e">
        <f>T1848*ROUND(P1848,2)</f>
        <v>#DIV/0!</v>
      </c>
    </row>
    <row r="1849" spans="1:21" x14ac:dyDescent="0.2">
      <c r="A1849" s="63" t="s">
        <v>2099</v>
      </c>
      <c r="B1849" s="64" t="s">
        <v>324</v>
      </c>
      <c r="C1849" s="64" t="s">
        <v>345</v>
      </c>
      <c r="D1849" s="64" t="s">
        <v>2253</v>
      </c>
      <c r="E1849" s="64" t="s">
        <v>1906</v>
      </c>
      <c r="F1849" s="65" t="s">
        <v>2165</v>
      </c>
      <c r="G1849" s="64" t="s">
        <v>328</v>
      </c>
      <c r="H1849" s="64" t="s">
        <v>229</v>
      </c>
      <c r="I1849" s="64" t="s">
        <v>10</v>
      </c>
      <c r="J1849" s="64" t="s">
        <v>201</v>
      </c>
      <c r="K1849" s="66">
        <v>52.07</v>
      </c>
      <c r="L1849" s="66">
        <f>K1849*VLOOKUP(I1849,dagsoorttabel1,2,FALSE)</f>
        <v>52.07</v>
      </c>
      <c r="M1849" s="67">
        <f>prodnorm43</f>
        <v>0</v>
      </c>
      <c r="N1849" s="68">
        <f>dagwerk43</f>
        <v>0</v>
      </c>
      <c r="O1849" s="64" t="s">
        <v>38</v>
      </c>
      <c r="P1849" s="69">
        <f>uurtarief43</f>
        <v>0</v>
      </c>
      <c r="Q1849" s="66" t="e">
        <f>IF(ISBLANK(M1849),0,L1849/ROUND(M1849,4))</f>
        <v>#DIV/0!</v>
      </c>
      <c r="R1849" s="66" t="e">
        <f>IF(ISBLANK(M1849),0,Q1849*ROUND(N1849,2))</f>
        <v>#DIV/0!</v>
      </c>
      <c r="S1849" s="69" t="e">
        <f>ROUND(P1849,2)*Q1849</f>
        <v>#DIV/0!</v>
      </c>
      <c r="T1849" s="66" t="e">
        <f>Q1849*dagenperjaar1</f>
        <v>#DIV/0!</v>
      </c>
      <c r="U1849" s="70" t="e">
        <f>T1849*ROUND(P1849,2)</f>
        <v>#DIV/0!</v>
      </c>
    </row>
    <row r="1850" spans="1:21" x14ac:dyDescent="0.2">
      <c r="A1850" s="63" t="s">
        <v>2099</v>
      </c>
      <c r="B1850" s="64" t="s">
        <v>324</v>
      </c>
      <c r="C1850" s="64" t="s">
        <v>345</v>
      </c>
      <c r="D1850" s="64" t="s">
        <v>2254</v>
      </c>
      <c r="E1850" s="64" t="s">
        <v>2255</v>
      </c>
      <c r="F1850" s="65" t="s">
        <v>2170</v>
      </c>
      <c r="G1850" s="64" t="s">
        <v>328</v>
      </c>
      <c r="H1850" s="64" t="s">
        <v>273</v>
      </c>
      <c r="I1850" s="64" t="s">
        <v>16</v>
      </c>
      <c r="J1850" s="64" t="s">
        <v>274</v>
      </c>
      <c r="K1850" s="66">
        <v>52.290000000000006</v>
      </c>
      <c r="L1850" s="66">
        <f>K1850*VLOOKUP(I1850,dagsoorttabel1,2,FALSE)</f>
        <v>10.458000000000002</v>
      </c>
      <c r="M1850" s="67">
        <f>prodnorm12</f>
        <v>0</v>
      </c>
      <c r="N1850" s="68">
        <f>dagwerk12</f>
        <v>0</v>
      </c>
      <c r="O1850" s="64" t="s">
        <v>38</v>
      </c>
      <c r="P1850" s="69">
        <f>uurtarief12</f>
        <v>0</v>
      </c>
      <c r="Q1850" s="66" t="e">
        <f>IF(ISBLANK(M1850),0,L1850/ROUND(M1850,4))</f>
        <v>#DIV/0!</v>
      </c>
      <c r="R1850" s="66" t="e">
        <f>IF(ISBLANK(M1850),0,Q1850*ROUND(N1850,2))</f>
        <v>#DIV/0!</v>
      </c>
      <c r="S1850" s="69" t="e">
        <f>ROUND(P1850,2)*Q1850</f>
        <v>#DIV/0!</v>
      </c>
      <c r="T1850" s="66" t="e">
        <f>Q1850*dagenperjaar1</f>
        <v>#DIV/0!</v>
      </c>
      <c r="U1850" s="70" t="e">
        <f>T1850*ROUND(P1850,2)</f>
        <v>#DIV/0!</v>
      </c>
    </row>
    <row r="1851" spans="1:21" x14ac:dyDescent="0.2">
      <c r="A1851" s="63" t="s">
        <v>2099</v>
      </c>
      <c r="B1851" s="64" t="s">
        <v>324</v>
      </c>
      <c r="C1851" s="64" t="s">
        <v>345</v>
      </c>
      <c r="D1851" s="64" t="s">
        <v>2254</v>
      </c>
      <c r="E1851" s="64" t="s">
        <v>2255</v>
      </c>
      <c r="F1851" s="65" t="s">
        <v>2170</v>
      </c>
      <c r="G1851" s="64" t="s">
        <v>328</v>
      </c>
      <c r="H1851" s="64" t="s">
        <v>229</v>
      </c>
      <c r="I1851" s="64" t="s">
        <v>10</v>
      </c>
      <c r="J1851" s="64" t="s">
        <v>201</v>
      </c>
      <c r="K1851" s="66">
        <v>52.290000000000006</v>
      </c>
      <c r="L1851" s="66">
        <f>K1851*VLOOKUP(I1851,dagsoorttabel1,2,FALSE)</f>
        <v>52.290000000000006</v>
      </c>
      <c r="M1851" s="67">
        <f>prodnorm43</f>
        <v>0</v>
      </c>
      <c r="N1851" s="68">
        <f>dagwerk43</f>
        <v>0</v>
      </c>
      <c r="O1851" s="64" t="s">
        <v>38</v>
      </c>
      <c r="P1851" s="69">
        <f>uurtarief43</f>
        <v>0</v>
      </c>
      <c r="Q1851" s="66" t="e">
        <f>IF(ISBLANK(M1851),0,L1851/ROUND(M1851,4))</f>
        <v>#DIV/0!</v>
      </c>
      <c r="R1851" s="66" t="e">
        <f>IF(ISBLANK(M1851),0,Q1851*ROUND(N1851,2))</f>
        <v>#DIV/0!</v>
      </c>
      <c r="S1851" s="69" t="e">
        <f>ROUND(P1851,2)*Q1851</f>
        <v>#DIV/0!</v>
      </c>
      <c r="T1851" s="66" t="e">
        <f>Q1851*dagenperjaar1</f>
        <v>#DIV/0!</v>
      </c>
      <c r="U1851" s="70" t="e">
        <f>T1851*ROUND(P1851,2)</f>
        <v>#DIV/0!</v>
      </c>
    </row>
    <row r="1852" spans="1:21" x14ac:dyDescent="0.2">
      <c r="A1852" s="63" t="s">
        <v>2099</v>
      </c>
      <c r="B1852" s="64" t="s">
        <v>324</v>
      </c>
      <c r="C1852" s="64" t="s">
        <v>345</v>
      </c>
      <c r="D1852" s="64" t="s">
        <v>2256</v>
      </c>
      <c r="E1852" s="64" t="s">
        <v>2255</v>
      </c>
      <c r="F1852" s="65" t="s">
        <v>641</v>
      </c>
      <c r="G1852" s="64" t="s">
        <v>2128</v>
      </c>
      <c r="H1852" s="64" t="s">
        <v>255</v>
      </c>
      <c r="I1852" s="64" t="s">
        <v>10</v>
      </c>
      <c r="J1852" s="64" t="s">
        <v>201</v>
      </c>
      <c r="K1852" s="66">
        <v>10.67</v>
      </c>
      <c r="L1852" s="66">
        <f>K1852*VLOOKUP(I1852,dagsoorttabel1,2,FALSE)</f>
        <v>10.67</v>
      </c>
      <c r="M1852" s="67">
        <f>prodnorm59</f>
        <v>0</v>
      </c>
      <c r="N1852" s="68">
        <f>dagwerk59</f>
        <v>0</v>
      </c>
      <c r="O1852" s="64" t="s">
        <v>38</v>
      </c>
      <c r="P1852" s="69">
        <f>uurtarief59</f>
        <v>0</v>
      </c>
      <c r="Q1852" s="66" t="e">
        <f>IF(ISBLANK(M1852),0,L1852/ROUND(M1852,4))</f>
        <v>#DIV/0!</v>
      </c>
      <c r="R1852" s="66" t="e">
        <f>IF(ISBLANK(M1852),0,Q1852*ROUND(N1852,2))</f>
        <v>#DIV/0!</v>
      </c>
      <c r="S1852" s="69" t="e">
        <f>ROUND(P1852,2)*Q1852</f>
        <v>#DIV/0!</v>
      </c>
      <c r="T1852" s="66" t="e">
        <f>Q1852*dagenperjaar1</f>
        <v>#DIV/0!</v>
      </c>
      <c r="U1852" s="70" t="e">
        <f>T1852*ROUND(P1852,2)</f>
        <v>#DIV/0!</v>
      </c>
    </row>
    <row r="1853" spans="1:21" x14ac:dyDescent="0.2">
      <c r="A1853" s="63" t="s">
        <v>2099</v>
      </c>
      <c r="B1853" s="64" t="s">
        <v>324</v>
      </c>
      <c r="C1853" s="64" t="s">
        <v>345</v>
      </c>
      <c r="D1853" s="64" t="s">
        <v>2256</v>
      </c>
      <c r="E1853" s="64" t="s">
        <v>2255</v>
      </c>
      <c r="F1853" s="65" t="s">
        <v>641</v>
      </c>
      <c r="G1853" s="64" t="s">
        <v>2128</v>
      </c>
      <c r="H1853" s="64" t="s">
        <v>257</v>
      </c>
      <c r="I1853" s="64" t="s">
        <v>10</v>
      </c>
      <c r="J1853" s="64" t="s">
        <v>201</v>
      </c>
      <c r="K1853" s="66">
        <v>10.67</v>
      </c>
      <c r="L1853" s="66">
        <f>K1853*VLOOKUP(I1853,dagsoorttabel1,2,FALSE)</f>
        <v>10.67</v>
      </c>
      <c r="M1853" s="67">
        <f>prodnorm60</f>
        <v>0</v>
      </c>
      <c r="N1853" s="68">
        <f>dagwerk60</f>
        <v>0</v>
      </c>
      <c r="O1853" s="64" t="s">
        <v>38</v>
      </c>
      <c r="P1853" s="69">
        <f>uurtarief60</f>
        <v>0</v>
      </c>
      <c r="Q1853" s="66" t="e">
        <f>IF(ISBLANK(M1853),0,L1853/ROUND(M1853,4))</f>
        <v>#DIV/0!</v>
      </c>
      <c r="R1853" s="66" t="e">
        <f>IF(ISBLANK(M1853),0,Q1853*ROUND(N1853,2))</f>
        <v>#DIV/0!</v>
      </c>
      <c r="S1853" s="69" t="e">
        <f>ROUND(P1853,2)*Q1853</f>
        <v>#DIV/0!</v>
      </c>
      <c r="T1853" s="66" t="e">
        <f>Q1853*dagenperjaar1</f>
        <v>#DIV/0!</v>
      </c>
      <c r="U1853" s="70" t="e">
        <f>T1853*ROUND(P1853,2)</f>
        <v>#DIV/0!</v>
      </c>
    </row>
    <row r="1854" spans="1:21" x14ac:dyDescent="0.2">
      <c r="A1854" s="63" t="s">
        <v>2099</v>
      </c>
      <c r="B1854" s="64" t="s">
        <v>324</v>
      </c>
      <c r="C1854" s="64" t="s">
        <v>345</v>
      </c>
      <c r="D1854" s="64" t="s">
        <v>2257</v>
      </c>
      <c r="E1854" s="64" t="s">
        <v>2258</v>
      </c>
      <c r="F1854" s="65" t="s">
        <v>834</v>
      </c>
      <c r="G1854" s="64" t="s">
        <v>328</v>
      </c>
      <c r="H1854" s="64" t="s">
        <v>267</v>
      </c>
      <c r="I1854" s="64" t="s">
        <v>10</v>
      </c>
      <c r="J1854" s="64" t="s">
        <v>201</v>
      </c>
      <c r="K1854" s="66">
        <v>89.33</v>
      </c>
      <c r="L1854" s="66">
        <f>K1854*VLOOKUP(I1854,dagsoorttabel1,2,FALSE)</f>
        <v>89.33</v>
      </c>
      <c r="M1854" s="67">
        <f>prodnorm65</f>
        <v>0</v>
      </c>
      <c r="N1854" s="68">
        <f>dagwerk65</f>
        <v>0</v>
      </c>
      <c r="O1854" s="64" t="s">
        <v>38</v>
      </c>
      <c r="P1854" s="69">
        <f>uurtarief65</f>
        <v>0</v>
      </c>
      <c r="Q1854" s="66" t="e">
        <f>IF(ISBLANK(M1854),0,L1854/ROUND(M1854,4))</f>
        <v>#DIV/0!</v>
      </c>
      <c r="R1854" s="66" t="e">
        <f>IF(ISBLANK(M1854),0,Q1854*ROUND(N1854,2))</f>
        <v>#DIV/0!</v>
      </c>
      <c r="S1854" s="69" t="e">
        <f>ROUND(P1854,2)*Q1854</f>
        <v>#DIV/0!</v>
      </c>
      <c r="T1854" s="66" t="e">
        <f>Q1854*dagenperjaar1</f>
        <v>#DIV/0!</v>
      </c>
      <c r="U1854" s="70" t="e">
        <f>T1854*ROUND(P1854,2)</f>
        <v>#DIV/0!</v>
      </c>
    </row>
    <row r="1855" spans="1:21" x14ac:dyDescent="0.2">
      <c r="A1855" s="63" t="s">
        <v>2099</v>
      </c>
      <c r="B1855" s="64" t="s">
        <v>324</v>
      </c>
      <c r="C1855" s="64" t="s">
        <v>345</v>
      </c>
      <c r="D1855" s="64" t="s">
        <v>2259</v>
      </c>
      <c r="E1855" s="64" t="s">
        <v>1912</v>
      </c>
      <c r="F1855" s="65" t="s">
        <v>2170</v>
      </c>
      <c r="G1855" s="64" t="s">
        <v>328</v>
      </c>
      <c r="H1855" s="64" t="s">
        <v>273</v>
      </c>
      <c r="I1855" s="64" t="s">
        <v>16</v>
      </c>
      <c r="J1855" s="64" t="s">
        <v>274</v>
      </c>
      <c r="K1855" s="66">
        <v>52.18</v>
      </c>
      <c r="L1855" s="66">
        <f>K1855*VLOOKUP(I1855,dagsoorttabel1,2,FALSE)</f>
        <v>10.436</v>
      </c>
      <c r="M1855" s="67">
        <f>prodnorm12</f>
        <v>0</v>
      </c>
      <c r="N1855" s="68">
        <f>dagwerk12</f>
        <v>0</v>
      </c>
      <c r="O1855" s="64" t="s">
        <v>38</v>
      </c>
      <c r="P1855" s="69">
        <f>uurtarief12</f>
        <v>0</v>
      </c>
      <c r="Q1855" s="66" t="e">
        <f>IF(ISBLANK(M1855),0,L1855/ROUND(M1855,4))</f>
        <v>#DIV/0!</v>
      </c>
      <c r="R1855" s="66" t="e">
        <f>IF(ISBLANK(M1855),0,Q1855*ROUND(N1855,2))</f>
        <v>#DIV/0!</v>
      </c>
      <c r="S1855" s="69" t="e">
        <f>ROUND(P1855,2)*Q1855</f>
        <v>#DIV/0!</v>
      </c>
      <c r="T1855" s="66" t="e">
        <f>Q1855*dagenperjaar1</f>
        <v>#DIV/0!</v>
      </c>
      <c r="U1855" s="70" t="e">
        <f>T1855*ROUND(P1855,2)</f>
        <v>#DIV/0!</v>
      </c>
    </row>
    <row r="1856" spans="1:21" x14ac:dyDescent="0.2">
      <c r="A1856" s="63" t="s">
        <v>2099</v>
      </c>
      <c r="B1856" s="64" t="s">
        <v>324</v>
      </c>
      <c r="C1856" s="64" t="s">
        <v>345</v>
      </c>
      <c r="D1856" s="64" t="s">
        <v>2259</v>
      </c>
      <c r="E1856" s="64" t="s">
        <v>1912</v>
      </c>
      <c r="F1856" s="65" t="s">
        <v>2170</v>
      </c>
      <c r="G1856" s="64" t="s">
        <v>328</v>
      </c>
      <c r="H1856" s="64" t="s">
        <v>229</v>
      </c>
      <c r="I1856" s="64" t="s">
        <v>10</v>
      </c>
      <c r="J1856" s="64" t="s">
        <v>201</v>
      </c>
      <c r="K1856" s="66">
        <v>52.18</v>
      </c>
      <c r="L1856" s="66">
        <f>K1856*VLOOKUP(I1856,dagsoorttabel1,2,FALSE)</f>
        <v>52.18</v>
      </c>
      <c r="M1856" s="67">
        <f>prodnorm43</f>
        <v>0</v>
      </c>
      <c r="N1856" s="68">
        <f>dagwerk43</f>
        <v>0</v>
      </c>
      <c r="O1856" s="64" t="s">
        <v>38</v>
      </c>
      <c r="P1856" s="69">
        <f>uurtarief43</f>
        <v>0</v>
      </c>
      <c r="Q1856" s="66" t="e">
        <f>IF(ISBLANK(M1856),0,L1856/ROUND(M1856,4))</f>
        <v>#DIV/0!</v>
      </c>
      <c r="R1856" s="66" t="e">
        <f>IF(ISBLANK(M1856),0,Q1856*ROUND(N1856,2))</f>
        <v>#DIV/0!</v>
      </c>
      <c r="S1856" s="69" t="e">
        <f>ROUND(P1856,2)*Q1856</f>
        <v>#DIV/0!</v>
      </c>
      <c r="T1856" s="66" t="e">
        <f>Q1856*dagenperjaar1</f>
        <v>#DIV/0!</v>
      </c>
      <c r="U1856" s="70" t="e">
        <f>T1856*ROUND(P1856,2)</f>
        <v>#DIV/0!</v>
      </c>
    </row>
    <row r="1857" spans="1:21" x14ac:dyDescent="0.2">
      <c r="A1857" s="63" t="s">
        <v>2099</v>
      </c>
      <c r="B1857" s="64" t="s">
        <v>324</v>
      </c>
      <c r="C1857" s="64" t="s">
        <v>345</v>
      </c>
      <c r="D1857" s="64" t="s">
        <v>2260</v>
      </c>
      <c r="E1857" s="64" t="s">
        <v>1917</v>
      </c>
      <c r="F1857" s="65" t="s">
        <v>2261</v>
      </c>
      <c r="G1857" s="64" t="s">
        <v>328</v>
      </c>
      <c r="H1857" s="64" t="s">
        <v>237</v>
      </c>
      <c r="I1857" s="64" t="s">
        <v>19</v>
      </c>
      <c r="J1857" s="64" t="s">
        <v>201</v>
      </c>
      <c r="K1857" s="66">
        <v>5.29</v>
      </c>
      <c r="L1857" s="66">
        <f>K1857*VLOOKUP(I1857,dagsoorttabel1,2,FALSE)</f>
        <v>0.26450000000000001</v>
      </c>
      <c r="M1857" s="67">
        <f>prodnorm47</f>
        <v>0</v>
      </c>
      <c r="N1857" s="68">
        <f>dagwerk47</f>
        <v>0</v>
      </c>
      <c r="O1857" s="64" t="s">
        <v>38</v>
      </c>
      <c r="P1857" s="69">
        <f>uurtarief47</f>
        <v>0</v>
      </c>
      <c r="Q1857" s="66" t="e">
        <f>IF(ISBLANK(M1857),0,L1857/ROUND(M1857,4))</f>
        <v>#DIV/0!</v>
      </c>
      <c r="R1857" s="66" t="e">
        <f>IF(ISBLANK(M1857),0,Q1857*ROUND(N1857,2))</f>
        <v>#DIV/0!</v>
      </c>
      <c r="S1857" s="69" t="e">
        <f>ROUND(P1857,2)*Q1857</f>
        <v>#DIV/0!</v>
      </c>
      <c r="T1857" s="66" t="e">
        <f>Q1857*dagenperjaar1</f>
        <v>#DIV/0!</v>
      </c>
      <c r="U1857" s="70" t="e">
        <f>T1857*ROUND(P1857,2)</f>
        <v>#DIV/0!</v>
      </c>
    </row>
    <row r="1858" spans="1:21" x14ac:dyDescent="0.2">
      <c r="A1858" s="63" t="s">
        <v>2099</v>
      </c>
      <c r="B1858" s="64" t="s">
        <v>324</v>
      </c>
      <c r="C1858" s="64" t="s">
        <v>345</v>
      </c>
      <c r="D1858" s="64" t="s">
        <v>2262</v>
      </c>
      <c r="E1858" s="64" t="s">
        <v>1921</v>
      </c>
      <c r="F1858" s="65" t="s">
        <v>2263</v>
      </c>
      <c r="G1858" s="64" t="s">
        <v>328</v>
      </c>
      <c r="H1858" s="64" t="s">
        <v>273</v>
      </c>
      <c r="I1858" s="64" t="s">
        <v>16</v>
      </c>
      <c r="J1858" s="64" t="s">
        <v>274</v>
      </c>
      <c r="K1858" s="66">
        <v>51.51</v>
      </c>
      <c r="L1858" s="66">
        <f>K1858*VLOOKUP(I1858,dagsoorttabel1,2,FALSE)</f>
        <v>10.302</v>
      </c>
      <c r="M1858" s="67">
        <f>prodnorm12</f>
        <v>0</v>
      </c>
      <c r="N1858" s="68">
        <f>dagwerk12</f>
        <v>0</v>
      </c>
      <c r="O1858" s="64" t="s">
        <v>38</v>
      </c>
      <c r="P1858" s="69">
        <f>uurtarief12</f>
        <v>0</v>
      </c>
      <c r="Q1858" s="66" t="e">
        <f>IF(ISBLANK(M1858),0,L1858/ROUND(M1858,4))</f>
        <v>#DIV/0!</v>
      </c>
      <c r="R1858" s="66" t="e">
        <f>IF(ISBLANK(M1858),0,Q1858*ROUND(N1858,2))</f>
        <v>#DIV/0!</v>
      </c>
      <c r="S1858" s="69" t="e">
        <f>ROUND(P1858,2)*Q1858</f>
        <v>#DIV/0!</v>
      </c>
      <c r="T1858" s="66" t="e">
        <f>Q1858*dagenperjaar1</f>
        <v>#DIV/0!</v>
      </c>
      <c r="U1858" s="70" t="e">
        <f>T1858*ROUND(P1858,2)</f>
        <v>#DIV/0!</v>
      </c>
    </row>
    <row r="1859" spans="1:21" x14ac:dyDescent="0.2">
      <c r="A1859" s="63" t="s">
        <v>2099</v>
      </c>
      <c r="B1859" s="64" t="s">
        <v>324</v>
      </c>
      <c r="C1859" s="64" t="s">
        <v>345</v>
      </c>
      <c r="D1859" s="64" t="s">
        <v>2262</v>
      </c>
      <c r="E1859" s="64" t="s">
        <v>1921</v>
      </c>
      <c r="F1859" s="65" t="s">
        <v>2263</v>
      </c>
      <c r="G1859" s="64" t="s">
        <v>328</v>
      </c>
      <c r="H1859" s="64" t="s">
        <v>229</v>
      </c>
      <c r="I1859" s="64" t="s">
        <v>10</v>
      </c>
      <c r="J1859" s="64" t="s">
        <v>201</v>
      </c>
      <c r="K1859" s="66">
        <v>51.51</v>
      </c>
      <c r="L1859" s="66">
        <f>K1859*VLOOKUP(I1859,dagsoorttabel1,2,FALSE)</f>
        <v>51.51</v>
      </c>
      <c r="M1859" s="67">
        <f>prodnorm43</f>
        <v>0</v>
      </c>
      <c r="N1859" s="68">
        <f>dagwerk43</f>
        <v>0</v>
      </c>
      <c r="O1859" s="64" t="s">
        <v>38</v>
      </c>
      <c r="P1859" s="69">
        <f>uurtarief43</f>
        <v>0</v>
      </c>
      <c r="Q1859" s="66" t="e">
        <f>IF(ISBLANK(M1859),0,L1859/ROUND(M1859,4))</f>
        <v>#DIV/0!</v>
      </c>
      <c r="R1859" s="66" t="e">
        <f>IF(ISBLANK(M1859),0,Q1859*ROUND(N1859,2))</f>
        <v>#DIV/0!</v>
      </c>
      <c r="S1859" s="69" t="e">
        <f>ROUND(P1859,2)*Q1859</f>
        <v>#DIV/0!</v>
      </c>
      <c r="T1859" s="66" t="e">
        <f>Q1859*dagenperjaar1</f>
        <v>#DIV/0!</v>
      </c>
      <c r="U1859" s="70" t="e">
        <f>T1859*ROUND(P1859,2)</f>
        <v>#DIV/0!</v>
      </c>
    </row>
    <row r="1860" spans="1:21" x14ac:dyDescent="0.2">
      <c r="A1860" s="63" t="s">
        <v>2099</v>
      </c>
      <c r="B1860" s="64" t="s">
        <v>324</v>
      </c>
      <c r="C1860" s="64" t="s">
        <v>345</v>
      </c>
      <c r="D1860" s="64" t="s">
        <v>2264</v>
      </c>
      <c r="E1860" s="64" t="s">
        <v>1924</v>
      </c>
      <c r="F1860" s="65" t="s">
        <v>2235</v>
      </c>
      <c r="G1860" s="64" t="s">
        <v>328</v>
      </c>
      <c r="H1860" s="64" t="s">
        <v>237</v>
      </c>
      <c r="I1860" s="64" t="s">
        <v>19</v>
      </c>
      <c r="J1860" s="64" t="s">
        <v>201</v>
      </c>
      <c r="K1860" s="66">
        <v>16.919999999999998</v>
      </c>
      <c r="L1860" s="66">
        <f>K1860*VLOOKUP(I1860,dagsoorttabel1,2,FALSE)</f>
        <v>0.84599999999999997</v>
      </c>
      <c r="M1860" s="67">
        <f>prodnorm47</f>
        <v>0</v>
      </c>
      <c r="N1860" s="68">
        <f>dagwerk47</f>
        <v>0</v>
      </c>
      <c r="O1860" s="64" t="s">
        <v>38</v>
      </c>
      <c r="P1860" s="69">
        <f>uurtarief47</f>
        <v>0</v>
      </c>
      <c r="Q1860" s="66" t="e">
        <f>IF(ISBLANK(M1860),0,L1860/ROUND(M1860,4))</f>
        <v>#DIV/0!</v>
      </c>
      <c r="R1860" s="66" t="e">
        <f>IF(ISBLANK(M1860),0,Q1860*ROUND(N1860,2))</f>
        <v>#DIV/0!</v>
      </c>
      <c r="S1860" s="69" t="e">
        <f>ROUND(P1860,2)*Q1860</f>
        <v>#DIV/0!</v>
      </c>
      <c r="T1860" s="66" t="e">
        <f>Q1860*dagenperjaar1</f>
        <v>#DIV/0!</v>
      </c>
      <c r="U1860" s="70" t="e">
        <f>T1860*ROUND(P1860,2)</f>
        <v>#DIV/0!</v>
      </c>
    </row>
    <row r="1861" spans="1:21" x14ac:dyDescent="0.2">
      <c r="A1861" s="63" t="s">
        <v>2099</v>
      </c>
      <c r="B1861" s="64" t="s">
        <v>324</v>
      </c>
      <c r="C1861" s="64" t="s">
        <v>345</v>
      </c>
      <c r="D1861" s="64" t="s">
        <v>2185</v>
      </c>
      <c r="E1861" s="64" t="s">
        <v>1929</v>
      </c>
      <c r="F1861" s="65" t="s">
        <v>2265</v>
      </c>
      <c r="G1861" s="64" t="s">
        <v>328</v>
      </c>
      <c r="H1861" s="64" t="s">
        <v>273</v>
      </c>
      <c r="I1861" s="64" t="s">
        <v>16</v>
      </c>
      <c r="J1861" s="64" t="s">
        <v>274</v>
      </c>
      <c r="K1861" s="66">
        <v>52.2</v>
      </c>
      <c r="L1861" s="66">
        <f>K1861*VLOOKUP(I1861,dagsoorttabel1,2,FALSE)</f>
        <v>10.440000000000001</v>
      </c>
      <c r="M1861" s="67">
        <f>prodnorm12</f>
        <v>0</v>
      </c>
      <c r="N1861" s="68">
        <f>dagwerk12</f>
        <v>0</v>
      </c>
      <c r="O1861" s="64" t="s">
        <v>38</v>
      </c>
      <c r="P1861" s="69">
        <f>uurtarief12</f>
        <v>0</v>
      </c>
      <c r="Q1861" s="66" t="e">
        <f>IF(ISBLANK(M1861),0,L1861/ROUND(M1861,4))</f>
        <v>#DIV/0!</v>
      </c>
      <c r="R1861" s="66" t="e">
        <f>IF(ISBLANK(M1861),0,Q1861*ROUND(N1861,2))</f>
        <v>#DIV/0!</v>
      </c>
      <c r="S1861" s="69" t="e">
        <f>ROUND(P1861,2)*Q1861</f>
        <v>#DIV/0!</v>
      </c>
      <c r="T1861" s="66" t="e">
        <f>Q1861*dagenperjaar1</f>
        <v>#DIV/0!</v>
      </c>
      <c r="U1861" s="70" t="e">
        <f>T1861*ROUND(P1861,2)</f>
        <v>#DIV/0!</v>
      </c>
    </row>
    <row r="1862" spans="1:21" x14ac:dyDescent="0.2">
      <c r="A1862" s="63" t="s">
        <v>2099</v>
      </c>
      <c r="B1862" s="64" t="s">
        <v>324</v>
      </c>
      <c r="C1862" s="64" t="s">
        <v>345</v>
      </c>
      <c r="D1862" s="64" t="s">
        <v>2185</v>
      </c>
      <c r="E1862" s="64" t="s">
        <v>1929</v>
      </c>
      <c r="F1862" s="65" t="s">
        <v>2265</v>
      </c>
      <c r="G1862" s="64" t="s">
        <v>328</v>
      </c>
      <c r="H1862" s="64" t="s">
        <v>229</v>
      </c>
      <c r="I1862" s="64" t="s">
        <v>10</v>
      </c>
      <c r="J1862" s="64" t="s">
        <v>201</v>
      </c>
      <c r="K1862" s="66">
        <v>52.2</v>
      </c>
      <c r="L1862" s="66">
        <f>K1862*VLOOKUP(I1862,dagsoorttabel1,2,FALSE)</f>
        <v>52.2</v>
      </c>
      <c r="M1862" s="67">
        <f>prodnorm43</f>
        <v>0</v>
      </c>
      <c r="N1862" s="68">
        <f>dagwerk43</f>
        <v>0</v>
      </c>
      <c r="O1862" s="64" t="s">
        <v>38</v>
      </c>
      <c r="P1862" s="69">
        <f>uurtarief43</f>
        <v>0</v>
      </c>
      <c r="Q1862" s="66" t="e">
        <f>IF(ISBLANK(M1862),0,L1862/ROUND(M1862,4))</f>
        <v>#DIV/0!</v>
      </c>
      <c r="R1862" s="66" t="e">
        <f>IF(ISBLANK(M1862),0,Q1862*ROUND(N1862,2))</f>
        <v>#DIV/0!</v>
      </c>
      <c r="S1862" s="69" t="e">
        <f>ROUND(P1862,2)*Q1862</f>
        <v>#DIV/0!</v>
      </c>
      <c r="T1862" s="66" t="e">
        <f>Q1862*dagenperjaar1</f>
        <v>#DIV/0!</v>
      </c>
      <c r="U1862" s="70" t="e">
        <f>T1862*ROUND(P1862,2)</f>
        <v>#DIV/0!</v>
      </c>
    </row>
    <row r="1863" spans="1:21" x14ac:dyDescent="0.2">
      <c r="A1863" s="63" t="s">
        <v>2099</v>
      </c>
      <c r="B1863" s="64" t="s">
        <v>324</v>
      </c>
      <c r="C1863" s="64" t="s">
        <v>345</v>
      </c>
      <c r="D1863" s="64" t="s">
        <v>2187</v>
      </c>
      <c r="E1863" s="64" t="s">
        <v>2266</v>
      </c>
      <c r="F1863" s="65" t="s">
        <v>2265</v>
      </c>
      <c r="G1863" s="64" t="s">
        <v>328</v>
      </c>
      <c r="H1863" s="64" t="s">
        <v>273</v>
      </c>
      <c r="I1863" s="64" t="s">
        <v>16</v>
      </c>
      <c r="J1863" s="64" t="s">
        <v>274</v>
      </c>
      <c r="K1863" s="66">
        <v>52.97</v>
      </c>
      <c r="L1863" s="66">
        <f>K1863*VLOOKUP(I1863,dagsoorttabel1,2,FALSE)</f>
        <v>10.594000000000001</v>
      </c>
      <c r="M1863" s="67">
        <f>prodnorm12</f>
        <v>0</v>
      </c>
      <c r="N1863" s="68">
        <f>dagwerk12</f>
        <v>0</v>
      </c>
      <c r="O1863" s="64" t="s">
        <v>38</v>
      </c>
      <c r="P1863" s="69">
        <f>uurtarief12</f>
        <v>0</v>
      </c>
      <c r="Q1863" s="66" t="e">
        <f>IF(ISBLANK(M1863),0,L1863/ROUND(M1863,4))</f>
        <v>#DIV/0!</v>
      </c>
      <c r="R1863" s="66" t="e">
        <f>IF(ISBLANK(M1863),0,Q1863*ROUND(N1863,2))</f>
        <v>#DIV/0!</v>
      </c>
      <c r="S1863" s="69" t="e">
        <f>ROUND(P1863,2)*Q1863</f>
        <v>#DIV/0!</v>
      </c>
      <c r="T1863" s="66" t="e">
        <f>Q1863*dagenperjaar1</f>
        <v>#DIV/0!</v>
      </c>
      <c r="U1863" s="70" t="e">
        <f>T1863*ROUND(P1863,2)</f>
        <v>#DIV/0!</v>
      </c>
    </row>
    <row r="1864" spans="1:21" x14ac:dyDescent="0.2">
      <c r="A1864" s="63" t="s">
        <v>2099</v>
      </c>
      <c r="B1864" s="64" t="s">
        <v>324</v>
      </c>
      <c r="C1864" s="64" t="s">
        <v>345</v>
      </c>
      <c r="D1864" s="64" t="s">
        <v>2187</v>
      </c>
      <c r="E1864" s="64" t="s">
        <v>2266</v>
      </c>
      <c r="F1864" s="65" t="s">
        <v>2265</v>
      </c>
      <c r="G1864" s="64" t="s">
        <v>328</v>
      </c>
      <c r="H1864" s="64" t="s">
        <v>229</v>
      </c>
      <c r="I1864" s="64" t="s">
        <v>10</v>
      </c>
      <c r="J1864" s="64" t="s">
        <v>201</v>
      </c>
      <c r="K1864" s="66">
        <v>52.97</v>
      </c>
      <c r="L1864" s="66">
        <f>K1864*VLOOKUP(I1864,dagsoorttabel1,2,FALSE)</f>
        <v>52.97</v>
      </c>
      <c r="M1864" s="67">
        <f>prodnorm43</f>
        <v>0</v>
      </c>
      <c r="N1864" s="68">
        <f>dagwerk43</f>
        <v>0</v>
      </c>
      <c r="O1864" s="64" t="s">
        <v>38</v>
      </c>
      <c r="P1864" s="69">
        <f>uurtarief43</f>
        <v>0</v>
      </c>
      <c r="Q1864" s="66" t="e">
        <f>IF(ISBLANK(M1864),0,L1864/ROUND(M1864,4))</f>
        <v>#DIV/0!</v>
      </c>
      <c r="R1864" s="66" t="e">
        <f>IF(ISBLANK(M1864),0,Q1864*ROUND(N1864,2))</f>
        <v>#DIV/0!</v>
      </c>
      <c r="S1864" s="69" t="e">
        <f>ROUND(P1864,2)*Q1864</f>
        <v>#DIV/0!</v>
      </c>
      <c r="T1864" s="66" t="e">
        <f>Q1864*dagenperjaar1</f>
        <v>#DIV/0!</v>
      </c>
      <c r="U1864" s="70" t="e">
        <f>T1864*ROUND(P1864,2)</f>
        <v>#DIV/0!</v>
      </c>
    </row>
    <row r="1865" spans="1:21" x14ac:dyDescent="0.2">
      <c r="A1865" s="63" t="s">
        <v>2099</v>
      </c>
      <c r="B1865" s="64" t="s">
        <v>324</v>
      </c>
      <c r="C1865" s="64" t="s">
        <v>345</v>
      </c>
      <c r="D1865" s="64" t="s">
        <v>2267</v>
      </c>
      <c r="E1865" s="64" t="s">
        <v>2268</v>
      </c>
      <c r="F1865" s="65" t="s">
        <v>2269</v>
      </c>
      <c r="G1865" s="64" t="s">
        <v>328</v>
      </c>
      <c r="H1865" s="64" t="s">
        <v>237</v>
      </c>
      <c r="I1865" s="64" t="s">
        <v>19</v>
      </c>
      <c r="J1865" s="64" t="s">
        <v>201</v>
      </c>
      <c r="K1865" s="66">
        <v>8.02</v>
      </c>
      <c r="L1865" s="66">
        <f>K1865*VLOOKUP(I1865,dagsoorttabel1,2,FALSE)</f>
        <v>0.40100000000000002</v>
      </c>
      <c r="M1865" s="67">
        <f>prodnorm47</f>
        <v>0</v>
      </c>
      <c r="N1865" s="68">
        <f>dagwerk47</f>
        <v>0</v>
      </c>
      <c r="O1865" s="64" t="s">
        <v>38</v>
      </c>
      <c r="P1865" s="69">
        <f>uurtarief47</f>
        <v>0</v>
      </c>
      <c r="Q1865" s="66" t="e">
        <f>IF(ISBLANK(M1865),0,L1865/ROUND(M1865,4))</f>
        <v>#DIV/0!</v>
      </c>
      <c r="R1865" s="66" t="e">
        <f>IF(ISBLANK(M1865),0,Q1865*ROUND(N1865,2))</f>
        <v>#DIV/0!</v>
      </c>
      <c r="S1865" s="69" t="e">
        <f>ROUND(P1865,2)*Q1865</f>
        <v>#DIV/0!</v>
      </c>
      <c r="T1865" s="66" t="e">
        <f>Q1865*dagenperjaar1</f>
        <v>#DIV/0!</v>
      </c>
      <c r="U1865" s="70" t="e">
        <f>T1865*ROUND(P1865,2)</f>
        <v>#DIV/0!</v>
      </c>
    </row>
    <row r="1866" spans="1:21" x14ac:dyDescent="0.2">
      <c r="A1866" s="63" t="s">
        <v>2099</v>
      </c>
      <c r="B1866" s="64" t="s">
        <v>324</v>
      </c>
      <c r="C1866" s="64" t="s">
        <v>345</v>
      </c>
      <c r="D1866" s="64" t="s">
        <v>2270</v>
      </c>
      <c r="E1866" s="64" t="s">
        <v>2268</v>
      </c>
      <c r="F1866" s="65" t="s">
        <v>2271</v>
      </c>
      <c r="G1866" s="64" t="s">
        <v>328</v>
      </c>
      <c r="H1866" s="64" t="s">
        <v>273</v>
      </c>
      <c r="I1866" s="64" t="s">
        <v>16</v>
      </c>
      <c r="J1866" s="64" t="s">
        <v>274</v>
      </c>
      <c r="K1866" s="66">
        <v>69.8</v>
      </c>
      <c r="L1866" s="66">
        <f>K1866*VLOOKUP(I1866,dagsoorttabel1,2,FALSE)</f>
        <v>13.96</v>
      </c>
      <c r="M1866" s="67">
        <f>prodnorm12</f>
        <v>0</v>
      </c>
      <c r="N1866" s="68">
        <f>dagwerk12</f>
        <v>0</v>
      </c>
      <c r="O1866" s="64" t="s">
        <v>38</v>
      </c>
      <c r="P1866" s="69">
        <f>uurtarief12</f>
        <v>0</v>
      </c>
      <c r="Q1866" s="66" t="e">
        <f>IF(ISBLANK(M1866),0,L1866/ROUND(M1866,4))</f>
        <v>#DIV/0!</v>
      </c>
      <c r="R1866" s="66" t="e">
        <f>IF(ISBLANK(M1866),0,Q1866*ROUND(N1866,2))</f>
        <v>#DIV/0!</v>
      </c>
      <c r="S1866" s="69" t="e">
        <f>ROUND(P1866,2)*Q1866</f>
        <v>#DIV/0!</v>
      </c>
      <c r="T1866" s="66" t="e">
        <f>Q1866*dagenperjaar1</f>
        <v>#DIV/0!</v>
      </c>
      <c r="U1866" s="70" t="e">
        <f>T1866*ROUND(P1866,2)</f>
        <v>#DIV/0!</v>
      </c>
    </row>
    <row r="1867" spans="1:21" x14ac:dyDescent="0.2">
      <c r="A1867" s="63" t="s">
        <v>2099</v>
      </c>
      <c r="B1867" s="64" t="s">
        <v>324</v>
      </c>
      <c r="C1867" s="64" t="s">
        <v>345</v>
      </c>
      <c r="D1867" s="64" t="s">
        <v>2270</v>
      </c>
      <c r="E1867" s="64" t="s">
        <v>2268</v>
      </c>
      <c r="F1867" s="65" t="s">
        <v>2271</v>
      </c>
      <c r="G1867" s="64" t="s">
        <v>328</v>
      </c>
      <c r="H1867" s="64" t="s">
        <v>229</v>
      </c>
      <c r="I1867" s="64" t="s">
        <v>10</v>
      </c>
      <c r="J1867" s="64" t="s">
        <v>201</v>
      </c>
      <c r="K1867" s="66">
        <v>69.8</v>
      </c>
      <c r="L1867" s="66">
        <f>K1867*VLOOKUP(I1867,dagsoorttabel1,2,FALSE)</f>
        <v>69.8</v>
      </c>
      <c r="M1867" s="67">
        <f>prodnorm43</f>
        <v>0</v>
      </c>
      <c r="N1867" s="68">
        <f>dagwerk43</f>
        <v>0</v>
      </c>
      <c r="O1867" s="64" t="s">
        <v>38</v>
      </c>
      <c r="P1867" s="69">
        <f>uurtarief43</f>
        <v>0</v>
      </c>
      <c r="Q1867" s="66" t="e">
        <f>IF(ISBLANK(M1867),0,L1867/ROUND(M1867,4))</f>
        <v>#DIV/0!</v>
      </c>
      <c r="R1867" s="66" t="e">
        <f>IF(ISBLANK(M1867),0,Q1867*ROUND(N1867,2))</f>
        <v>#DIV/0!</v>
      </c>
      <c r="S1867" s="69" t="e">
        <f>ROUND(P1867,2)*Q1867</f>
        <v>#DIV/0!</v>
      </c>
      <c r="T1867" s="66" t="e">
        <f>Q1867*dagenperjaar1</f>
        <v>#DIV/0!</v>
      </c>
      <c r="U1867" s="70" t="e">
        <f>T1867*ROUND(P1867,2)</f>
        <v>#DIV/0!</v>
      </c>
    </row>
    <row r="1868" spans="1:21" x14ac:dyDescent="0.2">
      <c r="A1868" s="63" t="s">
        <v>2099</v>
      </c>
      <c r="B1868" s="64" t="s">
        <v>324</v>
      </c>
      <c r="C1868" s="64" t="s">
        <v>345</v>
      </c>
      <c r="D1868" s="64" t="s">
        <v>2270</v>
      </c>
      <c r="E1868" s="64" t="s">
        <v>2268</v>
      </c>
      <c r="F1868" s="65" t="s">
        <v>2271</v>
      </c>
      <c r="G1868" s="64" t="s">
        <v>328</v>
      </c>
      <c r="H1868" s="64" t="s">
        <v>233</v>
      </c>
      <c r="I1868" s="64" t="s">
        <v>10</v>
      </c>
      <c r="J1868" s="64" t="s">
        <v>201</v>
      </c>
      <c r="K1868" s="66">
        <v>69.8</v>
      </c>
      <c r="L1868" s="66">
        <f>K1868*VLOOKUP(I1868,dagsoorttabel1,2,FALSE)</f>
        <v>69.8</v>
      </c>
      <c r="M1868" s="67">
        <f>prodnorm45</f>
        <v>0</v>
      </c>
      <c r="N1868" s="68">
        <f>dagwerk45</f>
        <v>0</v>
      </c>
      <c r="O1868" s="64" t="s">
        <v>38</v>
      </c>
      <c r="P1868" s="69">
        <f>uurtarief45</f>
        <v>0</v>
      </c>
      <c r="Q1868" s="66" t="e">
        <f>IF(ISBLANK(M1868),0,L1868/ROUND(M1868,4))</f>
        <v>#DIV/0!</v>
      </c>
      <c r="R1868" s="66" t="e">
        <f>IF(ISBLANK(M1868),0,Q1868*ROUND(N1868,2))</f>
        <v>#DIV/0!</v>
      </c>
      <c r="S1868" s="69" t="e">
        <f>ROUND(P1868,2)*Q1868</f>
        <v>#DIV/0!</v>
      </c>
      <c r="T1868" s="66" t="e">
        <f>Q1868*dagenperjaar1</f>
        <v>#DIV/0!</v>
      </c>
      <c r="U1868" s="70" t="e">
        <f>T1868*ROUND(P1868,2)</f>
        <v>#DIV/0!</v>
      </c>
    </row>
    <row r="1869" spans="1:21" x14ac:dyDescent="0.2">
      <c r="A1869" s="63" t="s">
        <v>2099</v>
      </c>
      <c r="B1869" s="64" t="s">
        <v>324</v>
      </c>
      <c r="C1869" s="64" t="s">
        <v>345</v>
      </c>
      <c r="D1869" s="64" t="s">
        <v>2272</v>
      </c>
      <c r="E1869" s="64" t="s">
        <v>2273</v>
      </c>
      <c r="F1869" s="65" t="s">
        <v>834</v>
      </c>
      <c r="G1869" s="64" t="s">
        <v>328</v>
      </c>
      <c r="H1869" s="64" t="s">
        <v>267</v>
      </c>
      <c r="I1869" s="64" t="s">
        <v>10</v>
      </c>
      <c r="J1869" s="64" t="s">
        <v>201</v>
      </c>
      <c r="K1869" s="66">
        <v>90.3</v>
      </c>
      <c r="L1869" s="66">
        <f>K1869*VLOOKUP(I1869,dagsoorttabel1,2,FALSE)</f>
        <v>90.3</v>
      </c>
      <c r="M1869" s="67">
        <f>prodnorm65</f>
        <v>0</v>
      </c>
      <c r="N1869" s="68">
        <f>dagwerk65</f>
        <v>0</v>
      </c>
      <c r="O1869" s="64" t="s">
        <v>38</v>
      </c>
      <c r="P1869" s="69">
        <f>uurtarief65</f>
        <v>0</v>
      </c>
      <c r="Q1869" s="66" t="e">
        <f>IF(ISBLANK(M1869),0,L1869/ROUND(M1869,4))</f>
        <v>#DIV/0!</v>
      </c>
      <c r="R1869" s="66" t="e">
        <f>IF(ISBLANK(M1869),0,Q1869*ROUND(N1869,2))</f>
        <v>#DIV/0!</v>
      </c>
      <c r="S1869" s="69" t="e">
        <f>ROUND(P1869,2)*Q1869</f>
        <v>#DIV/0!</v>
      </c>
      <c r="T1869" s="66" t="e">
        <f>Q1869*dagenperjaar1</f>
        <v>#DIV/0!</v>
      </c>
      <c r="U1869" s="70" t="e">
        <f>T1869*ROUND(P1869,2)</f>
        <v>#DIV/0!</v>
      </c>
    </row>
    <row r="1870" spans="1:21" x14ac:dyDescent="0.2">
      <c r="A1870" s="63" t="s">
        <v>2099</v>
      </c>
      <c r="B1870" s="64" t="s">
        <v>324</v>
      </c>
      <c r="C1870" s="64" t="s">
        <v>345</v>
      </c>
      <c r="D1870" s="64" t="s">
        <v>2274</v>
      </c>
      <c r="E1870" s="64" t="s">
        <v>2275</v>
      </c>
      <c r="F1870" s="65" t="s">
        <v>2149</v>
      </c>
      <c r="G1870" s="64" t="s">
        <v>328</v>
      </c>
      <c r="H1870" s="64" t="s">
        <v>237</v>
      </c>
      <c r="I1870" s="64" t="s">
        <v>19</v>
      </c>
      <c r="J1870" s="64" t="s">
        <v>201</v>
      </c>
      <c r="K1870" s="66">
        <v>7.85</v>
      </c>
      <c r="L1870" s="66">
        <f>K1870*VLOOKUP(I1870,dagsoorttabel1,2,FALSE)</f>
        <v>0.39250000000000002</v>
      </c>
      <c r="M1870" s="67">
        <f>prodnorm47</f>
        <v>0</v>
      </c>
      <c r="N1870" s="68">
        <f>dagwerk47</f>
        <v>0</v>
      </c>
      <c r="O1870" s="64" t="s">
        <v>38</v>
      </c>
      <c r="P1870" s="69">
        <f>uurtarief47</f>
        <v>0</v>
      </c>
      <c r="Q1870" s="66" t="e">
        <f>IF(ISBLANK(M1870),0,L1870/ROUND(M1870,4))</f>
        <v>#DIV/0!</v>
      </c>
      <c r="R1870" s="66" t="e">
        <f>IF(ISBLANK(M1870),0,Q1870*ROUND(N1870,2))</f>
        <v>#DIV/0!</v>
      </c>
      <c r="S1870" s="69" t="e">
        <f>ROUND(P1870,2)*Q1870</f>
        <v>#DIV/0!</v>
      </c>
      <c r="T1870" s="66" t="e">
        <f>Q1870*dagenperjaar1</f>
        <v>#DIV/0!</v>
      </c>
      <c r="U1870" s="70" t="e">
        <f>T1870*ROUND(P1870,2)</f>
        <v>#DIV/0!</v>
      </c>
    </row>
    <row r="1871" spans="1:21" x14ac:dyDescent="0.2">
      <c r="A1871" s="63" t="s">
        <v>2099</v>
      </c>
      <c r="B1871" s="64" t="s">
        <v>324</v>
      </c>
      <c r="C1871" s="64" t="s">
        <v>345</v>
      </c>
      <c r="D1871" s="64" t="s">
        <v>2276</v>
      </c>
      <c r="E1871" s="64" t="s">
        <v>2277</v>
      </c>
      <c r="F1871" s="65" t="s">
        <v>2278</v>
      </c>
      <c r="G1871" s="64" t="s">
        <v>328</v>
      </c>
      <c r="H1871" s="64" t="s">
        <v>273</v>
      </c>
      <c r="I1871" s="64" t="s">
        <v>16</v>
      </c>
      <c r="J1871" s="64" t="s">
        <v>274</v>
      </c>
      <c r="K1871" s="66">
        <v>156.04</v>
      </c>
      <c r="L1871" s="66">
        <f>K1871*VLOOKUP(I1871,dagsoorttabel1,2,FALSE)</f>
        <v>31.207999999999998</v>
      </c>
      <c r="M1871" s="67">
        <f>prodnorm12</f>
        <v>0</v>
      </c>
      <c r="N1871" s="68">
        <f>dagwerk12</f>
        <v>0</v>
      </c>
      <c r="O1871" s="64" t="s">
        <v>38</v>
      </c>
      <c r="P1871" s="69">
        <f>uurtarief12</f>
        <v>0</v>
      </c>
      <c r="Q1871" s="66" t="e">
        <f>IF(ISBLANK(M1871),0,L1871/ROUND(M1871,4))</f>
        <v>#DIV/0!</v>
      </c>
      <c r="R1871" s="66" t="e">
        <f>IF(ISBLANK(M1871),0,Q1871*ROUND(N1871,2))</f>
        <v>#DIV/0!</v>
      </c>
      <c r="S1871" s="69" t="e">
        <f>ROUND(P1871,2)*Q1871</f>
        <v>#DIV/0!</v>
      </c>
      <c r="T1871" s="66" t="e">
        <f>Q1871*dagenperjaar1</f>
        <v>#DIV/0!</v>
      </c>
      <c r="U1871" s="70" t="e">
        <f>T1871*ROUND(P1871,2)</f>
        <v>#DIV/0!</v>
      </c>
    </row>
    <row r="1872" spans="1:21" x14ac:dyDescent="0.2">
      <c r="A1872" s="63" t="s">
        <v>2099</v>
      </c>
      <c r="B1872" s="64" t="s">
        <v>324</v>
      </c>
      <c r="C1872" s="64" t="s">
        <v>345</v>
      </c>
      <c r="D1872" s="64" t="s">
        <v>2276</v>
      </c>
      <c r="E1872" s="64" t="s">
        <v>2277</v>
      </c>
      <c r="F1872" s="65" t="s">
        <v>2278</v>
      </c>
      <c r="G1872" s="64" t="s">
        <v>328</v>
      </c>
      <c r="H1872" s="64" t="s">
        <v>229</v>
      </c>
      <c r="I1872" s="64" t="s">
        <v>10</v>
      </c>
      <c r="J1872" s="64" t="s">
        <v>201</v>
      </c>
      <c r="K1872" s="66">
        <v>156.04</v>
      </c>
      <c r="L1872" s="66">
        <f>K1872*VLOOKUP(I1872,dagsoorttabel1,2,FALSE)</f>
        <v>156.04</v>
      </c>
      <c r="M1872" s="67">
        <f>prodnorm43</f>
        <v>0</v>
      </c>
      <c r="N1872" s="68">
        <f>dagwerk43</f>
        <v>0</v>
      </c>
      <c r="O1872" s="64" t="s">
        <v>38</v>
      </c>
      <c r="P1872" s="69">
        <f>uurtarief43</f>
        <v>0</v>
      </c>
      <c r="Q1872" s="66" t="e">
        <f>IF(ISBLANK(M1872),0,L1872/ROUND(M1872,4))</f>
        <v>#DIV/0!</v>
      </c>
      <c r="R1872" s="66" t="e">
        <f>IF(ISBLANK(M1872),0,Q1872*ROUND(N1872,2))</f>
        <v>#DIV/0!</v>
      </c>
      <c r="S1872" s="69" t="e">
        <f>ROUND(P1872,2)*Q1872</f>
        <v>#DIV/0!</v>
      </c>
      <c r="T1872" s="66" t="e">
        <f>Q1872*dagenperjaar1</f>
        <v>#DIV/0!</v>
      </c>
      <c r="U1872" s="70" t="e">
        <f>T1872*ROUND(P1872,2)</f>
        <v>#DIV/0!</v>
      </c>
    </row>
    <row r="1873" spans="1:21" x14ac:dyDescent="0.2">
      <c r="A1873" s="63" t="s">
        <v>2099</v>
      </c>
      <c r="B1873" s="64" t="s">
        <v>324</v>
      </c>
      <c r="C1873" s="64" t="s">
        <v>345</v>
      </c>
      <c r="D1873" s="64" t="s">
        <v>2279</v>
      </c>
      <c r="E1873" s="64" t="s">
        <v>2280</v>
      </c>
      <c r="F1873" s="65" t="s">
        <v>2281</v>
      </c>
      <c r="G1873" s="64" t="s">
        <v>328</v>
      </c>
      <c r="H1873" s="64" t="s">
        <v>205</v>
      </c>
      <c r="I1873" s="64" t="s">
        <v>10</v>
      </c>
      <c r="J1873" s="64" t="s">
        <v>201</v>
      </c>
      <c r="K1873" s="66">
        <v>33.97</v>
      </c>
      <c r="L1873" s="66">
        <f>K1873*VLOOKUP(I1873,dagsoorttabel1,2,FALSE)</f>
        <v>33.97</v>
      </c>
      <c r="M1873" s="67">
        <f>prodnorm26</f>
        <v>0</v>
      </c>
      <c r="N1873" s="68">
        <f>dagwerk26</f>
        <v>0</v>
      </c>
      <c r="O1873" s="64" t="s">
        <v>38</v>
      </c>
      <c r="P1873" s="69">
        <f>uurtarief26</f>
        <v>0</v>
      </c>
      <c r="Q1873" s="66" t="e">
        <f>IF(ISBLANK(M1873),0,L1873/ROUND(M1873,4))</f>
        <v>#DIV/0!</v>
      </c>
      <c r="R1873" s="66" t="e">
        <f>IF(ISBLANK(M1873),0,Q1873*ROUND(N1873,2))</f>
        <v>#DIV/0!</v>
      </c>
      <c r="S1873" s="69" t="e">
        <f>ROUND(P1873,2)*Q1873</f>
        <v>#DIV/0!</v>
      </c>
      <c r="T1873" s="66" t="e">
        <f>Q1873*dagenperjaar1</f>
        <v>#DIV/0!</v>
      </c>
      <c r="U1873" s="70" t="e">
        <f>T1873*ROUND(P1873,2)</f>
        <v>#DIV/0!</v>
      </c>
    </row>
    <row r="1874" spans="1:21" x14ac:dyDescent="0.2">
      <c r="A1874" s="63" t="s">
        <v>2099</v>
      </c>
      <c r="B1874" s="64" t="s">
        <v>324</v>
      </c>
      <c r="C1874" s="64" t="s">
        <v>345</v>
      </c>
      <c r="D1874" s="64" t="s">
        <v>2282</v>
      </c>
      <c r="E1874" s="64" t="s">
        <v>2283</v>
      </c>
      <c r="F1874" s="65" t="s">
        <v>2284</v>
      </c>
      <c r="G1874" s="64" t="s">
        <v>328</v>
      </c>
      <c r="H1874" s="64" t="s">
        <v>267</v>
      </c>
      <c r="I1874" s="64" t="s">
        <v>10</v>
      </c>
      <c r="J1874" s="64" t="s">
        <v>201</v>
      </c>
      <c r="K1874" s="66">
        <v>13.55</v>
      </c>
      <c r="L1874" s="66">
        <f>K1874*VLOOKUP(I1874,dagsoorttabel1,2,FALSE)</f>
        <v>13.55</v>
      </c>
      <c r="M1874" s="67">
        <f>prodnorm65</f>
        <v>0</v>
      </c>
      <c r="N1874" s="68">
        <f>dagwerk65</f>
        <v>0</v>
      </c>
      <c r="O1874" s="64" t="s">
        <v>38</v>
      </c>
      <c r="P1874" s="69">
        <f>uurtarief65</f>
        <v>0</v>
      </c>
      <c r="Q1874" s="66" t="e">
        <f>IF(ISBLANK(M1874),0,L1874/ROUND(M1874,4))</f>
        <v>#DIV/0!</v>
      </c>
      <c r="R1874" s="66" t="e">
        <f>IF(ISBLANK(M1874),0,Q1874*ROUND(N1874,2))</f>
        <v>#DIV/0!</v>
      </c>
      <c r="S1874" s="69" t="e">
        <f>ROUND(P1874,2)*Q1874</f>
        <v>#DIV/0!</v>
      </c>
      <c r="T1874" s="66" t="e">
        <f>Q1874*dagenperjaar1</f>
        <v>#DIV/0!</v>
      </c>
      <c r="U1874" s="70" t="e">
        <f>T1874*ROUND(P1874,2)</f>
        <v>#DIV/0!</v>
      </c>
    </row>
    <row r="1875" spans="1:21" x14ac:dyDescent="0.2">
      <c r="A1875" s="63" t="s">
        <v>2099</v>
      </c>
      <c r="B1875" s="64" t="s">
        <v>324</v>
      </c>
      <c r="C1875" s="64" t="s">
        <v>345</v>
      </c>
      <c r="D1875" s="64" t="s">
        <v>2285</v>
      </c>
      <c r="E1875" s="64" t="s">
        <v>2286</v>
      </c>
      <c r="F1875" s="65" t="s">
        <v>641</v>
      </c>
      <c r="G1875" s="64" t="s">
        <v>2128</v>
      </c>
      <c r="H1875" s="64" t="s">
        <v>255</v>
      </c>
      <c r="I1875" s="64" t="s">
        <v>10</v>
      </c>
      <c r="J1875" s="64" t="s">
        <v>201</v>
      </c>
      <c r="K1875" s="66">
        <v>4.8499999999999996</v>
      </c>
      <c r="L1875" s="66">
        <f>K1875*VLOOKUP(I1875,dagsoorttabel1,2,FALSE)</f>
        <v>4.8499999999999996</v>
      </c>
      <c r="M1875" s="67">
        <f>prodnorm59</f>
        <v>0</v>
      </c>
      <c r="N1875" s="68">
        <f>dagwerk59</f>
        <v>0</v>
      </c>
      <c r="O1875" s="64" t="s">
        <v>38</v>
      </c>
      <c r="P1875" s="69">
        <f>uurtarief59</f>
        <v>0</v>
      </c>
      <c r="Q1875" s="66" t="e">
        <f>IF(ISBLANK(M1875),0,L1875/ROUND(M1875,4))</f>
        <v>#DIV/0!</v>
      </c>
      <c r="R1875" s="66" t="e">
        <f>IF(ISBLANK(M1875),0,Q1875*ROUND(N1875,2))</f>
        <v>#DIV/0!</v>
      </c>
      <c r="S1875" s="69" t="e">
        <f>ROUND(P1875,2)*Q1875</f>
        <v>#DIV/0!</v>
      </c>
      <c r="T1875" s="66" t="e">
        <f>Q1875*dagenperjaar1</f>
        <v>#DIV/0!</v>
      </c>
      <c r="U1875" s="70" t="e">
        <f>T1875*ROUND(P1875,2)</f>
        <v>#DIV/0!</v>
      </c>
    </row>
    <row r="1876" spans="1:21" x14ac:dyDescent="0.2">
      <c r="A1876" s="63" t="s">
        <v>2099</v>
      </c>
      <c r="B1876" s="64" t="s">
        <v>324</v>
      </c>
      <c r="C1876" s="64" t="s">
        <v>345</v>
      </c>
      <c r="D1876" s="64" t="s">
        <v>2285</v>
      </c>
      <c r="E1876" s="64" t="s">
        <v>2286</v>
      </c>
      <c r="F1876" s="65" t="s">
        <v>641</v>
      </c>
      <c r="G1876" s="64" t="s">
        <v>2128</v>
      </c>
      <c r="H1876" s="64" t="s">
        <v>257</v>
      </c>
      <c r="I1876" s="64" t="s">
        <v>10</v>
      </c>
      <c r="J1876" s="64" t="s">
        <v>201</v>
      </c>
      <c r="K1876" s="66">
        <v>4.8499999999999996</v>
      </c>
      <c r="L1876" s="66">
        <f>K1876*VLOOKUP(I1876,dagsoorttabel1,2,FALSE)</f>
        <v>4.8499999999999996</v>
      </c>
      <c r="M1876" s="67">
        <f>prodnorm60</f>
        <v>0</v>
      </c>
      <c r="N1876" s="68">
        <f>dagwerk60</f>
        <v>0</v>
      </c>
      <c r="O1876" s="64" t="s">
        <v>38</v>
      </c>
      <c r="P1876" s="69">
        <f>uurtarief60</f>
        <v>0</v>
      </c>
      <c r="Q1876" s="66" t="e">
        <f>IF(ISBLANK(M1876),0,L1876/ROUND(M1876,4))</f>
        <v>#DIV/0!</v>
      </c>
      <c r="R1876" s="66" t="e">
        <f>IF(ISBLANK(M1876),0,Q1876*ROUND(N1876,2))</f>
        <v>#DIV/0!</v>
      </c>
      <c r="S1876" s="69" t="e">
        <f>ROUND(P1876,2)*Q1876</f>
        <v>#DIV/0!</v>
      </c>
      <c r="T1876" s="66" t="e">
        <f>Q1876*dagenperjaar1</f>
        <v>#DIV/0!</v>
      </c>
      <c r="U1876" s="70" t="e">
        <f>T1876*ROUND(P1876,2)</f>
        <v>#DIV/0!</v>
      </c>
    </row>
    <row r="1877" spans="1:21" x14ac:dyDescent="0.2">
      <c r="A1877" s="63" t="s">
        <v>2099</v>
      </c>
      <c r="B1877" s="64" t="s">
        <v>324</v>
      </c>
      <c r="C1877" s="64" t="s">
        <v>345</v>
      </c>
      <c r="D1877" s="64" t="s">
        <v>2287</v>
      </c>
      <c r="E1877" s="64" t="s">
        <v>2288</v>
      </c>
      <c r="F1877" s="65" t="s">
        <v>641</v>
      </c>
      <c r="G1877" s="64" t="s">
        <v>2128</v>
      </c>
      <c r="H1877" s="64" t="s">
        <v>255</v>
      </c>
      <c r="I1877" s="64" t="s">
        <v>10</v>
      </c>
      <c r="J1877" s="64" t="s">
        <v>201</v>
      </c>
      <c r="K1877" s="66">
        <v>9.7099999999999991</v>
      </c>
      <c r="L1877" s="66">
        <f>K1877*VLOOKUP(I1877,dagsoorttabel1,2,FALSE)</f>
        <v>9.7099999999999991</v>
      </c>
      <c r="M1877" s="67">
        <f>prodnorm59</f>
        <v>0</v>
      </c>
      <c r="N1877" s="68">
        <f>dagwerk59</f>
        <v>0</v>
      </c>
      <c r="O1877" s="64" t="s">
        <v>38</v>
      </c>
      <c r="P1877" s="69">
        <f>uurtarief59</f>
        <v>0</v>
      </c>
      <c r="Q1877" s="66" t="e">
        <f>IF(ISBLANK(M1877),0,L1877/ROUND(M1877,4))</f>
        <v>#DIV/0!</v>
      </c>
      <c r="R1877" s="66" t="e">
        <f>IF(ISBLANK(M1877),0,Q1877*ROUND(N1877,2))</f>
        <v>#DIV/0!</v>
      </c>
      <c r="S1877" s="69" t="e">
        <f>ROUND(P1877,2)*Q1877</f>
        <v>#DIV/0!</v>
      </c>
      <c r="T1877" s="66" t="e">
        <f>Q1877*dagenperjaar1</f>
        <v>#DIV/0!</v>
      </c>
      <c r="U1877" s="70" t="e">
        <f>T1877*ROUND(P1877,2)</f>
        <v>#DIV/0!</v>
      </c>
    </row>
    <row r="1878" spans="1:21" x14ac:dyDescent="0.2">
      <c r="A1878" s="63" t="s">
        <v>2099</v>
      </c>
      <c r="B1878" s="64" t="s">
        <v>324</v>
      </c>
      <c r="C1878" s="64" t="s">
        <v>345</v>
      </c>
      <c r="D1878" s="64" t="s">
        <v>2287</v>
      </c>
      <c r="E1878" s="64" t="s">
        <v>2288</v>
      </c>
      <c r="F1878" s="65" t="s">
        <v>641</v>
      </c>
      <c r="G1878" s="64" t="s">
        <v>2128</v>
      </c>
      <c r="H1878" s="64" t="s">
        <v>257</v>
      </c>
      <c r="I1878" s="64" t="s">
        <v>10</v>
      </c>
      <c r="J1878" s="64" t="s">
        <v>201</v>
      </c>
      <c r="K1878" s="66">
        <v>9.7099999999999991</v>
      </c>
      <c r="L1878" s="66">
        <f>K1878*VLOOKUP(I1878,dagsoorttabel1,2,FALSE)</f>
        <v>9.7099999999999991</v>
      </c>
      <c r="M1878" s="67">
        <f>prodnorm60</f>
        <v>0</v>
      </c>
      <c r="N1878" s="68">
        <f>dagwerk60</f>
        <v>0</v>
      </c>
      <c r="O1878" s="64" t="s">
        <v>38</v>
      </c>
      <c r="P1878" s="69">
        <f>uurtarief60</f>
        <v>0</v>
      </c>
      <c r="Q1878" s="66" t="e">
        <f>IF(ISBLANK(M1878),0,L1878/ROUND(M1878,4))</f>
        <v>#DIV/0!</v>
      </c>
      <c r="R1878" s="66" t="e">
        <f>IF(ISBLANK(M1878),0,Q1878*ROUND(N1878,2))</f>
        <v>#DIV/0!</v>
      </c>
      <c r="S1878" s="69" t="e">
        <f>ROUND(P1878,2)*Q1878</f>
        <v>#DIV/0!</v>
      </c>
      <c r="T1878" s="66" t="e">
        <f>Q1878*dagenperjaar1</f>
        <v>#DIV/0!</v>
      </c>
      <c r="U1878" s="70" t="e">
        <f>T1878*ROUND(P1878,2)</f>
        <v>#DIV/0!</v>
      </c>
    </row>
    <row r="1879" spans="1:21" x14ac:dyDescent="0.2">
      <c r="A1879" s="63" t="s">
        <v>2099</v>
      </c>
      <c r="B1879" s="64" t="s">
        <v>324</v>
      </c>
      <c r="C1879" s="64" t="s">
        <v>345</v>
      </c>
      <c r="D1879" s="64" t="s">
        <v>2289</v>
      </c>
      <c r="E1879" s="64" t="s">
        <v>2290</v>
      </c>
      <c r="F1879" s="65" t="s">
        <v>834</v>
      </c>
      <c r="G1879" s="64" t="s">
        <v>328</v>
      </c>
      <c r="H1879" s="64" t="s">
        <v>267</v>
      </c>
      <c r="I1879" s="64" t="s">
        <v>10</v>
      </c>
      <c r="J1879" s="64" t="s">
        <v>201</v>
      </c>
      <c r="K1879" s="66">
        <v>67.97</v>
      </c>
      <c r="L1879" s="66">
        <f>K1879*VLOOKUP(I1879,dagsoorttabel1,2,FALSE)</f>
        <v>67.97</v>
      </c>
      <c r="M1879" s="67">
        <f>prodnorm65</f>
        <v>0</v>
      </c>
      <c r="N1879" s="68">
        <f>dagwerk65</f>
        <v>0</v>
      </c>
      <c r="O1879" s="64" t="s">
        <v>38</v>
      </c>
      <c r="P1879" s="69">
        <f>uurtarief65</f>
        <v>0</v>
      </c>
      <c r="Q1879" s="66" t="e">
        <f>IF(ISBLANK(M1879),0,L1879/ROUND(M1879,4))</f>
        <v>#DIV/0!</v>
      </c>
      <c r="R1879" s="66" t="e">
        <f>IF(ISBLANK(M1879),0,Q1879*ROUND(N1879,2))</f>
        <v>#DIV/0!</v>
      </c>
      <c r="S1879" s="69" t="e">
        <f>ROUND(P1879,2)*Q1879</f>
        <v>#DIV/0!</v>
      </c>
      <c r="T1879" s="66" t="e">
        <f>Q1879*dagenperjaar1</f>
        <v>#DIV/0!</v>
      </c>
      <c r="U1879" s="70" t="e">
        <f>T1879*ROUND(P1879,2)</f>
        <v>#DIV/0!</v>
      </c>
    </row>
    <row r="1880" spans="1:21" x14ac:dyDescent="0.2">
      <c r="A1880" s="63" t="s">
        <v>2099</v>
      </c>
      <c r="B1880" s="64" t="s">
        <v>324</v>
      </c>
      <c r="C1880" s="64" t="s">
        <v>345</v>
      </c>
      <c r="D1880" s="64" t="s">
        <v>2291</v>
      </c>
      <c r="E1880" s="64" t="s">
        <v>2292</v>
      </c>
      <c r="F1880" s="65" t="s">
        <v>1788</v>
      </c>
      <c r="G1880" s="64" t="s">
        <v>328</v>
      </c>
      <c r="H1880" s="64" t="s">
        <v>273</v>
      </c>
      <c r="I1880" s="64" t="s">
        <v>16</v>
      </c>
      <c r="J1880" s="64" t="s">
        <v>274</v>
      </c>
      <c r="K1880" s="66">
        <v>347.98999999999995</v>
      </c>
      <c r="L1880" s="66">
        <f>K1880*VLOOKUP(I1880,dagsoorttabel1,2,FALSE)</f>
        <v>69.597999999999999</v>
      </c>
      <c r="M1880" s="67">
        <f>prodnorm12</f>
        <v>0</v>
      </c>
      <c r="N1880" s="68">
        <f>dagwerk12</f>
        <v>0</v>
      </c>
      <c r="O1880" s="64" t="s">
        <v>38</v>
      </c>
      <c r="P1880" s="69">
        <f>uurtarief12</f>
        <v>0</v>
      </c>
      <c r="Q1880" s="66" t="e">
        <f>IF(ISBLANK(M1880),0,L1880/ROUND(M1880,4))</f>
        <v>#DIV/0!</v>
      </c>
      <c r="R1880" s="66" t="e">
        <f>IF(ISBLANK(M1880),0,Q1880*ROUND(N1880,2))</f>
        <v>#DIV/0!</v>
      </c>
      <c r="S1880" s="69" t="e">
        <f>ROUND(P1880,2)*Q1880</f>
        <v>#DIV/0!</v>
      </c>
      <c r="T1880" s="66" t="e">
        <f>Q1880*dagenperjaar1</f>
        <v>#DIV/0!</v>
      </c>
      <c r="U1880" s="70" t="e">
        <f>T1880*ROUND(P1880,2)</f>
        <v>#DIV/0!</v>
      </c>
    </row>
    <row r="1881" spans="1:21" x14ac:dyDescent="0.2">
      <c r="A1881" s="63" t="s">
        <v>2099</v>
      </c>
      <c r="B1881" s="64" t="s">
        <v>324</v>
      </c>
      <c r="C1881" s="64" t="s">
        <v>345</v>
      </c>
      <c r="D1881" s="64" t="s">
        <v>2291</v>
      </c>
      <c r="E1881" s="64" t="s">
        <v>2292</v>
      </c>
      <c r="F1881" s="65" t="s">
        <v>1788</v>
      </c>
      <c r="G1881" s="64" t="s">
        <v>328</v>
      </c>
      <c r="H1881" s="64" t="s">
        <v>200</v>
      </c>
      <c r="I1881" s="64" t="s">
        <v>10</v>
      </c>
      <c r="J1881" s="64" t="s">
        <v>201</v>
      </c>
      <c r="K1881" s="66">
        <v>347.98999999999995</v>
      </c>
      <c r="L1881" s="66">
        <f>K1881*VLOOKUP(I1881,dagsoorttabel1,2,FALSE)</f>
        <v>347.98999999999995</v>
      </c>
      <c r="M1881" s="67">
        <f>prodnorm24</f>
        <v>0</v>
      </c>
      <c r="N1881" s="68">
        <f>dagwerk24</f>
        <v>0</v>
      </c>
      <c r="O1881" s="64" t="s">
        <v>38</v>
      </c>
      <c r="P1881" s="69">
        <f>uurtarief24</f>
        <v>0</v>
      </c>
      <c r="Q1881" s="66" t="e">
        <f>IF(ISBLANK(M1881),0,L1881/ROUND(M1881,4))</f>
        <v>#DIV/0!</v>
      </c>
      <c r="R1881" s="66" t="e">
        <f>IF(ISBLANK(M1881),0,Q1881*ROUND(N1881,2))</f>
        <v>#DIV/0!</v>
      </c>
      <c r="S1881" s="69" t="e">
        <f>ROUND(P1881,2)*Q1881</f>
        <v>#DIV/0!</v>
      </c>
      <c r="T1881" s="66" t="e">
        <f>Q1881*dagenperjaar1</f>
        <v>#DIV/0!</v>
      </c>
      <c r="U1881" s="70" t="e">
        <f>T1881*ROUND(P1881,2)</f>
        <v>#DIV/0!</v>
      </c>
    </row>
    <row r="1882" spans="1:21" x14ac:dyDescent="0.2">
      <c r="A1882" s="63" t="s">
        <v>2099</v>
      </c>
      <c r="B1882" s="64" t="s">
        <v>324</v>
      </c>
      <c r="C1882" s="64" t="s">
        <v>345</v>
      </c>
      <c r="D1882" s="64" t="s">
        <v>2191</v>
      </c>
      <c r="E1882" s="64" t="s">
        <v>2293</v>
      </c>
      <c r="F1882" s="65" t="s">
        <v>638</v>
      </c>
      <c r="G1882" s="64" t="s">
        <v>328</v>
      </c>
      <c r="H1882" s="64" t="s">
        <v>263</v>
      </c>
      <c r="I1882" s="64" t="s">
        <v>10</v>
      </c>
      <c r="J1882" s="64" t="s">
        <v>201</v>
      </c>
      <c r="K1882" s="66">
        <v>12.739999999999998</v>
      </c>
      <c r="L1882" s="66">
        <f>K1882*VLOOKUP(I1882,dagsoorttabel1,2,FALSE)</f>
        <v>12.739999999999998</v>
      </c>
      <c r="M1882" s="67">
        <f>prodnorm63</f>
        <v>0</v>
      </c>
      <c r="N1882" s="68">
        <f>dagwerk63</f>
        <v>0</v>
      </c>
      <c r="O1882" s="64" t="s">
        <v>38</v>
      </c>
      <c r="P1882" s="69">
        <f>uurtarief63</f>
        <v>0</v>
      </c>
      <c r="Q1882" s="66" t="e">
        <f>IF(ISBLANK(M1882),0,L1882/ROUND(M1882,4))</f>
        <v>#DIV/0!</v>
      </c>
      <c r="R1882" s="66" t="e">
        <f>IF(ISBLANK(M1882),0,Q1882*ROUND(N1882,2))</f>
        <v>#DIV/0!</v>
      </c>
      <c r="S1882" s="69" t="e">
        <f>ROUND(P1882,2)*Q1882</f>
        <v>#DIV/0!</v>
      </c>
      <c r="T1882" s="66" t="e">
        <f>Q1882*dagenperjaar1</f>
        <v>#DIV/0!</v>
      </c>
      <c r="U1882" s="70" t="e">
        <f>T1882*ROUND(P1882,2)</f>
        <v>#DIV/0!</v>
      </c>
    </row>
    <row r="1883" spans="1:21" x14ac:dyDescent="0.2">
      <c r="A1883" s="63" t="s">
        <v>2099</v>
      </c>
      <c r="B1883" s="64" t="s">
        <v>324</v>
      </c>
      <c r="C1883" s="64" t="s">
        <v>345</v>
      </c>
      <c r="D1883" s="64" t="s">
        <v>2294</v>
      </c>
      <c r="E1883" s="64" t="s">
        <v>2295</v>
      </c>
      <c r="F1883" s="65" t="s">
        <v>638</v>
      </c>
      <c r="G1883" s="64" t="s">
        <v>328</v>
      </c>
      <c r="H1883" s="64" t="s">
        <v>263</v>
      </c>
      <c r="I1883" s="64" t="s">
        <v>10</v>
      </c>
      <c r="J1883" s="64" t="s">
        <v>201</v>
      </c>
      <c r="K1883" s="66">
        <v>11.04</v>
      </c>
      <c r="L1883" s="66">
        <f>K1883*VLOOKUP(I1883,dagsoorttabel1,2,FALSE)</f>
        <v>11.04</v>
      </c>
      <c r="M1883" s="67">
        <f>prodnorm63</f>
        <v>0</v>
      </c>
      <c r="N1883" s="68">
        <f>dagwerk63</f>
        <v>0</v>
      </c>
      <c r="O1883" s="64" t="s">
        <v>38</v>
      </c>
      <c r="P1883" s="69">
        <f>uurtarief63</f>
        <v>0</v>
      </c>
      <c r="Q1883" s="66" t="e">
        <f>IF(ISBLANK(M1883),0,L1883/ROUND(M1883,4))</f>
        <v>#DIV/0!</v>
      </c>
      <c r="R1883" s="66" t="e">
        <f>IF(ISBLANK(M1883),0,Q1883*ROUND(N1883,2))</f>
        <v>#DIV/0!</v>
      </c>
      <c r="S1883" s="69" t="e">
        <f>ROUND(P1883,2)*Q1883</f>
        <v>#DIV/0!</v>
      </c>
      <c r="T1883" s="66" t="e">
        <f>Q1883*dagenperjaar1</f>
        <v>#DIV/0!</v>
      </c>
      <c r="U1883" s="70" t="e">
        <f>T1883*ROUND(P1883,2)</f>
        <v>#DIV/0!</v>
      </c>
    </row>
    <row r="1884" spans="1:21" x14ac:dyDescent="0.2">
      <c r="A1884" s="63" t="s">
        <v>2099</v>
      </c>
      <c r="B1884" s="64" t="s">
        <v>324</v>
      </c>
      <c r="C1884" s="64" t="s">
        <v>345</v>
      </c>
      <c r="D1884" s="64" t="s">
        <v>2296</v>
      </c>
      <c r="E1884" s="64" t="s">
        <v>2297</v>
      </c>
      <c r="F1884" s="65" t="s">
        <v>638</v>
      </c>
      <c r="G1884" s="64" t="s">
        <v>328</v>
      </c>
      <c r="H1884" s="64" t="s">
        <v>263</v>
      </c>
      <c r="I1884" s="64" t="s">
        <v>10</v>
      </c>
      <c r="J1884" s="64" t="s">
        <v>201</v>
      </c>
      <c r="K1884" s="66">
        <v>12.739999999999998</v>
      </c>
      <c r="L1884" s="66">
        <f>K1884*VLOOKUP(I1884,dagsoorttabel1,2,FALSE)</f>
        <v>12.739999999999998</v>
      </c>
      <c r="M1884" s="67">
        <f>prodnorm63</f>
        <v>0</v>
      </c>
      <c r="N1884" s="68">
        <f>dagwerk63</f>
        <v>0</v>
      </c>
      <c r="O1884" s="64" t="s">
        <v>38</v>
      </c>
      <c r="P1884" s="69">
        <f>uurtarief63</f>
        <v>0</v>
      </c>
      <c r="Q1884" s="66" t="e">
        <f>IF(ISBLANK(M1884),0,L1884/ROUND(M1884,4))</f>
        <v>#DIV/0!</v>
      </c>
      <c r="R1884" s="66" t="e">
        <f>IF(ISBLANK(M1884),0,Q1884*ROUND(N1884,2))</f>
        <v>#DIV/0!</v>
      </c>
      <c r="S1884" s="69" t="e">
        <f>ROUND(P1884,2)*Q1884</f>
        <v>#DIV/0!</v>
      </c>
      <c r="T1884" s="66" t="e">
        <f>Q1884*dagenperjaar1</f>
        <v>#DIV/0!</v>
      </c>
      <c r="U1884" s="70" t="e">
        <f>T1884*ROUND(P1884,2)</f>
        <v>#DIV/0!</v>
      </c>
    </row>
    <row r="1885" spans="1:21" x14ac:dyDescent="0.2">
      <c r="A1885" s="63" t="s">
        <v>2099</v>
      </c>
      <c r="B1885" s="64" t="s">
        <v>324</v>
      </c>
      <c r="C1885" s="64" t="s">
        <v>345</v>
      </c>
      <c r="D1885" s="64" t="s">
        <v>2298</v>
      </c>
      <c r="E1885" s="64" t="s">
        <v>2299</v>
      </c>
      <c r="F1885" s="65" t="s">
        <v>638</v>
      </c>
      <c r="G1885" s="64" t="s">
        <v>328</v>
      </c>
      <c r="H1885" s="64" t="s">
        <v>263</v>
      </c>
      <c r="I1885" s="64" t="s">
        <v>10</v>
      </c>
      <c r="J1885" s="64" t="s">
        <v>201</v>
      </c>
      <c r="K1885" s="66">
        <v>11.04</v>
      </c>
      <c r="L1885" s="66">
        <f>K1885*VLOOKUP(I1885,dagsoorttabel1,2,FALSE)</f>
        <v>11.04</v>
      </c>
      <c r="M1885" s="67">
        <f>prodnorm63</f>
        <v>0</v>
      </c>
      <c r="N1885" s="68">
        <f>dagwerk63</f>
        <v>0</v>
      </c>
      <c r="O1885" s="64" t="s">
        <v>38</v>
      </c>
      <c r="P1885" s="69">
        <f>uurtarief63</f>
        <v>0</v>
      </c>
      <c r="Q1885" s="66" t="e">
        <f>IF(ISBLANK(M1885),0,L1885/ROUND(M1885,4))</f>
        <v>#DIV/0!</v>
      </c>
      <c r="R1885" s="66" t="e">
        <f>IF(ISBLANK(M1885),0,Q1885*ROUND(N1885,2))</f>
        <v>#DIV/0!</v>
      </c>
      <c r="S1885" s="69" t="e">
        <f>ROUND(P1885,2)*Q1885</f>
        <v>#DIV/0!</v>
      </c>
      <c r="T1885" s="66" t="e">
        <f>Q1885*dagenperjaar1</f>
        <v>#DIV/0!</v>
      </c>
      <c r="U1885" s="70" t="e">
        <f>T1885*ROUND(P1885,2)</f>
        <v>#DIV/0!</v>
      </c>
    </row>
    <row r="1886" spans="1:21" x14ac:dyDescent="0.2">
      <c r="A1886" s="63" t="s">
        <v>2099</v>
      </c>
      <c r="B1886" s="64" t="s">
        <v>324</v>
      </c>
      <c r="C1886" s="64" t="s">
        <v>345</v>
      </c>
      <c r="D1886" s="64" t="s">
        <v>2300</v>
      </c>
      <c r="E1886" s="64" t="s">
        <v>2301</v>
      </c>
      <c r="F1886" s="65" t="s">
        <v>2302</v>
      </c>
      <c r="G1886" s="64" t="s">
        <v>328</v>
      </c>
      <c r="H1886" s="64" t="s">
        <v>263</v>
      </c>
      <c r="I1886" s="64" t="s">
        <v>10</v>
      </c>
      <c r="J1886" s="64" t="s">
        <v>201</v>
      </c>
      <c r="K1886" s="66">
        <v>14.56</v>
      </c>
      <c r="L1886" s="66">
        <f>K1886*VLOOKUP(I1886,dagsoorttabel1,2,FALSE)</f>
        <v>14.56</v>
      </c>
      <c r="M1886" s="67">
        <f>prodnorm63</f>
        <v>0</v>
      </c>
      <c r="N1886" s="68">
        <f>dagwerk63</f>
        <v>0</v>
      </c>
      <c r="O1886" s="64" t="s">
        <v>38</v>
      </c>
      <c r="P1886" s="69">
        <f>uurtarief63</f>
        <v>0</v>
      </c>
      <c r="Q1886" s="66" t="e">
        <f>IF(ISBLANK(M1886),0,L1886/ROUND(M1886,4))</f>
        <v>#DIV/0!</v>
      </c>
      <c r="R1886" s="66" t="e">
        <f>IF(ISBLANK(M1886),0,Q1886*ROUND(N1886,2))</f>
        <v>#DIV/0!</v>
      </c>
      <c r="S1886" s="69" t="e">
        <f>ROUND(P1886,2)*Q1886</f>
        <v>#DIV/0!</v>
      </c>
      <c r="T1886" s="66" t="e">
        <f>Q1886*dagenperjaar1</f>
        <v>#DIV/0!</v>
      </c>
      <c r="U1886" s="70" t="e">
        <f>T1886*ROUND(P1886,2)</f>
        <v>#DIV/0!</v>
      </c>
    </row>
    <row r="1887" spans="1:21" x14ac:dyDescent="0.2">
      <c r="A1887" s="63" t="s">
        <v>2099</v>
      </c>
      <c r="B1887" s="64" t="s">
        <v>324</v>
      </c>
      <c r="C1887" s="64" t="s">
        <v>345</v>
      </c>
      <c r="D1887" s="64" t="s">
        <v>2303</v>
      </c>
      <c r="E1887" s="64" t="s">
        <v>2304</v>
      </c>
      <c r="F1887" s="65" t="s">
        <v>638</v>
      </c>
      <c r="G1887" s="64" t="s">
        <v>328</v>
      </c>
      <c r="H1887" s="64" t="s">
        <v>263</v>
      </c>
      <c r="I1887" s="64" t="s">
        <v>10</v>
      </c>
      <c r="J1887" s="64" t="s">
        <v>201</v>
      </c>
      <c r="K1887" s="66">
        <v>11.04</v>
      </c>
      <c r="L1887" s="66">
        <f>K1887*VLOOKUP(I1887,dagsoorttabel1,2,FALSE)</f>
        <v>11.04</v>
      </c>
      <c r="M1887" s="67">
        <f>prodnorm63</f>
        <v>0</v>
      </c>
      <c r="N1887" s="68">
        <f>dagwerk63</f>
        <v>0</v>
      </c>
      <c r="O1887" s="64" t="s">
        <v>38</v>
      </c>
      <c r="P1887" s="69">
        <f>uurtarief63</f>
        <v>0</v>
      </c>
      <c r="Q1887" s="66" t="e">
        <f>IF(ISBLANK(M1887),0,L1887/ROUND(M1887,4))</f>
        <v>#DIV/0!</v>
      </c>
      <c r="R1887" s="66" t="e">
        <f>IF(ISBLANK(M1887),0,Q1887*ROUND(N1887,2))</f>
        <v>#DIV/0!</v>
      </c>
      <c r="S1887" s="69" t="e">
        <f>ROUND(P1887,2)*Q1887</f>
        <v>#DIV/0!</v>
      </c>
      <c r="T1887" s="66" t="e">
        <f>Q1887*dagenperjaar1</f>
        <v>#DIV/0!</v>
      </c>
      <c r="U1887" s="70" t="e">
        <f>T1887*ROUND(P1887,2)</f>
        <v>#DIV/0!</v>
      </c>
    </row>
    <row r="1888" spans="1:21" x14ac:dyDescent="0.2">
      <c r="A1888" s="63" t="s">
        <v>2099</v>
      </c>
      <c r="B1888" s="64" t="s">
        <v>324</v>
      </c>
      <c r="C1888" s="64" t="s">
        <v>323</v>
      </c>
      <c r="D1888" s="64" t="s">
        <v>2305</v>
      </c>
      <c r="E1888" s="64" t="s">
        <v>2306</v>
      </c>
      <c r="F1888" s="65" t="s">
        <v>2307</v>
      </c>
      <c r="G1888" s="64" t="s">
        <v>328</v>
      </c>
      <c r="H1888" s="64" t="s">
        <v>237</v>
      </c>
      <c r="I1888" s="64" t="s">
        <v>19</v>
      </c>
      <c r="J1888" s="64" t="s">
        <v>201</v>
      </c>
      <c r="K1888" s="66">
        <v>16.5</v>
      </c>
      <c r="L1888" s="66">
        <f>K1888*VLOOKUP(I1888,dagsoorttabel1,2,FALSE)</f>
        <v>0.82500000000000007</v>
      </c>
      <c r="M1888" s="67">
        <f>prodnorm47</f>
        <v>0</v>
      </c>
      <c r="N1888" s="68">
        <f>dagwerk47</f>
        <v>0</v>
      </c>
      <c r="O1888" s="64" t="s">
        <v>38</v>
      </c>
      <c r="P1888" s="69">
        <f>uurtarief47</f>
        <v>0</v>
      </c>
      <c r="Q1888" s="66" t="e">
        <f>IF(ISBLANK(M1888),0,L1888/ROUND(M1888,4))</f>
        <v>#DIV/0!</v>
      </c>
      <c r="R1888" s="66" t="e">
        <f>IF(ISBLANK(M1888),0,Q1888*ROUND(N1888,2))</f>
        <v>#DIV/0!</v>
      </c>
      <c r="S1888" s="69" t="e">
        <f>ROUND(P1888,2)*Q1888</f>
        <v>#DIV/0!</v>
      </c>
      <c r="T1888" s="66" t="e">
        <f>Q1888*dagenperjaar1</f>
        <v>#DIV/0!</v>
      </c>
      <c r="U1888" s="70" t="e">
        <f>T1888*ROUND(P1888,2)</f>
        <v>#DIV/0!</v>
      </c>
    </row>
    <row r="1889" spans="1:21" x14ac:dyDescent="0.2">
      <c r="A1889" s="63" t="s">
        <v>2099</v>
      </c>
      <c r="B1889" s="64" t="s">
        <v>324</v>
      </c>
      <c r="C1889" s="64" t="s">
        <v>323</v>
      </c>
      <c r="D1889" s="64" t="s">
        <v>2308</v>
      </c>
      <c r="E1889" s="64" t="s">
        <v>2309</v>
      </c>
      <c r="F1889" s="65" t="s">
        <v>2307</v>
      </c>
      <c r="G1889" s="64" t="s">
        <v>328</v>
      </c>
      <c r="H1889" s="64" t="s">
        <v>237</v>
      </c>
      <c r="I1889" s="64" t="s">
        <v>19</v>
      </c>
      <c r="J1889" s="64" t="s">
        <v>201</v>
      </c>
      <c r="K1889" s="66">
        <v>8.2399999999999984</v>
      </c>
      <c r="L1889" s="66">
        <f>K1889*VLOOKUP(I1889,dagsoorttabel1,2,FALSE)</f>
        <v>0.41199999999999992</v>
      </c>
      <c r="M1889" s="67">
        <f>prodnorm47</f>
        <v>0</v>
      </c>
      <c r="N1889" s="68">
        <f>dagwerk47</f>
        <v>0</v>
      </c>
      <c r="O1889" s="64" t="s">
        <v>38</v>
      </c>
      <c r="P1889" s="69">
        <f>uurtarief47</f>
        <v>0</v>
      </c>
      <c r="Q1889" s="66" t="e">
        <f>IF(ISBLANK(M1889),0,L1889/ROUND(M1889,4))</f>
        <v>#DIV/0!</v>
      </c>
      <c r="R1889" s="66" t="e">
        <f>IF(ISBLANK(M1889),0,Q1889*ROUND(N1889,2))</f>
        <v>#DIV/0!</v>
      </c>
      <c r="S1889" s="69" t="e">
        <f>ROUND(P1889,2)*Q1889</f>
        <v>#DIV/0!</v>
      </c>
      <c r="T1889" s="66" t="e">
        <f>Q1889*dagenperjaar1</f>
        <v>#DIV/0!</v>
      </c>
      <c r="U1889" s="70" t="e">
        <f>T1889*ROUND(P1889,2)</f>
        <v>#DIV/0!</v>
      </c>
    </row>
    <row r="1890" spans="1:21" x14ac:dyDescent="0.2">
      <c r="A1890" s="63" t="s">
        <v>2099</v>
      </c>
      <c r="B1890" s="64" t="s">
        <v>324</v>
      </c>
      <c r="C1890" s="64" t="s">
        <v>323</v>
      </c>
      <c r="D1890" s="64" t="s">
        <v>2310</v>
      </c>
      <c r="E1890" s="64" t="s">
        <v>2311</v>
      </c>
      <c r="F1890" s="65" t="s">
        <v>2152</v>
      </c>
      <c r="G1890" s="64" t="s">
        <v>328</v>
      </c>
      <c r="H1890" s="64" t="s">
        <v>273</v>
      </c>
      <c r="I1890" s="64" t="s">
        <v>16</v>
      </c>
      <c r="J1890" s="64" t="s">
        <v>274</v>
      </c>
      <c r="K1890" s="66">
        <v>51.46</v>
      </c>
      <c r="L1890" s="66">
        <f>K1890*VLOOKUP(I1890,dagsoorttabel1,2,FALSE)</f>
        <v>10.292000000000002</v>
      </c>
      <c r="M1890" s="67">
        <f>prodnorm12</f>
        <v>0</v>
      </c>
      <c r="N1890" s="68">
        <f>dagwerk12</f>
        <v>0</v>
      </c>
      <c r="O1890" s="64" t="s">
        <v>38</v>
      </c>
      <c r="P1890" s="69">
        <f>uurtarief12</f>
        <v>0</v>
      </c>
      <c r="Q1890" s="66" t="e">
        <f>IF(ISBLANK(M1890),0,L1890/ROUND(M1890,4))</f>
        <v>#DIV/0!</v>
      </c>
      <c r="R1890" s="66" t="e">
        <f>IF(ISBLANK(M1890),0,Q1890*ROUND(N1890,2))</f>
        <v>#DIV/0!</v>
      </c>
      <c r="S1890" s="69" t="e">
        <f>ROUND(P1890,2)*Q1890</f>
        <v>#DIV/0!</v>
      </c>
      <c r="T1890" s="66" t="e">
        <f>Q1890*dagenperjaar1</f>
        <v>#DIV/0!</v>
      </c>
      <c r="U1890" s="70" t="e">
        <f>T1890*ROUND(P1890,2)</f>
        <v>#DIV/0!</v>
      </c>
    </row>
    <row r="1891" spans="1:21" x14ac:dyDescent="0.2">
      <c r="A1891" s="63" t="s">
        <v>2099</v>
      </c>
      <c r="B1891" s="64" t="s">
        <v>324</v>
      </c>
      <c r="C1891" s="64" t="s">
        <v>323</v>
      </c>
      <c r="D1891" s="64" t="s">
        <v>2310</v>
      </c>
      <c r="E1891" s="64" t="s">
        <v>2311</v>
      </c>
      <c r="F1891" s="65" t="s">
        <v>2152</v>
      </c>
      <c r="G1891" s="64" t="s">
        <v>328</v>
      </c>
      <c r="H1891" s="64" t="s">
        <v>229</v>
      </c>
      <c r="I1891" s="64" t="s">
        <v>10</v>
      </c>
      <c r="J1891" s="64" t="s">
        <v>201</v>
      </c>
      <c r="K1891" s="66">
        <v>51.46</v>
      </c>
      <c r="L1891" s="66">
        <f>K1891*VLOOKUP(I1891,dagsoorttabel1,2,FALSE)</f>
        <v>51.46</v>
      </c>
      <c r="M1891" s="67">
        <f>prodnorm43</f>
        <v>0</v>
      </c>
      <c r="N1891" s="68">
        <f>dagwerk43</f>
        <v>0</v>
      </c>
      <c r="O1891" s="64" t="s">
        <v>38</v>
      </c>
      <c r="P1891" s="69">
        <f>uurtarief43</f>
        <v>0</v>
      </c>
      <c r="Q1891" s="66" t="e">
        <f>IF(ISBLANK(M1891),0,L1891/ROUND(M1891,4))</f>
        <v>#DIV/0!</v>
      </c>
      <c r="R1891" s="66" t="e">
        <f>IF(ISBLANK(M1891),0,Q1891*ROUND(N1891,2))</f>
        <v>#DIV/0!</v>
      </c>
      <c r="S1891" s="69" t="e">
        <f>ROUND(P1891,2)*Q1891</f>
        <v>#DIV/0!</v>
      </c>
      <c r="T1891" s="66" t="e">
        <f>Q1891*dagenperjaar1</f>
        <v>#DIV/0!</v>
      </c>
      <c r="U1891" s="70" t="e">
        <f>T1891*ROUND(P1891,2)</f>
        <v>#DIV/0!</v>
      </c>
    </row>
    <row r="1892" spans="1:21" x14ac:dyDescent="0.2">
      <c r="A1892" s="63" t="s">
        <v>2099</v>
      </c>
      <c r="B1892" s="64" t="s">
        <v>324</v>
      </c>
      <c r="C1892" s="64" t="s">
        <v>323</v>
      </c>
      <c r="D1892" s="64" t="s">
        <v>2312</v>
      </c>
      <c r="E1892" s="64" t="s">
        <v>2313</v>
      </c>
      <c r="F1892" s="65" t="s">
        <v>2152</v>
      </c>
      <c r="G1892" s="64" t="s">
        <v>328</v>
      </c>
      <c r="H1892" s="64" t="s">
        <v>273</v>
      </c>
      <c r="I1892" s="64" t="s">
        <v>16</v>
      </c>
      <c r="J1892" s="64" t="s">
        <v>274</v>
      </c>
      <c r="K1892" s="66">
        <v>52.08</v>
      </c>
      <c r="L1892" s="66">
        <f>K1892*VLOOKUP(I1892,dagsoorttabel1,2,FALSE)</f>
        <v>10.416</v>
      </c>
      <c r="M1892" s="67">
        <f>prodnorm12</f>
        <v>0</v>
      </c>
      <c r="N1892" s="68">
        <f>dagwerk12</f>
        <v>0</v>
      </c>
      <c r="O1892" s="64" t="s">
        <v>38</v>
      </c>
      <c r="P1892" s="69">
        <f>uurtarief12</f>
        <v>0</v>
      </c>
      <c r="Q1892" s="66" t="e">
        <f>IF(ISBLANK(M1892),0,L1892/ROUND(M1892,4))</f>
        <v>#DIV/0!</v>
      </c>
      <c r="R1892" s="66" t="e">
        <f>IF(ISBLANK(M1892),0,Q1892*ROUND(N1892,2))</f>
        <v>#DIV/0!</v>
      </c>
      <c r="S1892" s="69" t="e">
        <f>ROUND(P1892,2)*Q1892</f>
        <v>#DIV/0!</v>
      </c>
      <c r="T1892" s="66" t="e">
        <f>Q1892*dagenperjaar1</f>
        <v>#DIV/0!</v>
      </c>
      <c r="U1892" s="70" t="e">
        <f>T1892*ROUND(P1892,2)</f>
        <v>#DIV/0!</v>
      </c>
    </row>
    <row r="1893" spans="1:21" x14ac:dyDescent="0.2">
      <c r="A1893" s="63" t="s">
        <v>2099</v>
      </c>
      <c r="B1893" s="64" t="s">
        <v>324</v>
      </c>
      <c r="C1893" s="64" t="s">
        <v>323</v>
      </c>
      <c r="D1893" s="64" t="s">
        <v>2312</v>
      </c>
      <c r="E1893" s="64" t="s">
        <v>2313</v>
      </c>
      <c r="F1893" s="65" t="s">
        <v>2152</v>
      </c>
      <c r="G1893" s="64" t="s">
        <v>328</v>
      </c>
      <c r="H1893" s="64" t="s">
        <v>229</v>
      </c>
      <c r="I1893" s="64" t="s">
        <v>10</v>
      </c>
      <c r="J1893" s="64" t="s">
        <v>201</v>
      </c>
      <c r="K1893" s="66">
        <v>52.08</v>
      </c>
      <c r="L1893" s="66">
        <f>K1893*VLOOKUP(I1893,dagsoorttabel1,2,FALSE)</f>
        <v>52.08</v>
      </c>
      <c r="M1893" s="67">
        <f>prodnorm43</f>
        <v>0</v>
      </c>
      <c r="N1893" s="68">
        <f>dagwerk43</f>
        <v>0</v>
      </c>
      <c r="O1893" s="64" t="s">
        <v>38</v>
      </c>
      <c r="P1893" s="69">
        <f>uurtarief43</f>
        <v>0</v>
      </c>
      <c r="Q1893" s="66" t="e">
        <f>IF(ISBLANK(M1893),0,L1893/ROUND(M1893,4))</f>
        <v>#DIV/0!</v>
      </c>
      <c r="R1893" s="66" t="e">
        <f>IF(ISBLANK(M1893),0,Q1893*ROUND(N1893,2))</f>
        <v>#DIV/0!</v>
      </c>
      <c r="S1893" s="69" t="e">
        <f>ROUND(P1893,2)*Q1893</f>
        <v>#DIV/0!</v>
      </c>
      <c r="T1893" s="66" t="e">
        <f>Q1893*dagenperjaar1</f>
        <v>#DIV/0!</v>
      </c>
      <c r="U1893" s="70" t="e">
        <f>T1893*ROUND(P1893,2)</f>
        <v>#DIV/0!</v>
      </c>
    </row>
    <row r="1894" spans="1:21" x14ac:dyDescent="0.2">
      <c r="A1894" s="63" t="s">
        <v>2099</v>
      </c>
      <c r="B1894" s="64" t="s">
        <v>324</v>
      </c>
      <c r="C1894" s="64" t="s">
        <v>323</v>
      </c>
      <c r="D1894" s="64" t="s">
        <v>2314</v>
      </c>
      <c r="E1894" s="64" t="s">
        <v>2315</v>
      </c>
      <c r="F1894" s="65" t="s">
        <v>641</v>
      </c>
      <c r="G1894" s="64" t="s">
        <v>2128</v>
      </c>
      <c r="H1894" s="64" t="s">
        <v>255</v>
      </c>
      <c r="I1894" s="64" t="s">
        <v>10</v>
      </c>
      <c r="J1894" s="64" t="s">
        <v>201</v>
      </c>
      <c r="K1894" s="66">
        <v>14.9</v>
      </c>
      <c r="L1894" s="66">
        <f>K1894*VLOOKUP(I1894,dagsoorttabel1,2,FALSE)</f>
        <v>14.9</v>
      </c>
      <c r="M1894" s="67">
        <f>prodnorm59</f>
        <v>0</v>
      </c>
      <c r="N1894" s="68">
        <f>dagwerk59</f>
        <v>0</v>
      </c>
      <c r="O1894" s="64" t="s">
        <v>38</v>
      </c>
      <c r="P1894" s="69">
        <f>uurtarief59</f>
        <v>0</v>
      </c>
      <c r="Q1894" s="66" t="e">
        <f>IF(ISBLANK(M1894),0,L1894/ROUND(M1894,4))</f>
        <v>#DIV/0!</v>
      </c>
      <c r="R1894" s="66" t="e">
        <f>IF(ISBLANK(M1894),0,Q1894*ROUND(N1894,2))</f>
        <v>#DIV/0!</v>
      </c>
      <c r="S1894" s="69" t="e">
        <f>ROUND(P1894,2)*Q1894</f>
        <v>#DIV/0!</v>
      </c>
      <c r="T1894" s="66" t="e">
        <f>Q1894*dagenperjaar1</f>
        <v>#DIV/0!</v>
      </c>
      <c r="U1894" s="70" t="e">
        <f>T1894*ROUND(P1894,2)</f>
        <v>#DIV/0!</v>
      </c>
    </row>
    <row r="1895" spans="1:21" x14ac:dyDescent="0.2">
      <c r="A1895" s="63" t="s">
        <v>2099</v>
      </c>
      <c r="B1895" s="64" t="s">
        <v>324</v>
      </c>
      <c r="C1895" s="64" t="s">
        <v>323</v>
      </c>
      <c r="D1895" s="64" t="s">
        <v>2314</v>
      </c>
      <c r="E1895" s="64" t="s">
        <v>2315</v>
      </c>
      <c r="F1895" s="65" t="s">
        <v>641</v>
      </c>
      <c r="G1895" s="64" t="s">
        <v>2128</v>
      </c>
      <c r="H1895" s="64" t="s">
        <v>257</v>
      </c>
      <c r="I1895" s="64" t="s">
        <v>10</v>
      </c>
      <c r="J1895" s="64" t="s">
        <v>201</v>
      </c>
      <c r="K1895" s="66">
        <v>14.9</v>
      </c>
      <c r="L1895" s="66">
        <f>K1895*VLOOKUP(I1895,dagsoorttabel1,2,FALSE)</f>
        <v>14.9</v>
      </c>
      <c r="M1895" s="67">
        <f>prodnorm60</f>
        <v>0</v>
      </c>
      <c r="N1895" s="68">
        <f>dagwerk60</f>
        <v>0</v>
      </c>
      <c r="O1895" s="64" t="s">
        <v>38</v>
      </c>
      <c r="P1895" s="69">
        <f>uurtarief60</f>
        <v>0</v>
      </c>
      <c r="Q1895" s="66" t="e">
        <f>IF(ISBLANK(M1895),0,L1895/ROUND(M1895,4))</f>
        <v>#DIV/0!</v>
      </c>
      <c r="R1895" s="66" t="e">
        <f>IF(ISBLANK(M1895),0,Q1895*ROUND(N1895,2))</f>
        <v>#DIV/0!</v>
      </c>
      <c r="S1895" s="69" t="e">
        <f>ROUND(P1895,2)*Q1895</f>
        <v>#DIV/0!</v>
      </c>
      <c r="T1895" s="66" t="e">
        <f>Q1895*dagenperjaar1</f>
        <v>#DIV/0!</v>
      </c>
      <c r="U1895" s="70" t="e">
        <f>T1895*ROUND(P1895,2)</f>
        <v>#DIV/0!</v>
      </c>
    </row>
    <row r="1896" spans="1:21" x14ac:dyDescent="0.2">
      <c r="A1896" s="63" t="s">
        <v>2099</v>
      </c>
      <c r="B1896" s="64" t="s">
        <v>324</v>
      </c>
      <c r="C1896" s="64" t="s">
        <v>323</v>
      </c>
      <c r="D1896" s="64" t="s">
        <v>2316</v>
      </c>
      <c r="E1896" s="64" t="s">
        <v>2317</v>
      </c>
      <c r="F1896" s="65" t="s">
        <v>2318</v>
      </c>
      <c r="G1896" s="64" t="s">
        <v>1756</v>
      </c>
      <c r="H1896" s="64" t="s">
        <v>245</v>
      </c>
      <c r="I1896" s="64" t="s">
        <v>10</v>
      </c>
      <c r="J1896" s="64" t="s">
        <v>201</v>
      </c>
      <c r="K1896" s="66">
        <v>68.59</v>
      </c>
      <c r="L1896" s="66">
        <f>K1896*VLOOKUP(I1896,dagsoorttabel1,2,FALSE)</f>
        <v>68.59</v>
      </c>
      <c r="M1896" s="67">
        <f>prodnorm54</f>
        <v>0</v>
      </c>
      <c r="N1896" s="68">
        <f>dagwerk54</f>
        <v>0</v>
      </c>
      <c r="O1896" s="64" t="s">
        <v>38</v>
      </c>
      <c r="P1896" s="69">
        <f>uurtarief54</f>
        <v>0</v>
      </c>
      <c r="Q1896" s="66" t="e">
        <f>IF(ISBLANK(M1896),0,L1896/ROUND(M1896,4))</f>
        <v>#DIV/0!</v>
      </c>
      <c r="R1896" s="66" t="e">
        <f>IF(ISBLANK(M1896),0,Q1896*ROUND(N1896,2))</f>
        <v>#DIV/0!</v>
      </c>
      <c r="S1896" s="69" t="e">
        <f>ROUND(P1896,2)*Q1896</f>
        <v>#DIV/0!</v>
      </c>
      <c r="T1896" s="66" t="e">
        <f>Q1896*dagenperjaar1</f>
        <v>#DIV/0!</v>
      </c>
      <c r="U1896" s="70" t="e">
        <f>T1896*ROUND(P1896,2)</f>
        <v>#DIV/0!</v>
      </c>
    </row>
    <row r="1897" spans="1:21" x14ac:dyDescent="0.2">
      <c r="A1897" s="63" t="s">
        <v>2099</v>
      </c>
      <c r="B1897" s="64" t="s">
        <v>324</v>
      </c>
      <c r="C1897" s="64" t="s">
        <v>323</v>
      </c>
      <c r="D1897" s="64" t="s">
        <v>2319</v>
      </c>
      <c r="E1897" s="64" t="s">
        <v>2320</v>
      </c>
      <c r="F1897" s="65" t="s">
        <v>834</v>
      </c>
      <c r="G1897" s="64" t="s">
        <v>328</v>
      </c>
      <c r="H1897" s="64" t="s">
        <v>267</v>
      </c>
      <c r="I1897" s="64" t="s">
        <v>10</v>
      </c>
      <c r="J1897" s="64" t="s">
        <v>201</v>
      </c>
      <c r="K1897" s="66">
        <v>82.25</v>
      </c>
      <c r="L1897" s="66">
        <f>K1897*VLOOKUP(I1897,dagsoorttabel1,2,FALSE)</f>
        <v>82.25</v>
      </c>
      <c r="M1897" s="67">
        <f>prodnorm65</f>
        <v>0</v>
      </c>
      <c r="N1897" s="68">
        <f>dagwerk65</f>
        <v>0</v>
      </c>
      <c r="O1897" s="64" t="s">
        <v>38</v>
      </c>
      <c r="P1897" s="69">
        <f>uurtarief65</f>
        <v>0</v>
      </c>
      <c r="Q1897" s="66" t="e">
        <f>IF(ISBLANK(M1897),0,L1897/ROUND(M1897,4))</f>
        <v>#DIV/0!</v>
      </c>
      <c r="R1897" s="66" t="e">
        <f>IF(ISBLANK(M1897),0,Q1897*ROUND(N1897,2))</f>
        <v>#DIV/0!</v>
      </c>
      <c r="S1897" s="69" t="e">
        <f>ROUND(P1897,2)*Q1897</f>
        <v>#DIV/0!</v>
      </c>
      <c r="T1897" s="66" t="e">
        <f>Q1897*dagenperjaar1</f>
        <v>#DIV/0!</v>
      </c>
      <c r="U1897" s="70" t="e">
        <f>T1897*ROUND(P1897,2)</f>
        <v>#DIV/0!</v>
      </c>
    </row>
    <row r="1898" spans="1:21" x14ac:dyDescent="0.2">
      <c r="A1898" s="63" t="s">
        <v>2099</v>
      </c>
      <c r="B1898" s="64" t="s">
        <v>324</v>
      </c>
      <c r="C1898" s="64" t="s">
        <v>323</v>
      </c>
      <c r="D1898" s="64" t="s">
        <v>2321</v>
      </c>
      <c r="E1898" s="64" t="s">
        <v>455</v>
      </c>
      <c r="F1898" s="65" t="s">
        <v>2322</v>
      </c>
      <c r="G1898" s="64" t="s">
        <v>328</v>
      </c>
      <c r="H1898" s="64" t="s">
        <v>273</v>
      </c>
      <c r="I1898" s="64" t="s">
        <v>16</v>
      </c>
      <c r="J1898" s="64" t="s">
        <v>274</v>
      </c>
      <c r="K1898" s="66">
        <v>50.55</v>
      </c>
      <c r="L1898" s="66">
        <f>K1898*VLOOKUP(I1898,dagsoorttabel1,2,FALSE)</f>
        <v>10.11</v>
      </c>
      <c r="M1898" s="67">
        <f>prodnorm12</f>
        <v>0</v>
      </c>
      <c r="N1898" s="68">
        <f>dagwerk12</f>
        <v>0</v>
      </c>
      <c r="O1898" s="64" t="s">
        <v>38</v>
      </c>
      <c r="P1898" s="69">
        <f>uurtarief12</f>
        <v>0</v>
      </c>
      <c r="Q1898" s="66" t="e">
        <f>IF(ISBLANK(M1898),0,L1898/ROUND(M1898,4))</f>
        <v>#DIV/0!</v>
      </c>
      <c r="R1898" s="66" t="e">
        <f>IF(ISBLANK(M1898),0,Q1898*ROUND(N1898,2))</f>
        <v>#DIV/0!</v>
      </c>
      <c r="S1898" s="69" t="e">
        <f>ROUND(P1898,2)*Q1898</f>
        <v>#DIV/0!</v>
      </c>
      <c r="T1898" s="66" t="e">
        <f>Q1898*dagenperjaar1</f>
        <v>#DIV/0!</v>
      </c>
      <c r="U1898" s="70" t="e">
        <f>T1898*ROUND(P1898,2)</f>
        <v>#DIV/0!</v>
      </c>
    </row>
    <row r="1899" spans="1:21" x14ac:dyDescent="0.2">
      <c r="A1899" s="63" t="s">
        <v>2099</v>
      </c>
      <c r="B1899" s="64" t="s">
        <v>324</v>
      </c>
      <c r="C1899" s="64" t="s">
        <v>323</v>
      </c>
      <c r="D1899" s="64" t="s">
        <v>2321</v>
      </c>
      <c r="E1899" s="64" t="s">
        <v>455</v>
      </c>
      <c r="F1899" s="65" t="s">
        <v>2322</v>
      </c>
      <c r="G1899" s="64" t="s">
        <v>328</v>
      </c>
      <c r="H1899" s="64" t="s">
        <v>229</v>
      </c>
      <c r="I1899" s="64" t="s">
        <v>10</v>
      </c>
      <c r="J1899" s="64" t="s">
        <v>201</v>
      </c>
      <c r="K1899" s="66">
        <v>50.55</v>
      </c>
      <c r="L1899" s="66">
        <f>K1899*VLOOKUP(I1899,dagsoorttabel1,2,FALSE)</f>
        <v>50.55</v>
      </c>
      <c r="M1899" s="67">
        <f>prodnorm43</f>
        <v>0</v>
      </c>
      <c r="N1899" s="68">
        <f>dagwerk43</f>
        <v>0</v>
      </c>
      <c r="O1899" s="64" t="s">
        <v>38</v>
      </c>
      <c r="P1899" s="69">
        <f>uurtarief43</f>
        <v>0</v>
      </c>
      <c r="Q1899" s="66" t="e">
        <f>IF(ISBLANK(M1899),0,L1899/ROUND(M1899,4))</f>
        <v>#DIV/0!</v>
      </c>
      <c r="R1899" s="66" t="e">
        <f>IF(ISBLANK(M1899),0,Q1899*ROUND(N1899,2))</f>
        <v>#DIV/0!</v>
      </c>
      <c r="S1899" s="69" t="e">
        <f>ROUND(P1899,2)*Q1899</f>
        <v>#DIV/0!</v>
      </c>
      <c r="T1899" s="66" t="e">
        <f>Q1899*dagenperjaar1</f>
        <v>#DIV/0!</v>
      </c>
      <c r="U1899" s="70" t="e">
        <f>T1899*ROUND(P1899,2)</f>
        <v>#DIV/0!</v>
      </c>
    </row>
    <row r="1900" spans="1:21" x14ac:dyDescent="0.2">
      <c r="A1900" s="63" t="s">
        <v>2099</v>
      </c>
      <c r="B1900" s="64" t="s">
        <v>324</v>
      </c>
      <c r="C1900" s="64" t="s">
        <v>323</v>
      </c>
      <c r="D1900" s="64" t="s">
        <v>2323</v>
      </c>
      <c r="E1900" s="64" t="s">
        <v>459</v>
      </c>
      <c r="F1900" s="65" t="s">
        <v>2324</v>
      </c>
      <c r="G1900" s="64" t="s">
        <v>328</v>
      </c>
      <c r="H1900" s="64" t="s">
        <v>273</v>
      </c>
      <c r="I1900" s="64" t="s">
        <v>16</v>
      </c>
      <c r="J1900" s="64" t="s">
        <v>274</v>
      </c>
      <c r="K1900" s="66">
        <v>51.48</v>
      </c>
      <c r="L1900" s="66">
        <f>K1900*VLOOKUP(I1900,dagsoorttabel1,2,FALSE)</f>
        <v>10.295999999999999</v>
      </c>
      <c r="M1900" s="67">
        <f>prodnorm12</f>
        <v>0</v>
      </c>
      <c r="N1900" s="68">
        <f>dagwerk12</f>
        <v>0</v>
      </c>
      <c r="O1900" s="64" t="s">
        <v>38</v>
      </c>
      <c r="P1900" s="69">
        <f>uurtarief12</f>
        <v>0</v>
      </c>
      <c r="Q1900" s="66" t="e">
        <f>IF(ISBLANK(M1900),0,L1900/ROUND(M1900,4))</f>
        <v>#DIV/0!</v>
      </c>
      <c r="R1900" s="66" t="e">
        <f>IF(ISBLANK(M1900),0,Q1900*ROUND(N1900,2))</f>
        <v>#DIV/0!</v>
      </c>
      <c r="S1900" s="69" t="e">
        <f>ROUND(P1900,2)*Q1900</f>
        <v>#DIV/0!</v>
      </c>
      <c r="T1900" s="66" t="e">
        <f>Q1900*dagenperjaar1</f>
        <v>#DIV/0!</v>
      </c>
      <c r="U1900" s="70" t="e">
        <f>T1900*ROUND(P1900,2)</f>
        <v>#DIV/0!</v>
      </c>
    </row>
    <row r="1901" spans="1:21" x14ac:dyDescent="0.2">
      <c r="A1901" s="63" t="s">
        <v>2099</v>
      </c>
      <c r="B1901" s="64" t="s">
        <v>324</v>
      </c>
      <c r="C1901" s="64" t="s">
        <v>323</v>
      </c>
      <c r="D1901" s="64" t="s">
        <v>2323</v>
      </c>
      <c r="E1901" s="64" t="s">
        <v>459</v>
      </c>
      <c r="F1901" s="65" t="s">
        <v>2324</v>
      </c>
      <c r="G1901" s="64" t="s">
        <v>328</v>
      </c>
      <c r="H1901" s="64" t="s">
        <v>229</v>
      </c>
      <c r="I1901" s="64" t="s">
        <v>10</v>
      </c>
      <c r="J1901" s="64" t="s">
        <v>201</v>
      </c>
      <c r="K1901" s="66">
        <v>51.48</v>
      </c>
      <c r="L1901" s="66">
        <f>K1901*VLOOKUP(I1901,dagsoorttabel1,2,FALSE)</f>
        <v>51.48</v>
      </c>
      <c r="M1901" s="67">
        <f>prodnorm43</f>
        <v>0</v>
      </c>
      <c r="N1901" s="68">
        <f>dagwerk43</f>
        <v>0</v>
      </c>
      <c r="O1901" s="64" t="s">
        <v>38</v>
      </c>
      <c r="P1901" s="69">
        <f>uurtarief43</f>
        <v>0</v>
      </c>
      <c r="Q1901" s="66" t="e">
        <f>IF(ISBLANK(M1901),0,L1901/ROUND(M1901,4))</f>
        <v>#DIV/0!</v>
      </c>
      <c r="R1901" s="66" t="e">
        <f>IF(ISBLANK(M1901),0,Q1901*ROUND(N1901,2))</f>
        <v>#DIV/0!</v>
      </c>
      <c r="S1901" s="69" t="e">
        <f>ROUND(P1901,2)*Q1901</f>
        <v>#DIV/0!</v>
      </c>
      <c r="T1901" s="66" t="e">
        <f>Q1901*dagenperjaar1</f>
        <v>#DIV/0!</v>
      </c>
      <c r="U1901" s="70" t="e">
        <f>T1901*ROUND(P1901,2)</f>
        <v>#DIV/0!</v>
      </c>
    </row>
    <row r="1902" spans="1:21" x14ac:dyDescent="0.2">
      <c r="A1902" s="63" t="s">
        <v>2099</v>
      </c>
      <c r="B1902" s="64" t="s">
        <v>324</v>
      </c>
      <c r="C1902" s="64" t="s">
        <v>323</v>
      </c>
      <c r="D1902" s="64" t="s">
        <v>2325</v>
      </c>
      <c r="E1902" s="64" t="s">
        <v>461</v>
      </c>
      <c r="F1902" s="65" t="s">
        <v>2326</v>
      </c>
      <c r="G1902" s="64" t="s">
        <v>328</v>
      </c>
      <c r="H1902" s="64" t="s">
        <v>273</v>
      </c>
      <c r="I1902" s="64" t="s">
        <v>16</v>
      </c>
      <c r="J1902" s="64" t="s">
        <v>274</v>
      </c>
      <c r="K1902" s="66">
        <v>51.46</v>
      </c>
      <c r="L1902" s="66">
        <f>K1902*VLOOKUP(I1902,dagsoorttabel1,2,FALSE)</f>
        <v>10.292000000000002</v>
      </c>
      <c r="M1902" s="67">
        <f>prodnorm12</f>
        <v>0</v>
      </c>
      <c r="N1902" s="68">
        <f>dagwerk12</f>
        <v>0</v>
      </c>
      <c r="O1902" s="64" t="s">
        <v>38</v>
      </c>
      <c r="P1902" s="69">
        <f>uurtarief12</f>
        <v>0</v>
      </c>
      <c r="Q1902" s="66" t="e">
        <f>IF(ISBLANK(M1902),0,L1902/ROUND(M1902,4))</f>
        <v>#DIV/0!</v>
      </c>
      <c r="R1902" s="66" t="e">
        <f>IF(ISBLANK(M1902),0,Q1902*ROUND(N1902,2))</f>
        <v>#DIV/0!</v>
      </c>
      <c r="S1902" s="69" t="e">
        <f>ROUND(P1902,2)*Q1902</f>
        <v>#DIV/0!</v>
      </c>
      <c r="T1902" s="66" t="e">
        <f>Q1902*dagenperjaar1</f>
        <v>#DIV/0!</v>
      </c>
      <c r="U1902" s="70" t="e">
        <f>T1902*ROUND(P1902,2)</f>
        <v>#DIV/0!</v>
      </c>
    </row>
    <row r="1903" spans="1:21" x14ac:dyDescent="0.2">
      <c r="A1903" s="63" t="s">
        <v>2099</v>
      </c>
      <c r="B1903" s="64" t="s">
        <v>324</v>
      </c>
      <c r="C1903" s="64" t="s">
        <v>323</v>
      </c>
      <c r="D1903" s="64" t="s">
        <v>2325</v>
      </c>
      <c r="E1903" s="64" t="s">
        <v>461</v>
      </c>
      <c r="F1903" s="65" t="s">
        <v>2326</v>
      </c>
      <c r="G1903" s="64" t="s">
        <v>328</v>
      </c>
      <c r="H1903" s="64" t="s">
        <v>229</v>
      </c>
      <c r="I1903" s="64" t="s">
        <v>10</v>
      </c>
      <c r="J1903" s="64" t="s">
        <v>201</v>
      </c>
      <c r="K1903" s="66">
        <v>51.46</v>
      </c>
      <c r="L1903" s="66">
        <f>K1903*VLOOKUP(I1903,dagsoorttabel1,2,FALSE)</f>
        <v>51.46</v>
      </c>
      <c r="M1903" s="67">
        <f>prodnorm43</f>
        <v>0</v>
      </c>
      <c r="N1903" s="68">
        <f>dagwerk43</f>
        <v>0</v>
      </c>
      <c r="O1903" s="64" t="s">
        <v>38</v>
      </c>
      <c r="P1903" s="69">
        <f>uurtarief43</f>
        <v>0</v>
      </c>
      <c r="Q1903" s="66" t="e">
        <f>IF(ISBLANK(M1903),0,L1903/ROUND(M1903,4))</f>
        <v>#DIV/0!</v>
      </c>
      <c r="R1903" s="66" t="e">
        <f>IF(ISBLANK(M1903),0,Q1903*ROUND(N1903,2))</f>
        <v>#DIV/0!</v>
      </c>
      <c r="S1903" s="69" t="e">
        <f>ROUND(P1903,2)*Q1903</f>
        <v>#DIV/0!</v>
      </c>
      <c r="T1903" s="66" t="e">
        <f>Q1903*dagenperjaar1</f>
        <v>#DIV/0!</v>
      </c>
      <c r="U1903" s="70" t="e">
        <f>T1903*ROUND(P1903,2)</f>
        <v>#DIV/0!</v>
      </c>
    </row>
    <row r="1904" spans="1:21" x14ac:dyDescent="0.2">
      <c r="A1904" s="63" t="s">
        <v>2099</v>
      </c>
      <c r="B1904" s="64" t="s">
        <v>324</v>
      </c>
      <c r="C1904" s="64" t="s">
        <v>323</v>
      </c>
      <c r="D1904" s="64" t="s">
        <v>2327</v>
      </c>
      <c r="E1904" s="64" t="s">
        <v>463</v>
      </c>
      <c r="F1904" s="65" t="s">
        <v>2328</v>
      </c>
      <c r="G1904" s="64" t="s">
        <v>328</v>
      </c>
      <c r="H1904" s="64" t="s">
        <v>273</v>
      </c>
      <c r="I1904" s="64" t="s">
        <v>16</v>
      </c>
      <c r="J1904" s="64" t="s">
        <v>274</v>
      </c>
      <c r="K1904" s="66">
        <v>53.14</v>
      </c>
      <c r="L1904" s="66">
        <f>K1904*VLOOKUP(I1904,dagsoorttabel1,2,FALSE)</f>
        <v>10.628</v>
      </c>
      <c r="M1904" s="67">
        <f>prodnorm12</f>
        <v>0</v>
      </c>
      <c r="N1904" s="68">
        <f>dagwerk12</f>
        <v>0</v>
      </c>
      <c r="O1904" s="64" t="s">
        <v>38</v>
      </c>
      <c r="P1904" s="69">
        <f>uurtarief12</f>
        <v>0</v>
      </c>
      <c r="Q1904" s="66" t="e">
        <f>IF(ISBLANK(M1904),0,L1904/ROUND(M1904,4))</f>
        <v>#DIV/0!</v>
      </c>
      <c r="R1904" s="66" t="e">
        <f>IF(ISBLANK(M1904),0,Q1904*ROUND(N1904,2))</f>
        <v>#DIV/0!</v>
      </c>
      <c r="S1904" s="69" t="e">
        <f>ROUND(P1904,2)*Q1904</f>
        <v>#DIV/0!</v>
      </c>
      <c r="T1904" s="66" t="e">
        <f>Q1904*dagenperjaar1</f>
        <v>#DIV/0!</v>
      </c>
      <c r="U1904" s="70" t="e">
        <f>T1904*ROUND(P1904,2)</f>
        <v>#DIV/0!</v>
      </c>
    </row>
    <row r="1905" spans="1:21" x14ac:dyDescent="0.2">
      <c r="A1905" s="63" t="s">
        <v>2099</v>
      </c>
      <c r="B1905" s="64" t="s">
        <v>324</v>
      </c>
      <c r="C1905" s="64" t="s">
        <v>323</v>
      </c>
      <c r="D1905" s="64" t="s">
        <v>2327</v>
      </c>
      <c r="E1905" s="64" t="s">
        <v>463</v>
      </c>
      <c r="F1905" s="65" t="s">
        <v>2328</v>
      </c>
      <c r="G1905" s="64" t="s">
        <v>328</v>
      </c>
      <c r="H1905" s="64" t="s">
        <v>229</v>
      </c>
      <c r="I1905" s="64" t="s">
        <v>10</v>
      </c>
      <c r="J1905" s="64" t="s">
        <v>201</v>
      </c>
      <c r="K1905" s="66">
        <v>53.14</v>
      </c>
      <c r="L1905" s="66">
        <f>K1905*VLOOKUP(I1905,dagsoorttabel1,2,FALSE)</f>
        <v>53.14</v>
      </c>
      <c r="M1905" s="67">
        <f>prodnorm43</f>
        <v>0</v>
      </c>
      <c r="N1905" s="68">
        <f>dagwerk43</f>
        <v>0</v>
      </c>
      <c r="O1905" s="64" t="s">
        <v>38</v>
      </c>
      <c r="P1905" s="69">
        <f>uurtarief43</f>
        <v>0</v>
      </c>
      <c r="Q1905" s="66" t="e">
        <f>IF(ISBLANK(M1905),0,L1905/ROUND(M1905,4))</f>
        <v>#DIV/0!</v>
      </c>
      <c r="R1905" s="66" t="e">
        <f>IF(ISBLANK(M1905),0,Q1905*ROUND(N1905,2))</f>
        <v>#DIV/0!</v>
      </c>
      <c r="S1905" s="69" t="e">
        <f>ROUND(P1905,2)*Q1905</f>
        <v>#DIV/0!</v>
      </c>
      <c r="T1905" s="66" t="e">
        <f>Q1905*dagenperjaar1</f>
        <v>#DIV/0!</v>
      </c>
      <c r="U1905" s="70" t="e">
        <f>T1905*ROUND(P1905,2)</f>
        <v>#DIV/0!</v>
      </c>
    </row>
    <row r="1906" spans="1:21" x14ac:dyDescent="0.2">
      <c r="A1906" s="63" t="s">
        <v>2099</v>
      </c>
      <c r="B1906" s="64" t="s">
        <v>324</v>
      </c>
      <c r="C1906" s="64" t="s">
        <v>323</v>
      </c>
      <c r="D1906" s="64" t="s">
        <v>2329</v>
      </c>
      <c r="E1906" s="64" t="s">
        <v>926</v>
      </c>
      <c r="F1906" s="65" t="s">
        <v>2142</v>
      </c>
      <c r="G1906" s="64" t="s">
        <v>328</v>
      </c>
      <c r="H1906" s="64" t="s">
        <v>205</v>
      </c>
      <c r="I1906" s="64" t="s">
        <v>10</v>
      </c>
      <c r="J1906" s="64" t="s">
        <v>201</v>
      </c>
      <c r="K1906" s="66">
        <v>11.719999999999999</v>
      </c>
      <c r="L1906" s="66">
        <f>K1906*VLOOKUP(I1906,dagsoorttabel1,2,FALSE)</f>
        <v>11.719999999999999</v>
      </c>
      <c r="M1906" s="67">
        <f>prodnorm26</f>
        <v>0</v>
      </c>
      <c r="N1906" s="68">
        <f>dagwerk26</f>
        <v>0</v>
      </c>
      <c r="O1906" s="64" t="s">
        <v>38</v>
      </c>
      <c r="P1906" s="69">
        <f>uurtarief26</f>
        <v>0</v>
      </c>
      <c r="Q1906" s="66" t="e">
        <f>IF(ISBLANK(M1906),0,L1906/ROUND(M1906,4))</f>
        <v>#DIV/0!</v>
      </c>
      <c r="R1906" s="66" t="e">
        <f>IF(ISBLANK(M1906),0,Q1906*ROUND(N1906,2))</f>
        <v>#DIV/0!</v>
      </c>
      <c r="S1906" s="69" t="e">
        <f>ROUND(P1906,2)*Q1906</f>
        <v>#DIV/0!</v>
      </c>
      <c r="T1906" s="66" t="e">
        <f>Q1906*dagenperjaar1</f>
        <v>#DIV/0!</v>
      </c>
      <c r="U1906" s="70" t="e">
        <f>T1906*ROUND(P1906,2)</f>
        <v>#DIV/0!</v>
      </c>
    </row>
    <row r="1907" spans="1:21" x14ac:dyDescent="0.2">
      <c r="A1907" s="63" t="s">
        <v>2099</v>
      </c>
      <c r="B1907" s="64" t="s">
        <v>324</v>
      </c>
      <c r="C1907" s="64" t="s">
        <v>323</v>
      </c>
      <c r="D1907" s="64" t="s">
        <v>2330</v>
      </c>
      <c r="E1907" s="64" t="s">
        <v>928</v>
      </c>
      <c r="F1907" s="65" t="s">
        <v>2331</v>
      </c>
      <c r="G1907" s="64" t="s">
        <v>328</v>
      </c>
      <c r="H1907" s="64" t="s">
        <v>237</v>
      </c>
      <c r="I1907" s="64" t="s">
        <v>19</v>
      </c>
      <c r="J1907" s="64" t="s">
        <v>201</v>
      </c>
      <c r="K1907" s="66">
        <v>16.670000000000002</v>
      </c>
      <c r="L1907" s="66">
        <f>K1907*VLOOKUP(I1907,dagsoorttabel1,2,FALSE)</f>
        <v>0.83350000000000013</v>
      </c>
      <c r="M1907" s="67">
        <f>prodnorm47</f>
        <v>0</v>
      </c>
      <c r="N1907" s="68">
        <f>dagwerk47</f>
        <v>0</v>
      </c>
      <c r="O1907" s="64" t="s">
        <v>38</v>
      </c>
      <c r="P1907" s="69">
        <f>uurtarief47</f>
        <v>0</v>
      </c>
      <c r="Q1907" s="66" t="e">
        <f>IF(ISBLANK(M1907),0,L1907/ROUND(M1907,4))</f>
        <v>#DIV/0!</v>
      </c>
      <c r="R1907" s="66" t="e">
        <f>IF(ISBLANK(M1907),0,Q1907*ROUND(N1907,2))</f>
        <v>#DIV/0!</v>
      </c>
      <c r="S1907" s="69" t="e">
        <f>ROUND(P1907,2)*Q1907</f>
        <v>#DIV/0!</v>
      </c>
      <c r="T1907" s="66" t="e">
        <f>Q1907*dagenperjaar1</f>
        <v>#DIV/0!</v>
      </c>
      <c r="U1907" s="70" t="e">
        <f>T1907*ROUND(P1907,2)</f>
        <v>#DIV/0!</v>
      </c>
    </row>
    <row r="1908" spans="1:21" x14ac:dyDescent="0.2">
      <c r="A1908" s="63" t="s">
        <v>2099</v>
      </c>
      <c r="B1908" s="64" t="s">
        <v>324</v>
      </c>
      <c r="C1908" s="64" t="s">
        <v>323</v>
      </c>
      <c r="D1908" s="64" t="s">
        <v>2332</v>
      </c>
      <c r="E1908" s="64" t="s">
        <v>2333</v>
      </c>
      <c r="F1908" s="65" t="s">
        <v>834</v>
      </c>
      <c r="G1908" s="64" t="s">
        <v>328</v>
      </c>
      <c r="H1908" s="64" t="s">
        <v>267</v>
      </c>
      <c r="I1908" s="64" t="s">
        <v>10</v>
      </c>
      <c r="J1908" s="64" t="s">
        <v>201</v>
      </c>
      <c r="K1908" s="66">
        <v>99.240000000000009</v>
      </c>
      <c r="L1908" s="66">
        <f>K1908*VLOOKUP(I1908,dagsoorttabel1,2,FALSE)</f>
        <v>99.240000000000009</v>
      </c>
      <c r="M1908" s="67">
        <f>prodnorm65</f>
        <v>0</v>
      </c>
      <c r="N1908" s="68">
        <f>dagwerk65</f>
        <v>0</v>
      </c>
      <c r="O1908" s="64" t="s">
        <v>38</v>
      </c>
      <c r="P1908" s="69">
        <f>uurtarief65</f>
        <v>0</v>
      </c>
      <c r="Q1908" s="66" t="e">
        <f>IF(ISBLANK(M1908),0,L1908/ROUND(M1908,4))</f>
        <v>#DIV/0!</v>
      </c>
      <c r="R1908" s="66" t="e">
        <f>IF(ISBLANK(M1908),0,Q1908*ROUND(N1908,2))</f>
        <v>#DIV/0!</v>
      </c>
      <c r="S1908" s="69" t="e">
        <f>ROUND(P1908,2)*Q1908</f>
        <v>#DIV/0!</v>
      </c>
      <c r="T1908" s="66" t="e">
        <f>Q1908*dagenperjaar1</f>
        <v>#DIV/0!</v>
      </c>
      <c r="U1908" s="70" t="e">
        <f>T1908*ROUND(P1908,2)</f>
        <v>#DIV/0!</v>
      </c>
    </row>
    <row r="1909" spans="1:21" x14ac:dyDescent="0.2">
      <c r="A1909" s="63" t="s">
        <v>2099</v>
      </c>
      <c r="B1909" s="64" t="s">
        <v>324</v>
      </c>
      <c r="C1909" s="64" t="s">
        <v>323</v>
      </c>
      <c r="D1909" s="64" t="s">
        <v>2334</v>
      </c>
      <c r="E1909" s="64" t="s">
        <v>2335</v>
      </c>
      <c r="F1909" s="65" t="s">
        <v>641</v>
      </c>
      <c r="G1909" s="64" t="s">
        <v>2128</v>
      </c>
      <c r="H1909" s="64" t="s">
        <v>255</v>
      </c>
      <c r="I1909" s="64" t="s">
        <v>10</v>
      </c>
      <c r="J1909" s="64" t="s">
        <v>201</v>
      </c>
      <c r="K1909" s="66">
        <v>4.74</v>
      </c>
      <c r="L1909" s="66">
        <f>K1909*VLOOKUP(I1909,dagsoorttabel1,2,FALSE)</f>
        <v>4.74</v>
      </c>
      <c r="M1909" s="67">
        <f>prodnorm59</f>
        <v>0</v>
      </c>
      <c r="N1909" s="68">
        <f>dagwerk59</f>
        <v>0</v>
      </c>
      <c r="O1909" s="64" t="s">
        <v>38</v>
      </c>
      <c r="P1909" s="69">
        <f>uurtarief59</f>
        <v>0</v>
      </c>
      <c r="Q1909" s="66" t="e">
        <f>IF(ISBLANK(M1909),0,L1909/ROUND(M1909,4))</f>
        <v>#DIV/0!</v>
      </c>
      <c r="R1909" s="66" t="e">
        <f>IF(ISBLANK(M1909),0,Q1909*ROUND(N1909,2))</f>
        <v>#DIV/0!</v>
      </c>
      <c r="S1909" s="69" t="e">
        <f>ROUND(P1909,2)*Q1909</f>
        <v>#DIV/0!</v>
      </c>
      <c r="T1909" s="66" t="e">
        <f>Q1909*dagenperjaar1</f>
        <v>#DIV/0!</v>
      </c>
      <c r="U1909" s="70" t="e">
        <f>T1909*ROUND(P1909,2)</f>
        <v>#DIV/0!</v>
      </c>
    </row>
    <row r="1910" spans="1:21" x14ac:dyDescent="0.2">
      <c r="A1910" s="63" t="s">
        <v>2099</v>
      </c>
      <c r="B1910" s="64" t="s">
        <v>324</v>
      </c>
      <c r="C1910" s="64" t="s">
        <v>323</v>
      </c>
      <c r="D1910" s="64" t="s">
        <v>2334</v>
      </c>
      <c r="E1910" s="64" t="s">
        <v>2335</v>
      </c>
      <c r="F1910" s="65" t="s">
        <v>641</v>
      </c>
      <c r="G1910" s="64" t="s">
        <v>2128</v>
      </c>
      <c r="H1910" s="64" t="s">
        <v>257</v>
      </c>
      <c r="I1910" s="64" t="s">
        <v>10</v>
      </c>
      <c r="J1910" s="64" t="s">
        <v>201</v>
      </c>
      <c r="K1910" s="66">
        <v>4.74</v>
      </c>
      <c r="L1910" s="66">
        <f>K1910*VLOOKUP(I1910,dagsoorttabel1,2,FALSE)</f>
        <v>4.74</v>
      </c>
      <c r="M1910" s="67">
        <f>prodnorm60</f>
        <v>0</v>
      </c>
      <c r="N1910" s="68">
        <f>dagwerk60</f>
        <v>0</v>
      </c>
      <c r="O1910" s="64" t="s">
        <v>38</v>
      </c>
      <c r="P1910" s="69">
        <f>uurtarief60</f>
        <v>0</v>
      </c>
      <c r="Q1910" s="66" t="e">
        <f>IF(ISBLANK(M1910),0,L1910/ROUND(M1910,4))</f>
        <v>#DIV/0!</v>
      </c>
      <c r="R1910" s="66" t="e">
        <f>IF(ISBLANK(M1910),0,Q1910*ROUND(N1910,2))</f>
        <v>#DIV/0!</v>
      </c>
      <c r="S1910" s="69" t="e">
        <f>ROUND(P1910,2)*Q1910</f>
        <v>#DIV/0!</v>
      </c>
      <c r="T1910" s="66" t="e">
        <f>Q1910*dagenperjaar1</f>
        <v>#DIV/0!</v>
      </c>
      <c r="U1910" s="70" t="e">
        <f>T1910*ROUND(P1910,2)</f>
        <v>#DIV/0!</v>
      </c>
    </row>
    <row r="1911" spans="1:21" x14ac:dyDescent="0.2">
      <c r="A1911" s="63" t="s">
        <v>2099</v>
      </c>
      <c r="B1911" s="64" t="s">
        <v>324</v>
      </c>
      <c r="C1911" s="64" t="s">
        <v>323</v>
      </c>
      <c r="D1911" s="64" t="s">
        <v>2336</v>
      </c>
      <c r="E1911" s="64" t="s">
        <v>2335</v>
      </c>
      <c r="F1911" s="65" t="s">
        <v>641</v>
      </c>
      <c r="G1911" s="64" t="s">
        <v>2128</v>
      </c>
      <c r="H1911" s="64" t="s">
        <v>255</v>
      </c>
      <c r="I1911" s="64" t="s">
        <v>10</v>
      </c>
      <c r="J1911" s="64" t="s">
        <v>201</v>
      </c>
      <c r="K1911" s="66">
        <v>4.74</v>
      </c>
      <c r="L1911" s="66">
        <f>K1911*VLOOKUP(I1911,dagsoorttabel1,2,FALSE)</f>
        <v>4.74</v>
      </c>
      <c r="M1911" s="67">
        <f>prodnorm59</f>
        <v>0</v>
      </c>
      <c r="N1911" s="68">
        <f>dagwerk59</f>
        <v>0</v>
      </c>
      <c r="O1911" s="64" t="s">
        <v>38</v>
      </c>
      <c r="P1911" s="69">
        <f>uurtarief59</f>
        <v>0</v>
      </c>
      <c r="Q1911" s="66" t="e">
        <f>IF(ISBLANK(M1911),0,L1911/ROUND(M1911,4))</f>
        <v>#DIV/0!</v>
      </c>
      <c r="R1911" s="66" t="e">
        <f>IF(ISBLANK(M1911),0,Q1911*ROUND(N1911,2))</f>
        <v>#DIV/0!</v>
      </c>
      <c r="S1911" s="69" t="e">
        <f>ROUND(P1911,2)*Q1911</f>
        <v>#DIV/0!</v>
      </c>
      <c r="T1911" s="66" t="e">
        <f>Q1911*dagenperjaar1</f>
        <v>#DIV/0!</v>
      </c>
      <c r="U1911" s="70" t="e">
        <f>T1911*ROUND(P1911,2)</f>
        <v>#DIV/0!</v>
      </c>
    </row>
    <row r="1912" spans="1:21" x14ac:dyDescent="0.2">
      <c r="A1912" s="63" t="s">
        <v>2099</v>
      </c>
      <c r="B1912" s="64" t="s">
        <v>324</v>
      </c>
      <c r="C1912" s="64" t="s">
        <v>323</v>
      </c>
      <c r="D1912" s="64" t="s">
        <v>2336</v>
      </c>
      <c r="E1912" s="64" t="s">
        <v>2335</v>
      </c>
      <c r="F1912" s="65" t="s">
        <v>641</v>
      </c>
      <c r="G1912" s="64" t="s">
        <v>2128</v>
      </c>
      <c r="H1912" s="64" t="s">
        <v>257</v>
      </c>
      <c r="I1912" s="64" t="s">
        <v>10</v>
      </c>
      <c r="J1912" s="64" t="s">
        <v>201</v>
      </c>
      <c r="K1912" s="66">
        <v>4.74</v>
      </c>
      <c r="L1912" s="66">
        <f>K1912*VLOOKUP(I1912,dagsoorttabel1,2,FALSE)</f>
        <v>4.74</v>
      </c>
      <c r="M1912" s="67">
        <f>prodnorm60</f>
        <v>0</v>
      </c>
      <c r="N1912" s="68">
        <f>dagwerk60</f>
        <v>0</v>
      </c>
      <c r="O1912" s="64" t="s">
        <v>38</v>
      </c>
      <c r="P1912" s="69">
        <f>uurtarief60</f>
        <v>0</v>
      </c>
      <c r="Q1912" s="66" t="e">
        <f>IF(ISBLANK(M1912),0,L1912/ROUND(M1912,4))</f>
        <v>#DIV/0!</v>
      </c>
      <c r="R1912" s="66" t="e">
        <f>IF(ISBLANK(M1912),0,Q1912*ROUND(N1912,2))</f>
        <v>#DIV/0!</v>
      </c>
      <c r="S1912" s="69" t="e">
        <f>ROUND(P1912,2)*Q1912</f>
        <v>#DIV/0!</v>
      </c>
      <c r="T1912" s="66" t="e">
        <f>Q1912*dagenperjaar1</f>
        <v>#DIV/0!</v>
      </c>
      <c r="U1912" s="70" t="e">
        <f>T1912*ROUND(P1912,2)</f>
        <v>#DIV/0!</v>
      </c>
    </row>
    <row r="1913" spans="1:21" x14ac:dyDescent="0.2">
      <c r="A1913" s="63" t="s">
        <v>2099</v>
      </c>
      <c r="B1913" s="64" t="s">
        <v>324</v>
      </c>
      <c r="C1913" s="64" t="s">
        <v>323</v>
      </c>
      <c r="D1913" s="64" t="s">
        <v>2337</v>
      </c>
      <c r="E1913" s="64" t="s">
        <v>2338</v>
      </c>
      <c r="F1913" s="65" t="s">
        <v>2339</v>
      </c>
      <c r="G1913" s="64" t="s">
        <v>1756</v>
      </c>
      <c r="H1913" s="64" t="s">
        <v>245</v>
      </c>
      <c r="I1913" s="64" t="s">
        <v>10</v>
      </c>
      <c r="J1913" s="64" t="s">
        <v>201</v>
      </c>
      <c r="K1913" s="66">
        <v>68.940000000000012</v>
      </c>
      <c r="L1913" s="66">
        <f>K1913*VLOOKUP(I1913,dagsoorttabel1,2,FALSE)</f>
        <v>68.940000000000012</v>
      </c>
      <c r="M1913" s="67">
        <f>prodnorm54</f>
        <v>0</v>
      </c>
      <c r="N1913" s="68">
        <f>dagwerk54</f>
        <v>0</v>
      </c>
      <c r="O1913" s="64" t="s">
        <v>38</v>
      </c>
      <c r="P1913" s="69">
        <f>uurtarief54</f>
        <v>0</v>
      </c>
      <c r="Q1913" s="66" t="e">
        <f>IF(ISBLANK(M1913),0,L1913/ROUND(M1913,4))</f>
        <v>#DIV/0!</v>
      </c>
      <c r="R1913" s="66" t="e">
        <f>IF(ISBLANK(M1913),0,Q1913*ROUND(N1913,2))</f>
        <v>#DIV/0!</v>
      </c>
      <c r="S1913" s="69" t="e">
        <f>ROUND(P1913,2)*Q1913</f>
        <v>#DIV/0!</v>
      </c>
      <c r="T1913" s="66" t="e">
        <f>Q1913*dagenperjaar1</f>
        <v>#DIV/0!</v>
      </c>
      <c r="U1913" s="70" t="e">
        <f>T1913*ROUND(P1913,2)</f>
        <v>#DIV/0!</v>
      </c>
    </row>
    <row r="1914" spans="1:21" x14ac:dyDescent="0.2">
      <c r="A1914" s="63" t="s">
        <v>2099</v>
      </c>
      <c r="B1914" s="64" t="s">
        <v>324</v>
      </c>
      <c r="C1914" s="64" t="s">
        <v>323</v>
      </c>
      <c r="D1914" s="64" t="s">
        <v>2340</v>
      </c>
      <c r="E1914" s="64" t="s">
        <v>929</v>
      </c>
      <c r="F1914" s="65" t="s">
        <v>2341</v>
      </c>
      <c r="G1914" s="64" t="s">
        <v>328</v>
      </c>
      <c r="H1914" s="64" t="s">
        <v>205</v>
      </c>
      <c r="I1914" s="64" t="s">
        <v>10</v>
      </c>
      <c r="J1914" s="64" t="s">
        <v>201</v>
      </c>
      <c r="K1914" s="66">
        <v>16.739999999999998</v>
      </c>
      <c r="L1914" s="66">
        <f>K1914*VLOOKUP(I1914,dagsoorttabel1,2,FALSE)</f>
        <v>16.739999999999998</v>
      </c>
      <c r="M1914" s="67">
        <f>prodnorm26</f>
        <v>0</v>
      </c>
      <c r="N1914" s="68">
        <f>dagwerk26</f>
        <v>0</v>
      </c>
      <c r="O1914" s="64" t="s">
        <v>38</v>
      </c>
      <c r="P1914" s="69">
        <f>uurtarief26</f>
        <v>0</v>
      </c>
      <c r="Q1914" s="66" t="e">
        <f>IF(ISBLANK(M1914),0,L1914/ROUND(M1914,4))</f>
        <v>#DIV/0!</v>
      </c>
      <c r="R1914" s="66" t="e">
        <f>IF(ISBLANK(M1914),0,Q1914*ROUND(N1914,2))</f>
        <v>#DIV/0!</v>
      </c>
      <c r="S1914" s="69" t="e">
        <f>ROUND(P1914,2)*Q1914</f>
        <v>#DIV/0!</v>
      </c>
      <c r="T1914" s="66" t="e">
        <f>Q1914*dagenperjaar1</f>
        <v>#DIV/0!</v>
      </c>
      <c r="U1914" s="70" t="e">
        <f>T1914*ROUND(P1914,2)</f>
        <v>#DIV/0!</v>
      </c>
    </row>
    <row r="1915" spans="1:21" x14ac:dyDescent="0.2">
      <c r="A1915" s="63" t="s">
        <v>2099</v>
      </c>
      <c r="B1915" s="64" t="s">
        <v>324</v>
      </c>
      <c r="C1915" s="64" t="s">
        <v>323</v>
      </c>
      <c r="D1915" s="64" t="s">
        <v>2342</v>
      </c>
      <c r="E1915" s="64" t="s">
        <v>467</v>
      </c>
      <c r="F1915" s="65" t="s">
        <v>2149</v>
      </c>
      <c r="G1915" s="64" t="s">
        <v>328</v>
      </c>
      <c r="H1915" s="64" t="s">
        <v>237</v>
      </c>
      <c r="I1915" s="64" t="s">
        <v>19</v>
      </c>
      <c r="J1915" s="64" t="s">
        <v>201</v>
      </c>
      <c r="K1915" s="66">
        <v>16.89</v>
      </c>
      <c r="L1915" s="66">
        <f>K1915*VLOOKUP(I1915,dagsoorttabel1,2,FALSE)</f>
        <v>0.84450000000000003</v>
      </c>
      <c r="M1915" s="67">
        <f>prodnorm47</f>
        <v>0</v>
      </c>
      <c r="N1915" s="68">
        <f>dagwerk47</f>
        <v>0</v>
      </c>
      <c r="O1915" s="64" t="s">
        <v>38</v>
      </c>
      <c r="P1915" s="69">
        <f>uurtarief47</f>
        <v>0</v>
      </c>
      <c r="Q1915" s="66" t="e">
        <f>IF(ISBLANK(M1915),0,L1915/ROUND(M1915,4))</f>
        <v>#DIV/0!</v>
      </c>
      <c r="R1915" s="66" t="e">
        <f>IF(ISBLANK(M1915),0,Q1915*ROUND(N1915,2))</f>
        <v>#DIV/0!</v>
      </c>
      <c r="S1915" s="69" t="e">
        <f>ROUND(P1915,2)*Q1915</f>
        <v>#DIV/0!</v>
      </c>
      <c r="T1915" s="66" t="e">
        <f>Q1915*dagenperjaar1</f>
        <v>#DIV/0!</v>
      </c>
      <c r="U1915" s="70" t="e">
        <f>T1915*ROUND(P1915,2)</f>
        <v>#DIV/0!</v>
      </c>
    </row>
    <row r="1916" spans="1:21" x14ac:dyDescent="0.2">
      <c r="A1916" s="63" t="s">
        <v>2099</v>
      </c>
      <c r="B1916" s="64" t="s">
        <v>324</v>
      </c>
      <c r="C1916" s="64" t="s">
        <v>323</v>
      </c>
      <c r="D1916" s="64" t="s">
        <v>2343</v>
      </c>
      <c r="E1916" s="64" t="s">
        <v>470</v>
      </c>
      <c r="F1916" s="65" t="s">
        <v>2344</v>
      </c>
      <c r="G1916" s="64" t="s">
        <v>328</v>
      </c>
      <c r="H1916" s="64" t="s">
        <v>273</v>
      </c>
      <c r="I1916" s="64" t="s">
        <v>16</v>
      </c>
      <c r="J1916" s="64" t="s">
        <v>274</v>
      </c>
      <c r="K1916" s="66">
        <v>51.43</v>
      </c>
      <c r="L1916" s="66">
        <f>K1916*VLOOKUP(I1916,dagsoorttabel1,2,FALSE)</f>
        <v>10.286000000000001</v>
      </c>
      <c r="M1916" s="67">
        <f>prodnorm12</f>
        <v>0</v>
      </c>
      <c r="N1916" s="68">
        <f>dagwerk12</f>
        <v>0</v>
      </c>
      <c r="O1916" s="64" t="s">
        <v>38</v>
      </c>
      <c r="P1916" s="69">
        <f>uurtarief12</f>
        <v>0</v>
      </c>
      <c r="Q1916" s="66" t="e">
        <f>IF(ISBLANK(M1916),0,L1916/ROUND(M1916,4))</f>
        <v>#DIV/0!</v>
      </c>
      <c r="R1916" s="66" t="e">
        <f>IF(ISBLANK(M1916),0,Q1916*ROUND(N1916,2))</f>
        <v>#DIV/0!</v>
      </c>
      <c r="S1916" s="69" t="e">
        <f>ROUND(P1916,2)*Q1916</f>
        <v>#DIV/0!</v>
      </c>
      <c r="T1916" s="66" t="e">
        <f>Q1916*dagenperjaar1</f>
        <v>#DIV/0!</v>
      </c>
      <c r="U1916" s="70" t="e">
        <f>T1916*ROUND(P1916,2)</f>
        <v>#DIV/0!</v>
      </c>
    </row>
    <row r="1917" spans="1:21" x14ac:dyDescent="0.2">
      <c r="A1917" s="63" t="s">
        <v>2099</v>
      </c>
      <c r="B1917" s="64" t="s">
        <v>324</v>
      </c>
      <c r="C1917" s="64" t="s">
        <v>323</v>
      </c>
      <c r="D1917" s="64" t="s">
        <v>2343</v>
      </c>
      <c r="E1917" s="64" t="s">
        <v>470</v>
      </c>
      <c r="F1917" s="65" t="s">
        <v>2344</v>
      </c>
      <c r="G1917" s="64" t="s">
        <v>328</v>
      </c>
      <c r="H1917" s="64" t="s">
        <v>229</v>
      </c>
      <c r="I1917" s="64" t="s">
        <v>10</v>
      </c>
      <c r="J1917" s="64" t="s">
        <v>201</v>
      </c>
      <c r="K1917" s="66">
        <v>51.43</v>
      </c>
      <c r="L1917" s="66">
        <f>K1917*VLOOKUP(I1917,dagsoorttabel1,2,FALSE)</f>
        <v>51.43</v>
      </c>
      <c r="M1917" s="67">
        <f>prodnorm43</f>
        <v>0</v>
      </c>
      <c r="N1917" s="68">
        <f>dagwerk43</f>
        <v>0</v>
      </c>
      <c r="O1917" s="64" t="s">
        <v>38</v>
      </c>
      <c r="P1917" s="69">
        <f>uurtarief43</f>
        <v>0</v>
      </c>
      <c r="Q1917" s="66" t="e">
        <f>IF(ISBLANK(M1917),0,L1917/ROUND(M1917,4))</f>
        <v>#DIV/0!</v>
      </c>
      <c r="R1917" s="66" t="e">
        <f>IF(ISBLANK(M1917),0,Q1917*ROUND(N1917,2))</f>
        <v>#DIV/0!</v>
      </c>
      <c r="S1917" s="69" t="e">
        <f>ROUND(P1917,2)*Q1917</f>
        <v>#DIV/0!</v>
      </c>
      <c r="T1917" s="66" t="e">
        <f>Q1917*dagenperjaar1</f>
        <v>#DIV/0!</v>
      </c>
      <c r="U1917" s="70" t="e">
        <f>T1917*ROUND(P1917,2)</f>
        <v>#DIV/0!</v>
      </c>
    </row>
    <row r="1918" spans="1:21" x14ac:dyDescent="0.2">
      <c r="A1918" s="63" t="s">
        <v>2099</v>
      </c>
      <c r="B1918" s="64" t="s">
        <v>324</v>
      </c>
      <c r="C1918" s="64" t="s">
        <v>323</v>
      </c>
      <c r="D1918" s="64" t="s">
        <v>2345</v>
      </c>
      <c r="E1918" s="64" t="s">
        <v>939</v>
      </c>
      <c r="F1918" s="65" t="s">
        <v>2346</v>
      </c>
      <c r="G1918" s="64" t="s">
        <v>328</v>
      </c>
      <c r="H1918" s="64" t="s">
        <v>273</v>
      </c>
      <c r="I1918" s="64" t="s">
        <v>16</v>
      </c>
      <c r="J1918" s="64" t="s">
        <v>274</v>
      </c>
      <c r="K1918" s="66">
        <v>51.25</v>
      </c>
      <c r="L1918" s="66">
        <f>K1918*VLOOKUP(I1918,dagsoorttabel1,2,FALSE)</f>
        <v>10.25</v>
      </c>
      <c r="M1918" s="67">
        <f>prodnorm12</f>
        <v>0</v>
      </c>
      <c r="N1918" s="68">
        <f>dagwerk12</f>
        <v>0</v>
      </c>
      <c r="O1918" s="64" t="s">
        <v>38</v>
      </c>
      <c r="P1918" s="69">
        <f>uurtarief12</f>
        <v>0</v>
      </c>
      <c r="Q1918" s="66" t="e">
        <f>IF(ISBLANK(M1918),0,L1918/ROUND(M1918,4))</f>
        <v>#DIV/0!</v>
      </c>
      <c r="R1918" s="66" t="e">
        <f>IF(ISBLANK(M1918),0,Q1918*ROUND(N1918,2))</f>
        <v>#DIV/0!</v>
      </c>
      <c r="S1918" s="69" t="e">
        <f>ROUND(P1918,2)*Q1918</f>
        <v>#DIV/0!</v>
      </c>
      <c r="T1918" s="66" t="e">
        <f>Q1918*dagenperjaar1</f>
        <v>#DIV/0!</v>
      </c>
      <c r="U1918" s="70" t="e">
        <f>T1918*ROUND(P1918,2)</f>
        <v>#DIV/0!</v>
      </c>
    </row>
    <row r="1919" spans="1:21" x14ac:dyDescent="0.2">
      <c r="A1919" s="63" t="s">
        <v>2099</v>
      </c>
      <c r="B1919" s="64" t="s">
        <v>324</v>
      </c>
      <c r="C1919" s="64" t="s">
        <v>323</v>
      </c>
      <c r="D1919" s="64" t="s">
        <v>2345</v>
      </c>
      <c r="E1919" s="64" t="s">
        <v>939</v>
      </c>
      <c r="F1919" s="65" t="s">
        <v>2346</v>
      </c>
      <c r="G1919" s="64" t="s">
        <v>328</v>
      </c>
      <c r="H1919" s="64" t="s">
        <v>229</v>
      </c>
      <c r="I1919" s="64" t="s">
        <v>10</v>
      </c>
      <c r="J1919" s="64" t="s">
        <v>201</v>
      </c>
      <c r="K1919" s="66">
        <v>51.25</v>
      </c>
      <c r="L1919" s="66">
        <f>K1919*VLOOKUP(I1919,dagsoorttabel1,2,FALSE)</f>
        <v>51.25</v>
      </c>
      <c r="M1919" s="67">
        <f>prodnorm43</f>
        <v>0</v>
      </c>
      <c r="N1919" s="68">
        <f>dagwerk43</f>
        <v>0</v>
      </c>
      <c r="O1919" s="64" t="s">
        <v>38</v>
      </c>
      <c r="P1919" s="69">
        <f>uurtarief43</f>
        <v>0</v>
      </c>
      <c r="Q1919" s="66" t="e">
        <f>IF(ISBLANK(M1919),0,L1919/ROUND(M1919,4))</f>
        <v>#DIV/0!</v>
      </c>
      <c r="R1919" s="66" t="e">
        <f>IF(ISBLANK(M1919),0,Q1919*ROUND(N1919,2))</f>
        <v>#DIV/0!</v>
      </c>
      <c r="S1919" s="69" t="e">
        <f>ROUND(P1919,2)*Q1919</f>
        <v>#DIV/0!</v>
      </c>
      <c r="T1919" s="66" t="e">
        <f>Q1919*dagenperjaar1</f>
        <v>#DIV/0!</v>
      </c>
      <c r="U1919" s="70" t="e">
        <f>T1919*ROUND(P1919,2)</f>
        <v>#DIV/0!</v>
      </c>
    </row>
    <row r="1920" spans="1:21" x14ac:dyDescent="0.2">
      <c r="A1920" s="63" t="s">
        <v>2099</v>
      </c>
      <c r="B1920" s="64" t="s">
        <v>324</v>
      </c>
      <c r="C1920" s="64" t="s">
        <v>323</v>
      </c>
      <c r="D1920" s="64" t="s">
        <v>2347</v>
      </c>
      <c r="E1920" s="64" t="s">
        <v>940</v>
      </c>
      <c r="F1920" s="65" t="s">
        <v>2348</v>
      </c>
      <c r="G1920" s="64" t="s">
        <v>328</v>
      </c>
      <c r="H1920" s="64" t="s">
        <v>273</v>
      </c>
      <c r="I1920" s="64" t="s">
        <v>16</v>
      </c>
      <c r="J1920" s="64" t="s">
        <v>274</v>
      </c>
      <c r="K1920" s="66">
        <v>51.48</v>
      </c>
      <c r="L1920" s="66">
        <f>K1920*VLOOKUP(I1920,dagsoorttabel1,2,FALSE)</f>
        <v>10.295999999999999</v>
      </c>
      <c r="M1920" s="67">
        <f>prodnorm12</f>
        <v>0</v>
      </c>
      <c r="N1920" s="68">
        <f>dagwerk12</f>
        <v>0</v>
      </c>
      <c r="O1920" s="64" t="s">
        <v>38</v>
      </c>
      <c r="P1920" s="69">
        <f>uurtarief12</f>
        <v>0</v>
      </c>
      <c r="Q1920" s="66" t="e">
        <f>IF(ISBLANK(M1920),0,L1920/ROUND(M1920,4))</f>
        <v>#DIV/0!</v>
      </c>
      <c r="R1920" s="66" t="e">
        <f>IF(ISBLANK(M1920),0,Q1920*ROUND(N1920,2))</f>
        <v>#DIV/0!</v>
      </c>
      <c r="S1920" s="69" t="e">
        <f>ROUND(P1920,2)*Q1920</f>
        <v>#DIV/0!</v>
      </c>
      <c r="T1920" s="66" t="e">
        <f>Q1920*dagenperjaar1</f>
        <v>#DIV/0!</v>
      </c>
      <c r="U1920" s="70" t="e">
        <f>T1920*ROUND(P1920,2)</f>
        <v>#DIV/0!</v>
      </c>
    </row>
    <row r="1921" spans="1:21" x14ac:dyDescent="0.2">
      <c r="A1921" s="63" t="s">
        <v>2099</v>
      </c>
      <c r="B1921" s="64" t="s">
        <v>324</v>
      </c>
      <c r="C1921" s="64" t="s">
        <v>323</v>
      </c>
      <c r="D1921" s="64" t="s">
        <v>2347</v>
      </c>
      <c r="E1921" s="64" t="s">
        <v>940</v>
      </c>
      <c r="F1921" s="65" t="s">
        <v>2348</v>
      </c>
      <c r="G1921" s="64" t="s">
        <v>328</v>
      </c>
      <c r="H1921" s="64" t="s">
        <v>229</v>
      </c>
      <c r="I1921" s="64" t="s">
        <v>10</v>
      </c>
      <c r="J1921" s="64" t="s">
        <v>201</v>
      </c>
      <c r="K1921" s="66">
        <v>51.48</v>
      </c>
      <c r="L1921" s="66">
        <f>K1921*VLOOKUP(I1921,dagsoorttabel1,2,FALSE)</f>
        <v>51.48</v>
      </c>
      <c r="M1921" s="67">
        <f>prodnorm43</f>
        <v>0</v>
      </c>
      <c r="N1921" s="68">
        <f>dagwerk43</f>
        <v>0</v>
      </c>
      <c r="O1921" s="64" t="s">
        <v>38</v>
      </c>
      <c r="P1921" s="69">
        <f>uurtarief43</f>
        <v>0</v>
      </c>
      <c r="Q1921" s="66" t="e">
        <f>IF(ISBLANK(M1921),0,L1921/ROUND(M1921,4))</f>
        <v>#DIV/0!</v>
      </c>
      <c r="R1921" s="66" t="e">
        <f>IF(ISBLANK(M1921),0,Q1921*ROUND(N1921,2))</f>
        <v>#DIV/0!</v>
      </c>
      <c r="S1921" s="69" t="e">
        <f>ROUND(P1921,2)*Q1921</f>
        <v>#DIV/0!</v>
      </c>
      <c r="T1921" s="66" t="e">
        <f>Q1921*dagenperjaar1</f>
        <v>#DIV/0!</v>
      </c>
      <c r="U1921" s="70" t="e">
        <f>T1921*ROUND(P1921,2)</f>
        <v>#DIV/0!</v>
      </c>
    </row>
    <row r="1922" spans="1:21" x14ac:dyDescent="0.2">
      <c r="A1922" s="63" t="s">
        <v>2099</v>
      </c>
      <c r="B1922" s="64" t="s">
        <v>324</v>
      </c>
      <c r="C1922" s="64" t="s">
        <v>323</v>
      </c>
      <c r="D1922" s="64" t="s">
        <v>2349</v>
      </c>
      <c r="E1922" s="64" t="s">
        <v>942</v>
      </c>
      <c r="F1922" s="65" t="s">
        <v>2350</v>
      </c>
      <c r="G1922" s="64" t="s">
        <v>328</v>
      </c>
      <c r="H1922" s="64" t="s">
        <v>273</v>
      </c>
      <c r="I1922" s="64" t="s">
        <v>16</v>
      </c>
      <c r="J1922" s="64" t="s">
        <v>274</v>
      </c>
      <c r="K1922" s="66">
        <v>51.28</v>
      </c>
      <c r="L1922" s="66">
        <f>K1922*VLOOKUP(I1922,dagsoorttabel1,2,FALSE)</f>
        <v>10.256</v>
      </c>
      <c r="M1922" s="67">
        <f>prodnorm12</f>
        <v>0</v>
      </c>
      <c r="N1922" s="68">
        <f>dagwerk12</f>
        <v>0</v>
      </c>
      <c r="O1922" s="64" t="s">
        <v>38</v>
      </c>
      <c r="P1922" s="69">
        <f>uurtarief12</f>
        <v>0</v>
      </c>
      <c r="Q1922" s="66" t="e">
        <f>IF(ISBLANK(M1922),0,L1922/ROUND(M1922,4))</f>
        <v>#DIV/0!</v>
      </c>
      <c r="R1922" s="66" t="e">
        <f>IF(ISBLANK(M1922),0,Q1922*ROUND(N1922,2))</f>
        <v>#DIV/0!</v>
      </c>
      <c r="S1922" s="69" t="e">
        <f>ROUND(P1922,2)*Q1922</f>
        <v>#DIV/0!</v>
      </c>
      <c r="T1922" s="66" t="e">
        <f>Q1922*dagenperjaar1</f>
        <v>#DIV/0!</v>
      </c>
      <c r="U1922" s="70" t="e">
        <f>T1922*ROUND(P1922,2)</f>
        <v>#DIV/0!</v>
      </c>
    </row>
    <row r="1923" spans="1:21" x14ac:dyDescent="0.2">
      <c r="A1923" s="63" t="s">
        <v>2099</v>
      </c>
      <c r="B1923" s="64" t="s">
        <v>324</v>
      </c>
      <c r="C1923" s="64" t="s">
        <v>323</v>
      </c>
      <c r="D1923" s="64" t="s">
        <v>2349</v>
      </c>
      <c r="E1923" s="64" t="s">
        <v>942</v>
      </c>
      <c r="F1923" s="65" t="s">
        <v>2350</v>
      </c>
      <c r="G1923" s="64" t="s">
        <v>328</v>
      </c>
      <c r="H1923" s="64" t="s">
        <v>229</v>
      </c>
      <c r="I1923" s="64" t="s">
        <v>10</v>
      </c>
      <c r="J1923" s="64" t="s">
        <v>201</v>
      </c>
      <c r="K1923" s="66">
        <v>51.28</v>
      </c>
      <c r="L1923" s="66">
        <f>K1923*VLOOKUP(I1923,dagsoorttabel1,2,FALSE)</f>
        <v>51.28</v>
      </c>
      <c r="M1923" s="67">
        <f>prodnorm43</f>
        <v>0</v>
      </c>
      <c r="N1923" s="68">
        <f>dagwerk43</f>
        <v>0</v>
      </c>
      <c r="O1923" s="64" t="s">
        <v>38</v>
      </c>
      <c r="P1923" s="69">
        <f>uurtarief43</f>
        <v>0</v>
      </c>
      <c r="Q1923" s="66" t="e">
        <f>IF(ISBLANK(M1923),0,L1923/ROUND(M1923,4))</f>
        <v>#DIV/0!</v>
      </c>
      <c r="R1923" s="66" t="e">
        <f>IF(ISBLANK(M1923),0,Q1923*ROUND(N1923,2))</f>
        <v>#DIV/0!</v>
      </c>
      <c r="S1923" s="69" t="e">
        <f>ROUND(P1923,2)*Q1923</f>
        <v>#DIV/0!</v>
      </c>
      <c r="T1923" s="66" t="e">
        <f>Q1923*dagenperjaar1</f>
        <v>#DIV/0!</v>
      </c>
      <c r="U1923" s="70" t="e">
        <f>T1923*ROUND(P1923,2)</f>
        <v>#DIV/0!</v>
      </c>
    </row>
    <row r="1924" spans="1:21" x14ac:dyDescent="0.2">
      <c r="A1924" s="63" t="s">
        <v>2099</v>
      </c>
      <c r="B1924" s="64" t="s">
        <v>324</v>
      </c>
      <c r="C1924" s="64" t="s">
        <v>323</v>
      </c>
      <c r="D1924" s="64" t="s">
        <v>2351</v>
      </c>
      <c r="E1924" s="64" t="s">
        <v>944</v>
      </c>
      <c r="F1924" s="65" t="s">
        <v>2352</v>
      </c>
      <c r="G1924" s="64" t="s">
        <v>328</v>
      </c>
      <c r="H1924" s="64" t="s">
        <v>273</v>
      </c>
      <c r="I1924" s="64" t="s">
        <v>16</v>
      </c>
      <c r="J1924" s="64" t="s">
        <v>274</v>
      </c>
      <c r="K1924" s="66">
        <v>52.07</v>
      </c>
      <c r="L1924" s="66">
        <f>K1924*VLOOKUP(I1924,dagsoorttabel1,2,FALSE)</f>
        <v>10.414000000000001</v>
      </c>
      <c r="M1924" s="67">
        <f>prodnorm12</f>
        <v>0</v>
      </c>
      <c r="N1924" s="68">
        <f>dagwerk12</f>
        <v>0</v>
      </c>
      <c r="O1924" s="64" t="s">
        <v>38</v>
      </c>
      <c r="P1924" s="69">
        <f>uurtarief12</f>
        <v>0</v>
      </c>
      <c r="Q1924" s="66" t="e">
        <f>IF(ISBLANK(M1924),0,L1924/ROUND(M1924,4))</f>
        <v>#DIV/0!</v>
      </c>
      <c r="R1924" s="66" t="e">
        <f>IF(ISBLANK(M1924),0,Q1924*ROUND(N1924,2))</f>
        <v>#DIV/0!</v>
      </c>
      <c r="S1924" s="69" t="e">
        <f>ROUND(P1924,2)*Q1924</f>
        <v>#DIV/0!</v>
      </c>
      <c r="T1924" s="66" t="e">
        <f>Q1924*dagenperjaar1</f>
        <v>#DIV/0!</v>
      </c>
      <c r="U1924" s="70" t="e">
        <f>T1924*ROUND(P1924,2)</f>
        <v>#DIV/0!</v>
      </c>
    </row>
    <row r="1925" spans="1:21" x14ac:dyDescent="0.2">
      <c r="A1925" s="63" t="s">
        <v>2099</v>
      </c>
      <c r="B1925" s="64" t="s">
        <v>324</v>
      </c>
      <c r="C1925" s="64" t="s">
        <v>323</v>
      </c>
      <c r="D1925" s="64" t="s">
        <v>2351</v>
      </c>
      <c r="E1925" s="64" t="s">
        <v>944</v>
      </c>
      <c r="F1925" s="65" t="s">
        <v>2352</v>
      </c>
      <c r="G1925" s="64" t="s">
        <v>328</v>
      </c>
      <c r="H1925" s="64" t="s">
        <v>229</v>
      </c>
      <c r="I1925" s="64" t="s">
        <v>10</v>
      </c>
      <c r="J1925" s="64" t="s">
        <v>201</v>
      </c>
      <c r="K1925" s="66">
        <v>52.07</v>
      </c>
      <c r="L1925" s="66">
        <f>K1925*VLOOKUP(I1925,dagsoorttabel1,2,FALSE)</f>
        <v>52.07</v>
      </c>
      <c r="M1925" s="67">
        <f>prodnorm43</f>
        <v>0</v>
      </c>
      <c r="N1925" s="68">
        <f>dagwerk43</f>
        <v>0</v>
      </c>
      <c r="O1925" s="64" t="s">
        <v>38</v>
      </c>
      <c r="P1925" s="69">
        <f>uurtarief43</f>
        <v>0</v>
      </c>
      <c r="Q1925" s="66" t="e">
        <f>IF(ISBLANK(M1925),0,L1925/ROUND(M1925,4))</f>
        <v>#DIV/0!</v>
      </c>
      <c r="R1925" s="66" t="e">
        <f>IF(ISBLANK(M1925),0,Q1925*ROUND(N1925,2))</f>
        <v>#DIV/0!</v>
      </c>
      <c r="S1925" s="69" t="e">
        <f>ROUND(P1925,2)*Q1925</f>
        <v>#DIV/0!</v>
      </c>
      <c r="T1925" s="66" t="e">
        <f>Q1925*dagenperjaar1</f>
        <v>#DIV/0!</v>
      </c>
      <c r="U1925" s="70" t="e">
        <f>T1925*ROUND(P1925,2)</f>
        <v>#DIV/0!</v>
      </c>
    </row>
    <row r="1926" spans="1:21" x14ac:dyDescent="0.2">
      <c r="A1926" s="63" t="s">
        <v>2099</v>
      </c>
      <c r="B1926" s="64" t="s">
        <v>324</v>
      </c>
      <c r="C1926" s="64" t="s">
        <v>323</v>
      </c>
      <c r="D1926" s="64" t="s">
        <v>2353</v>
      </c>
      <c r="E1926" s="64" t="s">
        <v>2354</v>
      </c>
      <c r="F1926" s="65" t="s">
        <v>834</v>
      </c>
      <c r="G1926" s="64" t="s">
        <v>328</v>
      </c>
      <c r="H1926" s="64" t="s">
        <v>267</v>
      </c>
      <c r="I1926" s="64" t="s">
        <v>10</v>
      </c>
      <c r="J1926" s="64" t="s">
        <v>201</v>
      </c>
      <c r="K1926" s="66">
        <v>100.21000000000001</v>
      </c>
      <c r="L1926" s="66">
        <f>K1926*VLOOKUP(I1926,dagsoorttabel1,2,FALSE)</f>
        <v>100.21000000000001</v>
      </c>
      <c r="M1926" s="67">
        <f>prodnorm65</f>
        <v>0</v>
      </c>
      <c r="N1926" s="68">
        <f>dagwerk65</f>
        <v>0</v>
      </c>
      <c r="O1926" s="64" t="s">
        <v>38</v>
      </c>
      <c r="P1926" s="69">
        <f>uurtarief65</f>
        <v>0</v>
      </c>
      <c r="Q1926" s="66" t="e">
        <f>IF(ISBLANK(M1926),0,L1926/ROUND(M1926,4))</f>
        <v>#DIV/0!</v>
      </c>
      <c r="R1926" s="66" t="e">
        <f>IF(ISBLANK(M1926),0,Q1926*ROUND(N1926,2))</f>
        <v>#DIV/0!</v>
      </c>
      <c r="S1926" s="69" t="e">
        <f>ROUND(P1926,2)*Q1926</f>
        <v>#DIV/0!</v>
      </c>
      <c r="T1926" s="66" t="e">
        <f>Q1926*dagenperjaar1</f>
        <v>#DIV/0!</v>
      </c>
      <c r="U1926" s="70" t="e">
        <f>T1926*ROUND(P1926,2)</f>
        <v>#DIV/0!</v>
      </c>
    </row>
    <row r="1927" spans="1:21" x14ac:dyDescent="0.2">
      <c r="A1927" s="63" t="s">
        <v>2099</v>
      </c>
      <c r="B1927" s="64" t="s">
        <v>324</v>
      </c>
      <c r="C1927" s="64" t="s">
        <v>323</v>
      </c>
      <c r="D1927" s="64" t="s">
        <v>2355</v>
      </c>
      <c r="E1927" s="64" t="s">
        <v>2356</v>
      </c>
      <c r="F1927" s="65" t="s">
        <v>641</v>
      </c>
      <c r="G1927" s="64" t="s">
        <v>2128</v>
      </c>
      <c r="H1927" s="64" t="s">
        <v>255</v>
      </c>
      <c r="I1927" s="64" t="s">
        <v>10</v>
      </c>
      <c r="J1927" s="64" t="s">
        <v>201</v>
      </c>
      <c r="K1927" s="66">
        <v>9.92</v>
      </c>
      <c r="L1927" s="66">
        <f>K1927*VLOOKUP(I1927,dagsoorttabel1,2,FALSE)</f>
        <v>9.92</v>
      </c>
      <c r="M1927" s="67">
        <f>prodnorm59</f>
        <v>0</v>
      </c>
      <c r="N1927" s="68">
        <f>dagwerk59</f>
        <v>0</v>
      </c>
      <c r="O1927" s="64" t="s">
        <v>38</v>
      </c>
      <c r="P1927" s="69">
        <f>uurtarief59</f>
        <v>0</v>
      </c>
      <c r="Q1927" s="66" t="e">
        <f>IF(ISBLANK(M1927),0,L1927/ROUND(M1927,4))</f>
        <v>#DIV/0!</v>
      </c>
      <c r="R1927" s="66" t="e">
        <f>IF(ISBLANK(M1927),0,Q1927*ROUND(N1927,2))</f>
        <v>#DIV/0!</v>
      </c>
      <c r="S1927" s="69" t="e">
        <f>ROUND(P1927,2)*Q1927</f>
        <v>#DIV/0!</v>
      </c>
      <c r="T1927" s="66" t="e">
        <f>Q1927*dagenperjaar1</f>
        <v>#DIV/0!</v>
      </c>
      <c r="U1927" s="70" t="e">
        <f>T1927*ROUND(P1927,2)</f>
        <v>#DIV/0!</v>
      </c>
    </row>
    <row r="1928" spans="1:21" x14ac:dyDescent="0.2">
      <c r="A1928" s="63" t="s">
        <v>2099</v>
      </c>
      <c r="B1928" s="64" t="s">
        <v>324</v>
      </c>
      <c r="C1928" s="64" t="s">
        <v>323</v>
      </c>
      <c r="D1928" s="64" t="s">
        <v>2355</v>
      </c>
      <c r="E1928" s="64" t="s">
        <v>2356</v>
      </c>
      <c r="F1928" s="65" t="s">
        <v>641</v>
      </c>
      <c r="G1928" s="64" t="s">
        <v>2128</v>
      </c>
      <c r="H1928" s="64" t="s">
        <v>257</v>
      </c>
      <c r="I1928" s="64" t="s">
        <v>10</v>
      </c>
      <c r="J1928" s="64" t="s">
        <v>201</v>
      </c>
      <c r="K1928" s="66">
        <v>9.92</v>
      </c>
      <c r="L1928" s="66">
        <f>K1928*VLOOKUP(I1928,dagsoorttabel1,2,FALSE)</f>
        <v>9.92</v>
      </c>
      <c r="M1928" s="67">
        <f>prodnorm60</f>
        <v>0</v>
      </c>
      <c r="N1928" s="68">
        <f>dagwerk60</f>
        <v>0</v>
      </c>
      <c r="O1928" s="64" t="s">
        <v>38</v>
      </c>
      <c r="P1928" s="69">
        <f>uurtarief60</f>
        <v>0</v>
      </c>
      <c r="Q1928" s="66" t="e">
        <f>IF(ISBLANK(M1928),0,L1928/ROUND(M1928,4))</f>
        <v>#DIV/0!</v>
      </c>
      <c r="R1928" s="66" t="e">
        <f>IF(ISBLANK(M1928),0,Q1928*ROUND(N1928,2))</f>
        <v>#DIV/0!</v>
      </c>
      <c r="S1928" s="69" t="e">
        <f>ROUND(P1928,2)*Q1928</f>
        <v>#DIV/0!</v>
      </c>
      <c r="T1928" s="66" t="e">
        <f>Q1928*dagenperjaar1</f>
        <v>#DIV/0!</v>
      </c>
      <c r="U1928" s="70" t="e">
        <f>T1928*ROUND(P1928,2)</f>
        <v>#DIV/0!</v>
      </c>
    </row>
    <row r="1929" spans="1:21" x14ac:dyDescent="0.2">
      <c r="A1929" s="63" t="s">
        <v>2099</v>
      </c>
      <c r="B1929" s="64" t="s">
        <v>324</v>
      </c>
      <c r="C1929" s="64" t="s">
        <v>323</v>
      </c>
      <c r="D1929" s="64" t="s">
        <v>2357</v>
      </c>
      <c r="E1929" s="64" t="s">
        <v>2356</v>
      </c>
      <c r="F1929" s="65" t="s">
        <v>641</v>
      </c>
      <c r="G1929" s="64" t="s">
        <v>2128</v>
      </c>
      <c r="H1929" s="64" t="s">
        <v>255</v>
      </c>
      <c r="I1929" s="64" t="s">
        <v>10</v>
      </c>
      <c r="J1929" s="64" t="s">
        <v>201</v>
      </c>
      <c r="K1929" s="66">
        <v>9.92</v>
      </c>
      <c r="L1929" s="66">
        <f>K1929*VLOOKUP(I1929,dagsoorttabel1,2,FALSE)</f>
        <v>9.92</v>
      </c>
      <c r="M1929" s="67">
        <f>prodnorm59</f>
        <v>0</v>
      </c>
      <c r="N1929" s="68">
        <f>dagwerk59</f>
        <v>0</v>
      </c>
      <c r="O1929" s="64" t="s">
        <v>38</v>
      </c>
      <c r="P1929" s="69">
        <f>uurtarief59</f>
        <v>0</v>
      </c>
      <c r="Q1929" s="66" t="e">
        <f>IF(ISBLANK(M1929),0,L1929/ROUND(M1929,4))</f>
        <v>#DIV/0!</v>
      </c>
      <c r="R1929" s="66" t="e">
        <f>IF(ISBLANK(M1929),0,Q1929*ROUND(N1929,2))</f>
        <v>#DIV/0!</v>
      </c>
      <c r="S1929" s="69" t="e">
        <f>ROUND(P1929,2)*Q1929</f>
        <v>#DIV/0!</v>
      </c>
      <c r="T1929" s="66" t="e">
        <f>Q1929*dagenperjaar1</f>
        <v>#DIV/0!</v>
      </c>
      <c r="U1929" s="70" t="e">
        <f>T1929*ROUND(P1929,2)</f>
        <v>#DIV/0!</v>
      </c>
    </row>
    <row r="1930" spans="1:21" x14ac:dyDescent="0.2">
      <c r="A1930" s="63" t="s">
        <v>2099</v>
      </c>
      <c r="B1930" s="64" t="s">
        <v>324</v>
      </c>
      <c r="C1930" s="64" t="s">
        <v>323</v>
      </c>
      <c r="D1930" s="64" t="s">
        <v>2357</v>
      </c>
      <c r="E1930" s="64" t="s">
        <v>2356</v>
      </c>
      <c r="F1930" s="65" t="s">
        <v>641</v>
      </c>
      <c r="G1930" s="64" t="s">
        <v>2128</v>
      </c>
      <c r="H1930" s="64" t="s">
        <v>257</v>
      </c>
      <c r="I1930" s="64" t="s">
        <v>10</v>
      </c>
      <c r="J1930" s="64" t="s">
        <v>201</v>
      </c>
      <c r="K1930" s="66">
        <v>9.92</v>
      </c>
      <c r="L1930" s="66">
        <f>K1930*VLOOKUP(I1930,dagsoorttabel1,2,FALSE)</f>
        <v>9.92</v>
      </c>
      <c r="M1930" s="67">
        <f>prodnorm60</f>
        <v>0</v>
      </c>
      <c r="N1930" s="68">
        <f>dagwerk60</f>
        <v>0</v>
      </c>
      <c r="O1930" s="64" t="s">
        <v>38</v>
      </c>
      <c r="P1930" s="69">
        <f>uurtarief60</f>
        <v>0</v>
      </c>
      <c r="Q1930" s="66" t="e">
        <f>IF(ISBLANK(M1930),0,L1930/ROUND(M1930,4))</f>
        <v>#DIV/0!</v>
      </c>
      <c r="R1930" s="66" t="e">
        <f>IF(ISBLANK(M1930),0,Q1930*ROUND(N1930,2))</f>
        <v>#DIV/0!</v>
      </c>
      <c r="S1930" s="69" t="e">
        <f>ROUND(P1930,2)*Q1930</f>
        <v>#DIV/0!</v>
      </c>
      <c r="T1930" s="66" t="e">
        <f>Q1930*dagenperjaar1</f>
        <v>#DIV/0!</v>
      </c>
      <c r="U1930" s="70" t="e">
        <f>T1930*ROUND(P1930,2)</f>
        <v>#DIV/0!</v>
      </c>
    </row>
    <row r="1931" spans="1:21" x14ac:dyDescent="0.2">
      <c r="A1931" s="63" t="s">
        <v>2099</v>
      </c>
      <c r="B1931" s="64" t="s">
        <v>324</v>
      </c>
      <c r="C1931" s="64" t="s">
        <v>323</v>
      </c>
      <c r="D1931" s="64" t="s">
        <v>2358</v>
      </c>
      <c r="E1931" s="64" t="s">
        <v>1781</v>
      </c>
      <c r="F1931" s="65" t="s">
        <v>2359</v>
      </c>
      <c r="G1931" s="64" t="s">
        <v>328</v>
      </c>
      <c r="H1931" s="64" t="s">
        <v>273</v>
      </c>
      <c r="I1931" s="64" t="s">
        <v>16</v>
      </c>
      <c r="J1931" s="64" t="s">
        <v>274</v>
      </c>
      <c r="K1931" s="66">
        <v>52.220000000000006</v>
      </c>
      <c r="L1931" s="66">
        <f>K1931*VLOOKUP(I1931,dagsoorttabel1,2,FALSE)</f>
        <v>10.444000000000003</v>
      </c>
      <c r="M1931" s="67">
        <f>prodnorm12</f>
        <v>0</v>
      </c>
      <c r="N1931" s="68">
        <f>dagwerk12</f>
        <v>0</v>
      </c>
      <c r="O1931" s="64" t="s">
        <v>38</v>
      </c>
      <c r="P1931" s="69">
        <f>uurtarief12</f>
        <v>0</v>
      </c>
      <c r="Q1931" s="66" t="e">
        <f>IF(ISBLANK(M1931),0,L1931/ROUND(M1931,4))</f>
        <v>#DIV/0!</v>
      </c>
      <c r="R1931" s="66" t="e">
        <f>IF(ISBLANK(M1931),0,Q1931*ROUND(N1931,2))</f>
        <v>#DIV/0!</v>
      </c>
      <c r="S1931" s="69" t="e">
        <f>ROUND(P1931,2)*Q1931</f>
        <v>#DIV/0!</v>
      </c>
      <c r="T1931" s="66" t="e">
        <f>Q1931*dagenperjaar1</f>
        <v>#DIV/0!</v>
      </c>
      <c r="U1931" s="70" t="e">
        <f>T1931*ROUND(P1931,2)</f>
        <v>#DIV/0!</v>
      </c>
    </row>
    <row r="1932" spans="1:21" x14ac:dyDescent="0.2">
      <c r="A1932" s="63" t="s">
        <v>2099</v>
      </c>
      <c r="B1932" s="64" t="s">
        <v>324</v>
      </c>
      <c r="C1932" s="64" t="s">
        <v>323</v>
      </c>
      <c r="D1932" s="64" t="s">
        <v>2358</v>
      </c>
      <c r="E1932" s="64" t="s">
        <v>1781</v>
      </c>
      <c r="F1932" s="65" t="s">
        <v>2359</v>
      </c>
      <c r="G1932" s="64" t="s">
        <v>328</v>
      </c>
      <c r="H1932" s="64" t="s">
        <v>229</v>
      </c>
      <c r="I1932" s="64" t="s">
        <v>10</v>
      </c>
      <c r="J1932" s="64" t="s">
        <v>201</v>
      </c>
      <c r="K1932" s="66">
        <v>52.220000000000006</v>
      </c>
      <c r="L1932" s="66">
        <f>K1932*VLOOKUP(I1932,dagsoorttabel1,2,FALSE)</f>
        <v>52.220000000000006</v>
      </c>
      <c r="M1932" s="67">
        <f>prodnorm43</f>
        <v>0</v>
      </c>
      <c r="N1932" s="68">
        <f>dagwerk43</f>
        <v>0</v>
      </c>
      <c r="O1932" s="64" t="s">
        <v>38</v>
      </c>
      <c r="P1932" s="69">
        <f>uurtarief43</f>
        <v>0</v>
      </c>
      <c r="Q1932" s="66" t="e">
        <f>IF(ISBLANK(M1932),0,L1932/ROUND(M1932,4))</f>
        <v>#DIV/0!</v>
      </c>
      <c r="R1932" s="66" t="e">
        <f>IF(ISBLANK(M1932),0,Q1932*ROUND(N1932,2))</f>
        <v>#DIV/0!</v>
      </c>
      <c r="S1932" s="69" t="e">
        <f>ROUND(P1932,2)*Q1932</f>
        <v>#DIV/0!</v>
      </c>
      <c r="T1932" s="66" t="e">
        <f>Q1932*dagenperjaar1</f>
        <v>#DIV/0!</v>
      </c>
      <c r="U1932" s="70" t="e">
        <f>T1932*ROUND(P1932,2)</f>
        <v>#DIV/0!</v>
      </c>
    </row>
    <row r="1933" spans="1:21" x14ac:dyDescent="0.2">
      <c r="A1933" s="63" t="s">
        <v>2099</v>
      </c>
      <c r="B1933" s="64" t="s">
        <v>324</v>
      </c>
      <c r="C1933" s="64" t="s">
        <v>323</v>
      </c>
      <c r="D1933" s="64" t="s">
        <v>2360</v>
      </c>
      <c r="E1933" s="64" t="s">
        <v>1369</v>
      </c>
      <c r="F1933" s="65" t="s">
        <v>2361</v>
      </c>
      <c r="G1933" s="64" t="s">
        <v>328</v>
      </c>
      <c r="H1933" s="64" t="s">
        <v>273</v>
      </c>
      <c r="I1933" s="64" t="s">
        <v>16</v>
      </c>
      <c r="J1933" s="64" t="s">
        <v>274</v>
      </c>
      <c r="K1933" s="66">
        <v>51.42</v>
      </c>
      <c r="L1933" s="66">
        <f>K1933*VLOOKUP(I1933,dagsoorttabel1,2,FALSE)</f>
        <v>10.284000000000001</v>
      </c>
      <c r="M1933" s="67">
        <f>prodnorm12</f>
        <v>0</v>
      </c>
      <c r="N1933" s="68">
        <f>dagwerk12</f>
        <v>0</v>
      </c>
      <c r="O1933" s="64" t="s">
        <v>38</v>
      </c>
      <c r="P1933" s="69">
        <f>uurtarief12</f>
        <v>0</v>
      </c>
      <c r="Q1933" s="66" t="e">
        <f>IF(ISBLANK(M1933),0,L1933/ROUND(M1933,4))</f>
        <v>#DIV/0!</v>
      </c>
      <c r="R1933" s="66" t="e">
        <f>IF(ISBLANK(M1933),0,Q1933*ROUND(N1933,2))</f>
        <v>#DIV/0!</v>
      </c>
      <c r="S1933" s="69" t="e">
        <f>ROUND(P1933,2)*Q1933</f>
        <v>#DIV/0!</v>
      </c>
      <c r="T1933" s="66" t="e">
        <f>Q1933*dagenperjaar1</f>
        <v>#DIV/0!</v>
      </c>
      <c r="U1933" s="70" t="e">
        <f>T1933*ROUND(P1933,2)</f>
        <v>#DIV/0!</v>
      </c>
    </row>
    <row r="1934" spans="1:21" x14ac:dyDescent="0.2">
      <c r="A1934" s="63" t="s">
        <v>2099</v>
      </c>
      <c r="B1934" s="64" t="s">
        <v>324</v>
      </c>
      <c r="C1934" s="64" t="s">
        <v>323</v>
      </c>
      <c r="D1934" s="64" t="s">
        <v>2360</v>
      </c>
      <c r="E1934" s="64" t="s">
        <v>1369</v>
      </c>
      <c r="F1934" s="65" t="s">
        <v>2361</v>
      </c>
      <c r="G1934" s="64" t="s">
        <v>328</v>
      </c>
      <c r="H1934" s="64" t="s">
        <v>229</v>
      </c>
      <c r="I1934" s="64" t="s">
        <v>10</v>
      </c>
      <c r="J1934" s="64" t="s">
        <v>201</v>
      </c>
      <c r="K1934" s="66">
        <v>51.42</v>
      </c>
      <c r="L1934" s="66">
        <f>K1934*VLOOKUP(I1934,dagsoorttabel1,2,FALSE)</f>
        <v>51.42</v>
      </c>
      <c r="M1934" s="67">
        <f>prodnorm43</f>
        <v>0</v>
      </c>
      <c r="N1934" s="68">
        <f>dagwerk43</f>
        <v>0</v>
      </c>
      <c r="O1934" s="64" t="s">
        <v>38</v>
      </c>
      <c r="P1934" s="69">
        <f>uurtarief43</f>
        <v>0</v>
      </c>
      <c r="Q1934" s="66" t="e">
        <f>IF(ISBLANK(M1934),0,L1934/ROUND(M1934,4))</f>
        <v>#DIV/0!</v>
      </c>
      <c r="R1934" s="66" t="e">
        <f>IF(ISBLANK(M1934),0,Q1934*ROUND(N1934,2))</f>
        <v>#DIV/0!</v>
      </c>
      <c r="S1934" s="69" t="e">
        <f>ROUND(P1934,2)*Q1934</f>
        <v>#DIV/0!</v>
      </c>
      <c r="T1934" s="66" t="e">
        <f>Q1934*dagenperjaar1</f>
        <v>#DIV/0!</v>
      </c>
      <c r="U1934" s="70" t="e">
        <f>T1934*ROUND(P1934,2)</f>
        <v>#DIV/0!</v>
      </c>
    </row>
    <row r="1935" spans="1:21" x14ac:dyDescent="0.2">
      <c r="A1935" s="63" t="s">
        <v>2099</v>
      </c>
      <c r="B1935" s="64" t="s">
        <v>324</v>
      </c>
      <c r="C1935" s="64" t="s">
        <v>323</v>
      </c>
      <c r="D1935" s="64" t="s">
        <v>2362</v>
      </c>
      <c r="E1935" s="64" t="s">
        <v>946</v>
      </c>
      <c r="F1935" s="65" t="s">
        <v>2363</v>
      </c>
      <c r="G1935" s="64" t="s">
        <v>328</v>
      </c>
      <c r="H1935" s="64" t="s">
        <v>243</v>
      </c>
      <c r="I1935" s="64" t="s">
        <v>10</v>
      </c>
      <c r="J1935" s="64" t="s">
        <v>201</v>
      </c>
      <c r="K1935" s="66">
        <v>59.21</v>
      </c>
      <c r="L1935" s="66">
        <f>K1935*VLOOKUP(I1935,dagsoorttabel1,2,FALSE)</f>
        <v>59.21</v>
      </c>
      <c r="M1935" s="67">
        <f>prodnorm52</f>
        <v>0</v>
      </c>
      <c r="N1935" s="68">
        <f>dagwerk52</f>
        <v>0</v>
      </c>
      <c r="O1935" s="64" t="s">
        <v>38</v>
      </c>
      <c r="P1935" s="69">
        <f>uurtarief52</f>
        <v>0</v>
      </c>
      <c r="Q1935" s="66" t="e">
        <f>IF(ISBLANK(M1935),0,L1935/ROUND(M1935,4))</f>
        <v>#DIV/0!</v>
      </c>
      <c r="R1935" s="66" t="e">
        <f>IF(ISBLANK(M1935),0,Q1935*ROUND(N1935,2))</f>
        <v>#DIV/0!</v>
      </c>
      <c r="S1935" s="69" t="e">
        <f>ROUND(P1935,2)*Q1935</f>
        <v>#DIV/0!</v>
      </c>
      <c r="T1935" s="66" t="e">
        <f>Q1935*dagenperjaar1</f>
        <v>#DIV/0!</v>
      </c>
      <c r="U1935" s="70" t="e">
        <f>T1935*ROUND(P1935,2)</f>
        <v>#DIV/0!</v>
      </c>
    </row>
    <row r="1936" spans="1:21" x14ac:dyDescent="0.2">
      <c r="A1936" s="63" t="s">
        <v>2099</v>
      </c>
      <c r="B1936" s="64" t="s">
        <v>324</v>
      </c>
      <c r="C1936" s="64" t="s">
        <v>323</v>
      </c>
      <c r="D1936" s="64" t="s">
        <v>2364</v>
      </c>
      <c r="E1936" s="64" t="s">
        <v>1371</v>
      </c>
      <c r="F1936" s="65" t="s">
        <v>2365</v>
      </c>
      <c r="G1936" s="64" t="s">
        <v>328</v>
      </c>
      <c r="H1936" s="64" t="s">
        <v>237</v>
      </c>
      <c r="I1936" s="64" t="s">
        <v>19</v>
      </c>
      <c r="J1936" s="64" t="s">
        <v>201</v>
      </c>
      <c r="K1936" s="66">
        <v>10.709999999999999</v>
      </c>
      <c r="L1936" s="66">
        <f>K1936*VLOOKUP(I1936,dagsoorttabel1,2,FALSE)</f>
        <v>0.53549999999999998</v>
      </c>
      <c r="M1936" s="67">
        <f>prodnorm47</f>
        <v>0</v>
      </c>
      <c r="N1936" s="68">
        <f>dagwerk47</f>
        <v>0</v>
      </c>
      <c r="O1936" s="64" t="s">
        <v>38</v>
      </c>
      <c r="P1936" s="69">
        <f>uurtarief47</f>
        <v>0</v>
      </c>
      <c r="Q1936" s="66" t="e">
        <f>IF(ISBLANK(M1936),0,L1936/ROUND(M1936,4))</f>
        <v>#DIV/0!</v>
      </c>
      <c r="R1936" s="66" t="e">
        <f>IF(ISBLANK(M1936),0,Q1936*ROUND(N1936,2))</f>
        <v>#DIV/0!</v>
      </c>
      <c r="S1936" s="69" t="e">
        <f>ROUND(P1936,2)*Q1936</f>
        <v>#DIV/0!</v>
      </c>
      <c r="T1936" s="66" t="e">
        <f>Q1936*dagenperjaar1</f>
        <v>#DIV/0!</v>
      </c>
      <c r="U1936" s="70" t="e">
        <f>T1936*ROUND(P1936,2)</f>
        <v>#DIV/0!</v>
      </c>
    </row>
    <row r="1937" spans="1:21" x14ac:dyDescent="0.2">
      <c r="A1937" s="63" t="s">
        <v>2099</v>
      </c>
      <c r="B1937" s="64" t="s">
        <v>324</v>
      </c>
      <c r="C1937" s="64" t="s">
        <v>323</v>
      </c>
      <c r="D1937" s="64" t="s">
        <v>2366</v>
      </c>
      <c r="E1937" s="64" t="s">
        <v>1372</v>
      </c>
      <c r="F1937" s="65" t="s">
        <v>2142</v>
      </c>
      <c r="G1937" s="64" t="s">
        <v>328</v>
      </c>
      <c r="H1937" s="64" t="s">
        <v>205</v>
      </c>
      <c r="I1937" s="64" t="s">
        <v>10</v>
      </c>
      <c r="J1937" s="64" t="s">
        <v>201</v>
      </c>
      <c r="K1937" s="66">
        <v>17.510000000000002</v>
      </c>
      <c r="L1937" s="66">
        <f>K1937*VLOOKUP(I1937,dagsoorttabel1,2,FALSE)</f>
        <v>17.510000000000002</v>
      </c>
      <c r="M1937" s="67">
        <f>prodnorm26</f>
        <v>0</v>
      </c>
      <c r="N1937" s="68">
        <f>dagwerk26</f>
        <v>0</v>
      </c>
      <c r="O1937" s="64" t="s">
        <v>38</v>
      </c>
      <c r="P1937" s="69">
        <f>uurtarief26</f>
        <v>0</v>
      </c>
      <c r="Q1937" s="66" t="e">
        <f>IF(ISBLANK(M1937),0,L1937/ROUND(M1937,4))</f>
        <v>#DIV/0!</v>
      </c>
      <c r="R1937" s="66" t="e">
        <f>IF(ISBLANK(M1937),0,Q1937*ROUND(N1937,2))</f>
        <v>#DIV/0!</v>
      </c>
      <c r="S1937" s="69" t="e">
        <f>ROUND(P1937,2)*Q1937</f>
        <v>#DIV/0!</v>
      </c>
      <c r="T1937" s="66" t="e">
        <f>Q1937*dagenperjaar1</f>
        <v>#DIV/0!</v>
      </c>
      <c r="U1937" s="70" t="e">
        <f>T1937*ROUND(P1937,2)</f>
        <v>#DIV/0!</v>
      </c>
    </row>
    <row r="1938" spans="1:21" x14ac:dyDescent="0.2">
      <c r="A1938" s="63" t="s">
        <v>2099</v>
      </c>
      <c r="B1938" s="64" t="s">
        <v>324</v>
      </c>
      <c r="C1938" s="64" t="s">
        <v>323</v>
      </c>
      <c r="D1938" s="64" t="s">
        <v>2367</v>
      </c>
      <c r="E1938" s="64" t="s">
        <v>947</v>
      </c>
      <c r="F1938" s="65" t="s">
        <v>2142</v>
      </c>
      <c r="G1938" s="64" t="s">
        <v>328</v>
      </c>
      <c r="H1938" s="64" t="s">
        <v>205</v>
      </c>
      <c r="I1938" s="64" t="s">
        <v>10</v>
      </c>
      <c r="J1938" s="64" t="s">
        <v>201</v>
      </c>
      <c r="K1938" s="66">
        <v>51.28</v>
      </c>
      <c r="L1938" s="66">
        <f>K1938*VLOOKUP(I1938,dagsoorttabel1,2,FALSE)</f>
        <v>51.28</v>
      </c>
      <c r="M1938" s="67">
        <f>prodnorm26</f>
        <v>0</v>
      </c>
      <c r="N1938" s="68">
        <f>dagwerk26</f>
        <v>0</v>
      </c>
      <c r="O1938" s="64" t="s">
        <v>38</v>
      </c>
      <c r="P1938" s="69">
        <f>uurtarief26</f>
        <v>0</v>
      </c>
      <c r="Q1938" s="66" t="e">
        <f>IF(ISBLANK(M1938),0,L1938/ROUND(M1938,4))</f>
        <v>#DIV/0!</v>
      </c>
      <c r="R1938" s="66" t="e">
        <f>IF(ISBLANK(M1938),0,Q1938*ROUND(N1938,2))</f>
        <v>#DIV/0!</v>
      </c>
      <c r="S1938" s="69" t="e">
        <f>ROUND(P1938,2)*Q1938</f>
        <v>#DIV/0!</v>
      </c>
      <c r="T1938" s="66" t="e">
        <f>Q1938*dagenperjaar1</f>
        <v>#DIV/0!</v>
      </c>
      <c r="U1938" s="70" t="e">
        <f>T1938*ROUND(P1938,2)</f>
        <v>#DIV/0!</v>
      </c>
    </row>
    <row r="1939" spans="1:21" x14ac:dyDescent="0.2">
      <c r="A1939" s="63" t="s">
        <v>2099</v>
      </c>
      <c r="B1939" s="64" t="s">
        <v>324</v>
      </c>
      <c r="C1939" s="64" t="s">
        <v>323</v>
      </c>
      <c r="D1939" s="64" t="s">
        <v>2368</v>
      </c>
      <c r="E1939" s="64" t="s">
        <v>950</v>
      </c>
      <c r="F1939" s="65" t="s">
        <v>2369</v>
      </c>
      <c r="G1939" s="64" t="s">
        <v>328</v>
      </c>
      <c r="H1939" s="64" t="s">
        <v>273</v>
      </c>
      <c r="I1939" s="64" t="s">
        <v>16</v>
      </c>
      <c r="J1939" s="64" t="s">
        <v>274</v>
      </c>
      <c r="K1939" s="66">
        <v>51.46</v>
      </c>
      <c r="L1939" s="66">
        <f>K1939*VLOOKUP(I1939,dagsoorttabel1,2,FALSE)</f>
        <v>10.292000000000002</v>
      </c>
      <c r="M1939" s="67">
        <f>prodnorm12</f>
        <v>0</v>
      </c>
      <c r="N1939" s="68">
        <f>dagwerk12</f>
        <v>0</v>
      </c>
      <c r="O1939" s="64" t="s">
        <v>38</v>
      </c>
      <c r="P1939" s="69">
        <f>uurtarief12</f>
        <v>0</v>
      </c>
      <c r="Q1939" s="66" t="e">
        <f>IF(ISBLANK(M1939),0,L1939/ROUND(M1939,4))</f>
        <v>#DIV/0!</v>
      </c>
      <c r="R1939" s="66" t="e">
        <f>IF(ISBLANK(M1939),0,Q1939*ROUND(N1939,2))</f>
        <v>#DIV/0!</v>
      </c>
      <c r="S1939" s="69" t="e">
        <f>ROUND(P1939,2)*Q1939</f>
        <v>#DIV/0!</v>
      </c>
      <c r="T1939" s="66" t="e">
        <f>Q1939*dagenperjaar1</f>
        <v>#DIV/0!</v>
      </c>
      <c r="U1939" s="70" t="e">
        <f>T1939*ROUND(P1939,2)</f>
        <v>#DIV/0!</v>
      </c>
    </row>
    <row r="1940" spans="1:21" x14ac:dyDescent="0.2">
      <c r="A1940" s="63" t="s">
        <v>2099</v>
      </c>
      <c r="B1940" s="64" t="s">
        <v>324</v>
      </c>
      <c r="C1940" s="64" t="s">
        <v>323</v>
      </c>
      <c r="D1940" s="64" t="s">
        <v>2368</v>
      </c>
      <c r="E1940" s="64" t="s">
        <v>950</v>
      </c>
      <c r="F1940" s="65" t="s">
        <v>2369</v>
      </c>
      <c r="G1940" s="64" t="s">
        <v>328</v>
      </c>
      <c r="H1940" s="64" t="s">
        <v>229</v>
      </c>
      <c r="I1940" s="64" t="s">
        <v>10</v>
      </c>
      <c r="J1940" s="64" t="s">
        <v>201</v>
      </c>
      <c r="K1940" s="66">
        <v>51.46</v>
      </c>
      <c r="L1940" s="66">
        <f>K1940*VLOOKUP(I1940,dagsoorttabel1,2,FALSE)</f>
        <v>51.46</v>
      </c>
      <c r="M1940" s="67">
        <f>prodnorm43</f>
        <v>0</v>
      </c>
      <c r="N1940" s="68">
        <f>dagwerk43</f>
        <v>0</v>
      </c>
      <c r="O1940" s="64" t="s">
        <v>38</v>
      </c>
      <c r="P1940" s="69">
        <f>uurtarief43</f>
        <v>0</v>
      </c>
      <c r="Q1940" s="66" t="e">
        <f>IF(ISBLANK(M1940),0,L1940/ROUND(M1940,4))</f>
        <v>#DIV/0!</v>
      </c>
      <c r="R1940" s="66" t="e">
        <f>IF(ISBLANK(M1940),0,Q1940*ROUND(N1940,2))</f>
        <v>#DIV/0!</v>
      </c>
      <c r="S1940" s="69" t="e">
        <f>ROUND(P1940,2)*Q1940</f>
        <v>#DIV/0!</v>
      </c>
      <c r="T1940" s="66" t="e">
        <f>Q1940*dagenperjaar1</f>
        <v>#DIV/0!</v>
      </c>
      <c r="U1940" s="70" t="e">
        <f>T1940*ROUND(P1940,2)</f>
        <v>#DIV/0!</v>
      </c>
    </row>
    <row r="1941" spans="1:21" x14ac:dyDescent="0.2">
      <c r="A1941" s="63" t="s">
        <v>2099</v>
      </c>
      <c r="B1941" s="64" t="s">
        <v>324</v>
      </c>
      <c r="C1941" s="64" t="s">
        <v>323</v>
      </c>
      <c r="D1941" s="64" t="s">
        <v>2370</v>
      </c>
      <c r="E1941" s="64" t="s">
        <v>2371</v>
      </c>
      <c r="F1941" s="65" t="s">
        <v>834</v>
      </c>
      <c r="G1941" s="64" t="s">
        <v>328</v>
      </c>
      <c r="H1941" s="64" t="s">
        <v>267</v>
      </c>
      <c r="I1941" s="64" t="s">
        <v>10</v>
      </c>
      <c r="J1941" s="64" t="s">
        <v>201</v>
      </c>
      <c r="K1941" s="66">
        <v>99.240000000000009</v>
      </c>
      <c r="L1941" s="66">
        <f>K1941*VLOOKUP(I1941,dagsoorttabel1,2,FALSE)</f>
        <v>99.240000000000009</v>
      </c>
      <c r="M1941" s="67">
        <f>prodnorm65</f>
        <v>0</v>
      </c>
      <c r="N1941" s="68">
        <f>dagwerk65</f>
        <v>0</v>
      </c>
      <c r="O1941" s="64" t="s">
        <v>38</v>
      </c>
      <c r="P1941" s="69">
        <f>uurtarief65</f>
        <v>0</v>
      </c>
      <c r="Q1941" s="66" t="e">
        <f>IF(ISBLANK(M1941),0,L1941/ROUND(M1941,4))</f>
        <v>#DIV/0!</v>
      </c>
      <c r="R1941" s="66" t="e">
        <f>IF(ISBLANK(M1941),0,Q1941*ROUND(N1941,2))</f>
        <v>#DIV/0!</v>
      </c>
      <c r="S1941" s="69" t="e">
        <f>ROUND(P1941,2)*Q1941</f>
        <v>#DIV/0!</v>
      </c>
      <c r="T1941" s="66" t="e">
        <f>Q1941*dagenperjaar1</f>
        <v>#DIV/0!</v>
      </c>
      <c r="U1941" s="70" t="e">
        <f>T1941*ROUND(P1941,2)</f>
        <v>#DIV/0!</v>
      </c>
    </row>
    <row r="1942" spans="1:21" x14ac:dyDescent="0.2">
      <c r="A1942" s="63" t="s">
        <v>2099</v>
      </c>
      <c r="B1942" s="64" t="s">
        <v>324</v>
      </c>
      <c r="C1942" s="64" t="s">
        <v>323</v>
      </c>
      <c r="D1942" s="64" t="s">
        <v>2372</v>
      </c>
      <c r="E1942" s="64" t="s">
        <v>952</v>
      </c>
      <c r="F1942" s="65" t="s">
        <v>2373</v>
      </c>
      <c r="G1942" s="64" t="s">
        <v>328</v>
      </c>
      <c r="H1942" s="64" t="s">
        <v>205</v>
      </c>
      <c r="I1942" s="64" t="s">
        <v>10</v>
      </c>
      <c r="J1942" s="64" t="s">
        <v>201</v>
      </c>
      <c r="K1942" s="66">
        <v>16</v>
      </c>
      <c r="L1942" s="66">
        <f>K1942*VLOOKUP(I1942,dagsoorttabel1,2,FALSE)</f>
        <v>16</v>
      </c>
      <c r="M1942" s="67">
        <f>prodnorm26</f>
        <v>0</v>
      </c>
      <c r="N1942" s="68">
        <f>dagwerk26</f>
        <v>0</v>
      </c>
      <c r="O1942" s="64" t="s">
        <v>38</v>
      </c>
      <c r="P1942" s="69">
        <f>uurtarief26</f>
        <v>0</v>
      </c>
      <c r="Q1942" s="66" t="e">
        <f>IF(ISBLANK(M1942),0,L1942/ROUND(M1942,4))</f>
        <v>#DIV/0!</v>
      </c>
      <c r="R1942" s="66" t="e">
        <f>IF(ISBLANK(M1942),0,Q1942*ROUND(N1942,2))</f>
        <v>#DIV/0!</v>
      </c>
      <c r="S1942" s="69" t="e">
        <f>ROUND(P1942,2)*Q1942</f>
        <v>#DIV/0!</v>
      </c>
      <c r="T1942" s="66" t="e">
        <f>Q1942*dagenperjaar1</f>
        <v>#DIV/0!</v>
      </c>
      <c r="U1942" s="70" t="e">
        <f>T1942*ROUND(P1942,2)</f>
        <v>#DIV/0!</v>
      </c>
    </row>
    <row r="1943" spans="1:21" x14ac:dyDescent="0.2">
      <c r="A1943" s="63" t="s">
        <v>2099</v>
      </c>
      <c r="B1943" s="64" t="s">
        <v>324</v>
      </c>
      <c r="C1943" s="64" t="s">
        <v>323</v>
      </c>
      <c r="D1943" s="64" t="s">
        <v>2374</v>
      </c>
      <c r="E1943" s="64" t="s">
        <v>1810</v>
      </c>
      <c r="F1943" s="65" t="s">
        <v>2142</v>
      </c>
      <c r="G1943" s="64" t="s">
        <v>328</v>
      </c>
      <c r="H1943" s="64" t="s">
        <v>205</v>
      </c>
      <c r="I1943" s="64" t="s">
        <v>10</v>
      </c>
      <c r="J1943" s="64" t="s">
        <v>201</v>
      </c>
      <c r="K1943" s="66">
        <v>33.349999999999994</v>
      </c>
      <c r="L1943" s="66">
        <f>K1943*VLOOKUP(I1943,dagsoorttabel1,2,FALSE)</f>
        <v>33.349999999999994</v>
      </c>
      <c r="M1943" s="67">
        <f>prodnorm26</f>
        <v>0</v>
      </c>
      <c r="N1943" s="68">
        <f>dagwerk26</f>
        <v>0</v>
      </c>
      <c r="O1943" s="64" t="s">
        <v>38</v>
      </c>
      <c r="P1943" s="69">
        <f>uurtarief26</f>
        <v>0</v>
      </c>
      <c r="Q1943" s="66" t="e">
        <f>IF(ISBLANK(M1943),0,L1943/ROUND(M1943,4))</f>
        <v>#DIV/0!</v>
      </c>
      <c r="R1943" s="66" t="e">
        <f>IF(ISBLANK(M1943),0,Q1943*ROUND(N1943,2))</f>
        <v>#DIV/0!</v>
      </c>
      <c r="S1943" s="69" t="e">
        <f>ROUND(P1943,2)*Q1943</f>
        <v>#DIV/0!</v>
      </c>
      <c r="T1943" s="66" t="e">
        <f>Q1943*dagenperjaar1</f>
        <v>#DIV/0!</v>
      </c>
      <c r="U1943" s="70" t="e">
        <f>T1943*ROUND(P1943,2)</f>
        <v>#DIV/0!</v>
      </c>
    </row>
    <row r="1944" spans="1:21" x14ac:dyDescent="0.2">
      <c r="A1944" s="63" t="s">
        <v>2099</v>
      </c>
      <c r="B1944" s="64" t="s">
        <v>324</v>
      </c>
      <c r="C1944" s="64" t="s">
        <v>323</v>
      </c>
      <c r="D1944" s="64" t="s">
        <v>2375</v>
      </c>
      <c r="E1944" s="64" t="s">
        <v>1375</v>
      </c>
      <c r="F1944" s="65" t="s">
        <v>2142</v>
      </c>
      <c r="G1944" s="64" t="s">
        <v>328</v>
      </c>
      <c r="H1944" s="64" t="s">
        <v>205</v>
      </c>
      <c r="I1944" s="64" t="s">
        <v>10</v>
      </c>
      <c r="J1944" s="64" t="s">
        <v>201</v>
      </c>
      <c r="K1944" s="66">
        <v>16.670000000000002</v>
      </c>
      <c r="L1944" s="66">
        <f>K1944*VLOOKUP(I1944,dagsoorttabel1,2,FALSE)</f>
        <v>16.670000000000002</v>
      </c>
      <c r="M1944" s="67">
        <f>prodnorm26</f>
        <v>0</v>
      </c>
      <c r="N1944" s="68">
        <f>dagwerk26</f>
        <v>0</v>
      </c>
      <c r="O1944" s="64" t="s">
        <v>38</v>
      </c>
      <c r="P1944" s="69">
        <f>uurtarief26</f>
        <v>0</v>
      </c>
      <c r="Q1944" s="66" t="e">
        <f>IF(ISBLANK(M1944),0,L1944/ROUND(M1944,4))</f>
        <v>#DIV/0!</v>
      </c>
      <c r="R1944" s="66" t="e">
        <f>IF(ISBLANK(M1944),0,Q1944*ROUND(N1944,2))</f>
        <v>#DIV/0!</v>
      </c>
      <c r="S1944" s="69" t="e">
        <f>ROUND(P1944,2)*Q1944</f>
        <v>#DIV/0!</v>
      </c>
      <c r="T1944" s="66" t="e">
        <f>Q1944*dagenperjaar1</f>
        <v>#DIV/0!</v>
      </c>
      <c r="U1944" s="70" t="e">
        <f>T1944*ROUND(P1944,2)</f>
        <v>#DIV/0!</v>
      </c>
    </row>
    <row r="1945" spans="1:21" x14ac:dyDescent="0.2">
      <c r="A1945" s="63" t="s">
        <v>2099</v>
      </c>
      <c r="B1945" s="64" t="s">
        <v>324</v>
      </c>
      <c r="C1945" s="64" t="s">
        <v>323</v>
      </c>
      <c r="D1945" s="64" t="s">
        <v>2376</v>
      </c>
      <c r="E1945" s="64" t="s">
        <v>1967</v>
      </c>
      <c r="F1945" s="65" t="s">
        <v>2377</v>
      </c>
      <c r="G1945" s="64" t="s">
        <v>328</v>
      </c>
      <c r="H1945" s="64" t="s">
        <v>237</v>
      </c>
      <c r="I1945" s="64" t="s">
        <v>19</v>
      </c>
      <c r="J1945" s="64" t="s">
        <v>201</v>
      </c>
      <c r="K1945" s="66">
        <v>14.01</v>
      </c>
      <c r="L1945" s="66">
        <f>K1945*VLOOKUP(I1945,dagsoorttabel1,2,FALSE)</f>
        <v>0.70050000000000001</v>
      </c>
      <c r="M1945" s="67">
        <f>prodnorm47</f>
        <v>0</v>
      </c>
      <c r="N1945" s="68">
        <f>dagwerk47</f>
        <v>0</v>
      </c>
      <c r="O1945" s="64" t="s">
        <v>38</v>
      </c>
      <c r="P1945" s="69">
        <f>uurtarief47</f>
        <v>0</v>
      </c>
      <c r="Q1945" s="66" t="e">
        <f>IF(ISBLANK(M1945),0,L1945/ROUND(M1945,4))</f>
        <v>#DIV/0!</v>
      </c>
      <c r="R1945" s="66" t="e">
        <f>IF(ISBLANK(M1945),0,Q1945*ROUND(N1945,2))</f>
        <v>#DIV/0!</v>
      </c>
      <c r="S1945" s="69" t="e">
        <f>ROUND(P1945,2)*Q1945</f>
        <v>#DIV/0!</v>
      </c>
      <c r="T1945" s="66" t="e">
        <f>Q1945*dagenperjaar1</f>
        <v>#DIV/0!</v>
      </c>
      <c r="U1945" s="70" t="e">
        <f>T1945*ROUND(P1945,2)</f>
        <v>#DIV/0!</v>
      </c>
    </row>
    <row r="1946" spans="1:21" x14ac:dyDescent="0.2">
      <c r="A1946" s="63" t="s">
        <v>2099</v>
      </c>
      <c r="B1946" s="64" t="s">
        <v>324</v>
      </c>
      <c r="C1946" s="64" t="s">
        <v>323</v>
      </c>
      <c r="D1946" s="64" t="s">
        <v>2378</v>
      </c>
      <c r="E1946" s="64" t="s">
        <v>1377</v>
      </c>
      <c r="F1946" s="65" t="s">
        <v>2379</v>
      </c>
      <c r="G1946" s="64" t="s">
        <v>328</v>
      </c>
      <c r="H1946" s="64" t="s">
        <v>247</v>
      </c>
      <c r="I1946" s="64" t="s">
        <v>10</v>
      </c>
      <c r="J1946" s="64" t="s">
        <v>201</v>
      </c>
      <c r="K1946" s="66">
        <v>68.75</v>
      </c>
      <c r="L1946" s="66">
        <f>K1946*VLOOKUP(I1946,dagsoorttabel1,2,FALSE)</f>
        <v>68.75</v>
      </c>
      <c r="M1946" s="67">
        <f>prodnorm55</f>
        <v>0</v>
      </c>
      <c r="N1946" s="68">
        <f>dagwerk55</f>
        <v>0</v>
      </c>
      <c r="O1946" s="64" t="s">
        <v>38</v>
      </c>
      <c r="P1946" s="69">
        <f>uurtarief55</f>
        <v>0</v>
      </c>
      <c r="Q1946" s="66" t="e">
        <f>IF(ISBLANK(M1946),0,L1946/ROUND(M1946,4))</f>
        <v>#DIV/0!</v>
      </c>
      <c r="R1946" s="66" t="e">
        <f>IF(ISBLANK(M1946),0,Q1946*ROUND(N1946,2))</f>
        <v>#DIV/0!</v>
      </c>
      <c r="S1946" s="69" t="e">
        <f>ROUND(P1946,2)*Q1946</f>
        <v>#DIV/0!</v>
      </c>
      <c r="T1946" s="66" t="e">
        <f>Q1946*dagenperjaar1</f>
        <v>#DIV/0!</v>
      </c>
      <c r="U1946" s="70" t="e">
        <f>T1946*ROUND(P1946,2)</f>
        <v>#DIV/0!</v>
      </c>
    </row>
    <row r="1947" spans="1:21" x14ac:dyDescent="0.2">
      <c r="A1947" s="63" t="s">
        <v>2099</v>
      </c>
      <c r="B1947" s="64" t="s">
        <v>324</v>
      </c>
      <c r="C1947" s="64" t="s">
        <v>323</v>
      </c>
      <c r="D1947" s="64" t="s">
        <v>2380</v>
      </c>
      <c r="E1947" s="64" t="s">
        <v>1378</v>
      </c>
      <c r="F1947" s="65" t="s">
        <v>2381</v>
      </c>
      <c r="G1947" s="64" t="s">
        <v>328</v>
      </c>
      <c r="H1947" s="64" t="s">
        <v>273</v>
      </c>
      <c r="I1947" s="64" t="s">
        <v>16</v>
      </c>
      <c r="J1947" s="64" t="s">
        <v>274</v>
      </c>
      <c r="K1947" s="66">
        <v>68.59</v>
      </c>
      <c r="L1947" s="66">
        <f>K1947*VLOOKUP(I1947,dagsoorttabel1,2,FALSE)</f>
        <v>13.718000000000002</v>
      </c>
      <c r="M1947" s="67">
        <f>prodnorm12</f>
        <v>0</v>
      </c>
      <c r="N1947" s="68">
        <f>dagwerk12</f>
        <v>0</v>
      </c>
      <c r="O1947" s="64" t="s">
        <v>38</v>
      </c>
      <c r="P1947" s="69">
        <f>uurtarief12</f>
        <v>0</v>
      </c>
      <c r="Q1947" s="66" t="e">
        <f>IF(ISBLANK(M1947),0,L1947/ROUND(M1947,4))</f>
        <v>#DIV/0!</v>
      </c>
      <c r="R1947" s="66" t="e">
        <f>IF(ISBLANK(M1947),0,Q1947*ROUND(N1947,2))</f>
        <v>#DIV/0!</v>
      </c>
      <c r="S1947" s="69" t="e">
        <f>ROUND(P1947,2)*Q1947</f>
        <v>#DIV/0!</v>
      </c>
      <c r="T1947" s="66" t="e">
        <f>Q1947*dagenperjaar1</f>
        <v>#DIV/0!</v>
      </c>
      <c r="U1947" s="70" t="e">
        <f>T1947*ROUND(P1947,2)</f>
        <v>#DIV/0!</v>
      </c>
    </row>
    <row r="1948" spans="1:21" x14ac:dyDescent="0.2">
      <c r="A1948" s="63" t="s">
        <v>2099</v>
      </c>
      <c r="B1948" s="64" t="s">
        <v>324</v>
      </c>
      <c r="C1948" s="64" t="s">
        <v>323</v>
      </c>
      <c r="D1948" s="64" t="s">
        <v>2380</v>
      </c>
      <c r="E1948" s="64" t="s">
        <v>1378</v>
      </c>
      <c r="F1948" s="65" t="s">
        <v>2381</v>
      </c>
      <c r="G1948" s="64" t="s">
        <v>328</v>
      </c>
      <c r="H1948" s="64" t="s">
        <v>229</v>
      </c>
      <c r="I1948" s="64" t="s">
        <v>10</v>
      </c>
      <c r="J1948" s="64" t="s">
        <v>201</v>
      </c>
      <c r="K1948" s="66">
        <v>68.59</v>
      </c>
      <c r="L1948" s="66">
        <f>K1948*VLOOKUP(I1948,dagsoorttabel1,2,FALSE)</f>
        <v>68.59</v>
      </c>
      <c r="M1948" s="67">
        <f>prodnorm43</f>
        <v>0</v>
      </c>
      <c r="N1948" s="68">
        <f>dagwerk43</f>
        <v>0</v>
      </c>
      <c r="O1948" s="64" t="s">
        <v>38</v>
      </c>
      <c r="P1948" s="69">
        <f>uurtarief43</f>
        <v>0</v>
      </c>
      <c r="Q1948" s="66" t="e">
        <f>IF(ISBLANK(M1948),0,L1948/ROUND(M1948,4))</f>
        <v>#DIV/0!</v>
      </c>
      <c r="R1948" s="66" t="e">
        <f>IF(ISBLANK(M1948),0,Q1948*ROUND(N1948,2))</f>
        <v>#DIV/0!</v>
      </c>
      <c r="S1948" s="69" t="e">
        <f>ROUND(P1948,2)*Q1948</f>
        <v>#DIV/0!</v>
      </c>
      <c r="T1948" s="66" t="e">
        <f>Q1948*dagenperjaar1</f>
        <v>#DIV/0!</v>
      </c>
      <c r="U1948" s="70" t="e">
        <f>T1948*ROUND(P1948,2)</f>
        <v>#DIV/0!</v>
      </c>
    </row>
    <row r="1949" spans="1:21" x14ac:dyDescent="0.2">
      <c r="A1949" s="63" t="s">
        <v>2099</v>
      </c>
      <c r="B1949" s="64" t="s">
        <v>324</v>
      </c>
      <c r="C1949" s="64" t="s">
        <v>323</v>
      </c>
      <c r="D1949" s="64" t="s">
        <v>2382</v>
      </c>
      <c r="E1949" s="64" t="s">
        <v>2383</v>
      </c>
      <c r="F1949" s="65" t="s">
        <v>2384</v>
      </c>
      <c r="G1949" s="64" t="s">
        <v>328</v>
      </c>
      <c r="H1949" s="64" t="s">
        <v>273</v>
      </c>
      <c r="I1949" s="64" t="s">
        <v>16</v>
      </c>
      <c r="J1949" s="64" t="s">
        <v>274</v>
      </c>
      <c r="K1949" s="66">
        <v>59.660000000000004</v>
      </c>
      <c r="L1949" s="66">
        <f>K1949*VLOOKUP(I1949,dagsoorttabel1,2,FALSE)</f>
        <v>11.932000000000002</v>
      </c>
      <c r="M1949" s="67">
        <f>prodnorm12</f>
        <v>0</v>
      </c>
      <c r="N1949" s="68">
        <f>dagwerk12</f>
        <v>0</v>
      </c>
      <c r="O1949" s="64" t="s">
        <v>38</v>
      </c>
      <c r="P1949" s="69">
        <f>uurtarief12</f>
        <v>0</v>
      </c>
      <c r="Q1949" s="66" t="e">
        <f>IF(ISBLANK(M1949),0,L1949/ROUND(M1949,4))</f>
        <v>#DIV/0!</v>
      </c>
      <c r="R1949" s="66" t="e">
        <f>IF(ISBLANK(M1949),0,Q1949*ROUND(N1949,2))</f>
        <v>#DIV/0!</v>
      </c>
      <c r="S1949" s="69" t="e">
        <f>ROUND(P1949,2)*Q1949</f>
        <v>#DIV/0!</v>
      </c>
      <c r="T1949" s="66" t="e">
        <f>Q1949*dagenperjaar1</f>
        <v>#DIV/0!</v>
      </c>
      <c r="U1949" s="70" t="e">
        <f>T1949*ROUND(P1949,2)</f>
        <v>#DIV/0!</v>
      </c>
    </row>
    <row r="1950" spans="1:21" x14ac:dyDescent="0.2">
      <c r="A1950" s="63" t="s">
        <v>2099</v>
      </c>
      <c r="B1950" s="64" t="s">
        <v>324</v>
      </c>
      <c r="C1950" s="64" t="s">
        <v>323</v>
      </c>
      <c r="D1950" s="64" t="s">
        <v>2382</v>
      </c>
      <c r="E1950" s="64" t="s">
        <v>2383</v>
      </c>
      <c r="F1950" s="65" t="s">
        <v>2384</v>
      </c>
      <c r="G1950" s="64" t="s">
        <v>328</v>
      </c>
      <c r="H1950" s="64" t="s">
        <v>229</v>
      </c>
      <c r="I1950" s="64" t="s">
        <v>10</v>
      </c>
      <c r="J1950" s="64" t="s">
        <v>201</v>
      </c>
      <c r="K1950" s="66">
        <v>59.660000000000004</v>
      </c>
      <c r="L1950" s="66">
        <f>K1950*VLOOKUP(I1950,dagsoorttabel1,2,FALSE)</f>
        <v>59.660000000000004</v>
      </c>
      <c r="M1950" s="67">
        <f>prodnorm43</f>
        <v>0</v>
      </c>
      <c r="N1950" s="68">
        <f>dagwerk43</f>
        <v>0</v>
      </c>
      <c r="O1950" s="64" t="s">
        <v>38</v>
      </c>
      <c r="P1950" s="69">
        <f>uurtarief43</f>
        <v>0</v>
      </c>
      <c r="Q1950" s="66" t="e">
        <f>IF(ISBLANK(M1950),0,L1950/ROUND(M1950,4))</f>
        <v>#DIV/0!</v>
      </c>
      <c r="R1950" s="66" t="e">
        <f>IF(ISBLANK(M1950),0,Q1950*ROUND(N1950,2))</f>
        <v>#DIV/0!</v>
      </c>
      <c r="S1950" s="69" t="e">
        <f>ROUND(P1950,2)*Q1950</f>
        <v>#DIV/0!</v>
      </c>
      <c r="T1950" s="66" t="e">
        <f>Q1950*dagenperjaar1</f>
        <v>#DIV/0!</v>
      </c>
      <c r="U1950" s="70" t="e">
        <f>T1950*ROUND(P1950,2)</f>
        <v>#DIV/0!</v>
      </c>
    </row>
    <row r="1951" spans="1:21" x14ac:dyDescent="0.2">
      <c r="A1951" s="63" t="s">
        <v>2099</v>
      </c>
      <c r="B1951" s="64" t="s">
        <v>324</v>
      </c>
      <c r="C1951" s="64" t="s">
        <v>323</v>
      </c>
      <c r="D1951" s="64" t="s">
        <v>2385</v>
      </c>
      <c r="E1951" s="64" t="s">
        <v>2383</v>
      </c>
      <c r="F1951" s="65" t="s">
        <v>2386</v>
      </c>
      <c r="G1951" s="64" t="s">
        <v>328</v>
      </c>
      <c r="H1951" s="64" t="s">
        <v>273</v>
      </c>
      <c r="I1951" s="64" t="s">
        <v>16</v>
      </c>
      <c r="J1951" s="64" t="s">
        <v>274</v>
      </c>
      <c r="K1951" s="66">
        <v>52.86</v>
      </c>
      <c r="L1951" s="66">
        <f>K1951*VLOOKUP(I1951,dagsoorttabel1,2,FALSE)</f>
        <v>10.572000000000001</v>
      </c>
      <c r="M1951" s="67">
        <f>prodnorm12</f>
        <v>0</v>
      </c>
      <c r="N1951" s="68">
        <f>dagwerk12</f>
        <v>0</v>
      </c>
      <c r="O1951" s="64" t="s">
        <v>38</v>
      </c>
      <c r="P1951" s="69">
        <f>uurtarief12</f>
        <v>0</v>
      </c>
      <c r="Q1951" s="66" t="e">
        <f>IF(ISBLANK(M1951),0,L1951/ROUND(M1951,4))</f>
        <v>#DIV/0!</v>
      </c>
      <c r="R1951" s="66" t="e">
        <f>IF(ISBLANK(M1951),0,Q1951*ROUND(N1951,2))</f>
        <v>#DIV/0!</v>
      </c>
      <c r="S1951" s="69" t="e">
        <f>ROUND(P1951,2)*Q1951</f>
        <v>#DIV/0!</v>
      </c>
      <c r="T1951" s="66" t="e">
        <f>Q1951*dagenperjaar1</f>
        <v>#DIV/0!</v>
      </c>
      <c r="U1951" s="70" t="e">
        <f>T1951*ROUND(P1951,2)</f>
        <v>#DIV/0!</v>
      </c>
    </row>
    <row r="1952" spans="1:21" x14ac:dyDescent="0.2">
      <c r="A1952" s="63" t="s">
        <v>2099</v>
      </c>
      <c r="B1952" s="64" t="s">
        <v>324</v>
      </c>
      <c r="C1952" s="64" t="s">
        <v>323</v>
      </c>
      <c r="D1952" s="64" t="s">
        <v>2385</v>
      </c>
      <c r="E1952" s="64" t="s">
        <v>2383</v>
      </c>
      <c r="F1952" s="65" t="s">
        <v>2386</v>
      </c>
      <c r="G1952" s="64" t="s">
        <v>328</v>
      </c>
      <c r="H1952" s="64" t="s">
        <v>229</v>
      </c>
      <c r="I1952" s="64" t="s">
        <v>10</v>
      </c>
      <c r="J1952" s="64" t="s">
        <v>201</v>
      </c>
      <c r="K1952" s="66">
        <v>52.86</v>
      </c>
      <c r="L1952" s="66">
        <f>K1952*VLOOKUP(I1952,dagsoorttabel1,2,FALSE)</f>
        <v>52.86</v>
      </c>
      <c r="M1952" s="67">
        <f>prodnorm43</f>
        <v>0</v>
      </c>
      <c r="N1952" s="68">
        <f>dagwerk43</f>
        <v>0</v>
      </c>
      <c r="O1952" s="64" t="s">
        <v>38</v>
      </c>
      <c r="P1952" s="69">
        <f>uurtarief43</f>
        <v>0</v>
      </c>
      <c r="Q1952" s="66" t="e">
        <f>IF(ISBLANK(M1952),0,L1952/ROUND(M1952,4))</f>
        <v>#DIV/0!</v>
      </c>
      <c r="R1952" s="66" t="e">
        <f>IF(ISBLANK(M1952),0,Q1952*ROUND(N1952,2))</f>
        <v>#DIV/0!</v>
      </c>
      <c r="S1952" s="69" t="e">
        <f>ROUND(P1952,2)*Q1952</f>
        <v>#DIV/0!</v>
      </c>
      <c r="T1952" s="66" t="e">
        <f>Q1952*dagenperjaar1</f>
        <v>#DIV/0!</v>
      </c>
      <c r="U1952" s="70" t="e">
        <f>T1952*ROUND(P1952,2)</f>
        <v>#DIV/0!</v>
      </c>
    </row>
    <row r="1953" spans="1:21" x14ac:dyDescent="0.2">
      <c r="A1953" s="63" t="s">
        <v>2099</v>
      </c>
      <c r="B1953" s="64" t="s">
        <v>324</v>
      </c>
      <c r="C1953" s="64" t="s">
        <v>323</v>
      </c>
      <c r="D1953" s="64" t="s">
        <v>2387</v>
      </c>
      <c r="E1953" s="64" t="s">
        <v>2388</v>
      </c>
      <c r="F1953" s="65" t="s">
        <v>2389</v>
      </c>
      <c r="G1953" s="64" t="s">
        <v>328</v>
      </c>
      <c r="H1953" s="64" t="s">
        <v>247</v>
      </c>
      <c r="I1953" s="64" t="s">
        <v>10</v>
      </c>
      <c r="J1953" s="64" t="s">
        <v>201</v>
      </c>
      <c r="K1953" s="66">
        <v>69.179999999999993</v>
      </c>
      <c r="L1953" s="66">
        <f>K1953*VLOOKUP(I1953,dagsoorttabel1,2,FALSE)</f>
        <v>69.179999999999993</v>
      </c>
      <c r="M1953" s="67">
        <f>prodnorm55</f>
        <v>0</v>
      </c>
      <c r="N1953" s="68">
        <f>dagwerk55</f>
        <v>0</v>
      </c>
      <c r="O1953" s="64" t="s">
        <v>38</v>
      </c>
      <c r="P1953" s="69">
        <f>uurtarief55</f>
        <v>0</v>
      </c>
      <c r="Q1953" s="66" t="e">
        <f>IF(ISBLANK(M1953),0,L1953/ROUND(M1953,4))</f>
        <v>#DIV/0!</v>
      </c>
      <c r="R1953" s="66" t="e">
        <f>IF(ISBLANK(M1953),0,Q1953*ROUND(N1953,2))</f>
        <v>#DIV/0!</v>
      </c>
      <c r="S1953" s="69" t="e">
        <f>ROUND(P1953,2)*Q1953</f>
        <v>#DIV/0!</v>
      </c>
      <c r="T1953" s="66" t="e">
        <f>Q1953*dagenperjaar1</f>
        <v>#DIV/0!</v>
      </c>
      <c r="U1953" s="70" t="e">
        <f>T1953*ROUND(P1953,2)</f>
        <v>#DIV/0!</v>
      </c>
    </row>
    <row r="1954" spans="1:21" x14ac:dyDescent="0.2">
      <c r="A1954" s="63" t="s">
        <v>2099</v>
      </c>
      <c r="B1954" s="64" t="s">
        <v>324</v>
      </c>
      <c r="C1954" s="64" t="s">
        <v>323</v>
      </c>
      <c r="D1954" s="64" t="s">
        <v>2390</v>
      </c>
      <c r="E1954" s="64" t="s">
        <v>2391</v>
      </c>
      <c r="F1954" s="65" t="s">
        <v>834</v>
      </c>
      <c r="G1954" s="64" t="s">
        <v>328</v>
      </c>
      <c r="H1954" s="64" t="s">
        <v>267</v>
      </c>
      <c r="I1954" s="64" t="s">
        <v>10</v>
      </c>
      <c r="J1954" s="64" t="s">
        <v>201</v>
      </c>
      <c r="K1954" s="66">
        <v>106.52</v>
      </c>
      <c r="L1954" s="66">
        <f>K1954*VLOOKUP(I1954,dagsoorttabel1,2,FALSE)</f>
        <v>106.52</v>
      </c>
      <c r="M1954" s="67">
        <f>prodnorm65</f>
        <v>0</v>
      </c>
      <c r="N1954" s="68">
        <f>dagwerk65</f>
        <v>0</v>
      </c>
      <c r="O1954" s="64" t="s">
        <v>38</v>
      </c>
      <c r="P1954" s="69">
        <f>uurtarief65</f>
        <v>0</v>
      </c>
      <c r="Q1954" s="66" t="e">
        <f>IF(ISBLANK(M1954),0,L1954/ROUND(M1954,4))</f>
        <v>#DIV/0!</v>
      </c>
      <c r="R1954" s="66" t="e">
        <f>IF(ISBLANK(M1954),0,Q1954*ROUND(N1954,2))</f>
        <v>#DIV/0!</v>
      </c>
      <c r="S1954" s="69" t="e">
        <f>ROUND(P1954,2)*Q1954</f>
        <v>#DIV/0!</v>
      </c>
      <c r="T1954" s="66" t="e">
        <f>Q1954*dagenperjaar1</f>
        <v>#DIV/0!</v>
      </c>
      <c r="U1954" s="70" t="e">
        <f>T1954*ROUND(P1954,2)</f>
        <v>#DIV/0!</v>
      </c>
    </row>
    <row r="1955" spans="1:21" x14ac:dyDescent="0.2">
      <c r="A1955" s="63" t="s">
        <v>2099</v>
      </c>
      <c r="B1955" s="64" t="s">
        <v>324</v>
      </c>
      <c r="C1955" s="64" t="s">
        <v>323</v>
      </c>
      <c r="D1955" s="64" t="s">
        <v>2392</v>
      </c>
      <c r="E1955" s="64" t="s">
        <v>2393</v>
      </c>
      <c r="F1955" s="65" t="s">
        <v>2394</v>
      </c>
      <c r="G1955" s="64" t="s">
        <v>328</v>
      </c>
      <c r="H1955" s="64" t="s">
        <v>273</v>
      </c>
      <c r="I1955" s="64" t="s">
        <v>16</v>
      </c>
      <c r="J1955" s="64" t="s">
        <v>274</v>
      </c>
      <c r="K1955" s="66">
        <v>52.220000000000006</v>
      </c>
      <c r="L1955" s="66">
        <f>K1955*VLOOKUP(I1955,dagsoorttabel1,2,FALSE)</f>
        <v>10.444000000000003</v>
      </c>
      <c r="M1955" s="67">
        <f>prodnorm12</f>
        <v>0</v>
      </c>
      <c r="N1955" s="68">
        <f>dagwerk12</f>
        <v>0</v>
      </c>
      <c r="O1955" s="64" t="s">
        <v>38</v>
      </c>
      <c r="P1955" s="69">
        <f>uurtarief12</f>
        <v>0</v>
      </c>
      <c r="Q1955" s="66" t="e">
        <f>IF(ISBLANK(M1955),0,L1955/ROUND(M1955,4))</f>
        <v>#DIV/0!</v>
      </c>
      <c r="R1955" s="66" t="e">
        <f>IF(ISBLANK(M1955),0,Q1955*ROUND(N1955,2))</f>
        <v>#DIV/0!</v>
      </c>
      <c r="S1955" s="69" t="e">
        <f>ROUND(P1955,2)*Q1955</f>
        <v>#DIV/0!</v>
      </c>
      <c r="T1955" s="66" t="e">
        <f>Q1955*dagenperjaar1</f>
        <v>#DIV/0!</v>
      </c>
      <c r="U1955" s="70" t="e">
        <f>T1955*ROUND(P1955,2)</f>
        <v>#DIV/0!</v>
      </c>
    </row>
    <row r="1956" spans="1:21" x14ac:dyDescent="0.2">
      <c r="A1956" s="63" t="s">
        <v>2099</v>
      </c>
      <c r="B1956" s="64" t="s">
        <v>324</v>
      </c>
      <c r="C1956" s="64" t="s">
        <v>323</v>
      </c>
      <c r="D1956" s="64" t="s">
        <v>2392</v>
      </c>
      <c r="E1956" s="64" t="s">
        <v>2393</v>
      </c>
      <c r="F1956" s="65" t="s">
        <v>2394</v>
      </c>
      <c r="G1956" s="64" t="s">
        <v>328</v>
      </c>
      <c r="H1956" s="64" t="s">
        <v>229</v>
      </c>
      <c r="I1956" s="64" t="s">
        <v>10</v>
      </c>
      <c r="J1956" s="64" t="s">
        <v>201</v>
      </c>
      <c r="K1956" s="66">
        <v>52.220000000000006</v>
      </c>
      <c r="L1956" s="66">
        <f>K1956*VLOOKUP(I1956,dagsoorttabel1,2,FALSE)</f>
        <v>52.220000000000006</v>
      </c>
      <c r="M1956" s="67">
        <f>prodnorm43</f>
        <v>0</v>
      </c>
      <c r="N1956" s="68">
        <f>dagwerk43</f>
        <v>0</v>
      </c>
      <c r="O1956" s="64" t="s">
        <v>38</v>
      </c>
      <c r="P1956" s="69">
        <f>uurtarief43</f>
        <v>0</v>
      </c>
      <c r="Q1956" s="66" t="e">
        <f>IF(ISBLANK(M1956),0,L1956/ROUND(M1956,4))</f>
        <v>#DIV/0!</v>
      </c>
      <c r="R1956" s="66" t="e">
        <f>IF(ISBLANK(M1956),0,Q1956*ROUND(N1956,2))</f>
        <v>#DIV/0!</v>
      </c>
      <c r="S1956" s="69" t="e">
        <f>ROUND(P1956,2)*Q1956</f>
        <v>#DIV/0!</v>
      </c>
      <c r="T1956" s="66" t="e">
        <f>Q1956*dagenperjaar1</f>
        <v>#DIV/0!</v>
      </c>
      <c r="U1956" s="70" t="e">
        <f>T1956*ROUND(P1956,2)</f>
        <v>#DIV/0!</v>
      </c>
    </row>
    <row r="1957" spans="1:21" x14ac:dyDescent="0.2">
      <c r="A1957" s="63" t="s">
        <v>2099</v>
      </c>
      <c r="B1957" s="64" t="s">
        <v>324</v>
      </c>
      <c r="C1957" s="64" t="s">
        <v>323</v>
      </c>
      <c r="D1957" s="64" t="s">
        <v>2395</v>
      </c>
      <c r="E1957" s="64" t="s">
        <v>2396</v>
      </c>
      <c r="F1957" s="65" t="s">
        <v>2386</v>
      </c>
      <c r="G1957" s="64" t="s">
        <v>328</v>
      </c>
      <c r="H1957" s="64" t="s">
        <v>273</v>
      </c>
      <c r="I1957" s="64" t="s">
        <v>16</v>
      </c>
      <c r="J1957" s="64" t="s">
        <v>274</v>
      </c>
      <c r="K1957" s="66">
        <v>30.99</v>
      </c>
      <c r="L1957" s="66">
        <f>K1957*VLOOKUP(I1957,dagsoorttabel1,2,FALSE)</f>
        <v>6.1980000000000004</v>
      </c>
      <c r="M1957" s="67">
        <f>prodnorm12</f>
        <v>0</v>
      </c>
      <c r="N1957" s="68">
        <f>dagwerk12</f>
        <v>0</v>
      </c>
      <c r="O1957" s="64" t="s">
        <v>38</v>
      </c>
      <c r="P1957" s="69">
        <f>uurtarief12</f>
        <v>0</v>
      </c>
      <c r="Q1957" s="66" t="e">
        <f>IF(ISBLANK(M1957),0,L1957/ROUND(M1957,4))</f>
        <v>#DIV/0!</v>
      </c>
      <c r="R1957" s="66" t="e">
        <f>IF(ISBLANK(M1957),0,Q1957*ROUND(N1957,2))</f>
        <v>#DIV/0!</v>
      </c>
      <c r="S1957" s="69" t="e">
        <f>ROUND(P1957,2)*Q1957</f>
        <v>#DIV/0!</v>
      </c>
      <c r="T1957" s="66" t="e">
        <f>Q1957*dagenperjaar1</f>
        <v>#DIV/0!</v>
      </c>
      <c r="U1957" s="70" t="e">
        <f>T1957*ROUND(P1957,2)</f>
        <v>#DIV/0!</v>
      </c>
    </row>
    <row r="1958" spans="1:21" x14ac:dyDescent="0.2">
      <c r="A1958" s="63" t="s">
        <v>2099</v>
      </c>
      <c r="B1958" s="64" t="s">
        <v>324</v>
      </c>
      <c r="C1958" s="64" t="s">
        <v>323</v>
      </c>
      <c r="D1958" s="64" t="s">
        <v>2395</v>
      </c>
      <c r="E1958" s="64" t="s">
        <v>2396</v>
      </c>
      <c r="F1958" s="65" t="s">
        <v>2386</v>
      </c>
      <c r="G1958" s="64" t="s">
        <v>328</v>
      </c>
      <c r="H1958" s="64" t="s">
        <v>229</v>
      </c>
      <c r="I1958" s="64" t="s">
        <v>10</v>
      </c>
      <c r="J1958" s="64" t="s">
        <v>201</v>
      </c>
      <c r="K1958" s="66">
        <v>30.99</v>
      </c>
      <c r="L1958" s="66">
        <f>K1958*VLOOKUP(I1958,dagsoorttabel1,2,FALSE)</f>
        <v>30.99</v>
      </c>
      <c r="M1958" s="67">
        <f>prodnorm43</f>
        <v>0</v>
      </c>
      <c r="N1958" s="68">
        <f>dagwerk43</f>
        <v>0</v>
      </c>
      <c r="O1958" s="64" t="s">
        <v>38</v>
      </c>
      <c r="P1958" s="69">
        <f>uurtarief43</f>
        <v>0</v>
      </c>
      <c r="Q1958" s="66" t="e">
        <f>IF(ISBLANK(M1958),0,L1958/ROUND(M1958,4))</f>
        <v>#DIV/0!</v>
      </c>
      <c r="R1958" s="66" t="e">
        <f>IF(ISBLANK(M1958),0,Q1958*ROUND(N1958,2))</f>
        <v>#DIV/0!</v>
      </c>
      <c r="S1958" s="69" t="e">
        <f>ROUND(P1958,2)*Q1958</f>
        <v>#DIV/0!</v>
      </c>
      <c r="T1958" s="66" t="e">
        <f>Q1958*dagenperjaar1</f>
        <v>#DIV/0!</v>
      </c>
      <c r="U1958" s="70" t="e">
        <f>T1958*ROUND(P1958,2)</f>
        <v>#DIV/0!</v>
      </c>
    </row>
    <row r="1959" spans="1:21" x14ac:dyDescent="0.2">
      <c r="A1959" s="63" t="s">
        <v>2099</v>
      </c>
      <c r="B1959" s="64" t="s">
        <v>324</v>
      </c>
      <c r="C1959" s="64" t="s">
        <v>323</v>
      </c>
      <c r="D1959" s="64" t="s">
        <v>2397</v>
      </c>
      <c r="E1959" s="64" t="s">
        <v>2398</v>
      </c>
      <c r="F1959" s="65" t="s">
        <v>2399</v>
      </c>
      <c r="G1959" s="64" t="s">
        <v>328</v>
      </c>
      <c r="H1959" s="64" t="s">
        <v>237</v>
      </c>
      <c r="I1959" s="64" t="s">
        <v>19</v>
      </c>
      <c r="J1959" s="64" t="s">
        <v>201</v>
      </c>
      <c r="K1959" s="66">
        <v>19.86</v>
      </c>
      <c r="L1959" s="66">
        <f>K1959*VLOOKUP(I1959,dagsoorttabel1,2,FALSE)</f>
        <v>0.99299999999999999</v>
      </c>
      <c r="M1959" s="67">
        <f>prodnorm47</f>
        <v>0</v>
      </c>
      <c r="N1959" s="68">
        <f>dagwerk47</f>
        <v>0</v>
      </c>
      <c r="O1959" s="64" t="s">
        <v>38</v>
      </c>
      <c r="P1959" s="69">
        <f>uurtarief47</f>
        <v>0</v>
      </c>
      <c r="Q1959" s="66" t="e">
        <f>IF(ISBLANK(M1959),0,L1959/ROUND(M1959,4))</f>
        <v>#DIV/0!</v>
      </c>
      <c r="R1959" s="66" t="e">
        <f>IF(ISBLANK(M1959),0,Q1959*ROUND(N1959,2))</f>
        <v>#DIV/0!</v>
      </c>
      <c r="S1959" s="69" t="e">
        <f>ROUND(P1959,2)*Q1959</f>
        <v>#DIV/0!</v>
      </c>
      <c r="T1959" s="66" t="e">
        <f>Q1959*dagenperjaar1</f>
        <v>#DIV/0!</v>
      </c>
      <c r="U1959" s="70" t="e">
        <f>T1959*ROUND(P1959,2)</f>
        <v>#DIV/0!</v>
      </c>
    </row>
    <row r="1960" spans="1:21" x14ac:dyDescent="0.2">
      <c r="A1960" s="63" t="s">
        <v>2099</v>
      </c>
      <c r="B1960" s="64" t="s">
        <v>324</v>
      </c>
      <c r="C1960" s="64" t="s">
        <v>323</v>
      </c>
      <c r="D1960" s="64" t="s">
        <v>2400</v>
      </c>
      <c r="E1960" s="64" t="s">
        <v>2401</v>
      </c>
      <c r="F1960" s="65" t="s">
        <v>2402</v>
      </c>
      <c r="G1960" s="64" t="s">
        <v>328</v>
      </c>
      <c r="H1960" s="64" t="s">
        <v>205</v>
      </c>
      <c r="I1960" s="64" t="s">
        <v>10</v>
      </c>
      <c r="J1960" s="64" t="s">
        <v>201</v>
      </c>
      <c r="K1960" s="66">
        <v>16.919999999999998</v>
      </c>
      <c r="L1960" s="66">
        <f>K1960*VLOOKUP(I1960,dagsoorttabel1,2,FALSE)</f>
        <v>16.919999999999998</v>
      </c>
      <c r="M1960" s="67">
        <f>prodnorm26</f>
        <v>0</v>
      </c>
      <c r="N1960" s="68">
        <f>dagwerk26</f>
        <v>0</v>
      </c>
      <c r="O1960" s="64" t="s">
        <v>38</v>
      </c>
      <c r="P1960" s="69">
        <f>uurtarief26</f>
        <v>0</v>
      </c>
      <c r="Q1960" s="66" t="e">
        <f>IF(ISBLANK(M1960),0,L1960/ROUND(M1960,4))</f>
        <v>#DIV/0!</v>
      </c>
      <c r="R1960" s="66" t="e">
        <f>IF(ISBLANK(M1960),0,Q1960*ROUND(N1960,2))</f>
        <v>#DIV/0!</v>
      </c>
      <c r="S1960" s="69" t="e">
        <f>ROUND(P1960,2)*Q1960</f>
        <v>#DIV/0!</v>
      </c>
      <c r="T1960" s="66" t="e">
        <f>Q1960*dagenperjaar1</f>
        <v>#DIV/0!</v>
      </c>
      <c r="U1960" s="70" t="e">
        <f>T1960*ROUND(P1960,2)</f>
        <v>#DIV/0!</v>
      </c>
    </row>
    <row r="1961" spans="1:21" x14ac:dyDescent="0.2">
      <c r="A1961" s="63" t="s">
        <v>2099</v>
      </c>
      <c r="B1961" s="64" t="s">
        <v>324</v>
      </c>
      <c r="C1961" s="64" t="s">
        <v>323</v>
      </c>
      <c r="D1961" s="64" t="s">
        <v>2403</v>
      </c>
      <c r="E1961" s="64" t="s">
        <v>2404</v>
      </c>
      <c r="F1961" s="65" t="s">
        <v>2405</v>
      </c>
      <c r="G1961" s="64" t="s">
        <v>328</v>
      </c>
      <c r="H1961" s="64" t="s">
        <v>205</v>
      </c>
      <c r="I1961" s="64" t="s">
        <v>10</v>
      </c>
      <c r="J1961" s="64" t="s">
        <v>201</v>
      </c>
      <c r="K1961" s="66">
        <v>17.77</v>
      </c>
      <c r="L1961" s="66">
        <f>K1961*VLOOKUP(I1961,dagsoorttabel1,2,FALSE)</f>
        <v>17.77</v>
      </c>
      <c r="M1961" s="67">
        <f>prodnorm26</f>
        <v>0</v>
      </c>
      <c r="N1961" s="68">
        <f>dagwerk26</f>
        <v>0</v>
      </c>
      <c r="O1961" s="64" t="s">
        <v>38</v>
      </c>
      <c r="P1961" s="69">
        <f>uurtarief26</f>
        <v>0</v>
      </c>
      <c r="Q1961" s="66" t="e">
        <f>IF(ISBLANK(M1961),0,L1961/ROUND(M1961,4))</f>
        <v>#DIV/0!</v>
      </c>
      <c r="R1961" s="66" t="e">
        <f>IF(ISBLANK(M1961),0,Q1961*ROUND(N1961,2))</f>
        <v>#DIV/0!</v>
      </c>
      <c r="S1961" s="69" t="e">
        <f>ROUND(P1961,2)*Q1961</f>
        <v>#DIV/0!</v>
      </c>
      <c r="T1961" s="66" t="e">
        <f>Q1961*dagenperjaar1</f>
        <v>#DIV/0!</v>
      </c>
      <c r="U1961" s="70" t="e">
        <f>T1961*ROUND(P1961,2)</f>
        <v>#DIV/0!</v>
      </c>
    </row>
    <row r="1962" spans="1:21" x14ac:dyDescent="0.2">
      <c r="A1962" s="63" t="s">
        <v>2099</v>
      </c>
      <c r="B1962" s="64" t="s">
        <v>324</v>
      </c>
      <c r="C1962" s="64" t="s">
        <v>323</v>
      </c>
      <c r="D1962" s="64" t="s">
        <v>2406</v>
      </c>
      <c r="E1962" s="64" t="s">
        <v>2407</v>
      </c>
      <c r="F1962" s="65" t="s">
        <v>2408</v>
      </c>
      <c r="G1962" s="64" t="s">
        <v>328</v>
      </c>
      <c r="H1962" s="64" t="s">
        <v>237</v>
      </c>
      <c r="I1962" s="64" t="s">
        <v>19</v>
      </c>
      <c r="J1962" s="64" t="s">
        <v>201</v>
      </c>
      <c r="K1962" s="66">
        <v>17.03</v>
      </c>
      <c r="L1962" s="66">
        <f>K1962*VLOOKUP(I1962,dagsoorttabel1,2,FALSE)</f>
        <v>0.85150000000000015</v>
      </c>
      <c r="M1962" s="67">
        <f>prodnorm47</f>
        <v>0</v>
      </c>
      <c r="N1962" s="68">
        <f>dagwerk47</f>
        <v>0</v>
      </c>
      <c r="O1962" s="64" t="s">
        <v>38</v>
      </c>
      <c r="P1962" s="69">
        <f>uurtarief47</f>
        <v>0</v>
      </c>
      <c r="Q1962" s="66" t="e">
        <f>IF(ISBLANK(M1962),0,L1962/ROUND(M1962,4))</f>
        <v>#DIV/0!</v>
      </c>
      <c r="R1962" s="66" t="e">
        <f>IF(ISBLANK(M1962),0,Q1962*ROUND(N1962,2))</f>
        <v>#DIV/0!</v>
      </c>
      <c r="S1962" s="69" t="e">
        <f>ROUND(P1962,2)*Q1962</f>
        <v>#DIV/0!</v>
      </c>
      <c r="T1962" s="66" t="e">
        <f>Q1962*dagenperjaar1</f>
        <v>#DIV/0!</v>
      </c>
      <c r="U1962" s="70" t="e">
        <f>T1962*ROUND(P1962,2)</f>
        <v>#DIV/0!</v>
      </c>
    </row>
    <row r="1963" spans="1:21" x14ac:dyDescent="0.2">
      <c r="A1963" s="63" t="s">
        <v>2099</v>
      </c>
      <c r="B1963" s="64" t="s">
        <v>324</v>
      </c>
      <c r="C1963" s="64" t="s">
        <v>323</v>
      </c>
      <c r="D1963" s="64" t="s">
        <v>2409</v>
      </c>
      <c r="E1963" s="64" t="s">
        <v>2410</v>
      </c>
      <c r="F1963" s="65" t="s">
        <v>2384</v>
      </c>
      <c r="G1963" s="64" t="s">
        <v>328</v>
      </c>
      <c r="H1963" s="64" t="s">
        <v>273</v>
      </c>
      <c r="I1963" s="64" t="s">
        <v>16</v>
      </c>
      <c r="J1963" s="64" t="s">
        <v>274</v>
      </c>
      <c r="K1963" s="66">
        <v>59.59</v>
      </c>
      <c r="L1963" s="66">
        <f>K1963*VLOOKUP(I1963,dagsoorttabel1,2,FALSE)</f>
        <v>11.918000000000001</v>
      </c>
      <c r="M1963" s="67">
        <f>prodnorm12</f>
        <v>0</v>
      </c>
      <c r="N1963" s="68">
        <f>dagwerk12</f>
        <v>0</v>
      </c>
      <c r="O1963" s="64" t="s">
        <v>38</v>
      </c>
      <c r="P1963" s="69">
        <f>uurtarief12</f>
        <v>0</v>
      </c>
      <c r="Q1963" s="66" t="e">
        <f>IF(ISBLANK(M1963),0,L1963/ROUND(M1963,4))</f>
        <v>#DIV/0!</v>
      </c>
      <c r="R1963" s="66" t="e">
        <f>IF(ISBLANK(M1963),0,Q1963*ROUND(N1963,2))</f>
        <v>#DIV/0!</v>
      </c>
      <c r="S1963" s="69" t="e">
        <f>ROUND(P1963,2)*Q1963</f>
        <v>#DIV/0!</v>
      </c>
      <c r="T1963" s="66" t="e">
        <f>Q1963*dagenperjaar1</f>
        <v>#DIV/0!</v>
      </c>
      <c r="U1963" s="70" t="e">
        <f>T1963*ROUND(P1963,2)</f>
        <v>#DIV/0!</v>
      </c>
    </row>
    <row r="1964" spans="1:21" x14ac:dyDescent="0.2">
      <c r="A1964" s="63" t="s">
        <v>2099</v>
      </c>
      <c r="B1964" s="64" t="s">
        <v>324</v>
      </c>
      <c r="C1964" s="64" t="s">
        <v>323</v>
      </c>
      <c r="D1964" s="64" t="s">
        <v>2409</v>
      </c>
      <c r="E1964" s="64" t="s">
        <v>2410</v>
      </c>
      <c r="F1964" s="65" t="s">
        <v>2384</v>
      </c>
      <c r="G1964" s="64" t="s">
        <v>328</v>
      </c>
      <c r="H1964" s="64" t="s">
        <v>229</v>
      </c>
      <c r="I1964" s="64" t="s">
        <v>10</v>
      </c>
      <c r="J1964" s="64" t="s">
        <v>201</v>
      </c>
      <c r="K1964" s="66">
        <v>59.59</v>
      </c>
      <c r="L1964" s="66">
        <f>K1964*VLOOKUP(I1964,dagsoorttabel1,2,FALSE)</f>
        <v>59.59</v>
      </c>
      <c r="M1964" s="67">
        <f>prodnorm43</f>
        <v>0</v>
      </c>
      <c r="N1964" s="68">
        <f>dagwerk43</f>
        <v>0</v>
      </c>
      <c r="O1964" s="64" t="s">
        <v>38</v>
      </c>
      <c r="P1964" s="69">
        <f>uurtarief43</f>
        <v>0</v>
      </c>
      <c r="Q1964" s="66" t="e">
        <f>IF(ISBLANK(M1964),0,L1964/ROUND(M1964,4))</f>
        <v>#DIV/0!</v>
      </c>
      <c r="R1964" s="66" t="e">
        <f>IF(ISBLANK(M1964),0,Q1964*ROUND(N1964,2))</f>
        <v>#DIV/0!</v>
      </c>
      <c r="S1964" s="69" t="e">
        <f>ROUND(P1964,2)*Q1964</f>
        <v>#DIV/0!</v>
      </c>
      <c r="T1964" s="66" t="e">
        <f>Q1964*dagenperjaar1</f>
        <v>#DIV/0!</v>
      </c>
      <c r="U1964" s="70" t="e">
        <f>T1964*ROUND(P1964,2)</f>
        <v>#DIV/0!</v>
      </c>
    </row>
    <row r="1965" spans="1:21" x14ac:dyDescent="0.2">
      <c r="A1965" s="63" t="s">
        <v>2099</v>
      </c>
      <c r="B1965" s="64" t="s">
        <v>324</v>
      </c>
      <c r="C1965" s="64" t="s">
        <v>323</v>
      </c>
      <c r="D1965" s="64" t="s">
        <v>2411</v>
      </c>
      <c r="E1965" s="64" t="s">
        <v>2412</v>
      </c>
      <c r="F1965" s="65" t="s">
        <v>2235</v>
      </c>
      <c r="G1965" s="64" t="s">
        <v>328</v>
      </c>
      <c r="H1965" s="64" t="s">
        <v>237</v>
      </c>
      <c r="I1965" s="64" t="s">
        <v>19</v>
      </c>
      <c r="J1965" s="64" t="s">
        <v>201</v>
      </c>
      <c r="K1965" s="66">
        <v>9.370000000000001</v>
      </c>
      <c r="L1965" s="66">
        <f>K1965*VLOOKUP(I1965,dagsoorttabel1,2,FALSE)</f>
        <v>0.46850000000000008</v>
      </c>
      <c r="M1965" s="67">
        <f>prodnorm47</f>
        <v>0</v>
      </c>
      <c r="N1965" s="68">
        <f>dagwerk47</f>
        <v>0</v>
      </c>
      <c r="O1965" s="64" t="s">
        <v>38</v>
      </c>
      <c r="P1965" s="69">
        <f>uurtarief47</f>
        <v>0</v>
      </c>
      <c r="Q1965" s="66" t="e">
        <f>IF(ISBLANK(M1965),0,L1965/ROUND(M1965,4))</f>
        <v>#DIV/0!</v>
      </c>
      <c r="R1965" s="66" t="e">
        <f>IF(ISBLANK(M1965),0,Q1965*ROUND(N1965,2))</f>
        <v>#DIV/0!</v>
      </c>
      <c r="S1965" s="69" t="e">
        <f>ROUND(P1965,2)*Q1965</f>
        <v>#DIV/0!</v>
      </c>
      <c r="T1965" s="66" t="e">
        <f>Q1965*dagenperjaar1</f>
        <v>#DIV/0!</v>
      </c>
      <c r="U1965" s="70" t="e">
        <f>T1965*ROUND(P1965,2)</f>
        <v>#DIV/0!</v>
      </c>
    </row>
    <row r="1966" spans="1:21" x14ac:dyDescent="0.2">
      <c r="A1966" s="63" t="s">
        <v>2099</v>
      </c>
      <c r="B1966" s="64" t="s">
        <v>324</v>
      </c>
      <c r="C1966" s="64" t="s">
        <v>323</v>
      </c>
      <c r="D1966" s="64" t="s">
        <v>2413</v>
      </c>
      <c r="E1966" s="64" t="s">
        <v>2414</v>
      </c>
      <c r="F1966" s="65" t="s">
        <v>2415</v>
      </c>
      <c r="G1966" s="64" t="s">
        <v>328</v>
      </c>
      <c r="H1966" s="64" t="s">
        <v>249</v>
      </c>
      <c r="I1966" s="64" t="s">
        <v>10</v>
      </c>
      <c r="J1966" s="64" t="s">
        <v>201</v>
      </c>
      <c r="K1966" s="66">
        <v>58.65</v>
      </c>
      <c r="L1966" s="66">
        <f>K1966*VLOOKUP(I1966,dagsoorttabel1,2,FALSE)</f>
        <v>58.65</v>
      </c>
      <c r="M1966" s="67">
        <f>prodnorm56</f>
        <v>0</v>
      </c>
      <c r="N1966" s="68">
        <f>dagwerk56</f>
        <v>0</v>
      </c>
      <c r="O1966" s="64" t="s">
        <v>38</v>
      </c>
      <c r="P1966" s="69">
        <f>uurtarief56</f>
        <v>0</v>
      </c>
      <c r="Q1966" s="66" t="e">
        <f>IF(ISBLANK(M1966),0,L1966/ROUND(M1966,4))</f>
        <v>#DIV/0!</v>
      </c>
      <c r="R1966" s="66" t="e">
        <f>IF(ISBLANK(M1966),0,Q1966*ROUND(N1966,2))</f>
        <v>#DIV/0!</v>
      </c>
      <c r="S1966" s="69" t="e">
        <f>ROUND(P1966,2)*Q1966</f>
        <v>#DIV/0!</v>
      </c>
      <c r="T1966" s="66" t="e">
        <f>Q1966*dagenperjaar1</f>
        <v>#DIV/0!</v>
      </c>
      <c r="U1966" s="70" t="e">
        <f>T1966*ROUND(P1966,2)</f>
        <v>#DIV/0!</v>
      </c>
    </row>
    <row r="1967" spans="1:21" x14ac:dyDescent="0.2">
      <c r="A1967" s="63" t="s">
        <v>2099</v>
      </c>
      <c r="B1967" s="64" t="s">
        <v>324</v>
      </c>
      <c r="C1967" s="64" t="s">
        <v>323</v>
      </c>
      <c r="D1967" s="64" t="s">
        <v>2416</v>
      </c>
      <c r="E1967" s="64" t="s">
        <v>2417</v>
      </c>
      <c r="F1967" s="65" t="s">
        <v>834</v>
      </c>
      <c r="G1967" s="64" t="s">
        <v>328</v>
      </c>
      <c r="H1967" s="64" t="s">
        <v>267</v>
      </c>
      <c r="I1967" s="64" t="s">
        <v>10</v>
      </c>
      <c r="J1967" s="64" t="s">
        <v>201</v>
      </c>
      <c r="K1967" s="66">
        <v>70.11999999999999</v>
      </c>
      <c r="L1967" s="66">
        <f>K1967*VLOOKUP(I1967,dagsoorttabel1,2,FALSE)</f>
        <v>70.11999999999999</v>
      </c>
      <c r="M1967" s="67">
        <f>prodnorm65</f>
        <v>0</v>
      </c>
      <c r="N1967" s="68">
        <f>dagwerk65</f>
        <v>0</v>
      </c>
      <c r="O1967" s="64" t="s">
        <v>38</v>
      </c>
      <c r="P1967" s="69">
        <f>uurtarief65</f>
        <v>0</v>
      </c>
      <c r="Q1967" s="66" t="e">
        <f>IF(ISBLANK(M1967),0,L1967/ROUND(M1967,4))</f>
        <v>#DIV/0!</v>
      </c>
      <c r="R1967" s="66" t="e">
        <f>IF(ISBLANK(M1967),0,Q1967*ROUND(N1967,2))</f>
        <v>#DIV/0!</v>
      </c>
      <c r="S1967" s="69" t="e">
        <f>ROUND(P1967,2)*Q1967</f>
        <v>#DIV/0!</v>
      </c>
      <c r="T1967" s="66" t="e">
        <f>Q1967*dagenperjaar1</f>
        <v>#DIV/0!</v>
      </c>
      <c r="U1967" s="70" t="e">
        <f>T1967*ROUND(P1967,2)</f>
        <v>#DIV/0!</v>
      </c>
    </row>
    <row r="1968" spans="1:21" x14ac:dyDescent="0.2">
      <c r="A1968" s="63" t="s">
        <v>2099</v>
      </c>
      <c r="B1968" s="64" t="s">
        <v>324</v>
      </c>
      <c r="C1968" s="64" t="s">
        <v>323</v>
      </c>
      <c r="D1968" s="64" t="s">
        <v>2418</v>
      </c>
      <c r="E1968" s="64" t="s">
        <v>2419</v>
      </c>
      <c r="F1968" s="65" t="s">
        <v>641</v>
      </c>
      <c r="G1968" s="64" t="s">
        <v>2128</v>
      </c>
      <c r="H1968" s="64" t="s">
        <v>255</v>
      </c>
      <c r="I1968" s="64" t="s">
        <v>10</v>
      </c>
      <c r="J1968" s="64" t="s">
        <v>201</v>
      </c>
      <c r="K1968" s="66">
        <v>7.28</v>
      </c>
      <c r="L1968" s="66">
        <f>K1968*VLOOKUP(I1968,dagsoorttabel1,2,FALSE)</f>
        <v>7.28</v>
      </c>
      <c r="M1968" s="67">
        <f>prodnorm59</f>
        <v>0</v>
      </c>
      <c r="N1968" s="68">
        <f>dagwerk59</f>
        <v>0</v>
      </c>
      <c r="O1968" s="64" t="s">
        <v>38</v>
      </c>
      <c r="P1968" s="69">
        <f>uurtarief59</f>
        <v>0</v>
      </c>
      <c r="Q1968" s="66" t="e">
        <f>IF(ISBLANK(M1968),0,L1968/ROUND(M1968,4))</f>
        <v>#DIV/0!</v>
      </c>
      <c r="R1968" s="66" t="e">
        <f>IF(ISBLANK(M1968),0,Q1968*ROUND(N1968,2))</f>
        <v>#DIV/0!</v>
      </c>
      <c r="S1968" s="69" t="e">
        <f>ROUND(P1968,2)*Q1968</f>
        <v>#DIV/0!</v>
      </c>
      <c r="T1968" s="66" t="e">
        <f>Q1968*dagenperjaar1</f>
        <v>#DIV/0!</v>
      </c>
      <c r="U1968" s="70" t="e">
        <f>T1968*ROUND(P1968,2)</f>
        <v>#DIV/0!</v>
      </c>
    </row>
    <row r="1969" spans="1:21" x14ac:dyDescent="0.2">
      <c r="A1969" s="63" t="s">
        <v>2099</v>
      </c>
      <c r="B1969" s="64" t="s">
        <v>324</v>
      </c>
      <c r="C1969" s="64" t="s">
        <v>323</v>
      </c>
      <c r="D1969" s="64" t="s">
        <v>2418</v>
      </c>
      <c r="E1969" s="64" t="s">
        <v>2419</v>
      </c>
      <c r="F1969" s="65" t="s">
        <v>641</v>
      </c>
      <c r="G1969" s="64" t="s">
        <v>2128</v>
      </c>
      <c r="H1969" s="64" t="s">
        <v>257</v>
      </c>
      <c r="I1969" s="64" t="s">
        <v>10</v>
      </c>
      <c r="J1969" s="64" t="s">
        <v>201</v>
      </c>
      <c r="K1969" s="66">
        <v>7.28</v>
      </c>
      <c r="L1969" s="66">
        <f>K1969*VLOOKUP(I1969,dagsoorttabel1,2,FALSE)</f>
        <v>7.28</v>
      </c>
      <c r="M1969" s="67">
        <f>prodnorm60</f>
        <v>0</v>
      </c>
      <c r="N1969" s="68">
        <f>dagwerk60</f>
        <v>0</v>
      </c>
      <c r="O1969" s="64" t="s">
        <v>38</v>
      </c>
      <c r="P1969" s="69">
        <f>uurtarief60</f>
        <v>0</v>
      </c>
      <c r="Q1969" s="66" t="e">
        <f>IF(ISBLANK(M1969),0,L1969/ROUND(M1969,4))</f>
        <v>#DIV/0!</v>
      </c>
      <c r="R1969" s="66" t="e">
        <f>IF(ISBLANK(M1969),0,Q1969*ROUND(N1969,2))</f>
        <v>#DIV/0!</v>
      </c>
      <c r="S1969" s="69" t="e">
        <f>ROUND(P1969,2)*Q1969</f>
        <v>#DIV/0!</v>
      </c>
      <c r="T1969" s="66" t="e">
        <f>Q1969*dagenperjaar1</f>
        <v>#DIV/0!</v>
      </c>
      <c r="U1969" s="70" t="e">
        <f>T1969*ROUND(P1969,2)</f>
        <v>#DIV/0!</v>
      </c>
    </row>
    <row r="1970" spans="1:21" x14ac:dyDescent="0.2">
      <c r="A1970" s="63" t="s">
        <v>2099</v>
      </c>
      <c r="B1970" s="64" t="s">
        <v>324</v>
      </c>
      <c r="C1970" s="64" t="s">
        <v>323</v>
      </c>
      <c r="D1970" s="64" t="s">
        <v>2420</v>
      </c>
      <c r="E1970" s="64" t="s">
        <v>2421</v>
      </c>
      <c r="F1970" s="65" t="s">
        <v>2422</v>
      </c>
      <c r="G1970" s="64" t="s">
        <v>328</v>
      </c>
      <c r="H1970" s="64" t="s">
        <v>273</v>
      </c>
      <c r="I1970" s="64" t="s">
        <v>16</v>
      </c>
      <c r="J1970" s="64" t="s">
        <v>274</v>
      </c>
      <c r="K1970" s="66">
        <v>51.43</v>
      </c>
      <c r="L1970" s="66">
        <f>K1970*VLOOKUP(I1970,dagsoorttabel1,2,FALSE)</f>
        <v>10.286000000000001</v>
      </c>
      <c r="M1970" s="67">
        <f>prodnorm12</f>
        <v>0</v>
      </c>
      <c r="N1970" s="68">
        <f>dagwerk12</f>
        <v>0</v>
      </c>
      <c r="O1970" s="64" t="s">
        <v>38</v>
      </c>
      <c r="P1970" s="69">
        <f>uurtarief12</f>
        <v>0</v>
      </c>
      <c r="Q1970" s="66" t="e">
        <f>IF(ISBLANK(M1970),0,L1970/ROUND(M1970,4))</f>
        <v>#DIV/0!</v>
      </c>
      <c r="R1970" s="66" t="e">
        <f>IF(ISBLANK(M1970),0,Q1970*ROUND(N1970,2))</f>
        <v>#DIV/0!</v>
      </c>
      <c r="S1970" s="69" t="e">
        <f>ROUND(P1970,2)*Q1970</f>
        <v>#DIV/0!</v>
      </c>
      <c r="T1970" s="66" t="e">
        <f>Q1970*dagenperjaar1</f>
        <v>#DIV/0!</v>
      </c>
      <c r="U1970" s="70" t="e">
        <f>T1970*ROUND(P1970,2)</f>
        <v>#DIV/0!</v>
      </c>
    </row>
    <row r="1971" spans="1:21" x14ac:dyDescent="0.2">
      <c r="A1971" s="63" t="s">
        <v>2099</v>
      </c>
      <c r="B1971" s="64" t="s">
        <v>324</v>
      </c>
      <c r="C1971" s="64" t="s">
        <v>323</v>
      </c>
      <c r="D1971" s="64" t="s">
        <v>2420</v>
      </c>
      <c r="E1971" s="64" t="s">
        <v>2421</v>
      </c>
      <c r="F1971" s="65" t="s">
        <v>2422</v>
      </c>
      <c r="G1971" s="64" t="s">
        <v>328</v>
      </c>
      <c r="H1971" s="64" t="s">
        <v>229</v>
      </c>
      <c r="I1971" s="64" t="s">
        <v>10</v>
      </c>
      <c r="J1971" s="64" t="s">
        <v>201</v>
      </c>
      <c r="K1971" s="66">
        <v>51.43</v>
      </c>
      <c r="L1971" s="66">
        <f>K1971*VLOOKUP(I1971,dagsoorttabel1,2,FALSE)</f>
        <v>51.43</v>
      </c>
      <c r="M1971" s="67">
        <f>prodnorm43</f>
        <v>0</v>
      </c>
      <c r="N1971" s="68">
        <f>dagwerk43</f>
        <v>0</v>
      </c>
      <c r="O1971" s="64" t="s">
        <v>38</v>
      </c>
      <c r="P1971" s="69">
        <f>uurtarief43</f>
        <v>0</v>
      </c>
      <c r="Q1971" s="66" t="e">
        <f>IF(ISBLANK(M1971),0,L1971/ROUND(M1971,4))</f>
        <v>#DIV/0!</v>
      </c>
      <c r="R1971" s="66" t="e">
        <f>IF(ISBLANK(M1971),0,Q1971*ROUND(N1971,2))</f>
        <v>#DIV/0!</v>
      </c>
      <c r="S1971" s="69" t="e">
        <f>ROUND(P1971,2)*Q1971</f>
        <v>#DIV/0!</v>
      </c>
      <c r="T1971" s="66" t="e">
        <f>Q1971*dagenperjaar1</f>
        <v>#DIV/0!</v>
      </c>
      <c r="U1971" s="70" t="e">
        <f>T1971*ROUND(P1971,2)</f>
        <v>#DIV/0!</v>
      </c>
    </row>
    <row r="1972" spans="1:21" x14ac:dyDescent="0.2">
      <c r="A1972" s="63" t="s">
        <v>2099</v>
      </c>
      <c r="B1972" s="64" t="s">
        <v>324</v>
      </c>
      <c r="C1972" s="64" t="s">
        <v>323</v>
      </c>
      <c r="D1972" s="64" t="s">
        <v>2423</v>
      </c>
      <c r="E1972" s="64" t="s">
        <v>2424</v>
      </c>
      <c r="F1972" s="65" t="s">
        <v>2415</v>
      </c>
      <c r="G1972" s="64" t="s">
        <v>328</v>
      </c>
      <c r="H1972" s="64" t="s">
        <v>249</v>
      </c>
      <c r="I1972" s="64" t="s">
        <v>10</v>
      </c>
      <c r="J1972" s="64" t="s">
        <v>201</v>
      </c>
      <c r="K1972" s="66">
        <v>60.37</v>
      </c>
      <c r="L1972" s="66">
        <f>K1972*VLOOKUP(I1972,dagsoorttabel1,2,FALSE)</f>
        <v>60.37</v>
      </c>
      <c r="M1972" s="67">
        <f>prodnorm56</f>
        <v>0</v>
      </c>
      <c r="N1972" s="68">
        <f>dagwerk56</f>
        <v>0</v>
      </c>
      <c r="O1972" s="64" t="s">
        <v>38</v>
      </c>
      <c r="P1972" s="69">
        <f>uurtarief56</f>
        <v>0</v>
      </c>
      <c r="Q1972" s="66" t="e">
        <f>IF(ISBLANK(M1972),0,L1972/ROUND(M1972,4))</f>
        <v>#DIV/0!</v>
      </c>
      <c r="R1972" s="66" t="e">
        <f>IF(ISBLANK(M1972),0,Q1972*ROUND(N1972,2))</f>
        <v>#DIV/0!</v>
      </c>
      <c r="S1972" s="69" t="e">
        <f>ROUND(P1972,2)*Q1972</f>
        <v>#DIV/0!</v>
      </c>
      <c r="T1972" s="66" t="e">
        <f>Q1972*dagenperjaar1</f>
        <v>#DIV/0!</v>
      </c>
      <c r="U1972" s="70" t="e">
        <f>T1972*ROUND(P1972,2)</f>
        <v>#DIV/0!</v>
      </c>
    </row>
    <row r="1973" spans="1:21" x14ac:dyDescent="0.2">
      <c r="A1973" s="63" t="s">
        <v>2099</v>
      </c>
      <c r="B1973" s="64" t="s">
        <v>324</v>
      </c>
      <c r="C1973" s="64" t="s">
        <v>323</v>
      </c>
      <c r="D1973" s="64" t="s">
        <v>2425</v>
      </c>
      <c r="E1973" s="64" t="s">
        <v>1970</v>
      </c>
      <c r="F1973" s="65" t="s">
        <v>2426</v>
      </c>
      <c r="G1973" s="64" t="s">
        <v>328</v>
      </c>
      <c r="H1973" s="64" t="s">
        <v>273</v>
      </c>
      <c r="I1973" s="64" t="s">
        <v>16</v>
      </c>
      <c r="J1973" s="64" t="s">
        <v>274</v>
      </c>
      <c r="K1973" s="66">
        <v>59.58</v>
      </c>
      <c r="L1973" s="66">
        <f>K1973*VLOOKUP(I1973,dagsoorttabel1,2,FALSE)</f>
        <v>11.916</v>
      </c>
      <c r="M1973" s="67">
        <f>prodnorm12</f>
        <v>0</v>
      </c>
      <c r="N1973" s="68">
        <f>dagwerk12</f>
        <v>0</v>
      </c>
      <c r="O1973" s="64" t="s">
        <v>38</v>
      </c>
      <c r="P1973" s="69">
        <f>uurtarief12</f>
        <v>0</v>
      </c>
      <c r="Q1973" s="66" t="e">
        <f>IF(ISBLANK(M1973),0,L1973/ROUND(M1973,4))</f>
        <v>#DIV/0!</v>
      </c>
      <c r="R1973" s="66" t="e">
        <f>IF(ISBLANK(M1973),0,Q1973*ROUND(N1973,2))</f>
        <v>#DIV/0!</v>
      </c>
      <c r="S1973" s="69" t="e">
        <f>ROUND(P1973,2)*Q1973</f>
        <v>#DIV/0!</v>
      </c>
      <c r="T1973" s="66" t="e">
        <f>Q1973*dagenperjaar1</f>
        <v>#DIV/0!</v>
      </c>
      <c r="U1973" s="70" t="e">
        <f>T1973*ROUND(P1973,2)</f>
        <v>#DIV/0!</v>
      </c>
    </row>
    <row r="1974" spans="1:21" x14ac:dyDescent="0.2">
      <c r="A1974" s="63" t="s">
        <v>2099</v>
      </c>
      <c r="B1974" s="64" t="s">
        <v>324</v>
      </c>
      <c r="C1974" s="64" t="s">
        <v>323</v>
      </c>
      <c r="D1974" s="64" t="s">
        <v>2425</v>
      </c>
      <c r="E1974" s="64" t="s">
        <v>1970</v>
      </c>
      <c r="F1974" s="65" t="s">
        <v>2426</v>
      </c>
      <c r="G1974" s="64" t="s">
        <v>328</v>
      </c>
      <c r="H1974" s="64" t="s">
        <v>229</v>
      </c>
      <c r="I1974" s="64" t="s">
        <v>10</v>
      </c>
      <c r="J1974" s="64" t="s">
        <v>201</v>
      </c>
      <c r="K1974" s="66">
        <v>59.58</v>
      </c>
      <c r="L1974" s="66">
        <f>K1974*VLOOKUP(I1974,dagsoorttabel1,2,FALSE)</f>
        <v>59.58</v>
      </c>
      <c r="M1974" s="67">
        <f>prodnorm43</f>
        <v>0</v>
      </c>
      <c r="N1974" s="68">
        <f>dagwerk43</f>
        <v>0</v>
      </c>
      <c r="O1974" s="64" t="s">
        <v>38</v>
      </c>
      <c r="P1974" s="69">
        <f>uurtarief43</f>
        <v>0</v>
      </c>
      <c r="Q1974" s="66" t="e">
        <f>IF(ISBLANK(M1974),0,L1974/ROUND(M1974,4))</f>
        <v>#DIV/0!</v>
      </c>
      <c r="R1974" s="66" t="e">
        <f>IF(ISBLANK(M1974),0,Q1974*ROUND(N1974,2))</f>
        <v>#DIV/0!</v>
      </c>
      <c r="S1974" s="69" t="e">
        <f>ROUND(P1974,2)*Q1974</f>
        <v>#DIV/0!</v>
      </c>
      <c r="T1974" s="66" t="e">
        <f>Q1974*dagenperjaar1</f>
        <v>#DIV/0!</v>
      </c>
      <c r="U1974" s="70" t="e">
        <f>T1974*ROUND(P1974,2)</f>
        <v>#DIV/0!</v>
      </c>
    </row>
    <row r="1975" spans="1:21" x14ac:dyDescent="0.2">
      <c r="A1975" s="63" t="s">
        <v>2099</v>
      </c>
      <c r="B1975" s="64" t="s">
        <v>324</v>
      </c>
      <c r="C1975" s="64" t="s">
        <v>323</v>
      </c>
      <c r="D1975" s="64" t="s">
        <v>2427</v>
      </c>
      <c r="E1975" s="64" t="s">
        <v>1973</v>
      </c>
      <c r="F1975" s="65" t="s">
        <v>2428</v>
      </c>
      <c r="G1975" s="64" t="s">
        <v>328</v>
      </c>
      <c r="H1975" s="64" t="s">
        <v>237</v>
      </c>
      <c r="I1975" s="64" t="s">
        <v>19</v>
      </c>
      <c r="J1975" s="64" t="s">
        <v>201</v>
      </c>
      <c r="K1975" s="66">
        <v>17.510000000000002</v>
      </c>
      <c r="L1975" s="66">
        <f>K1975*VLOOKUP(I1975,dagsoorttabel1,2,FALSE)</f>
        <v>0.87550000000000017</v>
      </c>
      <c r="M1975" s="67">
        <f>prodnorm47</f>
        <v>0</v>
      </c>
      <c r="N1975" s="68">
        <f>dagwerk47</f>
        <v>0</v>
      </c>
      <c r="O1975" s="64" t="s">
        <v>38</v>
      </c>
      <c r="P1975" s="69">
        <f>uurtarief47</f>
        <v>0</v>
      </c>
      <c r="Q1975" s="66" t="e">
        <f>IF(ISBLANK(M1975),0,L1975/ROUND(M1975,4))</f>
        <v>#DIV/0!</v>
      </c>
      <c r="R1975" s="66" t="e">
        <f>IF(ISBLANK(M1975),0,Q1975*ROUND(N1975,2))</f>
        <v>#DIV/0!</v>
      </c>
      <c r="S1975" s="69" t="e">
        <f>ROUND(P1975,2)*Q1975</f>
        <v>#DIV/0!</v>
      </c>
      <c r="T1975" s="66" t="e">
        <f>Q1975*dagenperjaar1</f>
        <v>#DIV/0!</v>
      </c>
      <c r="U1975" s="70" t="e">
        <f>T1975*ROUND(P1975,2)</f>
        <v>#DIV/0!</v>
      </c>
    </row>
    <row r="1976" spans="1:21" x14ac:dyDescent="0.2">
      <c r="A1976" s="63" t="s">
        <v>2099</v>
      </c>
      <c r="B1976" s="64" t="s">
        <v>324</v>
      </c>
      <c r="C1976" s="64" t="s">
        <v>323</v>
      </c>
      <c r="D1976" s="64" t="s">
        <v>2429</v>
      </c>
      <c r="E1976" s="64" t="s">
        <v>1974</v>
      </c>
      <c r="F1976" s="65" t="s">
        <v>2426</v>
      </c>
      <c r="G1976" s="64" t="s">
        <v>328</v>
      </c>
      <c r="H1976" s="64" t="s">
        <v>273</v>
      </c>
      <c r="I1976" s="64" t="s">
        <v>16</v>
      </c>
      <c r="J1976" s="64" t="s">
        <v>274</v>
      </c>
      <c r="K1976" s="66">
        <v>59.67</v>
      </c>
      <c r="L1976" s="66">
        <f>K1976*VLOOKUP(I1976,dagsoorttabel1,2,FALSE)</f>
        <v>11.934000000000001</v>
      </c>
      <c r="M1976" s="67">
        <f>prodnorm12</f>
        <v>0</v>
      </c>
      <c r="N1976" s="68">
        <f>dagwerk12</f>
        <v>0</v>
      </c>
      <c r="O1976" s="64" t="s">
        <v>38</v>
      </c>
      <c r="P1976" s="69">
        <f>uurtarief12</f>
        <v>0</v>
      </c>
      <c r="Q1976" s="66" t="e">
        <f>IF(ISBLANK(M1976),0,L1976/ROUND(M1976,4))</f>
        <v>#DIV/0!</v>
      </c>
      <c r="R1976" s="66" t="e">
        <f>IF(ISBLANK(M1976),0,Q1976*ROUND(N1976,2))</f>
        <v>#DIV/0!</v>
      </c>
      <c r="S1976" s="69" t="e">
        <f>ROUND(P1976,2)*Q1976</f>
        <v>#DIV/0!</v>
      </c>
      <c r="T1976" s="66" t="e">
        <f>Q1976*dagenperjaar1</f>
        <v>#DIV/0!</v>
      </c>
      <c r="U1976" s="70" t="e">
        <f>T1976*ROUND(P1976,2)</f>
        <v>#DIV/0!</v>
      </c>
    </row>
    <row r="1977" spans="1:21" x14ac:dyDescent="0.2">
      <c r="A1977" s="63" t="s">
        <v>2099</v>
      </c>
      <c r="B1977" s="64" t="s">
        <v>324</v>
      </c>
      <c r="C1977" s="64" t="s">
        <v>323</v>
      </c>
      <c r="D1977" s="64" t="s">
        <v>2429</v>
      </c>
      <c r="E1977" s="64" t="s">
        <v>1974</v>
      </c>
      <c r="F1977" s="65" t="s">
        <v>2426</v>
      </c>
      <c r="G1977" s="64" t="s">
        <v>328</v>
      </c>
      <c r="H1977" s="64" t="s">
        <v>229</v>
      </c>
      <c r="I1977" s="64" t="s">
        <v>10</v>
      </c>
      <c r="J1977" s="64" t="s">
        <v>201</v>
      </c>
      <c r="K1977" s="66">
        <v>59.67</v>
      </c>
      <c r="L1977" s="66">
        <f>K1977*VLOOKUP(I1977,dagsoorttabel1,2,FALSE)</f>
        <v>59.67</v>
      </c>
      <c r="M1977" s="67">
        <f>prodnorm43</f>
        <v>0</v>
      </c>
      <c r="N1977" s="68">
        <f>dagwerk43</f>
        <v>0</v>
      </c>
      <c r="O1977" s="64" t="s">
        <v>38</v>
      </c>
      <c r="P1977" s="69">
        <f>uurtarief43</f>
        <v>0</v>
      </c>
      <c r="Q1977" s="66" t="e">
        <f>IF(ISBLANK(M1977),0,L1977/ROUND(M1977,4))</f>
        <v>#DIV/0!</v>
      </c>
      <c r="R1977" s="66" t="e">
        <f>IF(ISBLANK(M1977),0,Q1977*ROUND(N1977,2))</f>
        <v>#DIV/0!</v>
      </c>
      <c r="S1977" s="69" t="e">
        <f>ROUND(P1977,2)*Q1977</f>
        <v>#DIV/0!</v>
      </c>
      <c r="T1977" s="66" t="e">
        <f>Q1977*dagenperjaar1</f>
        <v>#DIV/0!</v>
      </c>
      <c r="U1977" s="70" t="e">
        <f>T1977*ROUND(P1977,2)</f>
        <v>#DIV/0!</v>
      </c>
    </row>
    <row r="1978" spans="1:21" x14ac:dyDescent="0.2">
      <c r="A1978" s="63" t="s">
        <v>2099</v>
      </c>
      <c r="B1978" s="64" t="s">
        <v>324</v>
      </c>
      <c r="C1978" s="64" t="s">
        <v>323</v>
      </c>
      <c r="D1978" s="64" t="s">
        <v>2430</v>
      </c>
      <c r="E1978" s="64" t="s">
        <v>1975</v>
      </c>
      <c r="F1978" s="65" t="s">
        <v>2278</v>
      </c>
      <c r="G1978" s="64" t="s">
        <v>328</v>
      </c>
      <c r="H1978" s="64" t="s">
        <v>273</v>
      </c>
      <c r="I1978" s="64" t="s">
        <v>16</v>
      </c>
      <c r="J1978" s="64" t="s">
        <v>274</v>
      </c>
      <c r="K1978" s="66">
        <v>59.51</v>
      </c>
      <c r="L1978" s="66">
        <f>K1978*VLOOKUP(I1978,dagsoorttabel1,2,FALSE)</f>
        <v>11.902000000000001</v>
      </c>
      <c r="M1978" s="67">
        <f>prodnorm12</f>
        <v>0</v>
      </c>
      <c r="N1978" s="68">
        <f>dagwerk12</f>
        <v>0</v>
      </c>
      <c r="O1978" s="64" t="s">
        <v>38</v>
      </c>
      <c r="P1978" s="69">
        <f>uurtarief12</f>
        <v>0</v>
      </c>
      <c r="Q1978" s="66" t="e">
        <f>IF(ISBLANK(M1978),0,L1978/ROUND(M1978,4))</f>
        <v>#DIV/0!</v>
      </c>
      <c r="R1978" s="66" t="e">
        <f>IF(ISBLANK(M1978),0,Q1978*ROUND(N1978,2))</f>
        <v>#DIV/0!</v>
      </c>
      <c r="S1978" s="69" t="e">
        <f>ROUND(P1978,2)*Q1978</f>
        <v>#DIV/0!</v>
      </c>
      <c r="T1978" s="66" t="e">
        <f>Q1978*dagenperjaar1</f>
        <v>#DIV/0!</v>
      </c>
      <c r="U1978" s="70" t="e">
        <f>T1978*ROUND(P1978,2)</f>
        <v>#DIV/0!</v>
      </c>
    </row>
    <row r="1979" spans="1:21" x14ac:dyDescent="0.2">
      <c r="A1979" s="63" t="s">
        <v>2099</v>
      </c>
      <c r="B1979" s="64" t="s">
        <v>324</v>
      </c>
      <c r="C1979" s="64" t="s">
        <v>323</v>
      </c>
      <c r="D1979" s="64" t="s">
        <v>2430</v>
      </c>
      <c r="E1979" s="64" t="s">
        <v>1975</v>
      </c>
      <c r="F1979" s="65" t="s">
        <v>2278</v>
      </c>
      <c r="G1979" s="64" t="s">
        <v>328</v>
      </c>
      <c r="H1979" s="64" t="s">
        <v>239</v>
      </c>
      <c r="I1979" s="64" t="s">
        <v>10</v>
      </c>
      <c r="J1979" s="64" t="s">
        <v>201</v>
      </c>
      <c r="K1979" s="66">
        <v>59.51</v>
      </c>
      <c r="L1979" s="66">
        <f>K1979*VLOOKUP(I1979,dagsoorttabel1,2,FALSE)</f>
        <v>59.51</v>
      </c>
      <c r="M1979" s="67">
        <f>prodnorm50</f>
        <v>0</v>
      </c>
      <c r="N1979" s="68">
        <f>dagwerk50</f>
        <v>0</v>
      </c>
      <c r="O1979" s="64" t="s">
        <v>38</v>
      </c>
      <c r="P1979" s="69">
        <f>uurtarief50</f>
        <v>0</v>
      </c>
      <c r="Q1979" s="66" t="e">
        <f>IF(ISBLANK(M1979),0,L1979/ROUND(M1979,4))</f>
        <v>#DIV/0!</v>
      </c>
      <c r="R1979" s="66" t="e">
        <f>IF(ISBLANK(M1979),0,Q1979*ROUND(N1979,2))</f>
        <v>#DIV/0!</v>
      </c>
      <c r="S1979" s="69" t="e">
        <f>ROUND(P1979,2)*Q1979</f>
        <v>#DIV/0!</v>
      </c>
      <c r="T1979" s="66" t="e">
        <f>Q1979*dagenperjaar1</f>
        <v>#DIV/0!</v>
      </c>
      <c r="U1979" s="70" t="e">
        <f>T1979*ROUND(P1979,2)</f>
        <v>#DIV/0!</v>
      </c>
    </row>
    <row r="1980" spans="1:21" x14ac:dyDescent="0.2">
      <c r="A1980" s="63" t="s">
        <v>2099</v>
      </c>
      <c r="B1980" s="64" t="s">
        <v>324</v>
      </c>
      <c r="C1980" s="64" t="s">
        <v>323</v>
      </c>
      <c r="D1980" s="64" t="s">
        <v>2431</v>
      </c>
      <c r="E1980" s="64" t="s">
        <v>2432</v>
      </c>
      <c r="F1980" s="65" t="s">
        <v>2152</v>
      </c>
      <c r="G1980" s="64" t="s">
        <v>328</v>
      </c>
      <c r="H1980" s="64" t="s">
        <v>273</v>
      </c>
      <c r="I1980" s="64" t="s">
        <v>16</v>
      </c>
      <c r="J1980" s="64" t="s">
        <v>274</v>
      </c>
      <c r="K1980" s="66">
        <v>51.28</v>
      </c>
      <c r="L1980" s="66">
        <f>K1980*VLOOKUP(I1980,dagsoorttabel1,2,FALSE)</f>
        <v>10.256</v>
      </c>
      <c r="M1980" s="67">
        <f>prodnorm12</f>
        <v>0</v>
      </c>
      <c r="N1980" s="68">
        <f>dagwerk12</f>
        <v>0</v>
      </c>
      <c r="O1980" s="64" t="s">
        <v>38</v>
      </c>
      <c r="P1980" s="69">
        <f>uurtarief12</f>
        <v>0</v>
      </c>
      <c r="Q1980" s="66" t="e">
        <f>IF(ISBLANK(M1980),0,L1980/ROUND(M1980,4))</f>
        <v>#DIV/0!</v>
      </c>
      <c r="R1980" s="66" t="e">
        <f>IF(ISBLANK(M1980),0,Q1980*ROUND(N1980,2))</f>
        <v>#DIV/0!</v>
      </c>
      <c r="S1980" s="69" t="e">
        <f>ROUND(P1980,2)*Q1980</f>
        <v>#DIV/0!</v>
      </c>
      <c r="T1980" s="66" t="e">
        <f>Q1980*dagenperjaar1</f>
        <v>#DIV/0!</v>
      </c>
      <c r="U1980" s="70" t="e">
        <f>T1980*ROUND(P1980,2)</f>
        <v>#DIV/0!</v>
      </c>
    </row>
    <row r="1981" spans="1:21" x14ac:dyDescent="0.2">
      <c r="A1981" s="63" t="s">
        <v>2099</v>
      </c>
      <c r="B1981" s="64" t="s">
        <v>324</v>
      </c>
      <c r="C1981" s="64" t="s">
        <v>323</v>
      </c>
      <c r="D1981" s="64" t="s">
        <v>2431</v>
      </c>
      <c r="E1981" s="64" t="s">
        <v>2432</v>
      </c>
      <c r="F1981" s="65" t="s">
        <v>2152</v>
      </c>
      <c r="G1981" s="64" t="s">
        <v>328</v>
      </c>
      <c r="H1981" s="64" t="s">
        <v>229</v>
      </c>
      <c r="I1981" s="64" t="s">
        <v>10</v>
      </c>
      <c r="J1981" s="64" t="s">
        <v>201</v>
      </c>
      <c r="K1981" s="66">
        <v>51.28</v>
      </c>
      <c r="L1981" s="66">
        <f>K1981*VLOOKUP(I1981,dagsoorttabel1,2,FALSE)</f>
        <v>51.28</v>
      </c>
      <c r="M1981" s="67">
        <f>prodnorm43</f>
        <v>0</v>
      </c>
      <c r="N1981" s="68">
        <f>dagwerk43</f>
        <v>0</v>
      </c>
      <c r="O1981" s="64" t="s">
        <v>38</v>
      </c>
      <c r="P1981" s="69">
        <f>uurtarief43</f>
        <v>0</v>
      </c>
      <c r="Q1981" s="66" t="e">
        <f>IF(ISBLANK(M1981),0,L1981/ROUND(M1981,4))</f>
        <v>#DIV/0!</v>
      </c>
      <c r="R1981" s="66" t="e">
        <f>IF(ISBLANK(M1981),0,Q1981*ROUND(N1981,2))</f>
        <v>#DIV/0!</v>
      </c>
      <c r="S1981" s="69" t="e">
        <f>ROUND(P1981,2)*Q1981</f>
        <v>#DIV/0!</v>
      </c>
      <c r="T1981" s="66" t="e">
        <f>Q1981*dagenperjaar1</f>
        <v>#DIV/0!</v>
      </c>
      <c r="U1981" s="70" t="e">
        <f>T1981*ROUND(P1981,2)</f>
        <v>#DIV/0!</v>
      </c>
    </row>
    <row r="1982" spans="1:21" x14ac:dyDescent="0.2">
      <c r="A1982" s="63" t="s">
        <v>2099</v>
      </c>
      <c r="B1982" s="64" t="s">
        <v>324</v>
      </c>
      <c r="C1982" s="64" t="s">
        <v>323</v>
      </c>
      <c r="D1982" s="64" t="s">
        <v>2433</v>
      </c>
      <c r="E1982" s="64" t="s">
        <v>2434</v>
      </c>
      <c r="F1982" s="65" t="s">
        <v>834</v>
      </c>
      <c r="G1982" s="64" t="s">
        <v>328</v>
      </c>
      <c r="H1982" s="64" t="s">
        <v>267</v>
      </c>
      <c r="I1982" s="64" t="s">
        <v>10</v>
      </c>
      <c r="J1982" s="64" t="s">
        <v>201</v>
      </c>
      <c r="K1982" s="66">
        <v>77.400000000000006</v>
      </c>
      <c r="L1982" s="66">
        <f>K1982*VLOOKUP(I1982,dagsoorttabel1,2,FALSE)</f>
        <v>77.400000000000006</v>
      </c>
      <c r="M1982" s="67">
        <f>prodnorm65</f>
        <v>0</v>
      </c>
      <c r="N1982" s="68">
        <f>dagwerk65</f>
        <v>0</v>
      </c>
      <c r="O1982" s="64" t="s">
        <v>38</v>
      </c>
      <c r="P1982" s="69">
        <f>uurtarief65</f>
        <v>0</v>
      </c>
      <c r="Q1982" s="66" t="e">
        <f>IF(ISBLANK(M1982),0,L1982/ROUND(M1982,4))</f>
        <v>#DIV/0!</v>
      </c>
      <c r="R1982" s="66" t="e">
        <f>IF(ISBLANK(M1982),0,Q1982*ROUND(N1982,2))</f>
        <v>#DIV/0!</v>
      </c>
      <c r="S1982" s="69" t="e">
        <f>ROUND(P1982,2)*Q1982</f>
        <v>#DIV/0!</v>
      </c>
      <c r="T1982" s="66" t="e">
        <f>Q1982*dagenperjaar1</f>
        <v>#DIV/0!</v>
      </c>
      <c r="U1982" s="70" t="e">
        <f>T1982*ROUND(P1982,2)</f>
        <v>#DIV/0!</v>
      </c>
    </row>
    <row r="1983" spans="1:21" x14ac:dyDescent="0.2">
      <c r="A1983" s="63" t="s">
        <v>2099</v>
      </c>
      <c r="B1983" s="64" t="s">
        <v>324</v>
      </c>
      <c r="C1983" s="64" t="s">
        <v>323</v>
      </c>
      <c r="D1983" s="64" t="s">
        <v>2435</v>
      </c>
      <c r="E1983" s="64" t="s">
        <v>2436</v>
      </c>
      <c r="F1983" s="65" t="s">
        <v>641</v>
      </c>
      <c r="G1983" s="64" t="s">
        <v>2128</v>
      </c>
      <c r="H1983" s="64" t="s">
        <v>255</v>
      </c>
      <c r="I1983" s="64" t="s">
        <v>10</v>
      </c>
      <c r="J1983" s="64" t="s">
        <v>201</v>
      </c>
      <c r="K1983" s="66">
        <v>7.28</v>
      </c>
      <c r="L1983" s="66">
        <f>K1983*VLOOKUP(I1983,dagsoorttabel1,2,FALSE)</f>
        <v>7.28</v>
      </c>
      <c r="M1983" s="67">
        <f>prodnorm59</f>
        <v>0</v>
      </c>
      <c r="N1983" s="68">
        <f>dagwerk59</f>
        <v>0</v>
      </c>
      <c r="O1983" s="64" t="s">
        <v>38</v>
      </c>
      <c r="P1983" s="69">
        <f>uurtarief59</f>
        <v>0</v>
      </c>
      <c r="Q1983" s="66" t="e">
        <f>IF(ISBLANK(M1983),0,L1983/ROUND(M1983,4))</f>
        <v>#DIV/0!</v>
      </c>
      <c r="R1983" s="66" t="e">
        <f>IF(ISBLANK(M1983),0,Q1983*ROUND(N1983,2))</f>
        <v>#DIV/0!</v>
      </c>
      <c r="S1983" s="69" t="e">
        <f>ROUND(P1983,2)*Q1983</f>
        <v>#DIV/0!</v>
      </c>
      <c r="T1983" s="66" t="e">
        <f>Q1983*dagenperjaar1</f>
        <v>#DIV/0!</v>
      </c>
      <c r="U1983" s="70" t="e">
        <f>T1983*ROUND(P1983,2)</f>
        <v>#DIV/0!</v>
      </c>
    </row>
    <row r="1984" spans="1:21" x14ac:dyDescent="0.2">
      <c r="A1984" s="63" t="s">
        <v>2099</v>
      </c>
      <c r="B1984" s="64" t="s">
        <v>324</v>
      </c>
      <c r="C1984" s="64" t="s">
        <v>323</v>
      </c>
      <c r="D1984" s="64" t="s">
        <v>2435</v>
      </c>
      <c r="E1984" s="64" t="s">
        <v>2436</v>
      </c>
      <c r="F1984" s="65" t="s">
        <v>641</v>
      </c>
      <c r="G1984" s="64" t="s">
        <v>2128</v>
      </c>
      <c r="H1984" s="64" t="s">
        <v>257</v>
      </c>
      <c r="I1984" s="64" t="s">
        <v>10</v>
      </c>
      <c r="J1984" s="64" t="s">
        <v>201</v>
      </c>
      <c r="K1984" s="66">
        <v>7.28</v>
      </c>
      <c r="L1984" s="66">
        <f>K1984*VLOOKUP(I1984,dagsoorttabel1,2,FALSE)</f>
        <v>7.28</v>
      </c>
      <c r="M1984" s="67">
        <f>prodnorm60</f>
        <v>0</v>
      </c>
      <c r="N1984" s="68">
        <f>dagwerk60</f>
        <v>0</v>
      </c>
      <c r="O1984" s="64" t="s">
        <v>38</v>
      </c>
      <c r="P1984" s="69">
        <f>uurtarief60</f>
        <v>0</v>
      </c>
      <c r="Q1984" s="66" t="e">
        <f>IF(ISBLANK(M1984),0,L1984/ROUND(M1984,4))</f>
        <v>#DIV/0!</v>
      </c>
      <c r="R1984" s="66" t="e">
        <f>IF(ISBLANK(M1984),0,Q1984*ROUND(N1984,2))</f>
        <v>#DIV/0!</v>
      </c>
      <c r="S1984" s="69" t="e">
        <f>ROUND(P1984,2)*Q1984</f>
        <v>#DIV/0!</v>
      </c>
      <c r="T1984" s="66" t="e">
        <f>Q1984*dagenperjaar1</f>
        <v>#DIV/0!</v>
      </c>
      <c r="U1984" s="70" t="e">
        <f>T1984*ROUND(P1984,2)</f>
        <v>#DIV/0!</v>
      </c>
    </row>
    <row r="1985" spans="1:21" x14ac:dyDescent="0.2">
      <c r="A1985" s="63" t="s">
        <v>2099</v>
      </c>
      <c r="B1985" s="64" t="s">
        <v>324</v>
      </c>
      <c r="C1985" s="64" t="s">
        <v>323</v>
      </c>
      <c r="D1985" s="64" t="s">
        <v>2437</v>
      </c>
      <c r="E1985" s="64" t="s">
        <v>2438</v>
      </c>
      <c r="F1985" s="65" t="s">
        <v>2439</v>
      </c>
      <c r="G1985" s="64" t="s">
        <v>328</v>
      </c>
      <c r="H1985" s="64" t="s">
        <v>273</v>
      </c>
      <c r="I1985" s="64" t="s">
        <v>16</v>
      </c>
      <c r="J1985" s="64" t="s">
        <v>274</v>
      </c>
      <c r="K1985" s="66">
        <v>52.07</v>
      </c>
      <c r="L1985" s="66">
        <f>K1985*VLOOKUP(I1985,dagsoorttabel1,2,FALSE)</f>
        <v>10.414000000000001</v>
      </c>
      <c r="M1985" s="67">
        <f>prodnorm12</f>
        <v>0</v>
      </c>
      <c r="N1985" s="68">
        <f>dagwerk12</f>
        <v>0</v>
      </c>
      <c r="O1985" s="64" t="s">
        <v>38</v>
      </c>
      <c r="P1985" s="69">
        <f>uurtarief12</f>
        <v>0</v>
      </c>
      <c r="Q1985" s="66" t="e">
        <f>IF(ISBLANK(M1985),0,L1985/ROUND(M1985,4))</f>
        <v>#DIV/0!</v>
      </c>
      <c r="R1985" s="66" t="e">
        <f>IF(ISBLANK(M1985),0,Q1985*ROUND(N1985,2))</f>
        <v>#DIV/0!</v>
      </c>
      <c r="S1985" s="69" t="e">
        <f>ROUND(P1985,2)*Q1985</f>
        <v>#DIV/0!</v>
      </c>
      <c r="T1985" s="66" t="e">
        <f>Q1985*dagenperjaar1</f>
        <v>#DIV/0!</v>
      </c>
      <c r="U1985" s="70" t="e">
        <f>T1985*ROUND(P1985,2)</f>
        <v>#DIV/0!</v>
      </c>
    </row>
    <row r="1986" spans="1:21" x14ac:dyDescent="0.2">
      <c r="A1986" s="63" t="s">
        <v>2099</v>
      </c>
      <c r="B1986" s="64" t="s">
        <v>324</v>
      </c>
      <c r="C1986" s="64" t="s">
        <v>323</v>
      </c>
      <c r="D1986" s="64" t="s">
        <v>2437</v>
      </c>
      <c r="E1986" s="64" t="s">
        <v>2438</v>
      </c>
      <c r="F1986" s="65" t="s">
        <v>2439</v>
      </c>
      <c r="G1986" s="64" t="s">
        <v>328</v>
      </c>
      <c r="H1986" s="64" t="s">
        <v>229</v>
      </c>
      <c r="I1986" s="64" t="s">
        <v>10</v>
      </c>
      <c r="J1986" s="64" t="s">
        <v>201</v>
      </c>
      <c r="K1986" s="66">
        <v>52.07</v>
      </c>
      <c r="L1986" s="66">
        <f>K1986*VLOOKUP(I1986,dagsoorttabel1,2,FALSE)</f>
        <v>52.07</v>
      </c>
      <c r="M1986" s="67">
        <f>prodnorm43</f>
        <v>0</v>
      </c>
      <c r="N1986" s="68">
        <f>dagwerk43</f>
        <v>0</v>
      </c>
      <c r="O1986" s="64" t="s">
        <v>38</v>
      </c>
      <c r="P1986" s="69">
        <f>uurtarief43</f>
        <v>0</v>
      </c>
      <c r="Q1986" s="66" t="e">
        <f>IF(ISBLANK(M1986),0,L1986/ROUND(M1986,4))</f>
        <v>#DIV/0!</v>
      </c>
      <c r="R1986" s="66" t="e">
        <f>IF(ISBLANK(M1986),0,Q1986*ROUND(N1986,2))</f>
        <v>#DIV/0!</v>
      </c>
      <c r="S1986" s="69" t="e">
        <f>ROUND(P1986,2)*Q1986</f>
        <v>#DIV/0!</v>
      </c>
      <c r="T1986" s="66" t="e">
        <f>Q1986*dagenperjaar1</f>
        <v>#DIV/0!</v>
      </c>
      <c r="U1986" s="70" t="e">
        <f>T1986*ROUND(P1986,2)</f>
        <v>#DIV/0!</v>
      </c>
    </row>
    <row r="1987" spans="1:21" x14ac:dyDescent="0.2">
      <c r="A1987" s="63" t="s">
        <v>2099</v>
      </c>
      <c r="B1987" s="64" t="s">
        <v>324</v>
      </c>
      <c r="C1987" s="64" t="s">
        <v>323</v>
      </c>
      <c r="D1987" s="64" t="s">
        <v>2440</v>
      </c>
      <c r="E1987" s="64" t="s">
        <v>2441</v>
      </c>
      <c r="F1987" s="65" t="s">
        <v>2442</v>
      </c>
      <c r="G1987" s="64" t="s">
        <v>328</v>
      </c>
      <c r="H1987" s="64" t="s">
        <v>243</v>
      </c>
      <c r="I1987" s="64" t="s">
        <v>10</v>
      </c>
      <c r="J1987" s="64" t="s">
        <v>201</v>
      </c>
      <c r="K1987" s="66">
        <v>62.28</v>
      </c>
      <c r="L1987" s="66">
        <f>K1987*VLOOKUP(I1987,dagsoorttabel1,2,FALSE)</f>
        <v>62.28</v>
      </c>
      <c r="M1987" s="67">
        <f>prodnorm52</f>
        <v>0</v>
      </c>
      <c r="N1987" s="68">
        <f>dagwerk52</f>
        <v>0</v>
      </c>
      <c r="O1987" s="64" t="s">
        <v>38</v>
      </c>
      <c r="P1987" s="69">
        <f>uurtarief52</f>
        <v>0</v>
      </c>
      <c r="Q1987" s="66" t="e">
        <f>IF(ISBLANK(M1987),0,L1987/ROUND(M1987,4))</f>
        <v>#DIV/0!</v>
      </c>
      <c r="R1987" s="66" t="e">
        <f>IF(ISBLANK(M1987),0,Q1987*ROUND(N1987,2))</f>
        <v>#DIV/0!</v>
      </c>
      <c r="S1987" s="69" t="e">
        <f>ROUND(P1987,2)*Q1987</f>
        <v>#DIV/0!</v>
      </c>
      <c r="T1987" s="66" t="e">
        <f>Q1987*dagenperjaar1</f>
        <v>#DIV/0!</v>
      </c>
      <c r="U1987" s="70" t="e">
        <f>T1987*ROUND(P1987,2)</f>
        <v>#DIV/0!</v>
      </c>
    </row>
    <row r="1988" spans="1:21" x14ac:dyDescent="0.2">
      <c r="A1988" s="63" t="s">
        <v>2099</v>
      </c>
      <c r="B1988" s="64" t="s">
        <v>324</v>
      </c>
      <c r="C1988" s="64" t="s">
        <v>323</v>
      </c>
      <c r="D1988" s="64" t="s">
        <v>2443</v>
      </c>
      <c r="E1988" s="64" t="s">
        <v>2444</v>
      </c>
      <c r="F1988" s="65" t="s">
        <v>2445</v>
      </c>
      <c r="G1988" s="64" t="s">
        <v>328</v>
      </c>
      <c r="H1988" s="64" t="s">
        <v>243</v>
      </c>
      <c r="I1988" s="64" t="s">
        <v>10</v>
      </c>
      <c r="J1988" s="64" t="s">
        <v>201</v>
      </c>
      <c r="K1988" s="66">
        <v>52.120000000000005</v>
      </c>
      <c r="L1988" s="66">
        <f>K1988*VLOOKUP(I1988,dagsoorttabel1,2,FALSE)</f>
        <v>52.120000000000005</v>
      </c>
      <c r="M1988" s="67">
        <f>prodnorm52</f>
        <v>0</v>
      </c>
      <c r="N1988" s="68">
        <f>dagwerk52</f>
        <v>0</v>
      </c>
      <c r="O1988" s="64" t="s">
        <v>38</v>
      </c>
      <c r="P1988" s="69">
        <f>uurtarief52</f>
        <v>0</v>
      </c>
      <c r="Q1988" s="66" t="e">
        <f>IF(ISBLANK(M1988),0,L1988/ROUND(M1988,4))</f>
        <v>#DIV/0!</v>
      </c>
      <c r="R1988" s="66" t="e">
        <f>IF(ISBLANK(M1988),0,Q1988*ROUND(N1988,2))</f>
        <v>#DIV/0!</v>
      </c>
      <c r="S1988" s="69" t="e">
        <f>ROUND(P1988,2)*Q1988</f>
        <v>#DIV/0!</v>
      </c>
      <c r="T1988" s="66" t="e">
        <f>Q1988*dagenperjaar1</f>
        <v>#DIV/0!</v>
      </c>
      <c r="U1988" s="70" t="e">
        <f>T1988*ROUND(P1988,2)</f>
        <v>#DIV/0!</v>
      </c>
    </row>
    <row r="1989" spans="1:21" x14ac:dyDescent="0.2">
      <c r="A1989" s="63" t="s">
        <v>2099</v>
      </c>
      <c r="B1989" s="64" t="s">
        <v>324</v>
      </c>
      <c r="C1989" s="64" t="s">
        <v>323</v>
      </c>
      <c r="D1989" s="64" t="s">
        <v>2446</v>
      </c>
      <c r="E1989" s="64" t="s">
        <v>2447</v>
      </c>
      <c r="F1989" s="65" t="s">
        <v>2225</v>
      </c>
      <c r="G1989" s="64" t="s">
        <v>328</v>
      </c>
      <c r="H1989" s="64" t="s">
        <v>237</v>
      </c>
      <c r="I1989" s="64" t="s">
        <v>19</v>
      </c>
      <c r="J1989" s="64" t="s">
        <v>201</v>
      </c>
      <c r="K1989" s="66">
        <v>16.77</v>
      </c>
      <c r="L1989" s="66">
        <f>K1989*VLOOKUP(I1989,dagsoorttabel1,2,FALSE)</f>
        <v>0.83850000000000002</v>
      </c>
      <c r="M1989" s="67">
        <f>prodnorm47</f>
        <v>0</v>
      </c>
      <c r="N1989" s="68">
        <f>dagwerk47</f>
        <v>0</v>
      </c>
      <c r="O1989" s="64" t="s">
        <v>38</v>
      </c>
      <c r="P1989" s="69">
        <f>uurtarief47</f>
        <v>0</v>
      </c>
      <c r="Q1989" s="66" t="e">
        <f>IF(ISBLANK(M1989),0,L1989/ROUND(M1989,4))</f>
        <v>#DIV/0!</v>
      </c>
      <c r="R1989" s="66" t="e">
        <f>IF(ISBLANK(M1989),0,Q1989*ROUND(N1989,2))</f>
        <v>#DIV/0!</v>
      </c>
      <c r="S1989" s="69" t="e">
        <f>ROUND(P1989,2)*Q1989</f>
        <v>#DIV/0!</v>
      </c>
      <c r="T1989" s="66" t="e">
        <f>Q1989*dagenperjaar1</f>
        <v>#DIV/0!</v>
      </c>
      <c r="U1989" s="70" t="e">
        <f>T1989*ROUND(P1989,2)</f>
        <v>#DIV/0!</v>
      </c>
    </row>
    <row r="1990" spans="1:21" x14ac:dyDescent="0.2">
      <c r="A1990" s="63" t="s">
        <v>2099</v>
      </c>
      <c r="B1990" s="64" t="s">
        <v>324</v>
      </c>
      <c r="C1990" s="64" t="s">
        <v>323</v>
      </c>
      <c r="D1990" s="64" t="s">
        <v>2448</v>
      </c>
      <c r="E1990" s="64" t="s">
        <v>2449</v>
      </c>
      <c r="F1990" s="65" t="s">
        <v>834</v>
      </c>
      <c r="G1990" s="64" t="s">
        <v>328</v>
      </c>
      <c r="H1990" s="64" t="s">
        <v>267</v>
      </c>
      <c r="I1990" s="64" t="s">
        <v>10</v>
      </c>
      <c r="J1990" s="64" t="s">
        <v>201</v>
      </c>
      <c r="K1990" s="66">
        <v>104.09</v>
      </c>
      <c r="L1990" s="66">
        <f>K1990*VLOOKUP(I1990,dagsoorttabel1,2,FALSE)</f>
        <v>104.09</v>
      </c>
      <c r="M1990" s="67">
        <f>prodnorm65</f>
        <v>0</v>
      </c>
      <c r="N1990" s="68">
        <f>dagwerk65</f>
        <v>0</v>
      </c>
      <c r="O1990" s="64" t="s">
        <v>38</v>
      </c>
      <c r="P1990" s="69">
        <f>uurtarief65</f>
        <v>0</v>
      </c>
      <c r="Q1990" s="66" t="e">
        <f>IF(ISBLANK(M1990),0,L1990/ROUND(M1990,4))</f>
        <v>#DIV/0!</v>
      </c>
      <c r="R1990" s="66" t="e">
        <f>IF(ISBLANK(M1990),0,Q1990*ROUND(N1990,2))</f>
        <v>#DIV/0!</v>
      </c>
      <c r="S1990" s="69" t="e">
        <f>ROUND(P1990,2)*Q1990</f>
        <v>#DIV/0!</v>
      </c>
      <c r="T1990" s="66" t="e">
        <f>Q1990*dagenperjaar1</f>
        <v>#DIV/0!</v>
      </c>
      <c r="U1990" s="70" t="e">
        <f>T1990*ROUND(P1990,2)</f>
        <v>#DIV/0!</v>
      </c>
    </row>
    <row r="1991" spans="1:21" x14ac:dyDescent="0.2">
      <c r="A1991" s="63" t="s">
        <v>2099</v>
      </c>
      <c r="B1991" s="64" t="s">
        <v>324</v>
      </c>
      <c r="C1991" s="64" t="s">
        <v>323</v>
      </c>
      <c r="D1991" s="64" t="s">
        <v>2450</v>
      </c>
      <c r="E1991" s="64" t="s">
        <v>2451</v>
      </c>
      <c r="F1991" s="65" t="s">
        <v>641</v>
      </c>
      <c r="G1991" s="64" t="s">
        <v>2128</v>
      </c>
      <c r="H1991" s="64" t="s">
        <v>255</v>
      </c>
      <c r="I1991" s="64" t="s">
        <v>10</v>
      </c>
      <c r="J1991" s="64" t="s">
        <v>201</v>
      </c>
      <c r="K1991" s="66">
        <v>11.1</v>
      </c>
      <c r="L1991" s="66">
        <f>K1991*VLOOKUP(I1991,dagsoorttabel1,2,FALSE)</f>
        <v>11.1</v>
      </c>
      <c r="M1991" s="67">
        <f>prodnorm59</f>
        <v>0</v>
      </c>
      <c r="N1991" s="68">
        <f>dagwerk59</f>
        <v>0</v>
      </c>
      <c r="O1991" s="64" t="s">
        <v>38</v>
      </c>
      <c r="P1991" s="69">
        <f>uurtarief59</f>
        <v>0</v>
      </c>
      <c r="Q1991" s="66" t="e">
        <f>IF(ISBLANK(M1991),0,L1991/ROUND(M1991,4))</f>
        <v>#DIV/0!</v>
      </c>
      <c r="R1991" s="66" t="e">
        <f>IF(ISBLANK(M1991),0,Q1991*ROUND(N1991,2))</f>
        <v>#DIV/0!</v>
      </c>
      <c r="S1991" s="69" t="e">
        <f>ROUND(P1991,2)*Q1991</f>
        <v>#DIV/0!</v>
      </c>
      <c r="T1991" s="66" t="e">
        <f>Q1991*dagenperjaar1</f>
        <v>#DIV/0!</v>
      </c>
      <c r="U1991" s="70" t="e">
        <f>T1991*ROUND(P1991,2)</f>
        <v>#DIV/0!</v>
      </c>
    </row>
    <row r="1992" spans="1:21" x14ac:dyDescent="0.2">
      <c r="A1992" s="63" t="s">
        <v>2099</v>
      </c>
      <c r="B1992" s="64" t="s">
        <v>324</v>
      </c>
      <c r="C1992" s="64" t="s">
        <v>323</v>
      </c>
      <c r="D1992" s="64" t="s">
        <v>2450</v>
      </c>
      <c r="E1992" s="64" t="s">
        <v>2451</v>
      </c>
      <c r="F1992" s="65" t="s">
        <v>641</v>
      </c>
      <c r="G1992" s="64" t="s">
        <v>2128</v>
      </c>
      <c r="H1992" s="64" t="s">
        <v>257</v>
      </c>
      <c r="I1992" s="64" t="s">
        <v>10</v>
      </c>
      <c r="J1992" s="64" t="s">
        <v>201</v>
      </c>
      <c r="K1992" s="66">
        <v>11.1</v>
      </c>
      <c r="L1992" s="66">
        <f>K1992*VLOOKUP(I1992,dagsoorttabel1,2,FALSE)</f>
        <v>11.1</v>
      </c>
      <c r="M1992" s="67">
        <f>prodnorm60</f>
        <v>0</v>
      </c>
      <c r="N1992" s="68">
        <f>dagwerk60</f>
        <v>0</v>
      </c>
      <c r="O1992" s="64" t="s">
        <v>38</v>
      </c>
      <c r="P1992" s="69">
        <f>uurtarief60</f>
        <v>0</v>
      </c>
      <c r="Q1992" s="66" t="e">
        <f>IF(ISBLANK(M1992),0,L1992/ROUND(M1992,4))</f>
        <v>#DIV/0!</v>
      </c>
      <c r="R1992" s="66" t="e">
        <f>IF(ISBLANK(M1992),0,Q1992*ROUND(N1992,2))</f>
        <v>#DIV/0!</v>
      </c>
      <c r="S1992" s="69" t="e">
        <f>ROUND(P1992,2)*Q1992</f>
        <v>#DIV/0!</v>
      </c>
      <c r="T1992" s="66" t="e">
        <f>Q1992*dagenperjaar1</f>
        <v>#DIV/0!</v>
      </c>
      <c r="U1992" s="70" t="e">
        <f>T1992*ROUND(P1992,2)</f>
        <v>#DIV/0!</v>
      </c>
    </row>
    <row r="1993" spans="1:21" x14ac:dyDescent="0.2">
      <c r="A1993" s="63" t="s">
        <v>2099</v>
      </c>
      <c r="B1993" s="64" t="s">
        <v>324</v>
      </c>
      <c r="C1993" s="64" t="s">
        <v>323</v>
      </c>
      <c r="D1993" s="64" t="s">
        <v>2452</v>
      </c>
      <c r="E1993" s="64" t="s">
        <v>2453</v>
      </c>
      <c r="F1993" s="65" t="s">
        <v>2454</v>
      </c>
      <c r="G1993" s="64" t="s">
        <v>328</v>
      </c>
      <c r="H1993" s="64" t="s">
        <v>273</v>
      </c>
      <c r="I1993" s="64" t="s">
        <v>16</v>
      </c>
      <c r="J1993" s="64" t="s">
        <v>274</v>
      </c>
      <c r="K1993" s="66">
        <v>52.21</v>
      </c>
      <c r="L1993" s="66">
        <f>K1993*VLOOKUP(I1993,dagsoorttabel1,2,FALSE)</f>
        <v>10.442</v>
      </c>
      <c r="M1993" s="67">
        <f>prodnorm12</f>
        <v>0</v>
      </c>
      <c r="N1993" s="68">
        <f>dagwerk12</f>
        <v>0</v>
      </c>
      <c r="O1993" s="64" t="s">
        <v>38</v>
      </c>
      <c r="P1993" s="69">
        <f>uurtarief12</f>
        <v>0</v>
      </c>
      <c r="Q1993" s="66" t="e">
        <f>IF(ISBLANK(M1993),0,L1993/ROUND(M1993,4))</f>
        <v>#DIV/0!</v>
      </c>
      <c r="R1993" s="66" t="e">
        <f>IF(ISBLANK(M1993),0,Q1993*ROUND(N1993,2))</f>
        <v>#DIV/0!</v>
      </c>
      <c r="S1993" s="69" t="e">
        <f>ROUND(P1993,2)*Q1993</f>
        <v>#DIV/0!</v>
      </c>
      <c r="T1993" s="66" t="e">
        <f>Q1993*dagenperjaar1</f>
        <v>#DIV/0!</v>
      </c>
      <c r="U1993" s="70" t="e">
        <f>T1993*ROUND(P1993,2)</f>
        <v>#DIV/0!</v>
      </c>
    </row>
    <row r="1994" spans="1:21" x14ac:dyDescent="0.2">
      <c r="A1994" s="63" t="s">
        <v>2099</v>
      </c>
      <c r="B1994" s="64" t="s">
        <v>324</v>
      </c>
      <c r="C1994" s="64" t="s">
        <v>323</v>
      </c>
      <c r="D1994" s="64" t="s">
        <v>2452</v>
      </c>
      <c r="E1994" s="64" t="s">
        <v>2453</v>
      </c>
      <c r="F1994" s="65" t="s">
        <v>2454</v>
      </c>
      <c r="G1994" s="64" t="s">
        <v>328</v>
      </c>
      <c r="H1994" s="64" t="s">
        <v>229</v>
      </c>
      <c r="I1994" s="64" t="s">
        <v>10</v>
      </c>
      <c r="J1994" s="64" t="s">
        <v>201</v>
      </c>
      <c r="K1994" s="66">
        <v>52.21</v>
      </c>
      <c r="L1994" s="66">
        <f>K1994*VLOOKUP(I1994,dagsoorttabel1,2,FALSE)</f>
        <v>52.21</v>
      </c>
      <c r="M1994" s="67">
        <f>prodnorm43</f>
        <v>0</v>
      </c>
      <c r="N1994" s="68">
        <f>dagwerk43</f>
        <v>0</v>
      </c>
      <c r="O1994" s="64" t="s">
        <v>38</v>
      </c>
      <c r="P1994" s="69">
        <f>uurtarief43</f>
        <v>0</v>
      </c>
      <c r="Q1994" s="66" t="e">
        <f>IF(ISBLANK(M1994),0,L1994/ROUND(M1994,4))</f>
        <v>#DIV/0!</v>
      </c>
      <c r="R1994" s="66" t="e">
        <f>IF(ISBLANK(M1994),0,Q1994*ROUND(N1994,2))</f>
        <v>#DIV/0!</v>
      </c>
      <c r="S1994" s="69" t="e">
        <f>ROUND(P1994,2)*Q1994</f>
        <v>#DIV/0!</v>
      </c>
      <c r="T1994" s="66" t="e">
        <f>Q1994*dagenperjaar1</f>
        <v>#DIV/0!</v>
      </c>
      <c r="U1994" s="70" t="e">
        <f>T1994*ROUND(P1994,2)</f>
        <v>#DIV/0!</v>
      </c>
    </row>
    <row r="1995" spans="1:21" x14ac:dyDescent="0.2">
      <c r="A1995" s="63" t="s">
        <v>2099</v>
      </c>
      <c r="B1995" s="64" t="s">
        <v>324</v>
      </c>
      <c r="C1995" s="64" t="s">
        <v>323</v>
      </c>
      <c r="D1995" s="64" t="s">
        <v>2455</v>
      </c>
      <c r="E1995" s="64" t="s">
        <v>2456</v>
      </c>
      <c r="F1995" s="65" t="s">
        <v>2149</v>
      </c>
      <c r="G1995" s="64" t="s">
        <v>328</v>
      </c>
      <c r="H1995" s="64" t="s">
        <v>237</v>
      </c>
      <c r="I1995" s="64" t="s">
        <v>19</v>
      </c>
      <c r="J1995" s="64" t="s">
        <v>201</v>
      </c>
      <c r="K1995" s="66">
        <v>5.55</v>
      </c>
      <c r="L1995" s="66">
        <f>K1995*VLOOKUP(I1995,dagsoorttabel1,2,FALSE)</f>
        <v>0.27750000000000002</v>
      </c>
      <c r="M1995" s="67">
        <f>prodnorm47</f>
        <v>0</v>
      </c>
      <c r="N1995" s="68">
        <f>dagwerk47</f>
        <v>0</v>
      </c>
      <c r="O1995" s="64" t="s">
        <v>38</v>
      </c>
      <c r="P1995" s="69">
        <f>uurtarief47</f>
        <v>0</v>
      </c>
      <c r="Q1995" s="66" t="e">
        <f>IF(ISBLANK(M1995),0,L1995/ROUND(M1995,4))</f>
        <v>#DIV/0!</v>
      </c>
      <c r="R1995" s="66" t="e">
        <f>IF(ISBLANK(M1995),0,Q1995*ROUND(N1995,2))</f>
        <v>#DIV/0!</v>
      </c>
      <c r="S1995" s="69" t="e">
        <f>ROUND(P1995,2)*Q1995</f>
        <v>#DIV/0!</v>
      </c>
      <c r="T1995" s="66" t="e">
        <f>Q1995*dagenperjaar1</f>
        <v>#DIV/0!</v>
      </c>
      <c r="U1995" s="70" t="e">
        <f>T1995*ROUND(P1995,2)</f>
        <v>#DIV/0!</v>
      </c>
    </row>
    <row r="1996" spans="1:21" x14ac:dyDescent="0.2">
      <c r="A1996" s="63" t="s">
        <v>2099</v>
      </c>
      <c r="B1996" s="64" t="s">
        <v>324</v>
      </c>
      <c r="C1996" s="64" t="s">
        <v>323</v>
      </c>
      <c r="D1996" s="64" t="s">
        <v>2457</v>
      </c>
      <c r="E1996" s="64" t="s">
        <v>1979</v>
      </c>
      <c r="F1996" s="65" t="s">
        <v>2458</v>
      </c>
      <c r="G1996" s="64" t="s">
        <v>328</v>
      </c>
      <c r="H1996" s="64" t="s">
        <v>273</v>
      </c>
      <c r="I1996" s="64" t="s">
        <v>16</v>
      </c>
      <c r="J1996" s="64" t="s">
        <v>274</v>
      </c>
      <c r="K1996" s="66">
        <v>51.449999999999996</v>
      </c>
      <c r="L1996" s="66">
        <f>K1996*VLOOKUP(I1996,dagsoorttabel1,2,FALSE)</f>
        <v>10.29</v>
      </c>
      <c r="M1996" s="67">
        <f>prodnorm12</f>
        <v>0</v>
      </c>
      <c r="N1996" s="68">
        <f>dagwerk12</f>
        <v>0</v>
      </c>
      <c r="O1996" s="64" t="s">
        <v>38</v>
      </c>
      <c r="P1996" s="69">
        <f>uurtarief12</f>
        <v>0</v>
      </c>
      <c r="Q1996" s="66" t="e">
        <f>IF(ISBLANK(M1996),0,L1996/ROUND(M1996,4))</f>
        <v>#DIV/0!</v>
      </c>
      <c r="R1996" s="66" t="e">
        <f>IF(ISBLANK(M1996),0,Q1996*ROUND(N1996,2))</f>
        <v>#DIV/0!</v>
      </c>
      <c r="S1996" s="69" t="e">
        <f>ROUND(P1996,2)*Q1996</f>
        <v>#DIV/0!</v>
      </c>
      <c r="T1996" s="66" t="e">
        <f>Q1996*dagenperjaar1</f>
        <v>#DIV/0!</v>
      </c>
      <c r="U1996" s="70" t="e">
        <f>T1996*ROUND(P1996,2)</f>
        <v>#DIV/0!</v>
      </c>
    </row>
    <row r="1997" spans="1:21" x14ac:dyDescent="0.2">
      <c r="A1997" s="63" t="s">
        <v>2099</v>
      </c>
      <c r="B1997" s="64" t="s">
        <v>324</v>
      </c>
      <c r="C1997" s="64" t="s">
        <v>323</v>
      </c>
      <c r="D1997" s="64" t="s">
        <v>2457</v>
      </c>
      <c r="E1997" s="64" t="s">
        <v>1979</v>
      </c>
      <c r="F1997" s="65" t="s">
        <v>2458</v>
      </c>
      <c r="G1997" s="64" t="s">
        <v>328</v>
      </c>
      <c r="H1997" s="64" t="s">
        <v>229</v>
      </c>
      <c r="I1997" s="64" t="s">
        <v>10</v>
      </c>
      <c r="J1997" s="64" t="s">
        <v>201</v>
      </c>
      <c r="K1997" s="66">
        <v>51.449999999999996</v>
      </c>
      <c r="L1997" s="66">
        <f>K1997*VLOOKUP(I1997,dagsoorttabel1,2,FALSE)</f>
        <v>51.449999999999996</v>
      </c>
      <c r="M1997" s="67">
        <f>prodnorm43</f>
        <v>0</v>
      </c>
      <c r="N1997" s="68">
        <f>dagwerk43</f>
        <v>0</v>
      </c>
      <c r="O1997" s="64" t="s">
        <v>38</v>
      </c>
      <c r="P1997" s="69">
        <f>uurtarief43</f>
        <v>0</v>
      </c>
      <c r="Q1997" s="66" t="e">
        <f>IF(ISBLANK(M1997),0,L1997/ROUND(M1997,4))</f>
        <v>#DIV/0!</v>
      </c>
      <c r="R1997" s="66" t="e">
        <f>IF(ISBLANK(M1997),0,Q1997*ROUND(N1997,2))</f>
        <v>#DIV/0!</v>
      </c>
      <c r="S1997" s="69" t="e">
        <f>ROUND(P1997,2)*Q1997</f>
        <v>#DIV/0!</v>
      </c>
      <c r="T1997" s="66" t="e">
        <f>Q1997*dagenperjaar1</f>
        <v>#DIV/0!</v>
      </c>
      <c r="U1997" s="70" t="e">
        <f>T1997*ROUND(P1997,2)</f>
        <v>#DIV/0!</v>
      </c>
    </row>
    <row r="1998" spans="1:21" x14ac:dyDescent="0.2">
      <c r="A1998" s="63" t="s">
        <v>2099</v>
      </c>
      <c r="B1998" s="64" t="s">
        <v>324</v>
      </c>
      <c r="C1998" s="64" t="s">
        <v>323</v>
      </c>
      <c r="D1998" s="64" t="s">
        <v>2459</v>
      </c>
      <c r="E1998" s="64" t="s">
        <v>1980</v>
      </c>
      <c r="F1998" s="65" t="s">
        <v>2281</v>
      </c>
      <c r="G1998" s="64" t="s">
        <v>328</v>
      </c>
      <c r="H1998" s="64" t="s">
        <v>205</v>
      </c>
      <c r="I1998" s="64" t="s">
        <v>10</v>
      </c>
      <c r="J1998" s="64" t="s">
        <v>201</v>
      </c>
      <c r="K1998" s="66">
        <v>16.989999999999998</v>
      </c>
      <c r="L1998" s="66">
        <f>K1998*VLOOKUP(I1998,dagsoorttabel1,2,FALSE)</f>
        <v>16.989999999999998</v>
      </c>
      <c r="M1998" s="67">
        <f>prodnorm26</f>
        <v>0</v>
      </c>
      <c r="N1998" s="68">
        <f>dagwerk26</f>
        <v>0</v>
      </c>
      <c r="O1998" s="64" t="s">
        <v>38</v>
      </c>
      <c r="P1998" s="69">
        <f>uurtarief26</f>
        <v>0</v>
      </c>
      <c r="Q1998" s="66" t="e">
        <f>IF(ISBLANK(M1998),0,L1998/ROUND(M1998,4))</f>
        <v>#DIV/0!</v>
      </c>
      <c r="R1998" s="66" t="e">
        <f>IF(ISBLANK(M1998),0,Q1998*ROUND(N1998,2))</f>
        <v>#DIV/0!</v>
      </c>
      <c r="S1998" s="69" t="e">
        <f>ROUND(P1998,2)*Q1998</f>
        <v>#DIV/0!</v>
      </c>
      <c r="T1998" s="66" t="e">
        <f>Q1998*dagenperjaar1</f>
        <v>#DIV/0!</v>
      </c>
      <c r="U1998" s="70" t="e">
        <f>T1998*ROUND(P1998,2)</f>
        <v>#DIV/0!</v>
      </c>
    </row>
    <row r="1999" spans="1:21" x14ac:dyDescent="0.2">
      <c r="A1999" s="63" t="s">
        <v>2099</v>
      </c>
      <c r="B1999" s="64" t="s">
        <v>324</v>
      </c>
      <c r="C1999" s="64" t="s">
        <v>323</v>
      </c>
      <c r="D1999" s="64" t="s">
        <v>2460</v>
      </c>
      <c r="E1999" s="64" t="s">
        <v>1983</v>
      </c>
      <c r="F1999" s="65" t="s">
        <v>2281</v>
      </c>
      <c r="G1999" s="64" t="s">
        <v>328</v>
      </c>
      <c r="H1999" s="64" t="s">
        <v>205</v>
      </c>
      <c r="I1999" s="64" t="s">
        <v>10</v>
      </c>
      <c r="J1999" s="64" t="s">
        <v>201</v>
      </c>
      <c r="K1999" s="66">
        <v>17.77</v>
      </c>
      <c r="L1999" s="66">
        <f>K1999*VLOOKUP(I1999,dagsoorttabel1,2,FALSE)</f>
        <v>17.77</v>
      </c>
      <c r="M1999" s="67">
        <f>prodnorm26</f>
        <v>0</v>
      </c>
      <c r="N1999" s="68">
        <f>dagwerk26</f>
        <v>0</v>
      </c>
      <c r="O1999" s="64" t="s">
        <v>38</v>
      </c>
      <c r="P1999" s="69">
        <f>uurtarief26</f>
        <v>0</v>
      </c>
      <c r="Q1999" s="66" t="e">
        <f>IF(ISBLANK(M1999),0,L1999/ROUND(M1999,4))</f>
        <v>#DIV/0!</v>
      </c>
      <c r="R1999" s="66" t="e">
        <f>IF(ISBLANK(M1999),0,Q1999*ROUND(N1999,2))</f>
        <v>#DIV/0!</v>
      </c>
      <c r="S1999" s="69" t="e">
        <f>ROUND(P1999,2)*Q1999</f>
        <v>#DIV/0!</v>
      </c>
      <c r="T1999" s="66" t="e">
        <f>Q1999*dagenperjaar1</f>
        <v>#DIV/0!</v>
      </c>
      <c r="U1999" s="70" t="e">
        <f>T1999*ROUND(P1999,2)</f>
        <v>#DIV/0!</v>
      </c>
    </row>
    <row r="2000" spans="1:21" x14ac:dyDescent="0.2">
      <c r="A2000" s="63" t="s">
        <v>2099</v>
      </c>
      <c r="B2000" s="64" t="s">
        <v>324</v>
      </c>
      <c r="C2000" s="64" t="s">
        <v>323</v>
      </c>
      <c r="D2000" s="64" t="s">
        <v>2461</v>
      </c>
      <c r="E2000" s="64" t="s">
        <v>1985</v>
      </c>
      <c r="F2000" s="65" t="s">
        <v>2281</v>
      </c>
      <c r="G2000" s="64" t="s">
        <v>328</v>
      </c>
      <c r="H2000" s="64" t="s">
        <v>205</v>
      </c>
      <c r="I2000" s="64" t="s">
        <v>10</v>
      </c>
      <c r="J2000" s="64" t="s">
        <v>201</v>
      </c>
      <c r="K2000" s="66">
        <v>16.14</v>
      </c>
      <c r="L2000" s="66">
        <f>K2000*VLOOKUP(I2000,dagsoorttabel1,2,FALSE)</f>
        <v>16.14</v>
      </c>
      <c r="M2000" s="67">
        <f>prodnorm26</f>
        <v>0</v>
      </c>
      <c r="N2000" s="68">
        <f>dagwerk26</f>
        <v>0</v>
      </c>
      <c r="O2000" s="64" t="s">
        <v>38</v>
      </c>
      <c r="P2000" s="69">
        <f>uurtarief26</f>
        <v>0</v>
      </c>
      <c r="Q2000" s="66" t="e">
        <f>IF(ISBLANK(M2000),0,L2000/ROUND(M2000,4))</f>
        <v>#DIV/0!</v>
      </c>
      <c r="R2000" s="66" t="e">
        <f>IF(ISBLANK(M2000),0,Q2000*ROUND(N2000,2))</f>
        <v>#DIV/0!</v>
      </c>
      <c r="S2000" s="69" t="e">
        <f>ROUND(P2000,2)*Q2000</f>
        <v>#DIV/0!</v>
      </c>
      <c r="T2000" s="66" t="e">
        <f>Q2000*dagenperjaar1</f>
        <v>#DIV/0!</v>
      </c>
      <c r="U2000" s="70" t="e">
        <f>T2000*ROUND(P2000,2)</f>
        <v>#DIV/0!</v>
      </c>
    </row>
    <row r="2001" spans="1:21" x14ac:dyDescent="0.2">
      <c r="A2001" s="63" t="s">
        <v>2099</v>
      </c>
      <c r="B2001" s="64" t="s">
        <v>324</v>
      </c>
      <c r="C2001" s="64" t="s">
        <v>323</v>
      </c>
      <c r="D2001" s="64" t="s">
        <v>2462</v>
      </c>
      <c r="E2001" s="64" t="s">
        <v>1986</v>
      </c>
      <c r="F2001" s="65" t="s">
        <v>2463</v>
      </c>
      <c r="G2001" s="64" t="s">
        <v>328</v>
      </c>
      <c r="H2001" s="64" t="s">
        <v>205</v>
      </c>
      <c r="I2001" s="64" t="s">
        <v>10</v>
      </c>
      <c r="J2001" s="64" t="s">
        <v>201</v>
      </c>
      <c r="K2001" s="66">
        <v>120.66</v>
      </c>
      <c r="L2001" s="66">
        <f>K2001*VLOOKUP(I2001,dagsoorttabel1,2,FALSE)</f>
        <v>120.66</v>
      </c>
      <c r="M2001" s="67">
        <f>prodnorm26</f>
        <v>0</v>
      </c>
      <c r="N2001" s="68">
        <f>dagwerk26</f>
        <v>0</v>
      </c>
      <c r="O2001" s="64" t="s">
        <v>38</v>
      </c>
      <c r="P2001" s="69">
        <f>uurtarief26</f>
        <v>0</v>
      </c>
      <c r="Q2001" s="66" t="e">
        <f>IF(ISBLANK(M2001),0,L2001/ROUND(M2001,4))</f>
        <v>#DIV/0!</v>
      </c>
      <c r="R2001" s="66" t="e">
        <f>IF(ISBLANK(M2001),0,Q2001*ROUND(N2001,2))</f>
        <v>#DIV/0!</v>
      </c>
      <c r="S2001" s="69" t="e">
        <f>ROUND(P2001,2)*Q2001</f>
        <v>#DIV/0!</v>
      </c>
      <c r="T2001" s="66" t="e">
        <f>Q2001*dagenperjaar1</f>
        <v>#DIV/0!</v>
      </c>
      <c r="U2001" s="70" t="e">
        <f>T2001*ROUND(P2001,2)</f>
        <v>#DIV/0!</v>
      </c>
    </row>
    <row r="2002" spans="1:21" x14ac:dyDescent="0.2">
      <c r="A2002" s="63" t="s">
        <v>2099</v>
      </c>
      <c r="B2002" s="64" t="s">
        <v>324</v>
      </c>
      <c r="C2002" s="64" t="s">
        <v>323</v>
      </c>
      <c r="D2002" s="64" t="s">
        <v>2464</v>
      </c>
      <c r="E2002" s="64" t="s">
        <v>1989</v>
      </c>
      <c r="F2002" s="65" t="s">
        <v>2465</v>
      </c>
      <c r="G2002" s="64" t="s">
        <v>328</v>
      </c>
      <c r="H2002" s="64" t="s">
        <v>237</v>
      </c>
      <c r="I2002" s="64" t="s">
        <v>19</v>
      </c>
      <c r="J2002" s="64" t="s">
        <v>201</v>
      </c>
      <c r="K2002" s="66">
        <v>7.78</v>
      </c>
      <c r="L2002" s="66">
        <f>K2002*VLOOKUP(I2002,dagsoorttabel1,2,FALSE)</f>
        <v>0.38900000000000001</v>
      </c>
      <c r="M2002" s="67">
        <f>prodnorm47</f>
        <v>0</v>
      </c>
      <c r="N2002" s="68">
        <f>dagwerk47</f>
        <v>0</v>
      </c>
      <c r="O2002" s="64" t="s">
        <v>38</v>
      </c>
      <c r="P2002" s="69">
        <f>uurtarief47</f>
        <v>0</v>
      </c>
      <c r="Q2002" s="66" t="e">
        <f>IF(ISBLANK(M2002),0,L2002/ROUND(M2002,4))</f>
        <v>#DIV/0!</v>
      </c>
      <c r="R2002" s="66" t="e">
        <f>IF(ISBLANK(M2002),0,Q2002*ROUND(N2002,2))</f>
        <v>#DIV/0!</v>
      </c>
      <c r="S2002" s="69" t="e">
        <f>ROUND(P2002,2)*Q2002</f>
        <v>#DIV/0!</v>
      </c>
      <c r="T2002" s="66" t="e">
        <f>Q2002*dagenperjaar1</f>
        <v>#DIV/0!</v>
      </c>
      <c r="U2002" s="70" t="e">
        <f>T2002*ROUND(P2002,2)</f>
        <v>#DIV/0!</v>
      </c>
    </row>
    <row r="2003" spans="1:21" x14ac:dyDescent="0.2">
      <c r="A2003" s="63" t="s">
        <v>2099</v>
      </c>
      <c r="B2003" s="64" t="s">
        <v>324</v>
      </c>
      <c r="C2003" s="64" t="s">
        <v>323</v>
      </c>
      <c r="D2003" s="64" t="s">
        <v>2466</v>
      </c>
      <c r="E2003" s="64" t="s">
        <v>1990</v>
      </c>
      <c r="F2003" s="65" t="s">
        <v>2235</v>
      </c>
      <c r="G2003" s="64" t="s">
        <v>328</v>
      </c>
      <c r="H2003" s="64" t="s">
        <v>237</v>
      </c>
      <c r="I2003" s="64" t="s">
        <v>19</v>
      </c>
      <c r="J2003" s="64" t="s">
        <v>201</v>
      </c>
      <c r="K2003" s="66">
        <v>7.85</v>
      </c>
      <c r="L2003" s="66">
        <f>K2003*VLOOKUP(I2003,dagsoorttabel1,2,FALSE)</f>
        <v>0.39250000000000002</v>
      </c>
      <c r="M2003" s="67">
        <f>prodnorm47</f>
        <v>0</v>
      </c>
      <c r="N2003" s="68">
        <f>dagwerk47</f>
        <v>0</v>
      </c>
      <c r="O2003" s="64" t="s">
        <v>38</v>
      </c>
      <c r="P2003" s="69">
        <f>uurtarief47</f>
        <v>0</v>
      </c>
      <c r="Q2003" s="66" t="e">
        <f>IF(ISBLANK(M2003),0,L2003/ROUND(M2003,4))</f>
        <v>#DIV/0!</v>
      </c>
      <c r="R2003" s="66" t="e">
        <f>IF(ISBLANK(M2003),0,Q2003*ROUND(N2003,2))</f>
        <v>#DIV/0!</v>
      </c>
      <c r="S2003" s="69" t="e">
        <f>ROUND(P2003,2)*Q2003</f>
        <v>#DIV/0!</v>
      </c>
      <c r="T2003" s="66" t="e">
        <f>Q2003*dagenperjaar1</f>
        <v>#DIV/0!</v>
      </c>
      <c r="U2003" s="70" t="e">
        <f>T2003*ROUND(P2003,2)</f>
        <v>#DIV/0!</v>
      </c>
    </row>
    <row r="2004" spans="1:21" x14ac:dyDescent="0.2">
      <c r="A2004" s="63" t="s">
        <v>2099</v>
      </c>
      <c r="B2004" s="64" t="s">
        <v>324</v>
      </c>
      <c r="C2004" s="64" t="s">
        <v>323</v>
      </c>
      <c r="D2004" s="64" t="s">
        <v>2467</v>
      </c>
      <c r="E2004" s="64" t="s">
        <v>1990</v>
      </c>
      <c r="F2004" s="65" t="s">
        <v>641</v>
      </c>
      <c r="G2004" s="64" t="s">
        <v>2128</v>
      </c>
      <c r="H2004" s="64" t="s">
        <v>255</v>
      </c>
      <c r="I2004" s="64" t="s">
        <v>10</v>
      </c>
      <c r="J2004" s="64" t="s">
        <v>201</v>
      </c>
      <c r="K2004" s="66">
        <v>11.15</v>
      </c>
      <c r="L2004" s="66">
        <f>K2004*VLOOKUP(I2004,dagsoorttabel1,2,FALSE)</f>
        <v>11.15</v>
      </c>
      <c r="M2004" s="67">
        <f>prodnorm59</f>
        <v>0</v>
      </c>
      <c r="N2004" s="68">
        <f>dagwerk59</f>
        <v>0</v>
      </c>
      <c r="O2004" s="64" t="s">
        <v>38</v>
      </c>
      <c r="P2004" s="69">
        <f>uurtarief59</f>
        <v>0</v>
      </c>
      <c r="Q2004" s="66" t="e">
        <f>IF(ISBLANK(M2004),0,L2004/ROUND(M2004,4))</f>
        <v>#DIV/0!</v>
      </c>
      <c r="R2004" s="66" t="e">
        <f>IF(ISBLANK(M2004),0,Q2004*ROUND(N2004,2))</f>
        <v>#DIV/0!</v>
      </c>
      <c r="S2004" s="69" t="e">
        <f>ROUND(P2004,2)*Q2004</f>
        <v>#DIV/0!</v>
      </c>
      <c r="T2004" s="66" t="e">
        <f>Q2004*dagenperjaar1</f>
        <v>#DIV/0!</v>
      </c>
      <c r="U2004" s="70" t="e">
        <f>T2004*ROUND(P2004,2)</f>
        <v>#DIV/0!</v>
      </c>
    </row>
    <row r="2005" spans="1:21" x14ac:dyDescent="0.2">
      <c r="A2005" s="63" t="s">
        <v>2099</v>
      </c>
      <c r="B2005" s="64" t="s">
        <v>324</v>
      </c>
      <c r="C2005" s="64" t="s">
        <v>323</v>
      </c>
      <c r="D2005" s="64" t="s">
        <v>2467</v>
      </c>
      <c r="E2005" s="64" t="s">
        <v>1990</v>
      </c>
      <c r="F2005" s="65" t="s">
        <v>641</v>
      </c>
      <c r="G2005" s="64" t="s">
        <v>2128</v>
      </c>
      <c r="H2005" s="64" t="s">
        <v>257</v>
      </c>
      <c r="I2005" s="64" t="s">
        <v>10</v>
      </c>
      <c r="J2005" s="64" t="s">
        <v>201</v>
      </c>
      <c r="K2005" s="66">
        <v>11.15</v>
      </c>
      <c r="L2005" s="66">
        <f>K2005*VLOOKUP(I2005,dagsoorttabel1,2,FALSE)</f>
        <v>11.15</v>
      </c>
      <c r="M2005" s="67">
        <f>prodnorm60</f>
        <v>0</v>
      </c>
      <c r="N2005" s="68">
        <f>dagwerk60</f>
        <v>0</v>
      </c>
      <c r="O2005" s="64" t="s">
        <v>38</v>
      </c>
      <c r="P2005" s="69">
        <f>uurtarief60</f>
        <v>0</v>
      </c>
      <c r="Q2005" s="66" t="e">
        <f>IF(ISBLANK(M2005),0,L2005/ROUND(M2005,4))</f>
        <v>#DIV/0!</v>
      </c>
      <c r="R2005" s="66" t="e">
        <f>IF(ISBLANK(M2005),0,Q2005*ROUND(N2005,2))</f>
        <v>#DIV/0!</v>
      </c>
      <c r="S2005" s="69" t="e">
        <f>ROUND(P2005,2)*Q2005</f>
        <v>#DIV/0!</v>
      </c>
      <c r="T2005" s="66" t="e">
        <f>Q2005*dagenperjaar1</f>
        <v>#DIV/0!</v>
      </c>
      <c r="U2005" s="70" t="e">
        <f>T2005*ROUND(P2005,2)</f>
        <v>#DIV/0!</v>
      </c>
    </row>
    <row r="2006" spans="1:21" x14ac:dyDescent="0.2">
      <c r="A2006" s="63" t="s">
        <v>2099</v>
      </c>
      <c r="B2006" s="64" t="s">
        <v>324</v>
      </c>
      <c r="C2006" s="64" t="s">
        <v>323</v>
      </c>
      <c r="D2006" s="64" t="s">
        <v>2468</v>
      </c>
      <c r="E2006" s="64" t="s">
        <v>1991</v>
      </c>
      <c r="F2006" s="65" t="s">
        <v>2469</v>
      </c>
      <c r="G2006" s="64" t="s">
        <v>328</v>
      </c>
      <c r="H2006" s="64" t="s">
        <v>237</v>
      </c>
      <c r="I2006" s="64" t="s">
        <v>19</v>
      </c>
      <c r="J2006" s="64" t="s">
        <v>201</v>
      </c>
      <c r="K2006" s="66">
        <v>34.11</v>
      </c>
      <c r="L2006" s="66">
        <f>K2006*VLOOKUP(I2006,dagsoorttabel1,2,FALSE)</f>
        <v>1.7055</v>
      </c>
      <c r="M2006" s="67">
        <f>prodnorm47</f>
        <v>0</v>
      </c>
      <c r="N2006" s="68">
        <f>dagwerk47</f>
        <v>0</v>
      </c>
      <c r="O2006" s="64" t="s">
        <v>38</v>
      </c>
      <c r="P2006" s="69">
        <f>uurtarief47</f>
        <v>0</v>
      </c>
      <c r="Q2006" s="66" t="e">
        <f>IF(ISBLANK(M2006),0,L2006/ROUND(M2006,4))</f>
        <v>#DIV/0!</v>
      </c>
      <c r="R2006" s="66" t="e">
        <f>IF(ISBLANK(M2006),0,Q2006*ROUND(N2006,2))</f>
        <v>#DIV/0!</v>
      </c>
      <c r="S2006" s="69" t="e">
        <f>ROUND(P2006,2)*Q2006</f>
        <v>#DIV/0!</v>
      </c>
      <c r="T2006" s="66" t="e">
        <f>Q2006*dagenperjaar1</f>
        <v>#DIV/0!</v>
      </c>
      <c r="U2006" s="70" t="e">
        <f>T2006*ROUND(P2006,2)</f>
        <v>#DIV/0!</v>
      </c>
    </row>
    <row r="2007" spans="1:21" x14ac:dyDescent="0.2">
      <c r="A2007" s="63" t="s">
        <v>2099</v>
      </c>
      <c r="B2007" s="64" t="s">
        <v>324</v>
      </c>
      <c r="C2007" s="64" t="s">
        <v>323</v>
      </c>
      <c r="D2007" s="64" t="s">
        <v>2470</v>
      </c>
      <c r="E2007" s="64" t="s">
        <v>2471</v>
      </c>
      <c r="F2007" s="65" t="s">
        <v>834</v>
      </c>
      <c r="G2007" s="64" t="s">
        <v>328</v>
      </c>
      <c r="H2007" s="64" t="s">
        <v>267</v>
      </c>
      <c r="I2007" s="64" t="s">
        <v>10</v>
      </c>
      <c r="J2007" s="64" t="s">
        <v>201</v>
      </c>
      <c r="K2007" s="66">
        <v>96.81</v>
      </c>
      <c r="L2007" s="66">
        <f>K2007*VLOOKUP(I2007,dagsoorttabel1,2,FALSE)</f>
        <v>96.81</v>
      </c>
      <c r="M2007" s="67">
        <f>prodnorm65</f>
        <v>0</v>
      </c>
      <c r="N2007" s="68">
        <f>dagwerk65</f>
        <v>0</v>
      </c>
      <c r="O2007" s="64" t="s">
        <v>38</v>
      </c>
      <c r="P2007" s="69">
        <f>uurtarief65</f>
        <v>0</v>
      </c>
      <c r="Q2007" s="66" t="e">
        <f>IF(ISBLANK(M2007),0,L2007/ROUND(M2007,4))</f>
        <v>#DIV/0!</v>
      </c>
      <c r="R2007" s="66" t="e">
        <f>IF(ISBLANK(M2007),0,Q2007*ROUND(N2007,2))</f>
        <v>#DIV/0!</v>
      </c>
      <c r="S2007" s="69" t="e">
        <f>ROUND(P2007,2)*Q2007</f>
        <v>#DIV/0!</v>
      </c>
      <c r="T2007" s="66" t="e">
        <f>Q2007*dagenperjaar1</f>
        <v>#DIV/0!</v>
      </c>
      <c r="U2007" s="70" t="e">
        <f>T2007*ROUND(P2007,2)</f>
        <v>#DIV/0!</v>
      </c>
    </row>
    <row r="2008" spans="1:21" x14ac:dyDescent="0.2">
      <c r="A2008" s="63" t="s">
        <v>2099</v>
      </c>
      <c r="B2008" s="64" t="s">
        <v>324</v>
      </c>
      <c r="C2008" s="64" t="s">
        <v>323</v>
      </c>
      <c r="D2008" s="64" t="s">
        <v>2472</v>
      </c>
      <c r="E2008" s="64" t="s">
        <v>2473</v>
      </c>
      <c r="F2008" s="65" t="s">
        <v>2474</v>
      </c>
      <c r="G2008" s="64" t="s">
        <v>328</v>
      </c>
      <c r="H2008" s="64" t="s">
        <v>273</v>
      </c>
      <c r="I2008" s="64" t="s">
        <v>16</v>
      </c>
      <c r="J2008" s="64" t="s">
        <v>274</v>
      </c>
      <c r="K2008" s="66">
        <v>51.290000000000006</v>
      </c>
      <c r="L2008" s="66">
        <f>K2008*VLOOKUP(I2008,dagsoorttabel1,2,FALSE)</f>
        <v>10.258000000000003</v>
      </c>
      <c r="M2008" s="67">
        <f>prodnorm12</f>
        <v>0</v>
      </c>
      <c r="N2008" s="68">
        <f>dagwerk12</f>
        <v>0</v>
      </c>
      <c r="O2008" s="64" t="s">
        <v>38</v>
      </c>
      <c r="P2008" s="69">
        <f>uurtarief12</f>
        <v>0</v>
      </c>
      <c r="Q2008" s="66" t="e">
        <f>IF(ISBLANK(M2008),0,L2008/ROUND(M2008,4))</f>
        <v>#DIV/0!</v>
      </c>
      <c r="R2008" s="66" t="e">
        <f>IF(ISBLANK(M2008),0,Q2008*ROUND(N2008,2))</f>
        <v>#DIV/0!</v>
      </c>
      <c r="S2008" s="69" t="e">
        <f>ROUND(P2008,2)*Q2008</f>
        <v>#DIV/0!</v>
      </c>
      <c r="T2008" s="66" t="e">
        <f>Q2008*dagenperjaar1</f>
        <v>#DIV/0!</v>
      </c>
      <c r="U2008" s="70" t="e">
        <f>T2008*ROUND(P2008,2)</f>
        <v>#DIV/0!</v>
      </c>
    </row>
    <row r="2009" spans="1:21" x14ac:dyDescent="0.2">
      <c r="A2009" s="63" t="s">
        <v>2099</v>
      </c>
      <c r="B2009" s="64" t="s">
        <v>324</v>
      </c>
      <c r="C2009" s="64" t="s">
        <v>323</v>
      </c>
      <c r="D2009" s="64" t="s">
        <v>2472</v>
      </c>
      <c r="E2009" s="64" t="s">
        <v>2473</v>
      </c>
      <c r="F2009" s="65" t="s">
        <v>2474</v>
      </c>
      <c r="G2009" s="64" t="s">
        <v>328</v>
      </c>
      <c r="H2009" s="64" t="s">
        <v>229</v>
      </c>
      <c r="I2009" s="64" t="s">
        <v>10</v>
      </c>
      <c r="J2009" s="64" t="s">
        <v>201</v>
      </c>
      <c r="K2009" s="66">
        <v>51.290000000000006</v>
      </c>
      <c r="L2009" s="66">
        <f>K2009*VLOOKUP(I2009,dagsoorttabel1,2,FALSE)</f>
        <v>51.290000000000006</v>
      </c>
      <c r="M2009" s="67">
        <f>prodnorm43</f>
        <v>0</v>
      </c>
      <c r="N2009" s="68">
        <f>dagwerk43</f>
        <v>0</v>
      </c>
      <c r="O2009" s="64" t="s">
        <v>38</v>
      </c>
      <c r="P2009" s="69">
        <f>uurtarief43</f>
        <v>0</v>
      </c>
      <c r="Q2009" s="66" t="e">
        <f>IF(ISBLANK(M2009),0,L2009/ROUND(M2009,4))</f>
        <v>#DIV/0!</v>
      </c>
      <c r="R2009" s="66" t="e">
        <f>IF(ISBLANK(M2009),0,Q2009*ROUND(N2009,2))</f>
        <v>#DIV/0!</v>
      </c>
      <c r="S2009" s="69" t="e">
        <f>ROUND(P2009,2)*Q2009</f>
        <v>#DIV/0!</v>
      </c>
      <c r="T2009" s="66" t="e">
        <f>Q2009*dagenperjaar1</f>
        <v>#DIV/0!</v>
      </c>
      <c r="U2009" s="70" t="e">
        <f>T2009*ROUND(P2009,2)</f>
        <v>#DIV/0!</v>
      </c>
    </row>
    <row r="2010" spans="1:21" x14ac:dyDescent="0.2">
      <c r="A2010" s="63" t="s">
        <v>2099</v>
      </c>
      <c r="B2010" s="64" t="s">
        <v>324</v>
      </c>
      <c r="C2010" s="64" t="s">
        <v>323</v>
      </c>
      <c r="D2010" s="64" t="s">
        <v>2475</v>
      </c>
      <c r="E2010" s="64" t="s">
        <v>2476</v>
      </c>
      <c r="F2010" s="65" t="s">
        <v>834</v>
      </c>
      <c r="G2010" s="64" t="s">
        <v>328</v>
      </c>
      <c r="H2010" s="64" t="s">
        <v>267</v>
      </c>
      <c r="I2010" s="64" t="s">
        <v>10</v>
      </c>
      <c r="J2010" s="64" t="s">
        <v>201</v>
      </c>
      <c r="K2010" s="66">
        <v>77.400000000000006</v>
      </c>
      <c r="L2010" s="66">
        <f>K2010*VLOOKUP(I2010,dagsoorttabel1,2,FALSE)</f>
        <v>77.400000000000006</v>
      </c>
      <c r="M2010" s="67">
        <f>prodnorm65</f>
        <v>0</v>
      </c>
      <c r="N2010" s="68">
        <f>dagwerk65</f>
        <v>0</v>
      </c>
      <c r="O2010" s="64" t="s">
        <v>38</v>
      </c>
      <c r="P2010" s="69">
        <f>uurtarief65</f>
        <v>0</v>
      </c>
      <c r="Q2010" s="66" t="e">
        <f>IF(ISBLANK(M2010),0,L2010/ROUND(M2010,4))</f>
        <v>#DIV/0!</v>
      </c>
      <c r="R2010" s="66" t="e">
        <f>IF(ISBLANK(M2010),0,Q2010*ROUND(N2010,2))</f>
        <v>#DIV/0!</v>
      </c>
      <c r="S2010" s="69" t="e">
        <f>ROUND(P2010,2)*Q2010</f>
        <v>#DIV/0!</v>
      </c>
      <c r="T2010" s="66" t="e">
        <f>Q2010*dagenperjaar1</f>
        <v>#DIV/0!</v>
      </c>
      <c r="U2010" s="70" t="e">
        <f>T2010*ROUND(P2010,2)</f>
        <v>#DIV/0!</v>
      </c>
    </row>
    <row r="2011" spans="1:21" x14ac:dyDescent="0.2">
      <c r="A2011" s="63" t="s">
        <v>2099</v>
      </c>
      <c r="B2011" s="64" t="s">
        <v>324</v>
      </c>
      <c r="C2011" s="64" t="s">
        <v>323</v>
      </c>
      <c r="D2011" s="64" t="s">
        <v>2477</v>
      </c>
      <c r="E2011" s="64" t="s">
        <v>2478</v>
      </c>
      <c r="F2011" s="65" t="s">
        <v>2307</v>
      </c>
      <c r="G2011" s="64" t="s">
        <v>328</v>
      </c>
      <c r="H2011" s="64" t="s">
        <v>237</v>
      </c>
      <c r="I2011" s="64" t="s">
        <v>19</v>
      </c>
      <c r="J2011" s="64" t="s">
        <v>201</v>
      </c>
      <c r="K2011" s="66">
        <v>7.28</v>
      </c>
      <c r="L2011" s="66">
        <f>K2011*VLOOKUP(I2011,dagsoorttabel1,2,FALSE)</f>
        <v>0.36400000000000005</v>
      </c>
      <c r="M2011" s="67">
        <f>prodnorm47</f>
        <v>0</v>
      </c>
      <c r="N2011" s="68">
        <f>dagwerk47</f>
        <v>0</v>
      </c>
      <c r="O2011" s="64" t="s">
        <v>38</v>
      </c>
      <c r="P2011" s="69">
        <f>uurtarief47</f>
        <v>0</v>
      </c>
      <c r="Q2011" s="66" t="e">
        <f>IF(ISBLANK(M2011),0,L2011/ROUND(M2011,4))</f>
        <v>#DIV/0!</v>
      </c>
      <c r="R2011" s="66" t="e">
        <f>IF(ISBLANK(M2011),0,Q2011*ROUND(N2011,2))</f>
        <v>#DIV/0!</v>
      </c>
      <c r="S2011" s="69" t="e">
        <f>ROUND(P2011,2)*Q2011</f>
        <v>#DIV/0!</v>
      </c>
      <c r="T2011" s="66" t="e">
        <f>Q2011*dagenperjaar1</f>
        <v>#DIV/0!</v>
      </c>
      <c r="U2011" s="70" t="e">
        <f>T2011*ROUND(P2011,2)</f>
        <v>#DIV/0!</v>
      </c>
    </row>
    <row r="2012" spans="1:21" x14ac:dyDescent="0.2">
      <c r="A2012" s="63" t="s">
        <v>2099</v>
      </c>
      <c r="B2012" s="64" t="s">
        <v>324</v>
      </c>
      <c r="C2012" s="64" t="s">
        <v>323</v>
      </c>
      <c r="D2012" s="64" t="s">
        <v>2479</v>
      </c>
      <c r="E2012" s="64" t="s">
        <v>2480</v>
      </c>
      <c r="F2012" s="65" t="s">
        <v>2281</v>
      </c>
      <c r="G2012" s="64" t="s">
        <v>328</v>
      </c>
      <c r="H2012" s="64" t="s">
        <v>205</v>
      </c>
      <c r="I2012" s="64" t="s">
        <v>10</v>
      </c>
      <c r="J2012" s="64" t="s">
        <v>201</v>
      </c>
      <c r="K2012" s="66">
        <v>13.629999999999999</v>
      </c>
      <c r="L2012" s="66">
        <f>K2012*VLOOKUP(I2012,dagsoorttabel1,2,FALSE)</f>
        <v>13.629999999999999</v>
      </c>
      <c r="M2012" s="67">
        <f>prodnorm26</f>
        <v>0</v>
      </c>
      <c r="N2012" s="68">
        <f>dagwerk26</f>
        <v>0</v>
      </c>
      <c r="O2012" s="64" t="s">
        <v>38</v>
      </c>
      <c r="P2012" s="69">
        <f>uurtarief26</f>
        <v>0</v>
      </c>
      <c r="Q2012" s="66" t="e">
        <f>IF(ISBLANK(M2012),0,L2012/ROUND(M2012,4))</f>
        <v>#DIV/0!</v>
      </c>
      <c r="R2012" s="66" t="e">
        <f>IF(ISBLANK(M2012),0,Q2012*ROUND(N2012,2))</f>
        <v>#DIV/0!</v>
      </c>
      <c r="S2012" s="69" t="e">
        <f>ROUND(P2012,2)*Q2012</f>
        <v>#DIV/0!</v>
      </c>
      <c r="T2012" s="66" t="e">
        <f>Q2012*dagenperjaar1</f>
        <v>#DIV/0!</v>
      </c>
      <c r="U2012" s="70" t="e">
        <f>T2012*ROUND(P2012,2)</f>
        <v>#DIV/0!</v>
      </c>
    </row>
    <row r="2013" spans="1:21" x14ac:dyDescent="0.2">
      <c r="A2013" s="63" t="s">
        <v>2099</v>
      </c>
      <c r="B2013" s="64" t="s">
        <v>324</v>
      </c>
      <c r="C2013" s="64" t="s">
        <v>323</v>
      </c>
      <c r="D2013" s="64" t="s">
        <v>2481</v>
      </c>
      <c r="E2013" s="64" t="s">
        <v>2482</v>
      </c>
      <c r="F2013" s="65" t="s">
        <v>392</v>
      </c>
      <c r="G2013" s="64" t="s">
        <v>328</v>
      </c>
      <c r="H2013" s="64" t="s">
        <v>205</v>
      </c>
      <c r="I2013" s="64" t="s">
        <v>10</v>
      </c>
      <c r="J2013" s="64" t="s">
        <v>201</v>
      </c>
      <c r="K2013" s="66">
        <v>7.81</v>
      </c>
      <c r="L2013" s="66">
        <f>K2013*VLOOKUP(I2013,dagsoorttabel1,2,FALSE)</f>
        <v>7.81</v>
      </c>
      <c r="M2013" s="67">
        <f>prodnorm26</f>
        <v>0</v>
      </c>
      <c r="N2013" s="68">
        <f>dagwerk26</f>
        <v>0</v>
      </c>
      <c r="O2013" s="64" t="s">
        <v>38</v>
      </c>
      <c r="P2013" s="69">
        <f>uurtarief26</f>
        <v>0</v>
      </c>
      <c r="Q2013" s="66" t="e">
        <f>IF(ISBLANK(M2013),0,L2013/ROUND(M2013,4))</f>
        <v>#DIV/0!</v>
      </c>
      <c r="R2013" s="66" t="e">
        <f>IF(ISBLANK(M2013),0,Q2013*ROUND(N2013,2))</f>
        <v>#DIV/0!</v>
      </c>
      <c r="S2013" s="69" t="e">
        <f>ROUND(P2013,2)*Q2013</f>
        <v>#DIV/0!</v>
      </c>
      <c r="T2013" s="66" t="e">
        <f>Q2013*dagenperjaar1</f>
        <v>#DIV/0!</v>
      </c>
      <c r="U2013" s="70" t="e">
        <f>T2013*ROUND(P2013,2)</f>
        <v>#DIV/0!</v>
      </c>
    </row>
    <row r="2014" spans="1:21" x14ac:dyDescent="0.2">
      <c r="A2014" s="63" t="s">
        <v>2099</v>
      </c>
      <c r="B2014" s="64" t="s">
        <v>324</v>
      </c>
      <c r="C2014" s="64" t="s">
        <v>323</v>
      </c>
      <c r="D2014" s="64" t="s">
        <v>2483</v>
      </c>
      <c r="E2014" s="64" t="s">
        <v>2482</v>
      </c>
      <c r="F2014" s="65" t="s">
        <v>392</v>
      </c>
      <c r="G2014" s="64" t="s">
        <v>328</v>
      </c>
      <c r="H2014" s="64" t="s">
        <v>205</v>
      </c>
      <c r="I2014" s="64" t="s">
        <v>10</v>
      </c>
      <c r="J2014" s="64" t="s">
        <v>201</v>
      </c>
      <c r="K2014" s="66">
        <v>7.81</v>
      </c>
      <c r="L2014" s="66">
        <f>K2014*VLOOKUP(I2014,dagsoorttabel1,2,FALSE)</f>
        <v>7.81</v>
      </c>
      <c r="M2014" s="67">
        <f>prodnorm26</f>
        <v>0</v>
      </c>
      <c r="N2014" s="68">
        <f>dagwerk26</f>
        <v>0</v>
      </c>
      <c r="O2014" s="64" t="s">
        <v>38</v>
      </c>
      <c r="P2014" s="69">
        <f>uurtarief26</f>
        <v>0</v>
      </c>
      <c r="Q2014" s="66" t="e">
        <f>IF(ISBLANK(M2014),0,L2014/ROUND(M2014,4))</f>
        <v>#DIV/0!</v>
      </c>
      <c r="R2014" s="66" t="e">
        <f>IF(ISBLANK(M2014),0,Q2014*ROUND(N2014,2))</f>
        <v>#DIV/0!</v>
      </c>
      <c r="S2014" s="69" t="e">
        <f>ROUND(P2014,2)*Q2014</f>
        <v>#DIV/0!</v>
      </c>
      <c r="T2014" s="66" t="e">
        <f>Q2014*dagenperjaar1</f>
        <v>#DIV/0!</v>
      </c>
      <c r="U2014" s="70" t="e">
        <f>T2014*ROUND(P2014,2)</f>
        <v>#DIV/0!</v>
      </c>
    </row>
    <row r="2015" spans="1:21" x14ac:dyDescent="0.2">
      <c r="A2015" s="63" t="s">
        <v>2099</v>
      </c>
      <c r="B2015" s="64" t="s">
        <v>324</v>
      </c>
      <c r="C2015" s="64" t="s">
        <v>323</v>
      </c>
      <c r="D2015" s="64" t="s">
        <v>2484</v>
      </c>
      <c r="E2015" s="64" t="s">
        <v>2485</v>
      </c>
      <c r="F2015" s="65" t="s">
        <v>394</v>
      </c>
      <c r="G2015" s="64" t="s">
        <v>328</v>
      </c>
      <c r="H2015" s="64" t="s">
        <v>205</v>
      </c>
      <c r="I2015" s="64" t="s">
        <v>10</v>
      </c>
      <c r="J2015" s="64" t="s">
        <v>201</v>
      </c>
      <c r="K2015" s="66">
        <v>8.3500000000000014</v>
      </c>
      <c r="L2015" s="66">
        <f>K2015*VLOOKUP(I2015,dagsoorttabel1,2,FALSE)</f>
        <v>8.3500000000000014</v>
      </c>
      <c r="M2015" s="67">
        <f>prodnorm26</f>
        <v>0</v>
      </c>
      <c r="N2015" s="68">
        <f>dagwerk26</f>
        <v>0</v>
      </c>
      <c r="O2015" s="64" t="s">
        <v>38</v>
      </c>
      <c r="P2015" s="69">
        <f>uurtarief26</f>
        <v>0</v>
      </c>
      <c r="Q2015" s="66" t="e">
        <f>IF(ISBLANK(M2015),0,L2015/ROUND(M2015,4))</f>
        <v>#DIV/0!</v>
      </c>
      <c r="R2015" s="66" t="e">
        <f>IF(ISBLANK(M2015),0,Q2015*ROUND(N2015,2))</f>
        <v>#DIV/0!</v>
      </c>
      <c r="S2015" s="69" t="e">
        <f>ROUND(P2015,2)*Q2015</f>
        <v>#DIV/0!</v>
      </c>
      <c r="T2015" s="66" t="e">
        <f>Q2015*dagenperjaar1</f>
        <v>#DIV/0!</v>
      </c>
      <c r="U2015" s="70" t="e">
        <f>T2015*ROUND(P2015,2)</f>
        <v>#DIV/0!</v>
      </c>
    </row>
    <row r="2016" spans="1:21" x14ac:dyDescent="0.2">
      <c r="A2016" s="63" t="s">
        <v>2099</v>
      </c>
      <c r="B2016" s="64" t="s">
        <v>324</v>
      </c>
      <c r="C2016" s="64" t="s">
        <v>323</v>
      </c>
      <c r="D2016" s="64" t="s">
        <v>2486</v>
      </c>
      <c r="E2016" s="64" t="s">
        <v>2485</v>
      </c>
      <c r="F2016" s="65" t="s">
        <v>394</v>
      </c>
      <c r="G2016" s="64" t="s">
        <v>328</v>
      </c>
      <c r="H2016" s="64" t="s">
        <v>205</v>
      </c>
      <c r="I2016" s="64" t="s">
        <v>10</v>
      </c>
      <c r="J2016" s="64" t="s">
        <v>201</v>
      </c>
      <c r="K2016" s="66">
        <v>8.3500000000000014</v>
      </c>
      <c r="L2016" s="66">
        <f>K2016*VLOOKUP(I2016,dagsoorttabel1,2,FALSE)</f>
        <v>8.3500000000000014</v>
      </c>
      <c r="M2016" s="67">
        <f>prodnorm26</f>
        <v>0</v>
      </c>
      <c r="N2016" s="68">
        <f>dagwerk26</f>
        <v>0</v>
      </c>
      <c r="O2016" s="64" t="s">
        <v>38</v>
      </c>
      <c r="P2016" s="69">
        <f>uurtarief26</f>
        <v>0</v>
      </c>
      <c r="Q2016" s="66" t="e">
        <f>IF(ISBLANK(M2016),0,L2016/ROUND(M2016,4))</f>
        <v>#DIV/0!</v>
      </c>
      <c r="R2016" s="66" t="e">
        <f>IF(ISBLANK(M2016),0,Q2016*ROUND(N2016,2))</f>
        <v>#DIV/0!</v>
      </c>
      <c r="S2016" s="69" t="e">
        <f>ROUND(P2016,2)*Q2016</f>
        <v>#DIV/0!</v>
      </c>
      <c r="T2016" s="66" t="e">
        <f>Q2016*dagenperjaar1</f>
        <v>#DIV/0!</v>
      </c>
      <c r="U2016" s="70" t="e">
        <f>T2016*ROUND(P2016,2)</f>
        <v>#DIV/0!</v>
      </c>
    </row>
    <row r="2017" spans="1:21" x14ac:dyDescent="0.2">
      <c r="A2017" s="63" t="s">
        <v>2099</v>
      </c>
      <c r="B2017" s="64" t="s">
        <v>324</v>
      </c>
      <c r="C2017" s="64" t="s">
        <v>323</v>
      </c>
      <c r="D2017" s="64" t="s">
        <v>2487</v>
      </c>
      <c r="E2017" s="64" t="s">
        <v>2488</v>
      </c>
      <c r="F2017" s="65" t="s">
        <v>399</v>
      </c>
      <c r="G2017" s="64" t="s">
        <v>328</v>
      </c>
      <c r="H2017" s="64" t="s">
        <v>205</v>
      </c>
      <c r="I2017" s="64" t="s">
        <v>10</v>
      </c>
      <c r="J2017" s="64" t="s">
        <v>201</v>
      </c>
      <c r="K2017" s="66">
        <v>7.88</v>
      </c>
      <c r="L2017" s="66">
        <f>K2017*VLOOKUP(I2017,dagsoorttabel1,2,FALSE)</f>
        <v>7.88</v>
      </c>
      <c r="M2017" s="67">
        <f>prodnorm26</f>
        <v>0</v>
      </c>
      <c r="N2017" s="68">
        <f>dagwerk26</f>
        <v>0</v>
      </c>
      <c r="O2017" s="64" t="s">
        <v>38</v>
      </c>
      <c r="P2017" s="69">
        <f>uurtarief26</f>
        <v>0</v>
      </c>
      <c r="Q2017" s="66" t="e">
        <f>IF(ISBLANK(M2017),0,L2017/ROUND(M2017,4))</f>
        <v>#DIV/0!</v>
      </c>
      <c r="R2017" s="66" t="e">
        <f>IF(ISBLANK(M2017),0,Q2017*ROUND(N2017,2))</f>
        <v>#DIV/0!</v>
      </c>
      <c r="S2017" s="69" t="e">
        <f>ROUND(P2017,2)*Q2017</f>
        <v>#DIV/0!</v>
      </c>
      <c r="T2017" s="66" t="e">
        <f>Q2017*dagenperjaar1</f>
        <v>#DIV/0!</v>
      </c>
      <c r="U2017" s="70" t="e">
        <f>T2017*ROUND(P2017,2)</f>
        <v>#DIV/0!</v>
      </c>
    </row>
    <row r="2018" spans="1:21" x14ac:dyDescent="0.2">
      <c r="A2018" s="63" t="s">
        <v>2099</v>
      </c>
      <c r="B2018" s="64" t="s">
        <v>324</v>
      </c>
      <c r="C2018" s="64" t="s">
        <v>323</v>
      </c>
      <c r="D2018" s="64" t="s">
        <v>2489</v>
      </c>
      <c r="E2018" s="64" t="s">
        <v>2490</v>
      </c>
      <c r="F2018" s="65" t="s">
        <v>2491</v>
      </c>
      <c r="G2018" s="64" t="s">
        <v>328</v>
      </c>
      <c r="H2018" s="64" t="s">
        <v>205</v>
      </c>
      <c r="I2018" s="64" t="s">
        <v>10</v>
      </c>
      <c r="J2018" s="64" t="s">
        <v>201</v>
      </c>
      <c r="K2018" s="66">
        <v>7.88</v>
      </c>
      <c r="L2018" s="66">
        <f>K2018*VLOOKUP(I2018,dagsoorttabel1,2,FALSE)</f>
        <v>7.88</v>
      </c>
      <c r="M2018" s="67">
        <f>prodnorm26</f>
        <v>0</v>
      </c>
      <c r="N2018" s="68">
        <f>dagwerk26</f>
        <v>0</v>
      </c>
      <c r="O2018" s="64" t="s">
        <v>38</v>
      </c>
      <c r="P2018" s="69">
        <f>uurtarief26</f>
        <v>0</v>
      </c>
      <c r="Q2018" s="66" t="e">
        <f>IF(ISBLANK(M2018),0,L2018/ROUND(M2018,4))</f>
        <v>#DIV/0!</v>
      </c>
      <c r="R2018" s="66" t="e">
        <f>IF(ISBLANK(M2018),0,Q2018*ROUND(N2018,2))</f>
        <v>#DIV/0!</v>
      </c>
      <c r="S2018" s="69" t="e">
        <f>ROUND(P2018,2)*Q2018</f>
        <v>#DIV/0!</v>
      </c>
      <c r="T2018" s="66" t="e">
        <f>Q2018*dagenperjaar1</f>
        <v>#DIV/0!</v>
      </c>
      <c r="U2018" s="70" t="e">
        <f>T2018*ROUND(P2018,2)</f>
        <v>#DIV/0!</v>
      </c>
    </row>
    <row r="2019" spans="1:21" x14ac:dyDescent="0.2">
      <c r="A2019" s="63" t="s">
        <v>2099</v>
      </c>
      <c r="B2019" s="64" t="s">
        <v>324</v>
      </c>
      <c r="C2019" s="64" t="s">
        <v>323</v>
      </c>
      <c r="D2019" s="64" t="s">
        <v>2492</v>
      </c>
      <c r="E2019" s="64" t="s">
        <v>2493</v>
      </c>
      <c r="F2019" s="65" t="s">
        <v>2494</v>
      </c>
      <c r="G2019" s="64" t="s">
        <v>328</v>
      </c>
      <c r="H2019" s="64" t="s">
        <v>237</v>
      </c>
      <c r="I2019" s="64" t="s">
        <v>19</v>
      </c>
      <c r="J2019" s="64" t="s">
        <v>201</v>
      </c>
      <c r="K2019" s="66">
        <v>2.21</v>
      </c>
      <c r="L2019" s="66">
        <f>K2019*VLOOKUP(I2019,dagsoorttabel1,2,FALSE)</f>
        <v>0.1105</v>
      </c>
      <c r="M2019" s="67">
        <f>prodnorm47</f>
        <v>0</v>
      </c>
      <c r="N2019" s="68">
        <f>dagwerk47</f>
        <v>0</v>
      </c>
      <c r="O2019" s="64" t="s">
        <v>38</v>
      </c>
      <c r="P2019" s="69">
        <f>uurtarief47</f>
        <v>0</v>
      </c>
      <c r="Q2019" s="66" t="e">
        <f>IF(ISBLANK(M2019),0,L2019/ROUND(M2019,4))</f>
        <v>#DIV/0!</v>
      </c>
      <c r="R2019" s="66" t="e">
        <f>IF(ISBLANK(M2019),0,Q2019*ROUND(N2019,2))</f>
        <v>#DIV/0!</v>
      </c>
      <c r="S2019" s="69" t="e">
        <f>ROUND(P2019,2)*Q2019</f>
        <v>#DIV/0!</v>
      </c>
      <c r="T2019" s="66" t="e">
        <f>Q2019*dagenperjaar1</f>
        <v>#DIV/0!</v>
      </c>
      <c r="U2019" s="70" t="e">
        <f>T2019*ROUND(P2019,2)</f>
        <v>#DIV/0!</v>
      </c>
    </row>
    <row r="2020" spans="1:21" x14ac:dyDescent="0.2">
      <c r="A2020" s="63" t="s">
        <v>2099</v>
      </c>
      <c r="B2020" s="64" t="s">
        <v>324</v>
      </c>
      <c r="C2020" s="64" t="s">
        <v>323</v>
      </c>
      <c r="D2020" s="64" t="s">
        <v>2495</v>
      </c>
      <c r="E2020" s="64" t="s">
        <v>2496</v>
      </c>
      <c r="F2020" s="65" t="s">
        <v>641</v>
      </c>
      <c r="G2020" s="64" t="s">
        <v>2128</v>
      </c>
      <c r="H2020" s="64" t="s">
        <v>255</v>
      </c>
      <c r="I2020" s="64" t="s">
        <v>10</v>
      </c>
      <c r="J2020" s="64" t="s">
        <v>201</v>
      </c>
      <c r="K2020" s="66">
        <v>3.63</v>
      </c>
      <c r="L2020" s="66">
        <f>K2020*VLOOKUP(I2020,dagsoorttabel1,2,FALSE)</f>
        <v>3.63</v>
      </c>
      <c r="M2020" s="67">
        <f>prodnorm59</f>
        <v>0</v>
      </c>
      <c r="N2020" s="68">
        <f>dagwerk59</f>
        <v>0</v>
      </c>
      <c r="O2020" s="64" t="s">
        <v>38</v>
      </c>
      <c r="P2020" s="69">
        <f>uurtarief59</f>
        <v>0</v>
      </c>
      <c r="Q2020" s="66" t="e">
        <f>IF(ISBLANK(M2020),0,L2020/ROUND(M2020,4))</f>
        <v>#DIV/0!</v>
      </c>
      <c r="R2020" s="66" t="e">
        <f>IF(ISBLANK(M2020),0,Q2020*ROUND(N2020,2))</f>
        <v>#DIV/0!</v>
      </c>
      <c r="S2020" s="69" t="e">
        <f>ROUND(P2020,2)*Q2020</f>
        <v>#DIV/0!</v>
      </c>
      <c r="T2020" s="66" t="e">
        <f>Q2020*dagenperjaar1</f>
        <v>#DIV/0!</v>
      </c>
      <c r="U2020" s="70" t="e">
        <f>T2020*ROUND(P2020,2)</f>
        <v>#DIV/0!</v>
      </c>
    </row>
    <row r="2021" spans="1:21" x14ac:dyDescent="0.2">
      <c r="A2021" s="63" t="s">
        <v>2099</v>
      </c>
      <c r="B2021" s="64" t="s">
        <v>324</v>
      </c>
      <c r="C2021" s="64" t="s">
        <v>323</v>
      </c>
      <c r="D2021" s="64" t="s">
        <v>2495</v>
      </c>
      <c r="E2021" s="64" t="s">
        <v>2496</v>
      </c>
      <c r="F2021" s="65" t="s">
        <v>641</v>
      </c>
      <c r="G2021" s="64" t="s">
        <v>2128</v>
      </c>
      <c r="H2021" s="64" t="s">
        <v>257</v>
      </c>
      <c r="I2021" s="64" t="s">
        <v>10</v>
      </c>
      <c r="J2021" s="64" t="s">
        <v>201</v>
      </c>
      <c r="K2021" s="66">
        <v>3.63</v>
      </c>
      <c r="L2021" s="66">
        <f>K2021*VLOOKUP(I2021,dagsoorttabel1,2,FALSE)</f>
        <v>3.63</v>
      </c>
      <c r="M2021" s="67">
        <f>prodnorm60</f>
        <v>0</v>
      </c>
      <c r="N2021" s="68">
        <f>dagwerk60</f>
        <v>0</v>
      </c>
      <c r="O2021" s="64" t="s">
        <v>38</v>
      </c>
      <c r="P2021" s="69">
        <f>uurtarief60</f>
        <v>0</v>
      </c>
      <c r="Q2021" s="66" t="e">
        <f>IF(ISBLANK(M2021),0,L2021/ROUND(M2021,4))</f>
        <v>#DIV/0!</v>
      </c>
      <c r="R2021" s="66" t="e">
        <f>IF(ISBLANK(M2021),0,Q2021*ROUND(N2021,2))</f>
        <v>#DIV/0!</v>
      </c>
      <c r="S2021" s="69" t="e">
        <f>ROUND(P2021,2)*Q2021</f>
        <v>#DIV/0!</v>
      </c>
      <c r="T2021" s="66" t="e">
        <f>Q2021*dagenperjaar1</f>
        <v>#DIV/0!</v>
      </c>
      <c r="U2021" s="70" t="e">
        <f>T2021*ROUND(P2021,2)</f>
        <v>#DIV/0!</v>
      </c>
    </row>
    <row r="2022" spans="1:21" x14ac:dyDescent="0.2">
      <c r="A2022" s="63" t="s">
        <v>2099</v>
      </c>
      <c r="B2022" s="64" t="s">
        <v>324</v>
      </c>
      <c r="C2022" s="64" t="s">
        <v>323</v>
      </c>
      <c r="D2022" s="64" t="s">
        <v>2497</v>
      </c>
      <c r="E2022" s="64" t="s">
        <v>2498</v>
      </c>
      <c r="F2022" s="65" t="s">
        <v>641</v>
      </c>
      <c r="G2022" s="64" t="s">
        <v>2128</v>
      </c>
      <c r="H2022" s="64" t="s">
        <v>255</v>
      </c>
      <c r="I2022" s="64" t="s">
        <v>10</v>
      </c>
      <c r="J2022" s="64" t="s">
        <v>201</v>
      </c>
      <c r="K2022" s="66">
        <v>4.55</v>
      </c>
      <c r="L2022" s="66">
        <f>K2022*VLOOKUP(I2022,dagsoorttabel1,2,FALSE)</f>
        <v>4.55</v>
      </c>
      <c r="M2022" s="67">
        <f>prodnorm59</f>
        <v>0</v>
      </c>
      <c r="N2022" s="68">
        <f>dagwerk59</f>
        <v>0</v>
      </c>
      <c r="O2022" s="64" t="s">
        <v>38</v>
      </c>
      <c r="P2022" s="69">
        <f>uurtarief59</f>
        <v>0</v>
      </c>
      <c r="Q2022" s="66" t="e">
        <f>IF(ISBLANK(M2022),0,L2022/ROUND(M2022,4))</f>
        <v>#DIV/0!</v>
      </c>
      <c r="R2022" s="66" t="e">
        <f>IF(ISBLANK(M2022),0,Q2022*ROUND(N2022,2))</f>
        <v>#DIV/0!</v>
      </c>
      <c r="S2022" s="69" t="e">
        <f>ROUND(P2022,2)*Q2022</f>
        <v>#DIV/0!</v>
      </c>
      <c r="T2022" s="66" t="e">
        <f>Q2022*dagenperjaar1</f>
        <v>#DIV/0!</v>
      </c>
      <c r="U2022" s="70" t="e">
        <f>T2022*ROUND(P2022,2)</f>
        <v>#DIV/0!</v>
      </c>
    </row>
    <row r="2023" spans="1:21" x14ac:dyDescent="0.2">
      <c r="A2023" s="63" t="s">
        <v>2099</v>
      </c>
      <c r="B2023" s="64" t="s">
        <v>324</v>
      </c>
      <c r="C2023" s="64" t="s">
        <v>323</v>
      </c>
      <c r="D2023" s="64" t="s">
        <v>2497</v>
      </c>
      <c r="E2023" s="64" t="s">
        <v>2498</v>
      </c>
      <c r="F2023" s="65" t="s">
        <v>641</v>
      </c>
      <c r="G2023" s="64" t="s">
        <v>2128</v>
      </c>
      <c r="H2023" s="64" t="s">
        <v>257</v>
      </c>
      <c r="I2023" s="64" t="s">
        <v>10</v>
      </c>
      <c r="J2023" s="64" t="s">
        <v>201</v>
      </c>
      <c r="K2023" s="66">
        <v>4.55</v>
      </c>
      <c r="L2023" s="66">
        <f>K2023*VLOOKUP(I2023,dagsoorttabel1,2,FALSE)</f>
        <v>4.55</v>
      </c>
      <c r="M2023" s="67">
        <f>prodnorm60</f>
        <v>0</v>
      </c>
      <c r="N2023" s="68">
        <f>dagwerk60</f>
        <v>0</v>
      </c>
      <c r="O2023" s="64" t="s">
        <v>38</v>
      </c>
      <c r="P2023" s="69">
        <f>uurtarief60</f>
        <v>0</v>
      </c>
      <c r="Q2023" s="66" t="e">
        <f>IF(ISBLANK(M2023),0,L2023/ROUND(M2023,4))</f>
        <v>#DIV/0!</v>
      </c>
      <c r="R2023" s="66" t="e">
        <f>IF(ISBLANK(M2023),0,Q2023*ROUND(N2023,2))</f>
        <v>#DIV/0!</v>
      </c>
      <c r="S2023" s="69" t="e">
        <f>ROUND(P2023,2)*Q2023</f>
        <v>#DIV/0!</v>
      </c>
      <c r="T2023" s="66" t="e">
        <f>Q2023*dagenperjaar1</f>
        <v>#DIV/0!</v>
      </c>
      <c r="U2023" s="70" t="e">
        <f>T2023*ROUND(P2023,2)</f>
        <v>#DIV/0!</v>
      </c>
    </row>
    <row r="2024" spans="1:21" x14ac:dyDescent="0.2">
      <c r="A2024" s="63" t="s">
        <v>2099</v>
      </c>
      <c r="B2024" s="64" t="s">
        <v>324</v>
      </c>
      <c r="C2024" s="64" t="s">
        <v>323</v>
      </c>
      <c r="D2024" s="64" t="s">
        <v>2499</v>
      </c>
      <c r="E2024" s="64" t="s">
        <v>2500</v>
      </c>
      <c r="F2024" s="65" t="s">
        <v>2501</v>
      </c>
      <c r="G2024" s="64" t="s">
        <v>328</v>
      </c>
      <c r="H2024" s="64" t="s">
        <v>237</v>
      </c>
      <c r="I2024" s="64" t="s">
        <v>19</v>
      </c>
      <c r="J2024" s="64" t="s">
        <v>201</v>
      </c>
      <c r="K2024" s="66">
        <v>2.21</v>
      </c>
      <c r="L2024" s="66">
        <f>K2024*VLOOKUP(I2024,dagsoorttabel1,2,FALSE)</f>
        <v>0.1105</v>
      </c>
      <c r="M2024" s="67">
        <f>prodnorm47</f>
        <v>0</v>
      </c>
      <c r="N2024" s="68">
        <f>dagwerk47</f>
        <v>0</v>
      </c>
      <c r="O2024" s="64" t="s">
        <v>38</v>
      </c>
      <c r="P2024" s="69">
        <f>uurtarief47</f>
        <v>0</v>
      </c>
      <c r="Q2024" s="66" t="e">
        <f>IF(ISBLANK(M2024),0,L2024/ROUND(M2024,4))</f>
        <v>#DIV/0!</v>
      </c>
      <c r="R2024" s="66" t="e">
        <f>IF(ISBLANK(M2024),0,Q2024*ROUND(N2024,2))</f>
        <v>#DIV/0!</v>
      </c>
      <c r="S2024" s="69" t="e">
        <f>ROUND(P2024,2)*Q2024</f>
        <v>#DIV/0!</v>
      </c>
      <c r="T2024" s="66" t="e">
        <f>Q2024*dagenperjaar1</f>
        <v>#DIV/0!</v>
      </c>
      <c r="U2024" s="70" t="e">
        <f>T2024*ROUND(P2024,2)</f>
        <v>#DIV/0!</v>
      </c>
    </row>
    <row r="2025" spans="1:21" x14ac:dyDescent="0.2">
      <c r="A2025" s="63" t="s">
        <v>2099</v>
      </c>
      <c r="B2025" s="64" t="s">
        <v>324</v>
      </c>
      <c r="C2025" s="64" t="s">
        <v>600</v>
      </c>
      <c r="D2025" s="64" t="s">
        <v>324</v>
      </c>
      <c r="E2025" s="64" t="s">
        <v>324</v>
      </c>
      <c r="F2025" s="65" t="s">
        <v>2502</v>
      </c>
      <c r="G2025" s="64" t="s">
        <v>324</v>
      </c>
      <c r="H2025" s="64" t="s">
        <v>276</v>
      </c>
      <c r="I2025" s="64" t="s">
        <v>10</v>
      </c>
      <c r="J2025" s="64" t="s">
        <v>274</v>
      </c>
      <c r="K2025" s="66">
        <v>20</v>
      </c>
      <c r="L2025" s="66">
        <f>K2025*VLOOKUP(I2025,dagsoorttabel1,2,FALSE)</f>
        <v>20</v>
      </c>
      <c r="M2025" s="67">
        <f>prodnorm13</f>
        <v>0</v>
      </c>
      <c r="N2025" s="68">
        <f>dagwerk13</f>
        <v>0</v>
      </c>
      <c r="O2025" s="64" t="s">
        <v>278</v>
      </c>
      <c r="P2025" s="69">
        <f>uurtarief13</f>
        <v>0</v>
      </c>
      <c r="Q2025" s="66">
        <f>L2025*ROUND(M2025,4)/60</f>
        <v>0</v>
      </c>
      <c r="R2025" s="66">
        <f>IF(ISBLANK(M2025),0,Q2025*ROUND(N2025,2))</f>
        <v>0</v>
      </c>
      <c r="S2025" s="69">
        <f>ROUND(P2025,2)*Q2025</f>
        <v>0</v>
      </c>
      <c r="T2025" s="66">
        <f>Q2025*dagenperjaar1</f>
        <v>0</v>
      </c>
      <c r="U2025" s="70">
        <f>T2025*ROUND(P2025,2)</f>
        <v>0</v>
      </c>
    </row>
    <row r="2026" spans="1:21" x14ac:dyDescent="0.2">
      <c r="A2026" s="71" t="s">
        <v>2099</v>
      </c>
      <c r="B2026" s="72" t="s">
        <v>324</v>
      </c>
      <c r="C2026" s="72" t="s">
        <v>600</v>
      </c>
      <c r="D2026" s="72" t="s">
        <v>324</v>
      </c>
      <c r="E2026" s="72" t="s">
        <v>324</v>
      </c>
      <c r="F2026" s="73" t="s">
        <v>2502</v>
      </c>
      <c r="G2026" s="72" t="s">
        <v>324</v>
      </c>
      <c r="H2026" s="72" t="s">
        <v>279</v>
      </c>
      <c r="I2026" s="72" t="s">
        <v>14</v>
      </c>
      <c r="J2026" s="72" t="s">
        <v>274</v>
      </c>
      <c r="K2026" s="74">
        <v>20</v>
      </c>
      <c r="L2026" s="74">
        <f>K2026*VLOOKUP(I2026,dagsoorttabel1,2,FALSE)</f>
        <v>8</v>
      </c>
      <c r="M2026" s="75">
        <f>prodnorm14</f>
        <v>0</v>
      </c>
      <c r="N2026" s="76">
        <f>dagwerk14</f>
        <v>0</v>
      </c>
      <c r="O2026" s="72" t="s">
        <v>278</v>
      </c>
      <c r="P2026" s="77">
        <f>uurtarief14</f>
        <v>0</v>
      </c>
      <c r="Q2026" s="74">
        <f>L2026*ROUND(M2026,4)/60</f>
        <v>0</v>
      </c>
      <c r="R2026" s="74">
        <f>IF(ISBLANK(M2026),0,Q2026*ROUND(N2026,2))</f>
        <v>0</v>
      </c>
      <c r="S2026" s="77">
        <f>ROUND(P2026,2)*Q2026</f>
        <v>0</v>
      </c>
      <c r="T2026" s="74">
        <f>Q2026*dagenperjaar1</f>
        <v>0</v>
      </c>
      <c r="U2026" s="78">
        <f>T2026*ROUND(P2026,2)</f>
        <v>0</v>
      </c>
    </row>
    <row r="2027" spans="1:21" x14ac:dyDescent="0.2">
      <c r="A2027" s="79" t="s">
        <v>602</v>
      </c>
      <c r="B2027" s="44"/>
      <c r="C2027" s="44"/>
      <c r="D2027" s="44"/>
      <c r="E2027" s="44"/>
      <c r="F2027" s="44"/>
      <c r="G2027" s="44"/>
      <c r="H2027" s="44"/>
      <c r="I2027" s="44"/>
      <c r="J2027" s="44"/>
      <c r="K2027" s="44"/>
      <c r="L2027" s="44"/>
      <c r="M2027" s="44"/>
      <c r="N2027" s="44"/>
      <c r="O2027" s="44"/>
      <c r="P2027" s="46" t="e">
        <f>IF(_xlfn.SINGLE(object16_urenjaar1)&gt;0,_xlfn.SINGLE(object16_prijsjaar1)/_xlfn.SINGLE(object16_urenjaar1),0)</f>
        <v>#DIV/0!</v>
      </c>
      <c r="Q2027" s="45" t="e">
        <f>SUM(Q1722:Q2026)</f>
        <v>#DIV/0!</v>
      </c>
      <c r="R2027" s="45" t="e">
        <f>SUM(R1722:R2026)</f>
        <v>#DIV/0!</v>
      </c>
      <c r="S2027" s="46" t="e">
        <f>SUM(S1722:S2026)</f>
        <v>#DIV/0!</v>
      </c>
      <c r="T2027" s="45" t="e">
        <f>SUM(T1722:T2026)</f>
        <v>#DIV/0!</v>
      </c>
      <c r="U2027" s="47" t="e">
        <f>SUM(U1722:U2026)</f>
        <v>#DIV/0!</v>
      </c>
    </row>
    <row r="2028" spans="1:21" x14ac:dyDescent="0.2">
      <c r="A2028" s="54" t="s">
        <v>2503</v>
      </c>
      <c r="B2028" s="13"/>
      <c r="C2028" s="13"/>
      <c r="D2028" s="13"/>
      <c r="E2028" s="13"/>
      <c r="F2028" s="13"/>
      <c r="G2028" s="13"/>
      <c r="H2028" s="13"/>
      <c r="I2028" s="13"/>
      <c r="J2028" s="13"/>
      <c r="K2028" s="13"/>
      <c r="L2028" s="13"/>
      <c r="M2028" s="13"/>
      <c r="N2028" s="13"/>
      <c r="O2028" s="13"/>
      <c r="P2028" s="13"/>
      <c r="Q2028" s="13"/>
      <c r="R2028" s="13"/>
      <c r="S2028" s="13"/>
      <c r="T2028" s="13"/>
      <c r="U2028" s="42"/>
    </row>
    <row r="2029" spans="1:21" x14ac:dyDescent="0.2">
      <c r="A2029" s="55" t="s">
        <v>2504</v>
      </c>
      <c r="B2029" s="56" t="s">
        <v>324</v>
      </c>
      <c r="C2029" s="56" t="s">
        <v>325</v>
      </c>
      <c r="D2029" s="56" t="s">
        <v>2505</v>
      </c>
      <c r="E2029" s="56" t="s">
        <v>324</v>
      </c>
      <c r="F2029" s="57" t="s">
        <v>327</v>
      </c>
      <c r="G2029" s="56" t="s">
        <v>328</v>
      </c>
      <c r="H2029" s="56" t="s">
        <v>223</v>
      </c>
      <c r="I2029" s="56" t="s">
        <v>10</v>
      </c>
      <c r="J2029" s="56" t="s">
        <v>201</v>
      </c>
      <c r="K2029" s="58">
        <v>2.3899999999999997</v>
      </c>
      <c r="L2029" s="58">
        <f>K2029*VLOOKUP(I2029,dagsoorttabel1,2,FALSE)</f>
        <v>2.3899999999999997</v>
      </c>
      <c r="M2029" s="59">
        <f>prodnorm39</f>
        <v>0</v>
      </c>
      <c r="N2029" s="60">
        <f>dagwerk39</f>
        <v>0</v>
      </c>
      <c r="O2029" s="56" t="s">
        <v>38</v>
      </c>
      <c r="P2029" s="61">
        <f>uurtarief39</f>
        <v>0</v>
      </c>
      <c r="Q2029" s="58" t="e">
        <f>IF(ISBLANK(M2029),0,L2029/ROUND(M2029,4))</f>
        <v>#DIV/0!</v>
      </c>
      <c r="R2029" s="58" t="e">
        <f>IF(ISBLANK(M2029),0,Q2029*ROUND(N2029,2))</f>
        <v>#DIV/0!</v>
      </c>
      <c r="S2029" s="61" t="e">
        <f>ROUND(P2029,2)*Q2029</f>
        <v>#DIV/0!</v>
      </c>
      <c r="T2029" s="58" t="e">
        <f>Q2029*dagenperjaar1</f>
        <v>#DIV/0!</v>
      </c>
      <c r="U2029" s="62" t="e">
        <f>T2029*ROUND(P2029,2)</f>
        <v>#DIV/0!</v>
      </c>
    </row>
    <row r="2030" spans="1:21" x14ac:dyDescent="0.2">
      <c r="A2030" s="63" t="s">
        <v>2504</v>
      </c>
      <c r="B2030" s="64" t="s">
        <v>324</v>
      </c>
      <c r="C2030" s="64" t="s">
        <v>325</v>
      </c>
      <c r="D2030" s="64" t="s">
        <v>2506</v>
      </c>
      <c r="E2030" s="64" t="s">
        <v>324</v>
      </c>
      <c r="F2030" s="65" t="s">
        <v>2507</v>
      </c>
      <c r="G2030" s="64" t="s">
        <v>2508</v>
      </c>
      <c r="H2030" s="64" t="s">
        <v>267</v>
      </c>
      <c r="I2030" s="64" t="s">
        <v>10</v>
      </c>
      <c r="J2030" s="64" t="s">
        <v>201</v>
      </c>
      <c r="K2030" s="66">
        <v>104.49000000000001</v>
      </c>
      <c r="L2030" s="66">
        <f>K2030*VLOOKUP(I2030,dagsoorttabel1,2,FALSE)</f>
        <v>104.49000000000001</v>
      </c>
      <c r="M2030" s="67">
        <f>prodnorm65</f>
        <v>0</v>
      </c>
      <c r="N2030" s="68">
        <f>dagwerk65</f>
        <v>0</v>
      </c>
      <c r="O2030" s="64" t="s">
        <v>38</v>
      </c>
      <c r="P2030" s="69">
        <f>uurtarief65</f>
        <v>0</v>
      </c>
      <c r="Q2030" s="66" t="e">
        <f>IF(ISBLANK(M2030),0,L2030/ROUND(M2030,4))</f>
        <v>#DIV/0!</v>
      </c>
      <c r="R2030" s="66" t="e">
        <f>IF(ISBLANK(M2030),0,Q2030*ROUND(N2030,2))</f>
        <v>#DIV/0!</v>
      </c>
      <c r="S2030" s="69" t="e">
        <f>ROUND(P2030,2)*Q2030</f>
        <v>#DIV/0!</v>
      </c>
      <c r="T2030" s="66" t="e">
        <f>Q2030*dagenperjaar1</f>
        <v>#DIV/0!</v>
      </c>
      <c r="U2030" s="70" t="e">
        <f>T2030*ROUND(P2030,2)</f>
        <v>#DIV/0!</v>
      </c>
    </row>
    <row r="2031" spans="1:21" x14ac:dyDescent="0.2">
      <c r="A2031" s="63" t="s">
        <v>2504</v>
      </c>
      <c r="B2031" s="64" t="s">
        <v>324</v>
      </c>
      <c r="C2031" s="64" t="s">
        <v>325</v>
      </c>
      <c r="D2031" s="64" t="s">
        <v>2509</v>
      </c>
      <c r="E2031" s="64" t="s">
        <v>324</v>
      </c>
      <c r="F2031" s="65" t="s">
        <v>2510</v>
      </c>
      <c r="G2031" s="64" t="s">
        <v>1421</v>
      </c>
      <c r="H2031" s="64" t="s">
        <v>205</v>
      </c>
      <c r="I2031" s="64" t="s">
        <v>10</v>
      </c>
      <c r="J2031" s="64" t="s">
        <v>201</v>
      </c>
      <c r="K2031" s="66">
        <v>15.350000000000001</v>
      </c>
      <c r="L2031" s="66">
        <f>K2031*VLOOKUP(I2031,dagsoorttabel1,2,FALSE)</f>
        <v>15.350000000000001</v>
      </c>
      <c r="M2031" s="67">
        <f>prodnorm26</f>
        <v>0</v>
      </c>
      <c r="N2031" s="68">
        <f>dagwerk26</f>
        <v>0</v>
      </c>
      <c r="O2031" s="64" t="s">
        <v>38</v>
      </c>
      <c r="P2031" s="69">
        <f>uurtarief26</f>
        <v>0</v>
      </c>
      <c r="Q2031" s="66" t="e">
        <f>IF(ISBLANK(M2031),0,L2031/ROUND(M2031,4))</f>
        <v>#DIV/0!</v>
      </c>
      <c r="R2031" s="66" t="e">
        <f>IF(ISBLANK(M2031),0,Q2031*ROUND(N2031,2))</f>
        <v>#DIV/0!</v>
      </c>
      <c r="S2031" s="69" t="e">
        <f>ROUND(P2031,2)*Q2031</f>
        <v>#DIV/0!</v>
      </c>
      <c r="T2031" s="66" t="e">
        <f>Q2031*dagenperjaar1</f>
        <v>#DIV/0!</v>
      </c>
      <c r="U2031" s="70" t="e">
        <f>T2031*ROUND(P2031,2)</f>
        <v>#DIV/0!</v>
      </c>
    </row>
    <row r="2032" spans="1:21" x14ac:dyDescent="0.2">
      <c r="A2032" s="63" t="s">
        <v>2504</v>
      </c>
      <c r="B2032" s="64" t="s">
        <v>324</v>
      </c>
      <c r="C2032" s="64" t="s">
        <v>325</v>
      </c>
      <c r="D2032" s="64" t="s">
        <v>2511</v>
      </c>
      <c r="E2032" s="64" t="s">
        <v>324</v>
      </c>
      <c r="F2032" s="65" t="s">
        <v>1466</v>
      </c>
      <c r="G2032" s="64" t="s">
        <v>1421</v>
      </c>
      <c r="H2032" s="64" t="s">
        <v>267</v>
      </c>
      <c r="I2032" s="64" t="s">
        <v>10</v>
      </c>
      <c r="J2032" s="64" t="s">
        <v>201</v>
      </c>
      <c r="K2032" s="66">
        <v>45.21</v>
      </c>
      <c r="L2032" s="66">
        <f>K2032*VLOOKUP(I2032,dagsoorttabel1,2,FALSE)</f>
        <v>45.21</v>
      </c>
      <c r="M2032" s="67">
        <f>prodnorm65</f>
        <v>0</v>
      </c>
      <c r="N2032" s="68">
        <f>dagwerk65</f>
        <v>0</v>
      </c>
      <c r="O2032" s="64" t="s">
        <v>38</v>
      </c>
      <c r="P2032" s="69">
        <f>uurtarief65</f>
        <v>0</v>
      </c>
      <c r="Q2032" s="66" t="e">
        <f>IF(ISBLANK(M2032),0,L2032/ROUND(M2032,4))</f>
        <v>#DIV/0!</v>
      </c>
      <c r="R2032" s="66" t="e">
        <f>IF(ISBLANK(M2032),0,Q2032*ROUND(N2032,2))</f>
        <v>#DIV/0!</v>
      </c>
      <c r="S2032" s="69" t="e">
        <f>ROUND(P2032,2)*Q2032</f>
        <v>#DIV/0!</v>
      </c>
      <c r="T2032" s="66" t="e">
        <f>Q2032*dagenperjaar1</f>
        <v>#DIV/0!</v>
      </c>
      <c r="U2032" s="70" t="e">
        <f>T2032*ROUND(P2032,2)</f>
        <v>#DIV/0!</v>
      </c>
    </row>
    <row r="2033" spans="1:21" x14ac:dyDescent="0.2">
      <c r="A2033" s="63" t="s">
        <v>2504</v>
      </c>
      <c r="B2033" s="64" t="s">
        <v>324</v>
      </c>
      <c r="C2033" s="64" t="s">
        <v>325</v>
      </c>
      <c r="D2033" s="64" t="s">
        <v>2512</v>
      </c>
      <c r="E2033" s="64" t="s">
        <v>324</v>
      </c>
      <c r="F2033" s="65" t="s">
        <v>404</v>
      </c>
      <c r="G2033" s="64" t="s">
        <v>2513</v>
      </c>
      <c r="H2033" s="64" t="s">
        <v>200</v>
      </c>
      <c r="I2033" s="64" t="s">
        <v>10</v>
      </c>
      <c r="J2033" s="64" t="s">
        <v>201</v>
      </c>
      <c r="K2033" s="66">
        <v>88.679999999999993</v>
      </c>
      <c r="L2033" s="66">
        <f>K2033*VLOOKUP(I2033,dagsoorttabel1,2,FALSE)</f>
        <v>88.679999999999993</v>
      </c>
      <c r="M2033" s="67">
        <f>prodnorm24</f>
        <v>0</v>
      </c>
      <c r="N2033" s="68">
        <f>dagwerk24</f>
        <v>0</v>
      </c>
      <c r="O2033" s="64" t="s">
        <v>38</v>
      </c>
      <c r="P2033" s="69">
        <f>uurtarief24</f>
        <v>0</v>
      </c>
      <c r="Q2033" s="66" t="e">
        <f>IF(ISBLANK(M2033),0,L2033/ROUND(M2033,4))</f>
        <v>#DIV/0!</v>
      </c>
      <c r="R2033" s="66" t="e">
        <f>IF(ISBLANK(M2033),0,Q2033*ROUND(N2033,2))</f>
        <v>#DIV/0!</v>
      </c>
      <c r="S2033" s="69" t="e">
        <f>ROUND(P2033,2)*Q2033</f>
        <v>#DIV/0!</v>
      </c>
      <c r="T2033" s="66" t="e">
        <f>Q2033*dagenperjaar1</f>
        <v>#DIV/0!</v>
      </c>
      <c r="U2033" s="70" t="e">
        <f>T2033*ROUND(P2033,2)</f>
        <v>#DIV/0!</v>
      </c>
    </row>
    <row r="2034" spans="1:21" x14ac:dyDescent="0.2">
      <c r="A2034" s="63" t="s">
        <v>2504</v>
      </c>
      <c r="B2034" s="64" t="s">
        <v>324</v>
      </c>
      <c r="C2034" s="64" t="s">
        <v>325</v>
      </c>
      <c r="D2034" s="64" t="s">
        <v>2514</v>
      </c>
      <c r="E2034" s="64" t="s">
        <v>324</v>
      </c>
      <c r="F2034" s="65" t="s">
        <v>671</v>
      </c>
      <c r="G2034" s="64" t="s">
        <v>365</v>
      </c>
      <c r="H2034" s="64" t="s">
        <v>255</v>
      </c>
      <c r="I2034" s="64" t="s">
        <v>10</v>
      </c>
      <c r="J2034" s="64" t="s">
        <v>201</v>
      </c>
      <c r="K2034" s="66">
        <v>8.870000000000001</v>
      </c>
      <c r="L2034" s="66">
        <f>K2034*VLOOKUP(I2034,dagsoorttabel1,2,FALSE)</f>
        <v>8.870000000000001</v>
      </c>
      <c r="M2034" s="67">
        <f>prodnorm59</f>
        <v>0</v>
      </c>
      <c r="N2034" s="68">
        <f>dagwerk59</f>
        <v>0</v>
      </c>
      <c r="O2034" s="64" t="s">
        <v>38</v>
      </c>
      <c r="P2034" s="69">
        <f>uurtarief59</f>
        <v>0</v>
      </c>
      <c r="Q2034" s="66" t="e">
        <f>IF(ISBLANK(M2034),0,L2034/ROUND(M2034,4))</f>
        <v>#DIV/0!</v>
      </c>
      <c r="R2034" s="66" t="e">
        <f>IF(ISBLANK(M2034),0,Q2034*ROUND(N2034,2))</f>
        <v>#DIV/0!</v>
      </c>
      <c r="S2034" s="69" t="e">
        <f>ROUND(P2034,2)*Q2034</f>
        <v>#DIV/0!</v>
      </c>
      <c r="T2034" s="66" t="e">
        <f>Q2034*dagenperjaar1</f>
        <v>#DIV/0!</v>
      </c>
      <c r="U2034" s="70" t="e">
        <f>T2034*ROUND(P2034,2)</f>
        <v>#DIV/0!</v>
      </c>
    </row>
    <row r="2035" spans="1:21" x14ac:dyDescent="0.2">
      <c r="A2035" s="63" t="s">
        <v>2504</v>
      </c>
      <c r="B2035" s="64" t="s">
        <v>324</v>
      </c>
      <c r="C2035" s="64" t="s">
        <v>325</v>
      </c>
      <c r="D2035" s="64" t="s">
        <v>2515</v>
      </c>
      <c r="E2035" s="64" t="s">
        <v>324</v>
      </c>
      <c r="F2035" s="65" t="s">
        <v>2516</v>
      </c>
      <c r="G2035" s="64" t="s">
        <v>365</v>
      </c>
      <c r="H2035" s="64" t="s">
        <v>255</v>
      </c>
      <c r="I2035" s="64" t="s">
        <v>10</v>
      </c>
      <c r="J2035" s="64" t="s">
        <v>201</v>
      </c>
      <c r="K2035" s="66">
        <v>3.4099999999999997</v>
      </c>
      <c r="L2035" s="66">
        <f>K2035*VLOOKUP(I2035,dagsoorttabel1,2,FALSE)</f>
        <v>3.4099999999999997</v>
      </c>
      <c r="M2035" s="67">
        <f>prodnorm59</f>
        <v>0</v>
      </c>
      <c r="N2035" s="68">
        <f>dagwerk59</f>
        <v>0</v>
      </c>
      <c r="O2035" s="64" t="s">
        <v>38</v>
      </c>
      <c r="P2035" s="69">
        <f>uurtarief59</f>
        <v>0</v>
      </c>
      <c r="Q2035" s="66" t="e">
        <f>IF(ISBLANK(M2035),0,L2035/ROUND(M2035,4))</f>
        <v>#DIV/0!</v>
      </c>
      <c r="R2035" s="66" t="e">
        <f>IF(ISBLANK(M2035),0,Q2035*ROUND(N2035,2))</f>
        <v>#DIV/0!</v>
      </c>
      <c r="S2035" s="69" t="e">
        <f>ROUND(P2035,2)*Q2035</f>
        <v>#DIV/0!</v>
      </c>
      <c r="T2035" s="66" t="e">
        <f>Q2035*dagenperjaar1</f>
        <v>#DIV/0!</v>
      </c>
      <c r="U2035" s="70" t="e">
        <f>T2035*ROUND(P2035,2)</f>
        <v>#DIV/0!</v>
      </c>
    </row>
    <row r="2036" spans="1:21" x14ac:dyDescent="0.2">
      <c r="A2036" s="63" t="s">
        <v>2504</v>
      </c>
      <c r="B2036" s="64" t="s">
        <v>324</v>
      </c>
      <c r="C2036" s="64" t="s">
        <v>325</v>
      </c>
      <c r="D2036" s="64" t="s">
        <v>2517</v>
      </c>
      <c r="E2036" s="64" t="s">
        <v>324</v>
      </c>
      <c r="F2036" s="65" t="s">
        <v>671</v>
      </c>
      <c r="G2036" s="64" t="s">
        <v>365</v>
      </c>
      <c r="H2036" s="64" t="s">
        <v>255</v>
      </c>
      <c r="I2036" s="64" t="s">
        <v>10</v>
      </c>
      <c r="J2036" s="64" t="s">
        <v>201</v>
      </c>
      <c r="K2036" s="66">
        <v>7.68</v>
      </c>
      <c r="L2036" s="66">
        <f>K2036*VLOOKUP(I2036,dagsoorttabel1,2,FALSE)</f>
        <v>7.68</v>
      </c>
      <c r="M2036" s="67">
        <f>prodnorm59</f>
        <v>0</v>
      </c>
      <c r="N2036" s="68">
        <f>dagwerk59</f>
        <v>0</v>
      </c>
      <c r="O2036" s="64" t="s">
        <v>38</v>
      </c>
      <c r="P2036" s="69">
        <f>uurtarief59</f>
        <v>0</v>
      </c>
      <c r="Q2036" s="66" t="e">
        <f>IF(ISBLANK(M2036),0,L2036/ROUND(M2036,4))</f>
        <v>#DIV/0!</v>
      </c>
      <c r="R2036" s="66" t="e">
        <f>IF(ISBLANK(M2036),0,Q2036*ROUND(N2036,2))</f>
        <v>#DIV/0!</v>
      </c>
      <c r="S2036" s="69" t="e">
        <f>ROUND(P2036,2)*Q2036</f>
        <v>#DIV/0!</v>
      </c>
      <c r="T2036" s="66" t="e">
        <f>Q2036*dagenperjaar1</f>
        <v>#DIV/0!</v>
      </c>
      <c r="U2036" s="70" t="e">
        <f>T2036*ROUND(P2036,2)</f>
        <v>#DIV/0!</v>
      </c>
    </row>
    <row r="2037" spans="1:21" x14ac:dyDescent="0.2">
      <c r="A2037" s="63" t="s">
        <v>2504</v>
      </c>
      <c r="B2037" s="64" t="s">
        <v>324</v>
      </c>
      <c r="C2037" s="64" t="s">
        <v>325</v>
      </c>
      <c r="D2037" s="64" t="s">
        <v>2518</v>
      </c>
      <c r="E2037" s="64" t="s">
        <v>324</v>
      </c>
      <c r="F2037" s="65" t="s">
        <v>2519</v>
      </c>
      <c r="G2037" s="64" t="s">
        <v>685</v>
      </c>
      <c r="H2037" s="64" t="s">
        <v>217</v>
      </c>
      <c r="I2037" s="64" t="s">
        <v>10</v>
      </c>
      <c r="J2037" s="64" t="s">
        <v>201</v>
      </c>
      <c r="K2037" s="66">
        <v>23.03</v>
      </c>
      <c r="L2037" s="66">
        <f>K2037*VLOOKUP(I2037,dagsoorttabel1,2,FALSE)</f>
        <v>23.03</v>
      </c>
      <c r="M2037" s="67">
        <f>prodnorm35</f>
        <v>0</v>
      </c>
      <c r="N2037" s="68">
        <f>dagwerk35</f>
        <v>0</v>
      </c>
      <c r="O2037" s="64" t="s">
        <v>38</v>
      </c>
      <c r="P2037" s="69">
        <f>uurtarief35</f>
        <v>0</v>
      </c>
      <c r="Q2037" s="66" t="e">
        <f>IF(ISBLANK(M2037),0,L2037/ROUND(M2037,4))</f>
        <v>#DIV/0!</v>
      </c>
      <c r="R2037" s="66" t="e">
        <f>IF(ISBLANK(M2037),0,Q2037*ROUND(N2037,2))</f>
        <v>#DIV/0!</v>
      </c>
      <c r="S2037" s="69" t="e">
        <f>ROUND(P2037,2)*Q2037</f>
        <v>#DIV/0!</v>
      </c>
      <c r="T2037" s="66" t="e">
        <f>Q2037*dagenperjaar1</f>
        <v>#DIV/0!</v>
      </c>
      <c r="U2037" s="70" t="e">
        <f>T2037*ROUND(P2037,2)</f>
        <v>#DIV/0!</v>
      </c>
    </row>
    <row r="2038" spans="1:21" x14ac:dyDescent="0.2">
      <c r="A2038" s="63" t="s">
        <v>2504</v>
      </c>
      <c r="B2038" s="64" t="s">
        <v>324</v>
      </c>
      <c r="C2038" s="64" t="s">
        <v>325</v>
      </c>
      <c r="D2038" s="64" t="s">
        <v>2520</v>
      </c>
      <c r="E2038" s="64" t="s">
        <v>324</v>
      </c>
      <c r="F2038" s="65" t="s">
        <v>638</v>
      </c>
      <c r="G2038" s="64" t="s">
        <v>339</v>
      </c>
      <c r="H2038" s="64" t="s">
        <v>263</v>
      </c>
      <c r="I2038" s="64" t="s">
        <v>10</v>
      </c>
      <c r="J2038" s="64" t="s">
        <v>201</v>
      </c>
      <c r="K2038" s="66">
        <v>4.09</v>
      </c>
      <c r="L2038" s="66">
        <f>K2038*VLOOKUP(I2038,dagsoorttabel1,2,FALSE)</f>
        <v>4.09</v>
      </c>
      <c r="M2038" s="67">
        <f>prodnorm63</f>
        <v>0</v>
      </c>
      <c r="N2038" s="68">
        <f>dagwerk63</f>
        <v>0</v>
      </c>
      <c r="O2038" s="64" t="s">
        <v>38</v>
      </c>
      <c r="P2038" s="69">
        <f>uurtarief63</f>
        <v>0</v>
      </c>
      <c r="Q2038" s="66" t="e">
        <f>IF(ISBLANK(M2038),0,L2038/ROUND(M2038,4))</f>
        <v>#DIV/0!</v>
      </c>
      <c r="R2038" s="66" t="e">
        <f>IF(ISBLANK(M2038),0,Q2038*ROUND(N2038,2))</f>
        <v>#DIV/0!</v>
      </c>
      <c r="S2038" s="69" t="e">
        <f>ROUND(P2038,2)*Q2038</f>
        <v>#DIV/0!</v>
      </c>
      <c r="T2038" s="66" t="e">
        <f>Q2038*dagenperjaar1</f>
        <v>#DIV/0!</v>
      </c>
      <c r="U2038" s="70" t="e">
        <f>T2038*ROUND(P2038,2)</f>
        <v>#DIV/0!</v>
      </c>
    </row>
    <row r="2039" spans="1:21" x14ac:dyDescent="0.2">
      <c r="A2039" s="63" t="s">
        <v>2504</v>
      </c>
      <c r="B2039" s="64" t="s">
        <v>324</v>
      </c>
      <c r="C2039" s="64" t="s">
        <v>325</v>
      </c>
      <c r="D2039" s="64" t="s">
        <v>2521</v>
      </c>
      <c r="E2039" s="64" t="s">
        <v>324</v>
      </c>
      <c r="F2039" s="65" t="s">
        <v>638</v>
      </c>
      <c r="G2039" s="64" t="s">
        <v>339</v>
      </c>
      <c r="H2039" s="64" t="s">
        <v>263</v>
      </c>
      <c r="I2039" s="64" t="s">
        <v>10</v>
      </c>
      <c r="J2039" s="64" t="s">
        <v>201</v>
      </c>
      <c r="K2039" s="66">
        <v>3.4099999999999997</v>
      </c>
      <c r="L2039" s="66">
        <f>K2039*VLOOKUP(I2039,dagsoorttabel1,2,FALSE)</f>
        <v>3.4099999999999997</v>
      </c>
      <c r="M2039" s="67">
        <f>prodnorm63</f>
        <v>0</v>
      </c>
      <c r="N2039" s="68">
        <f>dagwerk63</f>
        <v>0</v>
      </c>
      <c r="O2039" s="64" t="s">
        <v>38</v>
      </c>
      <c r="P2039" s="69">
        <f>uurtarief63</f>
        <v>0</v>
      </c>
      <c r="Q2039" s="66" t="e">
        <f>IF(ISBLANK(M2039),0,L2039/ROUND(M2039,4))</f>
        <v>#DIV/0!</v>
      </c>
      <c r="R2039" s="66" t="e">
        <f>IF(ISBLANK(M2039),0,Q2039*ROUND(N2039,2))</f>
        <v>#DIV/0!</v>
      </c>
      <c r="S2039" s="69" t="e">
        <f>ROUND(P2039,2)*Q2039</f>
        <v>#DIV/0!</v>
      </c>
      <c r="T2039" s="66" t="e">
        <f>Q2039*dagenperjaar1</f>
        <v>#DIV/0!</v>
      </c>
      <c r="U2039" s="70" t="e">
        <f>T2039*ROUND(P2039,2)</f>
        <v>#DIV/0!</v>
      </c>
    </row>
    <row r="2040" spans="1:21" x14ac:dyDescent="0.2">
      <c r="A2040" s="63" t="s">
        <v>2504</v>
      </c>
      <c r="B2040" s="64" t="s">
        <v>324</v>
      </c>
      <c r="C2040" s="64" t="s">
        <v>325</v>
      </c>
      <c r="D2040" s="64" t="s">
        <v>2522</v>
      </c>
      <c r="E2040" s="64" t="s">
        <v>324</v>
      </c>
      <c r="F2040" s="65" t="s">
        <v>2523</v>
      </c>
      <c r="G2040" s="64" t="s">
        <v>339</v>
      </c>
      <c r="H2040" s="64" t="s">
        <v>263</v>
      </c>
      <c r="I2040" s="64" t="s">
        <v>10</v>
      </c>
      <c r="J2040" s="64" t="s">
        <v>201</v>
      </c>
      <c r="K2040" s="66">
        <v>21.330000000000002</v>
      </c>
      <c r="L2040" s="66">
        <f>K2040*VLOOKUP(I2040,dagsoorttabel1,2,FALSE)</f>
        <v>21.330000000000002</v>
      </c>
      <c r="M2040" s="67">
        <f>prodnorm63</f>
        <v>0</v>
      </c>
      <c r="N2040" s="68">
        <f>dagwerk63</f>
        <v>0</v>
      </c>
      <c r="O2040" s="64" t="s">
        <v>38</v>
      </c>
      <c r="P2040" s="69">
        <f>uurtarief63</f>
        <v>0</v>
      </c>
      <c r="Q2040" s="66" t="e">
        <f>IF(ISBLANK(M2040),0,L2040/ROUND(M2040,4))</f>
        <v>#DIV/0!</v>
      </c>
      <c r="R2040" s="66" t="e">
        <f>IF(ISBLANK(M2040),0,Q2040*ROUND(N2040,2))</f>
        <v>#DIV/0!</v>
      </c>
      <c r="S2040" s="69" t="e">
        <f>ROUND(P2040,2)*Q2040</f>
        <v>#DIV/0!</v>
      </c>
      <c r="T2040" s="66" t="e">
        <f>Q2040*dagenperjaar1</f>
        <v>#DIV/0!</v>
      </c>
      <c r="U2040" s="70" t="e">
        <f>T2040*ROUND(P2040,2)</f>
        <v>#DIV/0!</v>
      </c>
    </row>
    <row r="2041" spans="1:21" x14ac:dyDescent="0.2">
      <c r="A2041" s="63" t="s">
        <v>2504</v>
      </c>
      <c r="B2041" s="64" t="s">
        <v>324</v>
      </c>
      <c r="C2041" s="64" t="s">
        <v>325</v>
      </c>
      <c r="D2041" s="64" t="s">
        <v>2524</v>
      </c>
      <c r="E2041" s="64" t="s">
        <v>324</v>
      </c>
      <c r="F2041" s="65" t="s">
        <v>2523</v>
      </c>
      <c r="G2041" s="64" t="s">
        <v>339</v>
      </c>
      <c r="H2041" s="64" t="s">
        <v>263</v>
      </c>
      <c r="I2041" s="64" t="s">
        <v>10</v>
      </c>
      <c r="J2041" s="64" t="s">
        <v>201</v>
      </c>
      <c r="K2041" s="66">
        <v>13.139999999999999</v>
      </c>
      <c r="L2041" s="66">
        <f>K2041*VLOOKUP(I2041,dagsoorttabel1,2,FALSE)</f>
        <v>13.139999999999999</v>
      </c>
      <c r="M2041" s="67">
        <f>prodnorm63</f>
        <v>0</v>
      </c>
      <c r="N2041" s="68">
        <f>dagwerk63</f>
        <v>0</v>
      </c>
      <c r="O2041" s="64" t="s">
        <v>38</v>
      </c>
      <c r="P2041" s="69">
        <f>uurtarief63</f>
        <v>0</v>
      </c>
      <c r="Q2041" s="66" t="e">
        <f>IF(ISBLANK(M2041),0,L2041/ROUND(M2041,4))</f>
        <v>#DIV/0!</v>
      </c>
      <c r="R2041" s="66" t="e">
        <f>IF(ISBLANK(M2041),0,Q2041*ROUND(N2041,2))</f>
        <v>#DIV/0!</v>
      </c>
      <c r="S2041" s="69" t="e">
        <f>ROUND(P2041,2)*Q2041</f>
        <v>#DIV/0!</v>
      </c>
      <c r="T2041" s="66" t="e">
        <f>Q2041*dagenperjaar1</f>
        <v>#DIV/0!</v>
      </c>
      <c r="U2041" s="70" t="e">
        <f>T2041*ROUND(P2041,2)</f>
        <v>#DIV/0!</v>
      </c>
    </row>
    <row r="2042" spans="1:21" x14ac:dyDescent="0.2">
      <c r="A2042" s="63" t="s">
        <v>2504</v>
      </c>
      <c r="B2042" s="64" t="s">
        <v>324</v>
      </c>
      <c r="C2042" s="64" t="s">
        <v>325</v>
      </c>
      <c r="D2042" s="64" t="s">
        <v>2525</v>
      </c>
      <c r="E2042" s="64" t="s">
        <v>324</v>
      </c>
      <c r="F2042" s="65" t="s">
        <v>638</v>
      </c>
      <c r="G2042" s="64" t="s">
        <v>339</v>
      </c>
      <c r="H2042" s="64" t="s">
        <v>263</v>
      </c>
      <c r="I2042" s="64" t="s">
        <v>10</v>
      </c>
      <c r="J2042" s="64" t="s">
        <v>201</v>
      </c>
      <c r="K2042" s="66">
        <v>16.72</v>
      </c>
      <c r="L2042" s="66">
        <f>K2042*VLOOKUP(I2042,dagsoorttabel1,2,FALSE)</f>
        <v>16.72</v>
      </c>
      <c r="M2042" s="67">
        <f>prodnorm63</f>
        <v>0</v>
      </c>
      <c r="N2042" s="68">
        <f>dagwerk63</f>
        <v>0</v>
      </c>
      <c r="O2042" s="64" t="s">
        <v>38</v>
      </c>
      <c r="P2042" s="69">
        <f>uurtarief63</f>
        <v>0</v>
      </c>
      <c r="Q2042" s="66" t="e">
        <f>IF(ISBLANK(M2042),0,L2042/ROUND(M2042,4))</f>
        <v>#DIV/0!</v>
      </c>
      <c r="R2042" s="66" t="e">
        <f>IF(ISBLANK(M2042),0,Q2042*ROUND(N2042,2))</f>
        <v>#DIV/0!</v>
      </c>
      <c r="S2042" s="69" t="e">
        <f>ROUND(P2042,2)*Q2042</f>
        <v>#DIV/0!</v>
      </c>
      <c r="T2042" s="66" t="e">
        <f>Q2042*dagenperjaar1</f>
        <v>#DIV/0!</v>
      </c>
      <c r="U2042" s="70" t="e">
        <f>T2042*ROUND(P2042,2)</f>
        <v>#DIV/0!</v>
      </c>
    </row>
    <row r="2043" spans="1:21" x14ac:dyDescent="0.2">
      <c r="A2043" s="63" t="s">
        <v>2504</v>
      </c>
      <c r="B2043" s="64" t="s">
        <v>324</v>
      </c>
      <c r="C2043" s="64" t="s">
        <v>325</v>
      </c>
      <c r="D2043" s="64" t="s">
        <v>2526</v>
      </c>
      <c r="E2043" s="64" t="s">
        <v>324</v>
      </c>
      <c r="F2043" s="65" t="s">
        <v>638</v>
      </c>
      <c r="G2043" s="64" t="s">
        <v>2527</v>
      </c>
      <c r="H2043" s="64" t="s">
        <v>263</v>
      </c>
      <c r="I2043" s="64" t="s">
        <v>10</v>
      </c>
      <c r="J2043" s="64" t="s">
        <v>201</v>
      </c>
      <c r="K2043" s="66">
        <v>3.4099999999999997</v>
      </c>
      <c r="L2043" s="66">
        <f>K2043*VLOOKUP(I2043,dagsoorttabel1,2,FALSE)</f>
        <v>3.4099999999999997</v>
      </c>
      <c r="M2043" s="67">
        <f>prodnorm63</f>
        <v>0</v>
      </c>
      <c r="N2043" s="68">
        <f>dagwerk63</f>
        <v>0</v>
      </c>
      <c r="O2043" s="64" t="s">
        <v>38</v>
      </c>
      <c r="P2043" s="69">
        <f>uurtarief63</f>
        <v>0</v>
      </c>
      <c r="Q2043" s="66" t="e">
        <f>IF(ISBLANK(M2043),0,L2043/ROUND(M2043,4))</f>
        <v>#DIV/0!</v>
      </c>
      <c r="R2043" s="66" t="e">
        <f>IF(ISBLANK(M2043),0,Q2043*ROUND(N2043,2))</f>
        <v>#DIV/0!</v>
      </c>
      <c r="S2043" s="69" t="e">
        <f>ROUND(P2043,2)*Q2043</f>
        <v>#DIV/0!</v>
      </c>
      <c r="T2043" s="66" t="e">
        <f>Q2043*dagenperjaar1</f>
        <v>#DIV/0!</v>
      </c>
      <c r="U2043" s="70" t="e">
        <f>T2043*ROUND(P2043,2)</f>
        <v>#DIV/0!</v>
      </c>
    </row>
    <row r="2044" spans="1:21" x14ac:dyDescent="0.2">
      <c r="A2044" s="63" t="s">
        <v>2504</v>
      </c>
      <c r="B2044" s="64" t="s">
        <v>324</v>
      </c>
      <c r="C2044" s="64" t="s">
        <v>2528</v>
      </c>
      <c r="D2044" s="64" t="s">
        <v>2529</v>
      </c>
      <c r="E2044" s="64" t="s">
        <v>324</v>
      </c>
      <c r="F2044" s="65" t="s">
        <v>335</v>
      </c>
      <c r="G2044" s="64" t="s">
        <v>365</v>
      </c>
      <c r="H2044" s="64" t="s">
        <v>267</v>
      </c>
      <c r="I2044" s="64" t="s">
        <v>10</v>
      </c>
      <c r="J2044" s="64" t="s">
        <v>201</v>
      </c>
      <c r="K2044" s="66">
        <v>33.03</v>
      </c>
      <c r="L2044" s="66">
        <f>K2044*VLOOKUP(I2044,dagsoorttabel1,2,FALSE)</f>
        <v>33.03</v>
      </c>
      <c r="M2044" s="67">
        <f>prodnorm65</f>
        <v>0</v>
      </c>
      <c r="N2044" s="68">
        <f>dagwerk65</f>
        <v>0</v>
      </c>
      <c r="O2044" s="64" t="s">
        <v>38</v>
      </c>
      <c r="P2044" s="69">
        <f>uurtarief65</f>
        <v>0</v>
      </c>
      <c r="Q2044" s="66" t="e">
        <f>IF(ISBLANK(M2044),0,L2044/ROUND(M2044,4))</f>
        <v>#DIV/0!</v>
      </c>
      <c r="R2044" s="66" t="e">
        <f>IF(ISBLANK(M2044),0,Q2044*ROUND(N2044,2))</f>
        <v>#DIV/0!</v>
      </c>
      <c r="S2044" s="69" t="e">
        <f>ROUND(P2044,2)*Q2044</f>
        <v>#DIV/0!</v>
      </c>
      <c r="T2044" s="66" t="e">
        <f>Q2044*dagenperjaar1</f>
        <v>#DIV/0!</v>
      </c>
      <c r="U2044" s="70" t="e">
        <f>T2044*ROUND(P2044,2)</f>
        <v>#DIV/0!</v>
      </c>
    </row>
    <row r="2045" spans="1:21" x14ac:dyDescent="0.2">
      <c r="A2045" s="63" t="s">
        <v>2504</v>
      </c>
      <c r="B2045" s="64" t="s">
        <v>324</v>
      </c>
      <c r="C2045" s="64" t="s">
        <v>2528</v>
      </c>
      <c r="D2045" s="64" t="s">
        <v>2530</v>
      </c>
      <c r="E2045" s="64" t="s">
        <v>324</v>
      </c>
      <c r="F2045" s="65" t="s">
        <v>1466</v>
      </c>
      <c r="G2045" s="64" t="s">
        <v>365</v>
      </c>
      <c r="H2045" s="64" t="s">
        <v>267</v>
      </c>
      <c r="I2045" s="64" t="s">
        <v>10</v>
      </c>
      <c r="J2045" s="64" t="s">
        <v>201</v>
      </c>
      <c r="K2045" s="66">
        <v>60.98</v>
      </c>
      <c r="L2045" s="66">
        <f>K2045*VLOOKUP(I2045,dagsoorttabel1,2,FALSE)</f>
        <v>60.98</v>
      </c>
      <c r="M2045" s="67">
        <f>prodnorm65</f>
        <v>0</v>
      </c>
      <c r="N2045" s="68">
        <f>dagwerk65</f>
        <v>0</v>
      </c>
      <c r="O2045" s="64" t="s">
        <v>38</v>
      </c>
      <c r="P2045" s="69">
        <f>uurtarief65</f>
        <v>0</v>
      </c>
      <c r="Q2045" s="66" t="e">
        <f>IF(ISBLANK(M2045),0,L2045/ROUND(M2045,4))</f>
        <v>#DIV/0!</v>
      </c>
      <c r="R2045" s="66" t="e">
        <f>IF(ISBLANK(M2045),0,Q2045*ROUND(N2045,2))</f>
        <v>#DIV/0!</v>
      </c>
      <c r="S2045" s="69" t="e">
        <f>ROUND(P2045,2)*Q2045</f>
        <v>#DIV/0!</v>
      </c>
      <c r="T2045" s="66" t="e">
        <f>Q2045*dagenperjaar1</f>
        <v>#DIV/0!</v>
      </c>
      <c r="U2045" s="70" t="e">
        <f>T2045*ROUND(P2045,2)</f>
        <v>#DIV/0!</v>
      </c>
    </row>
    <row r="2046" spans="1:21" x14ac:dyDescent="0.2">
      <c r="A2046" s="63" t="s">
        <v>2504</v>
      </c>
      <c r="B2046" s="64" t="s">
        <v>324</v>
      </c>
      <c r="C2046" s="64" t="s">
        <v>2528</v>
      </c>
      <c r="D2046" s="64" t="s">
        <v>2531</v>
      </c>
      <c r="E2046" s="64" t="s">
        <v>324</v>
      </c>
      <c r="F2046" s="65" t="s">
        <v>335</v>
      </c>
      <c r="G2046" s="64" t="s">
        <v>365</v>
      </c>
      <c r="H2046" s="64" t="s">
        <v>267</v>
      </c>
      <c r="I2046" s="64" t="s">
        <v>10</v>
      </c>
      <c r="J2046" s="64" t="s">
        <v>201</v>
      </c>
      <c r="K2046" s="66">
        <v>11.01</v>
      </c>
      <c r="L2046" s="66">
        <f>K2046*VLOOKUP(I2046,dagsoorttabel1,2,FALSE)</f>
        <v>11.01</v>
      </c>
      <c r="M2046" s="67">
        <f>prodnorm65</f>
        <v>0</v>
      </c>
      <c r="N2046" s="68">
        <f>dagwerk65</f>
        <v>0</v>
      </c>
      <c r="O2046" s="64" t="s">
        <v>38</v>
      </c>
      <c r="P2046" s="69">
        <f>uurtarief65</f>
        <v>0</v>
      </c>
      <c r="Q2046" s="66" t="e">
        <f>IF(ISBLANK(M2046),0,L2046/ROUND(M2046,4))</f>
        <v>#DIV/0!</v>
      </c>
      <c r="R2046" s="66" t="e">
        <f>IF(ISBLANK(M2046),0,Q2046*ROUND(N2046,2))</f>
        <v>#DIV/0!</v>
      </c>
      <c r="S2046" s="69" t="e">
        <f>ROUND(P2046,2)*Q2046</f>
        <v>#DIV/0!</v>
      </c>
      <c r="T2046" s="66" t="e">
        <f>Q2046*dagenperjaar1</f>
        <v>#DIV/0!</v>
      </c>
      <c r="U2046" s="70" t="e">
        <f>T2046*ROUND(P2046,2)</f>
        <v>#DIV/0!</v>
      </c>
    </row>
    <row r="2047" spans="1:21" ht="25.5" x14ac:dyDescent="0.2">
      <c r="A2047" s="63" t="s">
        <v>2504</v>
      </c>
      <c r="B2047" s="64" t="s">
        <v>324</v>
      </c>
      <c r="C2047" s="64" t="s">
        <v>2528</v>
      </c>
      <c r="D2047" s="64" t="s">
        <v>2532</v>
      </c>
      <c r="E2047" s="64" t="s">
        <v>324</v>
      </c>
      <c r="F2047" s="65" t="s">
        <v>2533</v>
      </c>
      <c r="G2047" s="64" t="s">
        <v>365</v>
      </c>
      <c r="H2047" s="64" t="s">
        <v>227</v>
      </c>
      <c r="I2047" s="64" t="s">
        <v>10</v>
      </c>
      <c r="J2047" s="64" t="s">
        <v>201</v>
      </c>
      <c r="K2047" s="66">
        <v>22.02</v>
      </c>
      <c r="L2047" s="66">
        <f>K2047*VLOOKUP(I2047,dagsoorttabel1,2,FALSE)</f>
        <v>22.02</v>
      </c>
      <c r="M2047" s="67">
        <f>prodnorm42</f>
        <v>0</v>
      </c>
      <c r="N2047" s="68">
        <f>dagwerk42</f>
        <v>0</v>
      </c>
      <c r="O2047" s="64" t="s">
        <v>38</v>
      </c>
      <c r="P2047" s="69">
        <f>uurtarief42</f>
        <v>0</v>
      </c>
      <c r="Q2047" s="66" t="e">
        <f>IF(ISBLANK(M2047),0,L2047/ROUND(M2047,4))</f>
        <v>#DIV/0!</v>
      </c>
      <c r="R2047" s="66" t="e">
        <f>IF(ISBLANK(M2047),0,Q2047*ROUND(N2047,2))</f>
        <v>#DIV/0!</v>
      </c>
      <c r="S2047" s="69" t="e">
        <f>ROUND(P2047,2)*Q2047</f>
        <v>#DIV/0!</v>
      </c>
      <c r="T2047" s="66" t="e">
        <f>Q2047*dagenperjaar1</f>
        <v>#DIV/0!</v>
      </c>
      <c r="U2047" s="70" t="e">
        <f>T2047*ROUND(P2047,2)</f>
        <v>#DIV/0!</v>
      </c>
    </row>
    <row r="2048" spans="1:21" x14ac:dyDescent="0.2">
      <c r="A2048" s="63" t="s">
        <v>2504</v>
      </c>
      <c r="B2048" s="64" t="s">
        <v>324</v>
      </c>
      <c r="C2048" s="64" t="s">
        <v>2528</v>
      </c>
      <c r="D2048" s="64" t="s">
        <v>2534</v>
      </c>
      <c r="E2048" s="64" t="s">
        <v>324</v>
      </c>
      <c r="F2048" s="65" t="s">
        <v>2230</v>
      </c>
      <c r="G2048" s="64" t="s">
        <v>365</v>
      </c>
      <c r="H2048" s="64" t="s">
        <v>213</v>
      </c>
      <c r="I2048" s="64" t="s">
        <v>10</v>
      </c>
      <c r="J2048" s="64" t="s">
        <v>201</v>
      </c>
      <c r="K2048" s="66">
        <v>19.059999999999999</v>
      </c>
      <c r="L2048" s="66">
        <f>K2048*VLOOKUP(I2048,dagsoorttabel1,2,FALSE)</f>
        <v>19.059999999999999</v>
      </c>
      <c r="M2048" s="67">
        <f>prodnorm33</f>
        <v>0</v>
      </c>
      <c r="N2048" s="68">
        <f>dagwerk33</f>
        <v>0</v>
      </c>
      <c r="O2048" s="64" t="s">
        <v>38</v>
      </c>
      <c r="P2048" s="69">
        <f>uurtarief33</f>
        <v>0</v>
      </c>
      <c r="Q2048" s="66" t="e">
        <f>IF(ISBLANK(M2048),0,L2048/ROUND(M2048,4))</f>
        <v>#DIV/0!</v>
      </c>
      <c r="R2048" s="66" t="e">
        <f>IF(ISBLANK(M2048),0,Q2048*ROUND(N2048,2))</f>
        <v>#DIV/0!</v>
      </c>
      <c r="S2048" s="69" t="e">
        <f>ROUND(P2048,2)*Q2048</f>
        <v>#DIV/0!</v>
      </c>
      <c r="T2048" s="66" t="e">
        <f>Q2048*dagenperjaar1</f>
        <v>#DIV/0!</v>
      </c>
      <c r="U2048" s="70" t="e">
        <f>T2048*ROUND(P2048,2)</f>
        <v>#DIV/0!</v>
      </c>
    </row>
    <row r="2049" spans="1:21" ht="25.5" x14ac:dyDescent="0.2">
      <c r="A2049" s="63" t="s">
        <v>2504</v>
      </c>
      <c r="B2049" s="64" t="s">
        <v>324</v>
      </c>
      <c r="C2049" s="64" t="s">
        <v>2528</v>
      </c>
      <c r="D2049" s="64" t="s">
        <v>2535</v>
      </c>
      <c r="E2049" s="64" t="s">
        <v>324</v>
      </c>
      <c r="F2049" s="65" t="s">
        <v>2533</v>
      </c>
      <c r="G2049" s="64" t="s">
        <v>365</v>
      </c>
      <c r="H2049" s="64" t="s">
        <v>227</v>
      </c>
      <c r="I2049" s="64" t="s">
        <v>10</v>
      </c>
      <c r="J2049" s="64" t="s">
        <v>201</v>
      </c>
      <c r="K2049" s="66">
        <v>22.02</v>
      </c>
      <c r="L2049" s="66">
        <f>K2049*VLOOKUP(I2049,dagsoorttabel1,2,FALSE)</f>
        <v>22.02</v>
      </c>
      <c r="M2049" s="67">
        <f>prodnorm42</f>
        <v>0</v>
      </c>
      <c r="N2049" s="68">
        <f>dagwerk42</f>
        <v>0</v>
      </c>
      <c r="O2049" s="64" t="s">
        <v>38</v>
      </c>
      <c r="P2049" s="69">
        <f>uurtarief42</f>
        <v>0</v>
      </c>
      <c r="Q2049" s="66" t="e">
        <f>IF(ISBLANK(M2049),0,L2049/ROUND(M2049,4))</f>
        <v>#DIV/0!</v>
      </c>
      <c r="R2049" s="66" t="e">
        <f>IF(ISBLANK(M2049),0,Q2049*ROUND(N2049,2))</f>
        <v>#DIV/0!</v>
      </c>
      <c r="S2049" s="69" t="e">
        <f>ROUND(P2049,2)*Q2049</f>
        <v>#DIV/0!</v>
      </c>
      <c r="T2049" s="66" t="e">
        <f>Q2049*dagenperjaar1</f>
        <v>#DIV/0!</v>
      </c>
      <c r="U2049" s="70" t="e">
        <f>T2049*ROUND(P2049,2)</f>
        <v>#DIV/0!</v>
      </c>
    </row>
    <row r="2050" spans="1:21" x14ac:dyDescent="0.2">
      <c r="A2050" s="63" t="s">
        <v>2504</v>
      </c>
      <c r="B2050" s="64" t="s">
        <v>324</v>
      </c>
      <c r="C2050" s="64" t="s">
        <v>2528</v>
      </c>
      <c r="D2050" s="64" t="s">
        <v>2536</v>
      </c>
      <c r="E2050" s="64" t="s">
        <v>324</v>
      </c>
      <c r="F2050" s="65" t="s">
        <v>2230</v>
      </c>
      <c r="G2050" s="64" t="s">
        <v>365</v>
      </c>
      <c r="H2050" s="64" t="s">
        <v>255</v>
      </c>
      <c r="I2050" s="64" t="s">
        <v>10</v>
      </c>
      <c r="J2050" s="64" t="s">
        <v>201</v>
      </c>
      <c r="K2050" s="66">
        <v>15.67</v>
      </c>
      <c r="L2050" s="66">
        <f>K2050*VLOOKUP(I2050,dagsoorttabel1,2,FALSE)</f>
        <v>15.67</v>
      </c>
      <c r="M2050" s="67">
        <f>prodnorm59</f>
        <v>0</v>
      </c>
      <c r="N2050" s="68">
        <f>dagwerk59</f>
        <v>0</v>
      </c>
      <c r="O2050" s="64" t="s">
        <v>38</v>
      </c>
      <c r="P2050" s="69">
        <f>uurtarief59</f>
        <v>0</v>
      </c>
      <c r="Q2050" s="66" t="e">
        <f>IF(ISBLANK(M2050),0,L2050/ROUND(M2050,4))</f>
        <v>#DIV/0!</v>
      </c>
      <c r="R2050" s="66" t="e">
        <f>IF(ISBLANK(M2050),0,Q2050*ROUND(N2050,2))</f>
        <v>#DIV/0!</v>
      </c>
      <c r="S2050" s="69" t="e">
        <f>ROUND(P2050,2)*Q2050</f>
        <v>#DIV/0!</v>
      </c>
      <c r="T2050" s="66" t="e">
        <f>Q2050*dagenperjaar1</f>
        <v>#DIV/0!</v>
      </c>
      <c r="U2050" s="70" t="e">
        <f>T2050*ROUND(P2050,2)</f>
        <v>#DIV/0!</v>
      </c>
    </row>
    <row r="2051" spans="1:21" x14ac:dyDescent="0.2">
      <c r="A2051" s="63" t="s">
        <v>2504</v>
      </c>
      <c r="B2051" s="64" t="s">
        <v>324</v>
      </c>
      <c r="C2051" s="64" t="s">
        <v>2528</v>
      </c>
      <c r="D2051" s="64" t="s">
        <v>2537</v>
      </c>
      <c r="E2051" s="64" t="s">
        <v>324</v>
      </c>
      <c r="F2051" s="65" t="s">
        <v>1483</v>
      </c>
      <c r="G2051" s="64" t="s">
        <v>365</v>
      </c>
      <c r="H2051" s="64" t="s">
        <v>205</v>
      </c>
      <c r="I2051" s="64" t="s">
        <v>10</v>
      </c>
      <c r="J2051" s="64" t="s">
        <v>201</v>
      </c>
      <c r="K2051" s="66">
        <v>11.01</v>
      </c>
      <c r="L2051" s="66">
        <f>K2051*VLOOKUP(I2051,dagsoorttabel1,2,FALSE)</f>
        <v>11.01</v>
      </c>
      <c r="M2051" s="67">
        <f>prodnorm26</f>
        <v>0</v>
      </c>
      <c r="N2051" s="68">
        <f>dagwerk26</f>
        <v>0</v>
      </c>
      <c r="O2051" s="64" t="s">
        <v>38</v>
      </c>
      <c r="P2051" s="69">
        <f>uurtarief26</f>
        <v>0</v>
      </c>
      <c r="Q2051" s="66" t="e">
        <f>IF(ISBLANK(M2051),0,L2051/ROUND(M2051,4))</f>
        <v>#DIV/0!</v>
      </c>
      <c r="R2051" s="66" t="e">
        <f>IF(ISBLANK(M2051),0,Q2051*ROUND(N2051,2))</f>
        <v>#DIV/0!</v>
      </c>
      <c r="S2051" s="69" t="e">
        <f>ROUND(P2051,2)*Q2051</f>
        <v>#DIV/0!</v>
      </c>
      <c r="T2051" s="66" t="e">
        <f>Q2051*dagenperjaar1</f>
        <v>#DIV/0!</v>
      </c>
      <c r="U2051" s="70" t="e">
        <f>T2051*ROUND(P2051,2)</f>
        <v>#DIV/0!</v>
      </c>
    </row>
    <row r="2052" spans="1:21" x14ac:dyDescent="0.2">
      <c r="A2052" s="63" t="s">
        <v>2504</v>
      </c>
      <c r="B2052" s="64" t="s">
        <v>324</v>
      </c>
      <c r="C2052" s="64" t="s">
        <v>2528</v>
      </c>
      <c r="D2052" s="64" t="s">
        <v>2538</v>
      </c>
      <c r="E2052" s="64" t="s">
        <v>324</v>
      </c>
      <c r="F2052" s="65" t="s">
        <v>1483</v>
      </c>
      <c r="G2052" s="64" t="s">
        <v>365</v>
      </c>
      <c r="H2052" s="64" t="s">
        <v>205</v>
      </c>
      <c r="I2052" s="64" t="s">
        <v>10</v>
      </c>
      <c r="J2052" s="64" t="s">
        <v>201</v>
      </c>
      <c r="K2052" s="66">
        <v>11.01</v>
      </c>
      <c r="L2052" s="66">
        <f>K2052*VLOOKUP(I2052,dagsoorttabel1,2,FALSE)</f>
        <v>11.01</v>
      </c>
      <c r="M2052" s="67">
        <f>prodnorm26</f>
        <v>0</v>
      </c>
      <c r="N2052" s="68">
        <f>dagwerk26</f>
        <v>0</v>
      </c>
      <c r="O2052" s="64" t="s">
        <v>38</v>
      </c>
      <c r="P2052" s="69">
        <f>uurtarief26</f>
        <v>0</v>
      </c>
      <c r="Q2052" s="66" t="e">
        <f>IF(ISBLANK(M2052),0,L2052/ROUND(M2052,4))</f>
        <v>#DIV/0!</v>
      </c>
      <c r="R2052" s="66" t="e">
        <f>IF(ISBLANK(M2052),0,Q2052*ROUND(N2052,2))</f>
        <v>#DIV/0!</v>
      </c>
      <c r="S2052" s="69" t="e">
        <f>ROUND(P2052,2)*Q2052</f>
        <v>#DIV/0!</v>
      </c>
      <c r="T2052" s="66" t="e">
        <f>Q2052*dagenperjaar1</f>
        <v>#DIV/0!</v>
      </c>
      <c r="U2052" s="70" t="e">
        <f>T2052*ROUND(P2052,2)</f>
        <v>#DIV/0!</v>
      </c>
    </row>
    <row r="2053" spans="1:21" x14ac:dyDescent="0.2">
      <c r="A2053" s="63" t="s">
        <v>2504</v>
      </c>
      <c r="B2053" s="64" t="s">
        <v>324</v>
      </c>
      <c r="C2053" s="64" t="s">
        <v>2528</v>
      </c>
      <c r="D2053" s="64" t="s">
        <v>2539</v>
      </c>
      <c r="E2053" s="64" t="s">
        <v>324</v>
      </c>
      <c r="F2053" s="65" t="s">
        <v>791</v>
      </c>
      <c r="G2053" s="64" t="s">
        <v>365</v>
      </c>
      <c r="H2053" s="64" t="s">
        <v>227</v>
      </c>
      <c r="I2053" s="64" t="s">
        <v>10</v>
      </c>
      <c r="J2053" s="64" t="s">
        <v>201</v>
      </c>
      <c r="K2053" s="66">
        <v>17.79</v>
      </c>
      <c r="L2053" s="66">
        <f>K2053*VLOOKUP(I2053,dagsoorttabel1,2,FALSE)</f>
        <v>17.79</v>
      </c>
      <c r="M2053" s="67">
        <f>prodnorm42</f>
        <v>0</v>
      </c>
      <c r="N2053" s="68">
        <f>dagwerk42</f>
        <v>0</v>
      </c>
      <c r="O2053" s="64" t="s">
        <v>38</v>
      </c>
      <c r="P2053" s="69">
        <f>uurtarief42</f>
        <v>0</v>
      </c>
      <c r="Q2053" s="66" t="e">
        <f>IF(ISBLANK(M2053),0,L2053/ROUND(M2053,4))</f>
        <v>#DIV/0!</v>
      </c>
      <c r="R2053" s="66" t="e">
        <f>IF(ISBLANK(M2053),0,Q2053*ROUND(N2053,2))</f>
        <v>#DIV/0!</v>
      </c>
      <c r="S2053" s="69" t="e">
        <f>ROUND(P2053,2)*Q2053</f>
        <v>#DIV/0!</v>
      </c>
      <c r="T2053" s="66" t="e">
        <f>Q2053*dagenperjaar1</f>
        <v>#DIV/0!</v>
      </c>
      <c r="U2053" s="70" t="e">
        <f>T2053*ROUND(P2053,2)</f>
        <v>#DIV/0!</v>
      </c>
    </row>
    <row r="2054" spans="1:21" x14ac:dyDescent="0.2">
      <c r="A2054" s="63" t="s">
        <v>2504</v>
      </c>
      <c r="B2054" s="64" t="s">
        <v>324</v>
      </c>
      <c r="C2054" s="64" t="s">
        <v>2528</v>
      </c>
      <c r="D2054" s="64" t="s">
        <v>2540</v>
      </c>
      <c r="E2054" s="64" t="s">
        <v>324</v>
      </c>
      <c r="F2054" s="65" t="s">
        <v>2230</v>
      </c>
      <c r="G2054" s="64" t="s">
        <v>365</v>
      </c>
      <c r="H2054" s="64" t="s">
        <v>213</v>
      </c>
      <c r="I2054" s="64" t="s">
        <v>10</v>
      </c>
      <c r="J2054" s="64" t="s">
        <v>201</v>
      </c>
      <c r="K2054" s="66">
        <v>13.98</v>
      </c>
      <c r="L2054" s="66">
        <f>K2054*VLOOKUP(I2054,dagsoorttabel1,2,FALSE)</f>
        <v>13.98</v>
      </c>
      <c r="M2054" s="67">
        <f>prodnorm33</f>
        <v>0</v>
      </c>
      <c r="N2054" s="68">
        <f>dagwerk33</f>
        <v>0</v>
      </c>
      <c r="O2054" s="64" t="s">
        <v>38</v>
      </c>
      <c r="P2054" s="69">
        <f>uurtarief33</f>
        <v>0</v>
      </c>
      <c r="Q2054" s="66" t="e">
        <f>IF(ISBLANK(M2054),0,L2054/ROUND(M2054,4))</f>
        <v>#DIV/0!</v>
      </c>
      <c r="R2054" s="66" t="e">
        <f>IF(ISBLANK(M2054),0,Q2054*ROUND(N2054,2))</f>
        <v>#DIV/0!</v>
      </c>
      <c r="S2054" s="69" t="e">
        <f>ROUND(P2054,2)*Q2054</f>
        <v>#DIV/0!</v>
      </c>
      <c r="T2054" s="66" t="e">
        <f>Q2054*dagenperjaar1</f>
        <v>#DIV/0!</v>
      </c>
      <c r="U2054" s="70" t="e">
        <f>T2054*ROUND(P2054,2)</f>
        <v>#DIV/0!</v>
      </c>
    </row>
    <row r="2055" spans="1:21" x14ac:dyDescent="0.2">
      <c r="A2055" s="63" t="s">
        <v>2504</v>
      </c>
      <c r="B2055" s="64" t="s">
        <v>324</v>
      </c>
      <c r="C2055" s="64" t="s">
        <v>2528</v>
      </c>
      <c r="D2055" s="64" t="s">
        <v>2541</v>
      </c>
      <c r="E2055" s="64" t="s">
        <v>324</v>
      </c>
      <c r="F2055" s="65" t="s">
        <v>791</v>
      </c>
      <c r="G2055" s="64" t="s">
        <v>365</v>
      </c>
      <c r="H2055" s="64" t="s">
        <v>227</v>
      </c>
      <c r="I2055" s="64" t="s">
        <v>10</v>
      </c>
      <c r="J2055" s="64" t="s">
        <v>201</v>
      </c>
      <c r="K2055" s="66">
        <v>22.02</v>
      </c>
      <c r="L2055" s="66">
        <f>K2055*VLOOKUP(I2055,dagsoorttabel1,2,FALSE)</f>
        <v>22.02</v>
      </c>
      <c r="M2055" s="67">
        <f>prodnorm42</f>
        <v>0</v>
      </c>
      <c r="N2055" s="68">
        <f>dagwerk42</f>
        <v>0</v>
      </c>
      <c r="O2055" s="64" t="s">
        <v>38</v>
      </c>
      <c r="P2055" s="69">
        <f>uurtarief42</f>
        <v>0</v>
      </c>
      <c r="Q2055" s="66" t="e">
        <f>IF(ISBLANK(M2055),0,L2055/ROUND(M2055,4))</f>
        <v>#DIV/0!</v>
      </c>
      <c r="R2055" s="66" t="e">
        <f>IF(ISBLANK(M2055),0,Q2055*ROUND(N2055,2))</f>
        <v>#DIV/0!</v>
      </c>
      <c r="S2055" s="69" t="e">
        <f>ROUND(P2055,2)*Q2055</f>
        <v>#DIV/0!</v>
      </c>
      <c r="T2055" s="66" t="e">
        <f>Q2055*dagenperjaar1</f>
        <v>#DIV/0!</v>
      </c>
      <c r="U2055" s="70" t="e">
        <f>T2055*ROUND(P2055,2)</f>
        <v>#DIV/0!</v>
      </c>
    </row>
    <row r="2056" spans="1:21" x14ac:dyDescent="0.2">
      <c r="A2056" s="63" t="s">
        <v>2504</v>
      </c>
      <c r="B2056" s="64" t="s">
        <v>324</v>
      </c>
      <c r="C2056" s="64" t="s">
        <v>2528</v>
      </c>
      <c r="D2056" s="64" t="s">
        <v>2542</v>
      </c>
      <c r="E2056" s="64" t="s">
        <v>324</v>
      </c>
      <c r="F2056" s="65" t="s">
        <v>2230</v>
      </c>
      <c r="G2056" s="64" t="s">
        <v>365</v>
      </c>
      <c r="H2056" s="64" t="s">
        <v>213</v>
      </c>
      <c r="I2056" s="64" t="s">
        <v>10</v>
      </c>
      <c r="J2056" s="64" t="s">
        <v>201</v>
      </c>
      <c r="K2056" s="66">
        <v>13.98</v>
      </c>
      <c r="L2056" s="66">
        <f>K2056*VLOOKUP(I2056,dagsoorttabel1,2,FALSE)</f>
        <v>13.98</v>
      </c>
      <c r="M2056" s="67">
        <f>prodnorm33</f>
        <v>0</v>
      </c>
      <c r="N2056" s="68">
        <f>dagwerk33</f>
        <v>0</v>
      </c>
      <c r="O2056" s="64" t="s">
        <v>38</v>
      </c>
      <c r="P2056" s="69">
        <f>uurtarief33</f>
        <v>0</v>
      </c>
      <c r="Q2056" s="66" t="e">
        <f>IF(ISBLANK(M2056),0,L2056/ROUND(M2056,4))</f>
        <v>#DIV/0!</v>
      </c>
      <c r="R2056" s="66" t="e">
        <f>IF(ISBLANK(M2056),0,Q2056*ROUND(N2056,2))</f>
        <v>#DIV/0!</v>
      </c>
      <c r="S2056" s="69" t="e">
        <f>ROUND(P2056,2)*Q2056</f>
        <v>#DIV/0!</v>
      </c>
      <c r="T2056" s="66" t="e">
        <f>Q2056*dagenperjaar1</f>
        <v>#DIV/0!</v>
      </c>
      <c r="U2056" s="70" t="e">
        <f>T2056*ROUND(P2056,2)</f>
        <v>#DIV/0!</v>
      </c>
    </row>
    <row r="2057" spans="1:21" x14ac:dyDescent="0.2">
      <c r="A2057" s="63" t="s">
        <v>2504</v>
      </c>
      <c r="B2057" s="64" t="s">
        <v>324</v>
      </c>
      <c r="C2057" s="64" t="s">
        <v>2528</v>
      </c>
      <c r="D2057" s="64" t="s">
        <v>2543</v>
      </c>
      <c r="E2057" s="64" t="s">
        <v>324</v>
      </c>
      <c r="F2057" s="65" t="s">
        <v>641</v>
      </c>
      <c r="G2057" s="64" t="s">
        <v>365</v>
      </c>
      <c r="H2057" s="64" t="s">
        <v>255</v>
      </c>
      <c r="I2057" s="64" t="s">
        <v>10</v>
      </c>
      <c r="J2057" s="64" t="s">
        <v>201</v>
      </c>
      <c r="K2057" s="66">
        <v>2.54</v>
      </c>
      <c r="L2057" s="66">
        <f>K2057*VLOOKUP(I2057,dagsoorttabel1,2,FALSE)</f>
        <v>2.54</v>
      </c>
      <c r="M2057" s="67">
        <f>prodnorm59</f>
        <v>0</v>
      </c>
      <c r="N2057" s="68">
        <f>dagwerk59</f>
        <v>0</v>
      </c>
      <c r="O2057" s="64" t="s">
        <v>38</v>
      </c>
      <c r="P2057" s="69">
        <f>uurtarief59</f>
        <v>0</v>
      </c>
      <c r="Q2057" s="66" t="e">
        <f>IF(ISBLANK(M2057),0,L2057/ROUND(M2057,4))</f>
        <v>#DIV/0!</v>
      </c>
      <c r="R2057" s="66" t="e">
        <f>IF(ISBLANK(M2057),0,Q2057*ROUND(N2057,2))</f>
        <v>#DIV/0!</v>
      </c>
      <c r="S2057" s="69" t="e">
        <f>ROUND(P2057,2)*Q2057</f>
        <v>#DIV/0!</v>
      </c>
      <c r="T2057" s="66" t="e">
        <f>Q2057*dagenperjaar1</f>
        <v>#DIV/0!</v>
      </c>
      <c r="U2057" s="70" t="e">
        <f>T2057*ROUND(P2057,2)</f>
        <v>#DIV/0!</v>
      </c>
    </row>
    <row r="2058" spans="1:21" x14ac:dyDescent="0.2">
      <c r="A2058" s="63" t="s">
        <v>2504</v>
      </c>
      <c r="B2058" s="64" t="s">
        <v>324</v>
      </c>
      <c r="C2058" s="64" t="s">
        <v>2528</v>
      </c>
      <c r="D2058" s="64" t="s">
        <v>2544</v>
      </c>
      <c r="E2058" s="64" t="s">
        <v>324</v>
      </c>
      <c r="F2058" s="65" t="s">
        <v>641</v>
      </c>
      <c r="G2058" s="64" t="s">
        <v>365</v>
      </c>
      <c r="H2058" s="64" t="s">
        <v>255</v>
      </c>
      <c r="I2058" s="64" t="s">
        <v>10</v>
      </c>
      <c r="J2058" s="64" t="s">
        <v>201</v>
      </c>
      <c r="K2058" s="66">
        <v>2.54</v>
      </c>
      <c r="L2058" s="66">
        <f>K2058*VLOOKUP(I2058,dagsoorttabel1,2,FALSE)</f>
        <v>2.54</v>
      </c>
      <c r="M2058" s="67">
        <f>prodnorm59</f>
        <v>0</v>
      </c>
      <c r="N2058" s="68">
        <f>dagwerk59</f>
        <v>0</v>
      </c>
      <c r="O2058" s="64" t="s">
        <v>38</v>
      </c>
      <c r="P2058" s="69">
        <f>uurtarief59</f>
        <v>0</v>
      </c>
      <c r="Q2058" s="66" t="e">
        <f>IF(ISBLANK(M2058),0,L2058/ROUND(M2058,4))</f>
        <v>#DIV/0!</v>
      </c>
      <c r="R2058" s="66" t="e">
        <f>IF(ISBLANK(M2058),0,Q2058*ROUND(N2058,2))</f>
        <v>#DIV/0!</v>
      </c>
      <c r="S2058" s="69" t="e">
        <f>ROUND(P2058,2)*Q2058</f>
        <v>#DIV/0!</v>
      </c>
      <c r="T2058" s="66" t="e">
        <f>Q2058*dagenperjaar1</f>
        <v>#DIV/0!</v>
      </c>
      <c r="U2058" s="70" t="e">
        <f>T2058*ROUND(P2058,2)</f>
        <v>#DIV/0!</v>
      </c>
    </row>
    <row r="2059" spans="1:21" x14ac:dyDescent="0.2">
      <c r="A2059" s="63" t="s">
        <v>2504</v>
      </c>
      <c r="B2059" s="64" t="s">
        <v>324</v>
      </c>
      <c r="C2059" s="64" t="s">
        <v>2528</v>
      </c>
      <c r="D2059" s="64" t="s">
        <v>2545</v>
      </c>
      <c r="E2059" s="64" t="s">
        <v>324</v>
      </c>
      <c r="F2059" s="65" t="s">
        <v>791</v>
      </c>
      <c r="G2059" s="64" t="s">
        <v>365</v>
      </c>
      <c r="H2059" s="64" t="s">
        <v>227</v>
      </c>
      <c r="I2059" s="64" t="s">
        <v>10</v>
      </c>
      <c r="J2059" s="64" t="s">
        <v>201</v>
      </c>
      <c r="K2059" s="66">
        <v>22.02</v>
      </c>
      <c r="L2059" s="66">
        <f>K2059*VLOOKUP(I2059,dagsoorttabel1,2,FALSE)</f>
        <v>22.02</v>
      </c>
      <c r="M2059" s="67">
        <f>prodnorm42</f>
        <v>0</v>
      </c>
      <c r="N2059" s="68">
        <f>dagwerk42</f>
        <v>0</v>
      </c>
      <c r="O2059" s="64" t="s">
        <v>38</v>
      </c>
      <c r="P2059" s="69">
        <f>uurtarief42</f>
        <v>0</v>
      </c>
      <c r="Q2059" s="66" t="e">
        <f>IF(ISBLANK(M2059),0,L2059/ROUND(M2059,4))</f>
        <v>#DIV/0!</v>
      </c>
      <c r="R2059" s="66" t="e">
        <f>IF(ISBLANK(M2059),0,Q2059*ROUND(N2059,2))</f>
        <v>#DIV/0!</v>
      </c>
      <c r="S2059" s="69" t="e">
        <f>ROUND(P2059,2)*Q2059</f>
        <v>#DIV/0!</v>
      </c>
      <c r="T2059" s="66" t="e">
        <f>Q2059*dagenperjaar1</f>
        <v>#DIV/0!</v>
      </c>
      <c r="U2059" s="70" t="e">
        <f>T2059*ROUND(P2059,2)</f>
        <v>#DIV/0!</v>
      </c>
    </row>
    <row r="2060" spans="1:21" x14ac:dyDescent="0.2">
      <c r="A2060" s="63" t="s">
        <v>2504</v>
      </c>
      <c r="B2060" s="64" t="s">
        <v>324</v>
      </c>
      <c r="C2060" s="64" t="s">
        <v>2528</v>
      </c>
      <c r="D2060" s="64" t="s">
        <v>2546</v>
      </c>
      <c r="E2060" s="64" t="s">
        <v>324</v>
      </c>
      <c r="F2060" s="65" t="s">
        <v>2230</v>
      </c>
      <c r="G2060" s="64" t="s">
        <v>365</v>
      </c>
      <c r="H2060" s="64" t="s">
        <v>213</v>
      </c>
      <c r="I2060" s="64" t="s">
        <v>10</v>
      </c>
      <c r="J2060" s="64" t="s">
        <v>201</v>
      </c>
      <c r="K2060" s="66">
        <v>13.98</v>
      </c>
      <c r="L2060" s="66">
        <f>K2060*VLOOKUP(I2060,dagsoorttabel1,2,FALSE)</f>
        <v>13.98</v>
      </c>
      <c r="M2060" s="67">
        <f>prodnorm33</f>
        <v>0</v>
      </c>
      <c r="N2060" s="68">
        <f>dagwerk33</f>
        <v>0</v>
      </c>
      <c r="O2060" s="64" t="s">
        <v>38</v>
      </c>
      <c r="P2060" s="69">
        <f>uurtarief33</f>
        <v>0</v>
      </c>
      <c r="Q2060" s="66" t="e">
        <f>IF(ISBLANK(M2060),0,L2060/ROUND(M2060,4))</f>
        <v>#DIV/0!</v>
      </c>
      <c r="R2060" s="66" t="e">
        <f>IF(ISBLANK(M2060),0,Q2060*ROUND(N2060,2))</f>
        <v>#DIV/0!</v>
      </c>
      <c r="S2060" s="69" t="e">
        <f>ROUND(P2060,2)*Q2060</f>
        <v>#DIV/0!</v>
      </c>
      <c r="T2060" s="66" t="e">
        <f>Q2060*dagenperjaar1</f>
        <v>#DIV/0!</v>
      </c>
      <c r="U2060" s="70" t="e">
        <f>T2060*ROUND(P2060,2)</f>
        <v>#DIV/0!</v>
      </c>
    </row>
    <row r="2061" spans="1:21" x14ac:dyDescent="0.2">
      <c r="A2061" s="63" t="s">
        <v>2504</v>
      </c>
      <c r="B2061" s="64" t="s">
        <v>324</v>
      </c>
      <c r="C2061" s="64" t="s">
        <v>2528</v>
      </c>
      <c r="D2061" s="64" t="s">
        <v>2547</v>
      </c>
      <c r="E2061" s="64" t="s">
        <v>324</v>
      </c>
      <c r="F2061" s="65" t="s">
        <v>791</v>
      </c>
      <c r="G2061" s="64" t="s">
        <v>365</v>
      </c>
      <c r="H2061" s="64" t="s">
        <v>227</v>
      </c>
      <c r="I2061" s="64" t="s">
        <v>10</v>
      </c>
      <c r="J2061" s="64" t="s">
        <v>201</v>
      </c>
      <c r="K2061" s="66">
        <v>22.02</v>
      </c>
      <c r="L2061" s="66">
        <f>K2061*VLOOKUP(I2061,dagsoorttabel1,2,FALSE)</f>
        <v>22.02</v>
      </c>
      <c r="M2061" s="67">
        <f>prodnorm42</f>
        <v>0</v>
      </c>
      <c r="N2061" s="68">
        <f>dagwerk42</f>
        <v>0</v>
      </c>
      <c r="O2061" s="64" t="s">
        <v>38</v>
      </c>
      <c r="P2061" s="69">
        <f>uurtarief42</f>
        <v>0</v>
      </c>
      <c r="Q2061" s="66" t="e">
        <f>IF(ISBLANK(M2061),0,L2061/ROUND(M2061,4))</f>
        <v>#DIV/0!</v>
      </c>
      <c r="R2061" s="66" t="e">
        <f>IF(ISBLANK(M2061),0,Q2061*ROUND(N2061,2))</f>
        <v>#DIV/0!</v>
      </c>
      <c r="S2061" s="69" t="e">
        <f>ROUND(P2061,2)*Q2061</f>
        <v>#DIV/0!</v>
      </c>
      <c r="T2061" s="66" t="e">
        <f>Q2061*dagenperjaar1</f>
        <v>#DIV/0!</v>
      </c>
      <c r="U2061" s="70" t="e">
        <f>T2061*ROUND(P2061,2)</f>
        <v>#DIV/0!</v>
      </c>
    </row>
    <row r="2062" spans="1:21" x14ac:dyDescent="0.2">
      <c r="A2062" s="63" t="s">
        <v>2504</v>
      </c>
      <c r="B2062" s="64" t="s">
        <v>324</v>
      </c>
      <c r="C2062" s="64" t="s">
        <v>2528</v>
      </c>
      <c r="D2062" s="64" t="s">
        <v>2548</v>
      </c>
      <c r="E2062" s="64" t="s">
        <v>324</v>
      </c>
      <c r="F2062" s="65" t="s">
        <v>2230</v>
      </c>
      <c r="G2062" s="64" t="s">
        <v>365</v>
      </c>
      <c r="H2062" s="64" t="s">
        <v>213</v>
      </c>
      <c r="I2062" s="64" t="s">
        <v>10</v>
      </c>
      <c r="J2062" s="64" t="s">
        <v>201</v>
      </c>
      <c r="K2062" s="66">
        <v>13.98</v>
      </c>
      <c r="L2062" s="66">
        <f>K2062*VLOOKUP(I2062,dagsoorttabel1,2,FALSE)</f>
        <v>13.98</v>
      </c>
      <c r="M2062" s="67">
        <f>prodnorm33</f>
        <v>0</v>
      </c>
      <c r="N2062" s="68">
        <f>dagwerk33</f>
        <v>0</v>
      </c>
      <c r="O2062" s="64" t="s">
        <v>38</v>
      </c>
      <c r="P2062" s="69">
        <f>uurtarief33</f>
        <v>0</v>
      </c>
      <c r="Q2062" s="66" t="e">
        <f>IF(ISBLANK(M2062),0,L2062/ROUND(M2062,4))</f>
        <v>#DIV/0!</v>
      </c>
      <c r="R2062" s="66" t="e">
        <f>IF(ISBLANK(M2062),0,Q2062*ROUND(N2062,2))</f>
        <v>#DIV/0!</v>
      </c>
      <c r="S2062" s="69" t="e">
        <f>ROUND(P2062,2)*Q2062</f>
        <v>#DIV/0!</v>
      </c>
      <c r="T2062" s="66" t="e">
        <f>Q2062*dagenperjaar1</f>
        <v>#DIV/0!</v>
      </c>
      <c r="U2062" s="70" t="e">
        <f>T2062*ROUND(P2062,2)</f>
        <v>#DIV/0!</v>
      </c>
    </row>
    <row r="2063" spans="1:21" x14ac:dyDescent="0.2">
      <c r="A2063" s="63" t="s">
        <v>2504</v>
      </c>
      <c r="B2063" s="64" t="s">
        <v>324</v>
      </c>
      <c r="C2063" s="64" t="s">
        <v>2528</v>
      </c>
      <c r="D2063" s="64" t="s">
        <v>2549</v>
      </c>
      <c r="E2063" s="64" t="s">
        <v>324</v>
      </c>
      <c r="F2063" s="65" t="s">
        <v>641</v>
      </c>
      <c r="G2063" s="64" t="s">
        <v>365</v>
      </c>
      <c r="H2063" s="64" t="s">
        <v>255</v>
      </c>
      <c r="I2063" s="64" t="s">
        <v>10</v>
      </c>
      <c r="J2063" s="64" t="s">
        <v>201</v>
      </c>
      <c r="K2063" s="66">
        <v>2.54</v>
      </c>
      <c r="L2063" s="66">
        <f>K2063*VLOOKUP(I2063,dagsoorttabel1,2,FALSE)</f>
        <v>2.54</v>
      </c>
      <c r="M2063" s="67">
        <f>prodnorm59</f>
        <v>0</v>
      </c>
      <c r="N2063" s="68">
        <f>dagwerk59</f>
        <v>0</v>
      </c>
      <c r="O2063" s="64" t="s">
        <v>38</v>
      </c>
      <c r="P2063" s="69">
        <f>uurtarief59</f>
        <v>0</v>
      </c>
      <c r="Q2063" s="66" t="e">
        <f>IF(ISBLANK(M2063),0,L2063/ROUND(M2063,4))</f>
        <v>#DIV/0!</v>
      </c>
      <c r="R2063" s="66" t="e">
        <f>IF(ISBLANK(M2063),0,Q2063*ROUND(N2063,2))</f>
        <v>#DIV/0!</v>
      </c>
      <c r="S2063" s="69" t="e">
        <f>ROUND(P2063,2)*Q2063</f>
        <v>#DIV/0!</v>
      </c>
      <c r="T2063" s="66" t="e">
        <f>Q2063*dagenperjaar1</f>
        <v>#DIV/0!</v>
      </c>
      <c r="U2063" s="70" t="e">
        <f>T2063*ROUND(P2063,2)</f>
        <v>#DIV/0!</v>
      </c>
    </row>
    <row r="2064" spans="1:21" x14ac:dyDescent="0.2">
      <c r="A2064" s="63" t="s">
        <v>2504</v>
      </c>
      <c r="B2064" s="64" t="s">
        <v>324</v>
      </c>
      <c r="C2064" s="64" t="s">
        <v>2528</v>
      </c>
      <c r="D2064" s="64" t="s">
        <v>2550</v>
      </c>
      <c r="E2064" s="64" t="s">
        <v>324</v>
      </c>
      <c r="F2064" s="65" t="s">
        <v>641</v>
      </c>
      <c r="G2064" s="64" t="s">
        <v>365</v>
      </c>
      <c r="H2064" s="64" t="s">
        <v>255</v>
      </c>
      <c r="I2064" s="64" t="s">
        <v>10</v>
      </c>
      <c r="J2064" s="64" t="s">
        <v>201</v>
      </c>
      <c r="K2064" s="66">
        <v>2.54</v>
      </c>
      <c r="L2064" s="66">
        <f>K2064*VLOOKUP(I2064,dagsoorttabel1,2,FALSE)</f>
        <v>2.54</v>
      </c>
      <c r="M2064" s="67">
        <f>prodnorm59</f>
        <v>0</v>
      </c>
      <c r="N2064" s="68">
        <f>dagwerk59</f>
        <v>0</v>
      </c>
      <c r="O2064" s="64" t="s">
        <v>38</v>
      </c>
      <c r="P2064" s="69">
        <f>uurtarief59</f>
        <v>0</v>
      </c>
      <c r="Q2064" s="66" t="e">
        <f>IF(ISBLANK(M2064),0,L2064/ROUND(M2064,4))</f>
        <v>#DIV/0!</v>
      </c>
      <c r="R2064" s="66" t="e">
        <f>IF(ISBLANK(M2064),0,Q2064*ROUND(N2064,2))</f>
        <v>#DIV/0!</v>
      </c>
      <c r="S2064" s="69" t="e">
        <f>ROUND(P2064,2)*Q2064</f>
        <v>#DIV/0!</v>
      </c>
      <c r="T2064" s="66" t="e">
        <f>Q2064*dagenperjaar1</f>
        <v>#DIV/0!</v>
      </c>
      <c r="U2064" s="70" t="e">
        <f>T2064*ROUND(P2064,2)</f>
        <v>#DIV/0!</v>
      </c>
    </row>
    <row r="2065" spans="1:21" x14ac:dyDescent="0.2">
      <c r="A2065" s="63" t="s">
        <v>2504</v>
      </c>
      <c r="B2065" s="64" t="s">
        <v>324</v>
      </c>
      <c r="C2065" s="64" t="s">
        <v>2528</v>
      </c>
      <c r="D2065" s="64" t="s">
        <v>2551</v>
      </c>
      <c r="E2065" s="64" t="s">
        <v>324</v>
      </c>
      <c r="F2065" s="65" t="s">
        <v>2552</v>
      </c>
      <c r="G2065" s="64" t="s">
        <v>365</v>
      </c>
      <c r="H2065" s="64" t="s">
        <v>205</v>
      </c>
      <c r="I2065" s="64" t="s">
        <v>10</v>
      </c>
      <c r="J2065" s="64" t="s">
        <v>201</v>
      </c>
      <c r="K2065" s="66">
        <v>27.939999999999998</v>
      </c>
      <c r="L2065" s="66">
        <f>K2065*VLOOKUP(I2065,dagsoorttabel1,2,FALSE)</f>
        <v>27.939999999999998</v>
      </c>
      <c r="M2065" s="67">
        <f>prodnorm26</f>
        <v>0</v>
      </c>
      <c r="N2065" s="68">
        <f>dagwerk26</f>
        <v>0</v>
      </c>
      <c r="O2065" s="64" t="s">
        <v>38</v>
      </c>
      <c r="P2065" s="69">
        <f>uurtarief26</f>
        <v>0</v>
      </c>
      <c r="Q2065" s="66" t="e">
        <f>IF(ISBLANK(M2065),0,L2065/ROUND(M2065,4))</f>
        <v>#DIV/0!</v>
      </c>
      <c r="R2065" s="66" t="e">
        <f>IF(ISBLANK(M2065),0,Q2065*ROUND(N2065,2))</f>
        <v>#DIV/0!</v>
      </c>
      <c r="S2065" s="69" t="e">
        <f>ROUND(P2065,2)*Q2065</f>
        <v>#DIV/0!</v>
      </c>
      <c r="T2065" s="66" t="e">
        <f>Q2065*dagenperjaar1</f>
        <v>#DIV/0!</v>
      </c>
      <c r="U2065" s="70" t="e">
        <f>T2065*ROUND(P2065,2)</f>
        <v>#DIV/0!</v>
      </c>
    </row>
    <row r="2066" spans="1:21" x14ac:dyDescent="0.2">
      <c r="A2066" s="63" t="s">
        <v>2504</v>
      </c>
      <c r="B2066" s="64" t="s">
        <v>324</v>
      </c>
      <c r="C2066" s="64" t="s">
        <v>2528</v>
      </c>
      <c r="D2066" s="64" t="s">
        <v>2553</v>
      </c>
      <c r="E2066" s="64" t="s">
        <v>324</v>
      </c>
      <c r="F2066" s="65" t="s">
        <v>2554</v>
      </c>
      <c r="G2066" s="64" t="s">
        <v>365</v>
      </c>
      <c r="H2066" s="64" t="s">
        <v>213</v>
      </c>
      <c r="I2066" s="64" t="s">
        <v>10</v>
      </c>
      <c r="J2066" s="64" t="s">
        <v>201</v>
      </c>
      <c r="K2066" s="66">
        <v>2</v>
      </c>
      <c r="L2066" s="66">
        <f>K2066*VLOOKUP(I2066,dagsoorttabel1,2,FALSE)</f>
        <v>2</v>
      </c>
      <c r="M2066" s="67">
        <f>prodnorm33</f>
        <v>0</v>
      </c>
      <c r="N2066" s="68">
        <f>dagwerk33</f>
        <v>0</v>
      </c>
      <c r="O2066" s="64" t="s">
        <v>38</v>
      </c>
      <c r="P2066" s="69">
        <f>uurtarief33</f>
        <v>0</v>
      </c>
      <c r="Q2066" s="66" t="e">
        <f>IF(ISBLANK(M2066),0,L2066/ROUND(M2066,4))</f>
        <v>#DIV/0!</v>
      </c>
      <c r="R2066" s="66" t="e">
        <f>IF(ISBLANK(M2066),0,Q2066*ROUND(N2066,2))</f>
        <v>#DIV/0!</v>
      </c>
      <c r="S2066" s="69" t="e">
        <f>ROUND(P2066,2)*Q2066</f>
        <v>#DIV/0!</v>
      </c>
      <c r="T2066" s="66" t="e">
        <f>Q2066*dagenperjaar1</f>
        <v>#DIV/0!</v>
      </c>
      <c r="U2066" s="70" t="e">
        <f>T2066*ROUND(P2066,2)</f>
        <v>#DIV/0!</v>
      </c>
    </row>
    <row r="2067" spans="1:21" x14ac:dyDescent="0.2">
      <c r="A2067" s="63" t="s">
        <v>2504</v>
      </c>
      <c r="B2067" s="64" t="s">
        <v>324</v>
      </c>
      <c r="C2067" s="64" t="s">
        <v>2528</v>
      </c>
      <c r="D2067" s="64" t="s">
        <v>2555</v>
      </c>
      <c r="E2067" s="64" t="s">
        <v>324</v>
      </c>
      <c r="F2067" s="65" t="s">
        <v>2516</v>
      </c>
      <c r="G2067" s="64" t="s">
        <v>365</v>
      </c>
      <c r="H2067" s="64" t="s">
        <v>255</v>
      </c>
      <c r="I2067" s="64" t="s">
        <v>10</v>
      </c>
      <c r="J2067" s="64" t="s">
        <v>201</v>
      </c>
      <c r="K2067" s="66">
        <v>3.3899999999999997</v>
      </c>
      <c r="L2067" s="66">
        <f>K2067*VLOOKUP(I2067,dagsoorttabel1,2,FALSE)</f>
        <v>3.3899999999999997</v>
      </c>
      <c r="M2067" s="67">
        <f>prodnorm59</f>
        <v>0</v>
      </c>
      <c r="N2067" s="68">
        <f>dagwerk59</f>
        <v>0</v>
      </c>
      <c r="O2067" s="64" t="s">
        <v>38</v>
      </c>
      <c r="P2067" s="69">
        <f>uurtarief59</f>
        <v>0</v>
      </c>
      <c r="Q2067" s="66" t="e">
        <f>IF(ISBLANK(M2067),0,L2067/ROUND(M2067,4))</f>
        <v>#DIV/0!</v>
      </c>
      <c r="R2067" s="66" t="e">
        <f>IF(ISBLANK(M2067),0,Q2067*ROUND(N2067,2))</f>
        <v>#DIV/0!</v>
      </c>
      <c r="S2067" s="69" t="e">
        <f>ROUND(P2067,2)*Q2067</f>
        <v>#DIV/0!</v>
      </c>
      <c r="T2067" s="66" t="e">
        <f>Q2067*dagenperjaar1</f>
        <v>#DIV/0!</v>
      </c>
      <c r="U2067" s="70" t="e">
        <f>T2067*ROUND(P2067,2)</f>
        <v>#DIV/0!</v>
      </c>
    </row>
    <row r="2068" spans="1:21" x14ac:dyDescent="0.2">
      <c r="A2068" s="63" t="s">
        <v>2504</v>
      </c>
      <c r="B2068" s="64" t="s">
        <v>324</v>
      </c>
      <c r="C2068" s="64" t="s">
        <v>2528</v>
      </c>
      <c r="D2068" s="64" t="s">
        <v>2556</v>
      </c>
      <c r="E2068" s="64" t="s">
        <v>324</v>
      </c>
      <c r="F2068" s="65" t="s">
        <v>2557</v>
      </c>
      <c r="G2068" s="64" t="s">
        <v>2513</v>
      </c>
      <c r="H2068" s="64" t="s">
        <v>219</v>
      </c>
      <c r="I2068" s="64" t="s">
        <v>10</v>
      </c>
      <c r="J2068" s="64" t="s">
        <v>201</v>
      </c>
      <c r="K2068" s="66">
        <v>455.35</v>
      </c>
      <c r="L2068" s="66">
        <f>K2068*VLOOKUP(I2068,dagsoorttabel1,2,FALSE)</f>
        <v>455.35</v>
      </c>
      <c r="M2068" s="67">
        <f>prodnorm36</f>
        <v>0</v>
      </c>
      <c r="N2068" s="68">
        <f>dagwerk36</f>
        <v>0</v>
      </c>
      <c r="O2068" s="64" t="s">
        <v>38</v>
      </c>
      <c r="P2068" s="69">
        <f>uurtarief36</f>
        <v>0</v>
      </c>
      <c r="Q2068" s="66" t="e">
        <f>IF(ISBLANK(M2068),0,L2068/ROUND(M2068,4))</f>
        <v>#DIV/0!</v>
      </c>
      <c r="R2068" s="66" t="e">
        <f>IF(ISBLANK(M2068),0,Q2068*ROUND(N2068,2))</f>
        <v>#DIV/0!</v>
      </c>
      <c r="S2068" s="69" t="e">
        <f>ROUND(P2068,2)*Q2068</f>
        <v>#DIV/0!</v>
      </c>
      <c r="T2068" s="66" t="e">
        <f>Q2068*dagenperjaar1</f>
        <v>#DIV/0!</v>
      </c>
      <c r="U2068" s="70" t="e">
        <f>T2068*ROUND(P2068,2)</f>
        <v>#DIV/0!</v>
      </c>
    </row>
    <row r="2069" spans="1:21" x14ac:dyDescent="0.2">
      <c r="A2069" s="63" t="s">
        <v>2504</v>
      </c>
      <c r="B2069" s="64" t="s">
        <v>324</v>
      </c>
      <c r="C2069" s="64" t="s">
        <v>2528</v>
      </c>
      <c r="D2069" s="64" t="s">
        <v>2558</v>
      </c>
      <c r="E2069" s="64" t="s">
        <v>324</v>
      </c>
      <c r="F2069" s="65" t="s">
        <v>2559</v>
      </c>
      <c r="G2069" s="64" t="s">
        <v>2513</v>
      </c>
      <c r="H2069" s="64" t="s">
        <v>263</v>
      </c>
      <c r="I2069" s="64" t="s">
        <v>10</v>
      </c>
      <c r="J2069" s="64" t="s">
        <v>201</v>
      </c>
      <c r="K2069" s="66">
        <v>447.21999999999997</v>
      </c>
      <c r="L2069" s="66">
        <f>K2069*VLOOKUP(I2069,dagsoorttabel1,2,FALSE)</f>
        <v>447.21999999999997</v>
      </c>
      <c r="M2069" s="67">
        <f>prodnorm63</f>
        <v>0</v>
      </c>
      <c r="N2069" s="68">
        <f>dagwerk63</f>
        <v>0</v>
      </c>
      <c r="O2069" s="64" t="s">
        <v>38</v>
      </c>
      <c r="P2069" s="69">
        <f>uurtarief63</f>
        <v>0</v>
      </c>
      <c r="Q2069" s="66" t="e">
        <f>IF(ISBLANK(M2069),0,L2069/ROUND(M2069,4))</f>
        <v>#DIV/0!</v>
      </c>
      <c r="R2069" s="66" t="e">
        <f>IF(ISBLANK(M2069),0,Q2069*ROUND(N2069,2))</f>
        <v>#DIV/0!</v>
      </c>
      <c r="S2069" s="69" t="e">
        <f>ROUND(P2069,2)*Q2069</f>
        <v>#DIV/0!</v>
      </c>
      <c r="T2069" s="66" t="e">
        <f>Q2069*dagenperjaar1</f>
        <v>#DIV/0!</v>
      </c>
      <c r="U2069" s="70" t="e">
        <f>T2069*ROUND(P2069,2)</f>
        <v>#DIV/0!</v>
      </c>
    </row>
    <row r="2070" spans="1:21" x14ac:dyDescent="0.2">
      <c r="A2070" s="63" t="s">
        <v>2504</v>
      </c>
      <c r="B2070" s="64" t="s">
        <v>324</v>
      </c>
      <c r="C2070" s="64" t="s">
        <v>2528</v>
      </c>
      <c r="D2070" s="64" t="s">
        <v>2560</v>
      </c>
      <c r="E2070" s="64" t="s">
        <v>324</v>
      </c>
      <c r="F2070" s="65" t="s">
        <v>2561</v>
      </c>
      <c r="G2070" s="64" t="s">
        <v>2513</v>
      </c>
      <c r="H2070" s="64" t="s">
        <v>219</v>
      </c>
      <c r="I2070" s="64" t="s">
        <v>10</v>
      </c>
      <c r="J2070" s="64" t="s">
        <v>201</v>
      </c>
      <c r="K2070" s="66">
        <v>455.35</v>
      </c>
      <c r="L2070" s="66">
        <f>K2070*VLOOKUP(I2070,dagsoorttabel1,2,FALSE)</f>
        <v>455.35</v>
      </c>
      <c r="M2070" s="67">
        <f>prodnorm36</f>
        <v>0</v>
      </c>
      <c r="N2070" s="68">
        <f>dagwerk36</f>
        <v>0</v>
      </c>
      <c r="O2070" s="64" t="s">
        <v>38</v>
      </c>
      <c r="P2070" s="69">
        <f>uurtarief36</f>
        <v>0</v>
      </c>
      <c r="Q2070" s="66" t="e">
        <f>IF(ISBLANK(M2070),0,L2070/ROUND(M2070,4))</f>
        <v>#DIV/0!</v>
      </c>
      <c r="R2070" s="66" t="e">
        <f>IF(ISBLANK(M2070),0,Q2070*ROUND(N2070,2))</f>
        <v>#DIV/0!</v>
      </c>
      <c r="S2070" s="69" t="e">
        <f>ROUND(P2070,2)*Q2070</f>
        <v>#DIV/0!</v>
      </c>
      <c r="T2070" s="66" t="e">
        <f>Q2070*dagenperjaar1</f>
        <v>#DIV/0!</v>
      </c>
      <c r="U2070" s="70" t="e">
        <f>T2070*ROUND(P2070,2)</f>
        <v>#DIV/0!</v>
      </c>
    </row>
    <row r="2071" spans="1:21" x14ac:dyDescent="0.2">
      <c r="A2071" s="63" t="s">
        <v>2504</v>
      </c>
      <c r="B2071" s="64" t="s">
        <v>324</v>
      </c>
      <c r="C2071" s="64" t="s">
        <v>2528</v>
      </c>
      <c r="D2071" s="64" t="s">
        <v>2562</v>
      </c>
      <c r="E2071" s="64" t="s">
        <v>324</v>
      </c>
      <c r="F2071" s="65" t="s">
        <v>1493</v>
      </c>
      <c r="G2071" s="64" t="s">
        <v>2513</v>
      </c>
      <c r="H2071" s="64" t="s">
        <v>219</v>
      </c>
      <c r="I2071" s="64" t="s">
        <v>16</v>
      </c>
      <c r="J2071" s="64" t="s">
        <v>201</v>
      </c>
      <c r="K2071" s="66">
        <v>55.56</v>
      </c>
      <c r="L2071" s="66">
        <f>K2071*VLOOKUP(I2071,dagsoorttabel1,2,FALSE)</f>
        <v>11.112000000000002</v>
      </c>
      <c r="M2071" s="67">
        <f>prodnorm37</f>
        <v>0</v>
      </c>
      <c r="N2071" s="68">
        <f>dagwerk37</f>
        <v>0</v>
      </c>
      <c r="O2071" s="64" t="s">
        <v>38</v>
      </c>
      <c r="P2071" s="69">
        <f>uurtarief37</f>
        <v>0</v>
      </c>
      <c r="Q2071" s="66" t="e">
        <f>IF(ISBLANK(M2071),0,L2071/ROUND(M2071,4))</f>
        <v>#DIV/0!</v>
      </c>
      <c r="R2071" s="66" t="e">
        <f>IF(ISBLANK(M2071),0,Q2071*ROUND(N2071,2))</f>
        <v>#DIV/0!</v>
      </c>
      <c r="S2071" s="69" t="e">
        <f>ROUND(P2071,2)*Q2071</f>
        <v>#DIV/0!</v>
      </c>
      <c r="T2071" s="66" t="e">
        <f>Q2071*dagenperjaar1</f>
        <v>#DIV/0!</v>
      </c>
      <c r="U2071" s="70" t="e">
        <f>T2071*ROUND(P2071,2)</f>
        <v>#DIV/0!</v>
      </c>
    </row>
    <row r="2072" spans="1:21" x14ac:dyDescent="0.2">
      <c r="A2072" s="63" t="s">
        <v>2504</v>
      </c>
      <c r="B2072" s="64" t="s">
        <v>324</v>
      </c>
      <c r="C2072" s="64" t="s">
        <v>2528</v>
      </c>
      <c r="D2072" s="64" t="s">
        <v>2563</v>
      </c>
      <c r="E2072" s="64" t="s">
        <v>324</v>
      </c>
      <c r="F2072" s="65" t="s">
        <v>1493</v>
      </c>
      <c r="G2072" s="64" t="s">
        <v>2513</v>
      </c>
      <c r="H2072" s="64" t="s">
        <v>219</v>
      </c>
      <c r="I2072" s="64" t="s">
        <v>16</v>
      </c>
      <c r="J2072" s="64" t="s">
        <v>201</v>
      </c>
      <c r="K2072" s="66">
        <v>56.92</v>
      </c>
      <c r="L2072" s="66">
        <f>K2072*VLOOKUP(I2072,dagsoorttabel1,2,FALSE)</f>
        <v>11.384</v>
      </c>
      <c r="M2072" s="67">
        <f>prodnorm37</f>
        <v>0</v>
      </c>
      <c r="N2072" s="68">
        <f>dagwerk37</f>
        <v>0</v>
      </c>
      <c r="O2072" s="64" t="s">
        <v>38</v>
      </c>
      <c r="P2072" s="69">
        <f>uurtarief37</f>
        <v>0</v>
      </c>
      <c r="Q2072" s="66" t="e">
        <f>IF(ISBLANK(M2072),0,L2072/ROUND(M2072,4))</f>
        <v>#DIV/0!</v>
      </c>
      <c r="R2072" s="66" t="e">
        <f>IF(ISBLANK(M2072),0,Q2072*ROUND(N2072,2))</f>
        <v>#DIV/0!</v>
      </c>
      <c r="S2072" s="69" t="e">
        <f>ROUND(P2072,2)*Q2072</f>
        <v>#DIV/0!</v>
      </c>
      <c r="T2072" s="66" t="e">
        <f>Q2072*dagenperjaar1</f>
        <v>#DIV/0!</v>
      </c>
      <c r="U2072" s="70" t="e">
        <f>T2072*ROUND(P2072,2)</f>
        <v>#DIV/0!</v>
      </c>
    </row>
    <row r="2073" spans="1:21" x14ac:dyDescent="0.2">
      <c r="A2073" s="63" t="s">
        <v>2504</v>
      </c>
      <c r="B2073" s="64" t="s">
        <v>324</v>
      </c>
      <c r="C2073" s="64" t="s">
        <v>2528</v>
      </c>
      <c r="D2073" s="64" t="s">
        <v>2564</v>
      </c>
      <c r="E2073" s="64" t="s">
        <v>324</v>
      </c>
      <c r="F2073" s="65" t="s">
        <v>1493</v>
      </c>
      <c r="G2073" s="64" t="s">
        <v>2513</v>
      </c>
      <c r="H2073" s="64" t="s">
        <v>219</v>
      </c>
      <c r="I2073" s="64" t="s">
        <v>16</v>
      </c>
      <c r="J2073" s="64" t="s">
        <v>201</v>
      </c>
      <c r="K2073" s="66">
        <v>55.56</v>
      </c>
      <c r="L2073" s="66">
        <f>K2073*VLOOKUP(I2073,dagsoorttabel1,2,FALSE)</f>
        <v>11.112000000000002</v>
      </c>
      <c r="M2073" s="67">
        <f>prodnorm37</f>
        <v>0</v>
      </c>
      <c r="N2073" s="68">
        <f>dagwerk37</f>
        <v>0</v>
      </c>
      <c r="O2073" s="64" t="s">
        <v>38</v>
      </c>
      <c r="P2073" s="69">
        <f>uurtarief37</f>
        <v>0</v>
      </c>
      <c r="Q2073" s="66" t="e">
        <f>IF(ISBLANK(M2073),0,L2073/ROUND(M2073,4))</f>
        <v>#DIV/0!</v>
      </c>
      <c r="R2073" s="66" t="e">
        <f>IF(ISBLANK(M2073),0,Q2073*ROUND(N2073,2))</f>
        <v>#DIV/0!</v>
      </c>
      <c r="S2073" s="69" t="e">
        <f>ROUND(P2073,2)*Q2073</f>
        <v>#DIV/0!</v>
      </c>
      <c r="T2073" s="66" t="e">
        <f>Q2073*dagenperjaar1</f>
        <v>#DIV/0!</v>
      </c>
      <c r="U2073" s="70" t="e">
        <f>T2073*ROUND(P2073,2)</f>
        <v>#DIV/0!</v>
      </c>
    </row>
    <row r="2074" spans="1:21" x14ac:dyDescent="0.2">
      <c r="A2074" s="63" t="s">
        <v>2504</v>
      </c>
      <c r="B2074" s="64" t="s">
        <v>324</v>
      </c>
      <c r="C2074" s="64" t="s">
        <v>2528</v>
      </c>
      <c r="D2074" s="64" t="s">
        <v>2565</v>
      </c>
      <c r="E2074" s="64" t="s">
        <v>324</v>
      </c>
      <c r="F2074" s="65" t="s">
        <v>638</v>
      </c>
      <c r="G2074" s="64" t="s">
        <v>2566</v>
      </c>
      <c r="H2074" s="64" t="s">
        <v>263</v>
      </c>
      <c r="I2074" s="64" t="s">
        <v>10</v>
      </c>
      <c r="J2074" s="64" t="s">
        <v>201</v>
      </c>
      <c r="K2074" s="66">
        <v>10.16</v>
      </c>
      <c r="L2074" s="66">
        <f>K2074*VLOOKUP(I2074,dagsoorttabel1,2,FALSE)</f>
        <v>10.16</v>
      </c>
      <c r="M2074" s="67">
        <f>prodnorm63</f>
        <v>0</v>
      </c>
      <c r="N2074" s="68">
        <f>dagwerk63</f>
        <v>0</v>
      </c>
      <c r="O2074" s="64" t="s">
        <v>38</v>
      </c>
      <c r="P2074" s="69">
        <f>uurtarief63</f>
        <v>0</v>
      </c>
      <c r="Q2074" s="66" t="e">
        <f>IF(ISBLANK(M2074),0,L2074/ROUND(M2074,4))</f>
        <v>#DIV/0!</v>
      </c>
      <c r="R2074" s="66" t="e">
        <f>IF(ISBLANK(M2074),0,Q2074*ROUND(N2074,2))</f>
        <v>#DIV/0!</v>
      </c>
      <c r="S2074" s="69" t="e">
        <f>ROUND(P2074,2)*Q2074</f>
        <v>#DIV/0!</v>
      </c>
      <c r="T2074" s="66" t="e">
        <f>Q2074*dagenperjaar1</f>
        <v>#DIV/0!</v>
      </c>
      <c r="U2074" s="70" t="e">
        <f>T2074*ROUND(P2074,2)</f>
        <v>#DIV/0!</v>
      </c>
    </row>
    <row r="2075" spans="1:21" x14ac:dyDescent="0.2">
      <c r="A2075" s="63" t="s">
        <v>2504</v>
      </c>
      <c r="B2075" s="64" t="s">
        <v>324</v>
      </c>
      <c r="C2075" s="64" t="s">
        <v>2528</v>
      </c>
      <c r="D2075" s="64" t="s">
        <v>2567</v>
      </c>
      <c r="E2075" s="64" t="s">
        <v>324</v>
      </c>
      <c r="F2075" s="65" t="s">
        <v>638</v>
      </c>
      <c r="G2075" s="64" t="s">
        <v>2566</v>
      </c>
      <c r="H2075" s="64" t="s">
        <v>263</v>
      </c>
      <c r="I2075" s="64" t="s">
        <v>10</v>
      </c>
      <c r="J2075" s="64" t="s">
        <v>201</v>
      </c>
      <c r="K2075" s="66">
        <v>8.81</v>
      </c>
      <c r="L2075" s="66">
        <f>K2075*VLOOKUP(I2075,dagsoorttabel1,2,FALSE)</f>
        <v>8.81</v>
      </c>
      <c r="M2075" s="67">
        <f>prodnorm63</f>
        <v>0</v>
      </c>
      <c r="N2075" s="68">
        <f>dagwerk63</f>
        <v>0</v>
      </c>
      <c r="O2075" s="64" t="s">
        <v>38</v>
      </c>
      <c r="P2075" s="69">
        <f>uurtarief63</f>
        <v>0</v>
      </c>
      <c r="Q2075" s="66" t="e">
        <f>IF(ISBLANK(M2075),0,L2075/ROUND(M2075,4))</f>
        <v>#DIV/0!</v>
      </c>
      <c r="R2075" s="66" t="e">
        <f>IF(ISBLANK(M2075),0,Q2075*ROUND(N2075,2))</f>
        <v>#DIV/0!</v>
      </c>
      <c r="S2075" s="69" t="e">
        <f>ROUND(P2075,2)*Q2075</f>
        <v>#DIV/0!</v>
      </c>
      <c r="T2075" s="66" t="e">
        <f>Q2075*dagenperjaar1</f>
        <v>#DIV/0!</v>
      </c>
      <c r="U2075" s="70" t="e">
        <f>T2075*ROUND(P2075,2)</f>
        <v>#DIV/0!</v>
      </c>
    </row>
    <row r="2076" spans="1:21" x14ac:dyDescent="0.2">
      <c r="A2076" s="63" t="s">
        <v>2504</v>
      </c>
      <c r="B2076" s="64" t="s">
        <v>324</v>
      </c>
      <c r="C2076" s="64" t="s">
        <v>2528</v>
      </c>
      <c r="D2076" s="64" t="s">
        <v>2520</v>
      </c>
      <c r="E2076" s="64" t="s">
        <v>324</v>
      </c>
      <c r="F2076" s="65" t="s">
        <v>638</v>
      </c>
      <c r="G2076" s="64" t="s">
        <v>2527</v>
      </c>
      <c r="H2076" s="64" t="s">
        <v>263</v>
      </c>
      <c r="I2076" s="64" t="s">
        <v>10</v>
      </c>
      <c r="J2076" s="64" t="s">
        <v>201</v>
      </c>
      <c r="K2076" s="66">
        <v>14.48</v>
      </c>
      <c r="L2076" s="66">
        <f>K2076*VLOOKUP(I2076,dagsoorttabel1,2,FALSE)</f>
        <v>14.48</v>
      </c>
      <c r="M2076" s="67">
        <f>prodnorm63</f>
        <v>0</v>
      </c>
      <c r="N2076" s="68">
        <f>dagwerk63</f>
        <v>0</v>
      </c>
      <c r="O2076" s="64" t="s">
        <v>38</v>
      </c>
      <c r="P2076" s="69">
        <f>uurtarief63</f>
        <v>0</v>
      </c>
      <c r="Q2076" s="66" t="e">
        <f>IF(ISBLANK(M2076),0,L2076/ROUND(M2076,4))</f>
        <v>#DIV/0!</v>
      </c>
      <c r="R2076" s="66" t="e">
        <f>IF(ISBLANK(M2076),0,Q2076*ROUND(N2076,2))</f>
        <v>#DIV/0!</v>
      </c>
      <c r="S2076" s="69" t="e">
        <f>ROUND(P2076,2)*Q2076</f>
        <v>#DIV/0!</v>
      </c>
      <c r="T2076" s="66" t="e">
        <f>Q2076*dagenperjaar1</f>
        <v>#DIV/0!</v>
      </c>
      <c r="U2076" s="70" t="e">
        <f>T2076*ROUND(P2076,2)</f>
        <v>#DIV/0!</v>
      </c>
    </row>
    <row r="2077" spans="1:21" x14ac:dyDescent="0.2">
      <c r="A2077" s="63" t="s">
        <v>2504</v>
      </c>
      <c r="B2077" s="64" t="s">
        <v>324</v>
      </c>
      <c r="C2077" s="64" t="s">
        <v>2528</v>
      </c>
      <c r="D2077" s="64" t="s">
        <v>2521</v>
      </c>
      <c r="E2077" s="64" t="s">
        <v>324</v>
      </c>
      <c r="F2077" s="65" t="s">
        <v>638</v>
      </c>
      <c r="G2077" s="64" t="s">
        <v>2527</v>
      </c>
      <c r="H2077" s="64" t="s">
        <v>263</v>
      </c>
      <c r="I2077" s="64" t="s">
        <v>10</v>
      </c>
      <c r="J2077" s="64" t="s">
        <v>201</v>
      </c>
      <c r="K2077" s="66">
        <v>14.48</v>
      </c>
      <c r="L2077" s="66">
        <f>K2077*VLOOKUP(I2077,dagsoorttabel1,2,FALSE)</f>
        <v>14.48</v>
      </c>
      <c r="M2077" s="67">
        <f>prodnorm63</f>
        <v>0</v>
      </c>
      <c r="N2077" s="68">
        <f>dagwerk63</f>
        <v>0</v>
      </c>
      <c r="O2077" s="64" t="s">
        <v>38</v>
      </c>
      <c r="P2077" s="69">
        <f>uurtarief63</f>
        <v>0</v>
      </c>
      <c r="Q2077" s="66" t="e">
        <f>IF(ISBLANK(M2077),0,L2077/ROUND(M2077,4))</f>
        <v>#DIV/0!</v>
      </c>
      <c r="R2077" s="66" t="e">
        <f>IF(ISBLANK(M2077),0,Q2077*ROUND(N2077,2))</f>
        <v>#DIV/0!</v>
      </c>
      <c r="S2077" s="69" t="e">
        <f>ROUND(P2077,2)*Q2077</f>
        <v>#DIV/0!</v>
      </c>
      <c r="T2077" s="66" t="e">
        <f>Q2077*dagenperjaar1</f>
        <v>#DIV/0!</v>
      </c>
      <c r="U2077" s="70" t="e">
        <f>T2077*ROUND(P2077,2)</f>
        <v>#DIV/0!</v>
      </c>
    </row>
    <row r="2078" spans="1:21" x14ac:dyDescent="0.2">
      <c r="A2078" s="63" t="s">
        <v>2504</v>
      </c>
      <c r="B2078" s="64" t="s">
        <v>324</v>
      </c>
      <c r="C2078" s="64" t="s">
        <v>345</v>
      </c>
      <c r="D2078" s="64" t="s">
        <v>2568</v>
      </c>
      <c r="E2078" s="64" t="s">
        <v>324</v>
      </c>
      <c r="F2078" s="65" t="s">
        <v>2569</v>
      </c>
      <c r="G2078" s="64" t="s">
        <v>365</v>
      </c>
      <c r="H2078" s="64" t="s">
        <v>205</v>
      </c>
      <c r="I2078" s="64" t="s">
        <v>10</v>
      </c>
      <c r="J2078" s="64" t="s">
        <v>201</v>
      </c>
      <c r="K2078" s="66">
        <v>13.04</v>
      </c>
      <c r="L2078" s="66">
        <f>K2078*VLOOKUP(I2078,dagsoorttabel1,2,FALSE)</f>
        <v>13.04</v>
      </c>
      <c r="M2078" s="67">
        <f>prodnorm26</f>
        <v>0</v>
      </c>
      <c r="N2078" s="68">
        <f>dagwerk26</f>
        <v>0</v>
      </c>
      <c r="O2078" s="64" t="s">
        <v>38</v>
      </c>
      <c r="P2078" s="69">
        <f>uurtarief26</f>
        <v>0</v>
      </c>
      <c r="Q2078" s="66" t="e">
        <f>IF(ISBLANK(M2078),0,L2078/ROUND(M2078,4))</f>
        <v>#DIV/0!</v>
      </c>
      <c r="R2078" s="66" t="e">
        <f>IF(ISBLANK(M2078),0,Q2078*ROUND(N2078,2))</f>
        <v>#DIV/0!</v>
      </c>
      <c r="S2078" s="69" t="e">
        <f>ROUND(P2078,2)*Q2078</f>
        <v>#DIV/0!</v>
      </c>
      <c r="T2078" s="66" t="e">
        <f>Q2078*dagenperjaar1</f>
        <v>#DIV/0!</v>
      </c>
      <c r="U2078" s="70" t="e">
        <f>T2078*ROUND(P2078,2)</f>
        <v>#DIV/0!</v>
      </c>
    </row>
    <row r="2079" spans="1:21" x14ac:dyDescent="0.2">
      <c r="A2079" s="63" t="s">
        <v>2504</v>
      </c>
      <c r="B2079" s="64" t="s">
        <v>324</v>
      </c>
      <c r="C2079" s="64" t="s">
        <v>345</v>
      </c>
      <c r="D2079" s="64" t="s">
        <v>2570</v>
      </c>
      <c r="E2079" s="64" t="s">
        <v>324</v>
      </c>
      <c r="F2079" s="65" t="s">
        <v>2571</v>
      </c>
      <c r="G2079" s="64" t="s">
        <v>328</v>
      </c>
      <c r="H2079" s="64" t="s">
        <v>271</v>
      </c>
      <c r="I2079" s="64" t="s">
        <v>10</v>
      </c>
      <c r="J2079" s="64" t="s">
        <v>201</v>
      </c>
      <c r="K2079" s="66">
        <v>9.66</v>
      </c>
      <c r="L2079" s="66">
        <f>K2079*VLOOKUP(I2079,dagsoorttabel1,2,FALSE)</f>
        <v>9.66</v>
      </c>
      <c r="M2079" s="67">
        <f>prodnorm68</f>
        <v>0</v>
      </c>
      <c r="N2079" s="68">
        <f>dagwerk68</f>
        <v>0</v>
      </c>
      <c r="O2079" s="64" t="s">
        <v>38</v>
      </c>
      <c r="P2079" s="69">
        <f>uurtarief68</f>
        <v>0</v>
      </c>
      <c r="Q2079" s="66" t="e">
        <f>IF(ISBLANK(M2079),0,L2079/ROUND(M2079,4))</f>
        <v>#DIV/0!</v>
      </c>
      <c r="R2079" s="66" t="e">
        <f>IF(ISBLANK(M2079),0,Q2079*ROUND(N2079,2))</f>
        <v>#DIV/0!</v>
      </c>
      <c r="S2079" s="69" t="e">
        <f>ROUND(P2079,2)*Q2079</f>
        <v>#DIV/0!</v>
      </c>
      <c r="T2079" s="66" t="e">
        <f>Q2079*dagenperjaar1</f>
        <v>#DIV/0!</v>
      </c>
      <c r="U2079" s="70" t="e">
        <f>T2079*ROUND(P2079,2)</f>
        <v>#DIV/0!</v>
      </c>
    </row>
    <row r="2080" spans="1:21" x14ac:dyDescent="0.2">
      <c r="A2080" s="63" t="s">
        <v>2504</v>
      </c>
      <c r="B2080" s="64" t="s">
        <v>324</v>
      </c>
      <c r="C2080" s="64" t="s">
        <v>345</v>
      </c>
      <c r="D2080" s="64" t="s">
        <v>2572</v>
      </c>
      <c r="E2080" s="64" t="s">
        <v>324</v>
      </c>
      <c r="F2080" s="65" t="s">
        <v>2573</v>
      </c>
      <c r="G2080" s="64" t="s">
        <v>328</v>
      </c>
      <c r="H2080" s="64" t="s">
        <v>267</v>
      </c>
      <c r="I2080" s="64" t="s">
        <v>10</v>
      </c>
      <c r="J2080" s="64" t="s">
        <v>201</v>
      </c>
      <c r="K2080" s="66">
        <v>30.830000000000002</v>
      </c>
      <c r="L2080" s="66">
        <f>K2080*VLOOKUP(I2080,dagsoorttabel1,2,FALSE)</f>
        <v>30.830000000000002</v>
      </c>
      <c r="M2080" s="67">
        <f>prodnorm65</f>
        <v>0</v>
      </c>
      <c r="N2080" s="68">
        <f>dagwerk65</f>
        <v>0</v>
      </c>
      <c r="O2080" s="64" t="s">
        <v>38</v>
      </c>
      <c r="P2080" s="69">
        <f>uurtarief65</f>
        <v>0</v>
      </c>
      <c r="Q2080" s="66" t="e">
        <f>IF(ISBLANK(M2080),0,L2080/ROUND(M2080,4))</f>
        <v>#DIV/0!</v>
      </c>
      <c r="R2080" s="66" t="e">
        <f>IF(ISBLANK(M2080),0,Q2080*ROUND(N2080,2))</f>
        <v>#DIV/0!</v>
      </c>
      <c r="S2080" s="69" t="e">
        <f>ROUND(P2080,2)*Q2080</f>
        <v>#DIV/0!</v>
      </c>
      <c r="T2080" s="66" t="e">
        <f>Q2080*dagenperjaar1</f>
        <v>#DIV/0!</v>
      </c>
      <c r="U2080" s="70" t="e">
        <f>T2080*ROUND(P2080,2)</f>
        <v>#DIV/0!</v>
      </c>
    </row>
    <row r="2081" spans="1:21" x14ac:dyDescent="0.2">
      <c r="A2081" s="63" t="s">
        <v>2504</v>
      </c>
      <c r="B2081" s="64" t="s">
        <v>324</v>
      </c>
      <c r="C2081" s="64" t="s">
        <v>345</v>
      </c>
      <c r="D2081" s="64" t="s">
        <v>2574</v>
      </c>
      <c r="E2081" s="64" t="s">
        <v>324</v>
      </c>
      <c r="F2081" s="65" t="s">
        <v>578</v>
      </c>
      <c r="G2081" s="64" t="s">
        <v>328</v>
      </c>
      <c r="H2081" s="64" t="s">
        <v>267</v>
      </c>
      <c r="I2081" s="64" t="s">
        <v>10</v>
      </c>
      <c r="J2081" s="64" t="s">
        <v>201</v>
      </c>
      <c r="K2081" s="66">
        <v>18.3</v>
      </c>
      <c r="L2081" s="66">
        <f>K2081*VLOOKUP(I2081,dagsoorttabel1,2,FALSE)</f>
        <v>18.3</v>
      </c>
      <c r="M2081" s="67">
        <f>prodnorm65</f>
        <v>0</v>
      </c>
      <c r="N2081" s="68">
        <f>dagwerk65</f>
        <v>0</v>
      </c>
      <c r="O2081" s="64" t="s">
        <v>38</v>
      </c>
      <c r="P2081" s="69">
        <f>uurtarief65</f>
        <v>0</v>
      </c>
      <c r="Q2081" s="66" t="e">
        <f>IF(ISBLANK(M2081),0,L2081/ROUND(M2081,4))</f>
        <v>#DIV/0!</v>
      </c>
      <c r="R2081" s="66" t="e">
        <f>IF(ISBLANK(M2081),0,Q2081*ROUND(N2081,2))</f>
        <v>#DIV/0!</v>
      </c>
      <c r="S2081" s="69" t="e">
        <f>ROUND(P2081,2)*Q2081</f>
        <v>#DIV/0!</v>
      </c>
      <c r="T2081" s="66" t="e">
        <f>Q2081*dagenperjaar1</f>
        <v>#DIV/0!</v>
      </c>
      <c r="U2081" s="70" t="e">
        <f>T2081*ROUND(P2081,2)</f>
        <v>#DIV/0!</v>
      </c>
    </row>
    <row r="2082" spans="1:21" x14ac:dyDescent="0.2">
      <c r="A2082" s="63" t="s">
        <v>2504</v>
      </c>
      <c r="B2082" s="64" t="s">
        <v>324</v>
      </c>
      <c r="C2082" s="64" t="s">
        <v>345</v>
      </c>
      <c r="D2082" s="64" t="s">
        <v>2575</v>
      </c>
      <c r="E2082" s="64" t="s">
        <v>324</v>
      </c>
      <c r="F2082" s="65" t="s">
        <v>2576</v>
      </c>
      <c r="G2082" s="64" t="s">
        <v>328</v>
      </c>
      <c r="H2082" s="64" t="s">
        <v>267</v>
      </c>
      <c r="I2082" s="64" t="s">
        <v>10</v>
      </c>
      <c r="J2082" s="64" t="s">
        <v>201</v>
      </c>
      <c r="K2082" s="66">
        <v>20</v>
      </c>
      <c r="L2082" s="66">
        <f>K2082*VLOOKUP(I2082,dagsoorttabel1,2,FALSE)</f>
        <v>20</v>
      </c>
      <c r="M2082" s="67">
        <f>prodnorm65</f>
        <v>0</v>
      </c>
      <c r="N2082" s="68">
        <f>dagwerk65</f>
        <v>0</v>
      </c>
      <c r="O2082" s="64" t="s">
        <v>38</v>
      </c>
      <c r="P2082" s="69">
        <f>uurtarief65</f>
        <v>0</v>
      </c>
      <c r="Q2082" s="66" t="e">
        <f>IF(ISBLANK(M2082),0,L2082/ROUND(M2082,4))</f>
        <v>#DIV/0!</v>
      </c>
      <c r="R2082" s="66" t="e">
        <f>IF(ISBLANK(M2082),0,Q2082*ROUND(N2082,2))</f>
        <v>#DIV/0!</v>
      </c>
      <c r="S2082" s="69" t="e">
        <f>ROUND(P2082,2)*Q2082</f>
        <v>#DIV/0!</v>
      </c>
      <c r="T2082" s="66" t="e">
        <f>Q2082*dagenperjaar1</f>
        <v>#DIV/0!</v>
      </c>
      <c r="U2082" s="70" t="e">
        <f>T2082*ROUND(P2082,2)</f>
        <v>#DIV/0!</v>
      </c>
    </row>
    <row r="2083" spans="1:21" x14ac:dyDescent="0.2">
      <c r="A2083" s="63" t="s">
        <v>2504</v>
      </c>
      <c r="B2083" s="64" t="s">
        <v>324</v>
      </c>
      <c r="C2083" s="64" t="s">
        <v>345</v>
      </c>
      <c r="D2083" s="64" t="s">
        <v>2577</v>
      </c>
      <c r="E2083" s="64" t="s">
        <v>324</v>
      </c>
      <c r="F2083" s="65" t="s">
        <v>791</v>
      </c>
      <c r="G2083" s="64" t="s">
        <v>365</v>
      </c>
      <c r="H2083" s="64" t="s">
        <v>227</v>
      </c>
      <c r="I2083" s="64" t="s">
        <v>10</v>
      </c>
      <c r="J2083" s="64" t="s">
        <v>201</v>
      </c>
      <c r="K2083" s="66">
        <v>21.18</v>
      </c>
      <c r="L2083" s="66">
        <f>K2083*VLOOKUP(I2083,dagsoorttabel1,2,FALSE)</f>
        <v>21.18</v>
      </c>
      <c r="M2083" s="67">
        <f>prodnorm42</f>
        <v>0</v>
      </c>
      <c r="N2083" s="68">
        <f>dagwerk42</f>
        <v>0</v>
      </c>
      <c r="O2083" s="64" t="s">
        <v>38</v>
      </c>
      <c r="P2083" s="69">
        <f>uurtarief42</f>
        <v>0</v>
      </c>
      <c r="Q2083" s="66" t="e">
        <f>IF(ISBLANK(M2083),0,L2083/ROUND(M2083,4))</f>
        <v>#DIV/0!</v>
      </c>
      <c r="R2083" s="66" t="e">
        <f>IF(ISBLANK(M2083),0,Q2083*ROUND(N2083,2))</f>
        <v>#DIV/0!</v>
      </c>
      <c r="S2083" s="69" t="e">
        <f>ROUND(P2083,2)*Q2083</f>
        <v>#DIV/0!</v>
      </c>
      <c r="T2083" s="66" t="e">
        <f>Q2083*dagenperjaar1</f>
        <v>#DIV/0!</v>
      </c>
      <c r="U2083" s="70" t="e">
        <f>T2083*ROUND(P2083,2)</f>
        <v>#DIV/0!</v>
      </c>
    </row>
    <row r="2084" spans="1:21" x14ac:dyDescent="0.2">
      <c r="A2084" s="63" t="s">
        <v>2504</v>
      </c>
      <c r="B2084" s="64" t="s">
        <v>324</v>
      </c>
      <c r="C2084" s="64" t="s">
        <v>345</v>
      </c>
      <c r="D2084" s="64" t="s">
        <v>2578</v>
      </c>
      <c r="E2084" s="64" t="s">
        <v>324</v>
      </c>
      <c r="F2084" s="65" t="s">
        <v>791</v>
      </c>
      <c r="G2084" s="64" t="s">
        <v>365</v>
      </c>
      <c r="H2084" s="64" t="s">
        <v>227</v>
      </c>
      <c r="I2084" s="64" t="s">
        <v>10</v>
      </c>
      <c r="J2084" s="64" t="s">
        <v>201</v>
      </c>
      <c r="K2084" s="66">
        <v>23.29</v>
      </c>
      <c r="L2084" s="66">
        <f>K2084*VLOOKUP(I2084,dagsoorttabel1,2,FALSE)</f>
        <v>23.29</v>
      </c>
      <c r="M2084" s="67">
        <f>prodnorm42</f>
        <v>0</v>
      </c>
      <c r="N2084" s="68">
        <f>dagwerk42</f>
        <v>0</v>
      </c>
      <c r="O2084" s="64" t="s">
        <v>38</v>
      </c>
      <c r="P2084" s="69">
        <f>uurtarief42</f>
        <v>0</v>
      </c>
      <c r="Q2084" s="66" t="e">
        <f>IF(ISBLANK(M2084),0,L2084/ROUND(M2084,4))</f>
        <v>#DIV/0!</v>
      </c>
      <c r="R2084" s="66" t="e">
        <f>IF(ISBLANK(M2084),0,Q2084*ROUND(N2084,2))</f>
        <v>#DIV/0!</v>
      </c>
      <c r="S2084" s="69" t="e">
        <f>ROUND(P2084,2)*Q2084</f>
        <v>#DIV/0!</v>
      </c>
      <c r="T2084" s="66" t="e">
        <f>Q2084*dagenperjaar1</f>
        <v>#DIV/0!</v>
      </c>
      <c r="U2084" s="70" t="e">
        <f>T2084*ROUND(P2084,2)</f>
        <v>#DIV/0!</v>
      </c>
    </row>
    <row r="2085" spans="1:21" x14ac:dyDescent="0.2">
      <c r="A2085" s="63" t="s">
        <v>2504</v>
      </c>
      <c r="B2085" s="64" t="s">
        <v>324</v>
      </c>
      <c r="C2085" s="64" t="s">
        <v>345</v>
      </c>
      <c r="D2085" s="64" t="s">
        <v>2579</v>
      </c>
      <c r="E2085" s="64" t="s">
        <v>324</v>
      </c>
      <c r="F2085" s="65" t="s">
        <v>802</v>
      </c>
      <c r="G2085" s="64" t="s">
        <v>365</v>
      </c>
      <c r="H2085" s="64" t="s">
        <v>213</v>
      </c>
      <c r="I2085" s="64" t="s">
        <v>10</v>
      </c>
      <c r="J2085" s="64" t="s">
        <v>201</v>
      </c>
      <c r="K2085" s="66">
        <v>2.96</v>
      </c>
      <c r="L2085" s="66">
        <f>K2085*VLOOKUP(I2085,dagsoorttabel1,2,FALSE)</f>
        <v>2.96</v>
      </c>
      <c r="M2085" s="67">
        <f>prodnorm33</f>
        <v>0</v>
      </c>
      <c r="N2085" s="68">
        <f>dagwerk33</f>
        <v>0</v>
      </c>
      <c r="O2085" s="64" t="s">
        <v>38</v>
      </c>
      <c r="P2085" s="69">
        <f>uurtarief33</f>
        <v>0</v>
      </c>
      <c r="Q2085" s="66" t="e">
        <f>IF(ISBLANK(M2085),0,L2085/ROUND(M2085,4))</f>
        <v>#DIV/0!</v>
      </c>
      <c r="R2085" s="66" t="e">
        <f>IF(ISBLANK(M2085),0,Q2085*ROUND(N2085,2))</f>
        <v>#DIV/0!</v>
      </c>
      <c r="S2085" s="69" t="e">
        <f>ROUND(P2085,2)*Q2085</f>
        <v>#DIV/0!</v>
      </c>
      <c r="T2085" s="66" t="e">
        <f>Q2085*dagenperjaar1</f>
        <v>#DIV/0!</v>
      </c>
      <c r="U2085" s="70" t="e">
        <f>T2085*ROUND(P2085,2)</f>
        <v>#DIV/0!</v>
      </c>
    </row>
    <row r="2086" spans="1:21" x14ac:dyDescent="0.2">
      <c r="A2086" s="63" t="s">
        <v>2504</v>
      </c>
      <c r="B2086" s="64" t="s">
        <v>324</v>
      </c>
      <c r="C2086" s="64" t="s">
        <v>345</v>
      </c>
      <c r="D2086" s="64" t="s">
        <v>2580</v>
      </c>
      <c r="E2086" s="64" t="s">
        <v>324</v>
      </c>
      <c r="F2086" s="65" t="s">
        <v>802</v>
      </c>
      <c r="G2086" s="64" t="s">
        <v>365</v>
      </c>
      <c r="H2086" s="64" t="s">
        <v>213</v>
      </c>
      <c r="I2086" s="64" t="s">
        <v>10</v>
      </c>
      <c r="J2086" s="64" t="s">
        <v>201</v>
      </c>
      <c r="K2086" s="66">
        <v>2.96</v>
      </c>
      <c r="L2086" s="66">
        <f>K2086*VLOOKUP(I2086,dagsoorttabel1,2,FALSE)</f>
        <v>2.96</v>
      </c>
      <c r="M2086" s="67">
        <f>prodnorm33</f>
        <v>0</v>
      </c>
      <c r="N2086" s="68">
        <f>dagwerk33</f>
        <v>0</v>
      </c>
      <c r="O2086" s="64" t="s">
        <v>38</v>
      </c>
      <c r="P2086" s="69">
        <f>uurtarief33</f>
        <v>0</v>
      </c>
      <c r="Q2086" s="66" t="e">
        <f>IF(ISBLANK(M2086),0,L2086/ROUND(M2086,4))</f>
        <v>#DIV/0!</v>
      </c>
      <c r="R2086" s="66" t="e">
        <f>IF(ISBLANK(M2086),0,Q2086*ROUND(N2086,2))</f>
        <v>#DIV/0!</v>
      </c>
      <c r="S2086" s="69" t="e">
        <f>ROUND(P2086,2)*Q2086</f>
        <v>#DIV/0!</v>
      </c>
      <c r="T2086" s="66" t="e">
        <f>Q2086*dagenperjaar1</f>
        <v>#DIV/0!</v>
      </c>
      <c r="U2086" s="70" t="e">
        <f>T2086*ROUND(P2086,2)</f>
        <v>#DIV/0!</v>
      </c>
    </row>
    <row r="2087" spans="1:21" x14ac:dyDescent="0.2">
      <c r="A2087" s="63" t="s">
        <v>2504</v>
      </c>
      <c r="B2087" s="64" t="s">
        <v>324</v>
      </c>
      <c r="C2087" s="64" t="s">
        <v>345</v>
      </c>
      <c r="D2087" s="64" t="s">
        <v>2581</v>
      </c>
      <c r="E2087" s="64" t="s">
        <v>324</v>
      </c>
      <c r="F2087" s="65" t="s">
        <v>1748</v>
      </c>
      <c r="G2087" s="64" t="s">
        <v>2513</v>
      </c>
      <c r="H2087" s="64" t="s">
        <v>219</v>
      </c>
      <c r="I2087" s="64" t="s">
        <v>10</v>
      </c>
      <c r="J2087" s="64" t="s">
        <v>201</v>
      </c>
      <c r="K2087" s="66">
        <v>304.91999999999996</v>
      </c>
      <c r="L2087" s="66">
        <f>K2087*VLOOKUP(I2087,dagsoorttabel1,2,FALSE)</f>
        <v>304.91999999999996</v>
      </c>
      <c r="M2087" s="67">
        <f>prodnorm36</f>
        <v>0</v>
      </c>
      <c r="N2087" s="68">
        <f>dagwerk36</f>
        <v>0</v>
      </c>
      <c r="O2087" s="64" t="s">
        <v>38</v>
      </c>
      <c r="P2087" s="69">
        <f>uurtarief36</f>
        <v>0</v>
      </c>
      <c r="Q2087" s="66" t="e">
        <f>IF(ISBLANK(M2087),0,L2087/ROUND(M2087,4))</f>
        <v>#DIV/0!</v>
      </c>
      <c r="R2087" s="66" t="e">
        <f>IF(ISBLANK(M2087),0,Q2087*ROUND(N2087,2))</f>
        <v>#DIV/0!</v>
      </c>
      <c r="S2087" s="69" t="e">
        <f>ROUND(P2087,2)*Q2087</f>
        <v>#DIV/0!</v>
      </c>
      <c r="T2087" s="66" t="e">
        <f>Q2087*dagenperjaar1</f>
        <v>#DIV/0!</v>
      </c>
      <c r="U2087" s="70" t="e">
        <f>T2087*ROUND(P2087,2)</f>
        <v>#DIV/0!</v>
      </c>
    </row>
    <row r="2088" spans="1:21" x14ac:dyDescent="0.2">
      <c r="A2088" s="63" t="s">
        <v>2504</v>
      </c>
      <c r="B2088" s="64" t="s">
        <v>324</v>
      </c>
      <c r="C2088" s="64" t="s">
        <v>345</v>
      </c>
      <c r="D2088" s="64" t="s">
        <v>2582</v>
      </c>
      <c r="E2088" s="64" t="s">
        <v>324</v>
      </c>
      <c r="F2088" s="65" t="s">
        <v>671</v>
      </c>
      <c r="G2088" s="64" t="s">
        <v>365</v>
      </c>
      <c r="H2088" s="64" t="s">
        <v>255</v>
      </c>
      <c r="I2088" s="64" t="s">
        <v>10</v>
      </c>
      <c r="J2088" s="64" t="s">
        <v>201</v>
      </c>
      <c r="K2088" s="66">
        <v>6.78</v>
      </c>
      <c r="L2088" s="66">
        <f>K2088*VLOOKUP(I2088,dagsoorttabel1,2,FALSE)</f>
        <v>6.78</v>
      </c>
      <c r="M2088" s="67">
        <f>prodnorm59</f>
        <v>0</v>
      </c>
      <c r="N2088" s="68">
        <f>dagwerk59</f>
        <v>0</v>
      </c>
      <c r="O2088" s="64" t="s">
        <v>38</v>
      </c>
      <c r="P2088" s="69">
        <f>uurtarief59</f>
        <v>0</v>
      </c>
      <c r="Q2088" s="66" t="e">
        <f>IF(ISBLANK(M2088),0,L2088/ROUND(M2088,4))</f>
        <v>#DIV/0!</v>
      </c>
      <c r="R2088" s="66" t="e">
        <f>IF(ISBLANK(M2088),0,Q2088*ROUND(N2088,2))</f>
        <v>#DIV/0!</v>
      </c>
      <c r="S2088" s="69" t="e">
        <f>ROUND(P2088,2)*Q2088</f>
        <v>#DIV/0!</v>
      </c>
      <c r="T2088" s="66" t="e">
        <f>Q2088*dagenperjaar1</f>
        <v>#DIV/0!</v>
      </c>
      <c r="U2088" s="70" t="e">
        <f>T2088*ROUND(P2088,2)</f>
        <v>#DIV/0!</v>
      </c>
    </row>
    <row r="2089" spans="1:21" x14ac:dyDescent="0.2">
      <c r="A2089" s="63" t="s">
        <v>2504</v>
      </c>
      <c r="B2089" s="64" t="s">
        <v>324</v>
      </c>
      <c r="C2089" s="64" t="s">
        <v>345</v>
      </c>
      <c r="D2089" s="64" t="s">
        <v>2583</v>
      </c>
      <c r="E2089" s="64" t="s">
        <v>324</v>
      </c>
      <c r="F2089" s="65" t="s">
        <v>2516</v>
      </c>
      <c r="G2089" s="64" t="s">
        <v>365</v>
      </c>
      <c r="H2089" s="64" t="s">
        <v>255</v>
      </c>
      <c r="I2089" s="64" t="s">
        <v>10</v>
      </c>
      <c r="J2089" s="64" t="s">
        <v>201</v>
      </c>
      <c r="K2089" s="66">
        <v>3.3899999999999997</v>
      </c>
      <c r="L2089" s="66">
        <f>K2089*VLOOKUP(I2089,dagsoorttabel1,2,FALSE)</f>
        <v>3.3899999999999997</v>
      </c>
      <c r="M2089" s="67">
        <f>prodnorm59</f>
        <v>0</v>
      </c>
      <c r="N2089" s="68">
        <f>dagwerk59</f>
        <v>0</v>
      </c>
      <c r="O2089" s="64" t="s">
        <v>38</v>
      </c>
      <c r="P2089" s="69">
        <f>uurtarief59</f>
        <v>0</v>
      </c>
      <c r="Q2089" s="66" t="e">
        <f>IF(ISBLANK(M2089),0,L2089/ROUND(M2089,4))</f>
        <v>#DIV/0!</v>
      </c>
      <c r="R2089" s="66" t="e">
        <f>IF(ISBLANK(M2089),0,Q2089*ROUND(N2089,2))</f>
        <v>#DIV/0!</v>
      </c>
      <c r="S2089" s="69" t="e">
        <f>ROUND(P2089,2)*Q2089</f>
        <v>#DIV/0!</v>
      </c>
      <c r="T2089" s="66" t="e">
        <f>Q2089*dagenperjaar1</f>
        <v>#DIV/0!</v>
      </c>
      <c r="U2089" s="70" t="e">
        <f>T2089*ROUND(P2089,2)</f>
        <v>#DIV/0!</v>
      </c>
    </row>
    <row r="2090" spans="1:21" x14ac:dyDescent="0.2">
      <c r="A2090" s="63" t="s">
        <v>2504</v>
      </c>
      <c r="B2090" s="64" t="s">
        <v>324</v>
      </c>
      <c r="C2090" s="64" t="s">
        <v>345</v>
      </c>
      <c r="D2090" s="64" t="s">
        <v>2584</v>
      </c>
      <c r="E2090" s="64" t="s">
        <v>324</v>
      </c>
      <c r="F2090" s="65" t="s">
        <v>335</v>
      </c>
      <c r="G2090" s="64" t="s">
        <v>328</v>
      </c>
      <c r="H2090" s="64" t="s">
        <v>267</v>
      </c>
      <c r="I2090" s="64" t="s">
        <v>10</v>
      </c>
      <c r="J2090" s="64" t="s">
        <v>201</v>
      </c>
      <c r="K2090" s="66">
        <v>7.6199999999999992</v>
      </c>
      <c r="L2090" s="66">
        <f>K2090*VLOOKUP(I2090,dagsoorttabel1,2,FALSE)</f>
        <v>7.6199999999999992</v>
      </c>
      <c r="M2090" s="67">
        <f>prodnorm65</f>
        <v>0</v>
      </c>
      <c r="N2090" s="68">
        <f>dagwerk65</f>
        <v>0</v>
      </c>
      <c r="O2090" s="64" t="s">
        <v>38</v>
      </c>
      <c r="P2090" s="69">
        <f>uurtarief65</f>
        <v>0</v>
      </c>
      <c r="Q2090" s="66" t="e">
        <f>IF(ISBLANK(M2090),0,L2090/ROUND(M2090,4))</f>
        <v>#DIV/0!</v>
      </c>
      <c r="R2090" s="66" t="e">
        <f>IF(ISBLANK(M2090),0,Q2090*ROUND(N2090,2))</f>
        <v>#DIV/0!</v>
      </c>
      <c r="S2090" s="69" t="e">
        <f>ROUND(P2090,2)*Q2090</f>
        <v>#DIV/0!</v>
      </c>
      <c r="T2090" s="66" t="e">
        <f>Q2090*dagenperjaar1</f>
        <v>#DIV/0!</v>
      </c>
      <c r="U2090" s="70" t="e">
        <f>T2090*ROUND(P2090,2)</f>
        <v>#DIV/0!</v>
      </c>
    </row>
    <row r="2091" spans="1:21" x14ac:dyDescent="0.2">
      <c r="A2091" s="63" t="s">
        <v>2504</v>
      </c>
      <c r="B2091" s="64" t="s">
        <v>324</v>
      </c>
      <c r="C2091" s="64" t="s">
        <v>345</v>
      </c>
      <c r="D2091" s="64" t="s">
        <v>2585</v>
      </c>
      <c r="E2091" s="64" t="s">
        <v>324</v>
      </c>
      <c r="F2091" s="65" t="s">
        <v>2586</v>
      </c>
      <c r="G2091" s="64" t="s">
        <v>2587</v>
      </c>
      <c r="H2091" s="64" t="s">
        <v>267</v>
      </c>
      <c r="I2091" s="64" t="s">
        <v>10</v>
      </c>
      <c r="J2091" s="64" t="s">
        <v>201</v>
      </c>
      <c r="K2091" s="66">
        <v>5.51</v>
      </c>
      <c r="L2091" s="66">
        <f>K2091*VLOOKUP(I2091,dagsoorttabel1,2,FALSE)</f>
        <v>5.51</v>
      </c>
      <c r="M2091" s="67">
        <f>prodnorm65</f>
        <v>0</v>
      </c>
      <c r="N2091" s="68">
        <f>dagwerk65</f>
        <v>0</v>
      </c>
      <c r="O2091" s="64" t="s">
        <v>38</v>
      </c>
      <c r="P2091" s="69">
        <f>uurtarief65</f>
        <v>0</v>
      </c>
      <c r="Q2091" s="66" t="e">
        <f>IF(ISBLANK(M2091),0,L2091/ROUND(M2091,4))</f>
        <v>#DIV/0!</v>
      </c>
      <c r="R2091" s="66" t="e">
        <f>IF(ISBLANK(M2091),0,Q2091*ROUND(N2091,2))</f>
        <v>#DIV/0!</v>
      </c>
      <c r="S2091" s="69" t="e">
        <f>ROUND(P2091,2)*Q2091</f>
        <v>#DIV/0!</v>
      </c>
      <c r="T2091" s="66" t="e">
        <f>Q2091*dagenperjaar1</f>
        <v>#DIV/0!</v>
      </c>
      <c r="U2091" s="70" t="e">
        <f>T2091*ROUND(P2091,2)</f>
        <v>#DIV/0!</v>
      </c>
    </row>
    <row r="2092" spans="1:21" x14ac:dyDescent="0.2">
      <c r="A2092" s="63" t="s">
        <v>2504</v>
      </c>
      <c r="B2092" s="64" t="s">
        <v>324</v>
      </c>
      <c r="C2092" s="64" t="s">
        <v>345</v>
      </c>
      <c r="D2092" s="64" t="s">
        <v>2588</v>
      </c>
      <c r="E2092" s="64" t="s">
        <v>324</v>
      </c>
      <c r="F2092" s="65" t="s">
        <v>2586</v>
      </c>
      <c r="G2092" s="64" t="s">
        <v>2587</v>
      </c>
      <c r="H2092" s="64" t="s">
        <v>267</v>
      </c>
      <c r="I2092" s="64" t="s">
        <v>10</v>
      </c>
      <c r="J2092" s="64" t="s">
        <v>201</v>
      </c>
      <c r="K2092" s="66">
        <v>6.35</v>
      </c>
      <c r="L2092" s="66">
        <f>K2092*VLOOKUP(I2092,dagsoorttabel1,2,FALSE)</f>
        <v>6.35</v>
      </c>
      <c r="M2092" s="67">
        <f>prodnorm65</f>
        <v>0</v>
      </c>
      <c r="N2092" s="68">
        <f>dagwerk65</f>
        <v>0</v>
      </c>
      <c r="O2092" s="64" t="s">
        <v>38</v>
      </c>
      <c r="P2092" s="69">
        <f>uurtarief65</f>
        <v>0</v>
      </c>
      <c r="Q2092" s="66" t="e">
        <f>IF(ISBLANK(M2092),0,L2092/ROUND(M2092,4))</f>
        <v>#DIV/0!</v>
      </c>
      <c r="R2092" s="66" t="e">
        <f>IF(ISBLANK(M2092),0,Q2092*ROUND(N2092,2))</f>
        <v>#DIV/0!</v>
      </c>
      <c r="S2092" s="69" t="e">
        <f>ROUND(P2092,2)*Q2092</f>
        <v>#DIV/0!</v>
      </c>
      <c r="T2092" s="66" t="e">
        <f>Q2092*dagenperjaar1</f>
        <v>#DIV/0!</v>
      </c>
      <c r="U2092" s="70" t="e">
        <f>T2092*ROUND(P2092,2)</f>
        <v>#DIV/0!</v>
      </c>
    </row>
    <row r="2093" spans="1:21" x14ac:dyDescent="0.2">
      <c r="A2093" s="63" t="s">
        <v>2504</v>
      </c>
      <c r="B2093" s="64" t="s">
        <v>324</v>
      </c>
      <c r="C2093" s="64" t="s">
        <v>345</v>
      </c>
      <c r="D2093" s="64" t="s">
        <v>2589</v>
      </c>
      <c r="E2093" s="64" t="s">
        <v>324</v>
      </c>
      <c r="F2093" s="65" t="s">
        <v>2586</v>
      </c>
      <c r="G2093" s="64" t="s">
        <v>2587</v>
      </c>
      <c r="H2093" s="64" t="s">
        <v>267</v>
      </c>
      <c r="I2093" s="64" t="s">
        <v>10</v>
      </c>
      <c r="J2093" s="64" t="s">
        <v>201</v>
      </c>
      <c r="K2093" s="66">
        <v>8.4700000000000006</v>
      </c>
      <c r="L2093" s="66">
        <f>K2093*VLOOKUP(I2093,dagsoorttabel1,2,FALSE)</f>
        <v>8.4700000000000006</v>
      </c>
      <c r="M2093" s="67">
        <f>prodnorm65</f>
        <v>0</v>
      </c>
      <c r="N2093" s="68">
        <f>dagwerk65</f>
        <v>0</v>
      </c>
      <c r="O2093" s="64" t="s">
        <v>38</v>
      </c>
      <c r="P2093" s="69">
        <f>uurtarief65</f>
        <v>0</v>
      </c>
      <c r="Q2093" s="66" t="e">
        <f>IF(ISBLANK(M2093),0,L2093/ROUND(M2093,4))</f>
        <v>#DIV/0!</v>
      </c>
      <c r="R2093" s="66" t="e">
        <f>IF(ISBLANK(M2093),0,Q2093*ROUND(N2093,2))</f>
        <v>#DIV/0!</v>
      </c>
      <c r="S2093" s="69" t="e">
        <f>ROUND(P2093,2)*Q2093</f>
        <v>#DIV/0!</v>
      </c>
      <c r="T2093" s="66" t="e">
        <f>Q2093*dagenperjaar1</f>
        <v>#DIV/0!</v>
      </c>
      <c r="U2093" s="70" t="e">
        <f>T2093*ROUND(P2093,2)</f>
        <v>#DIV/0!</v>
      </c>
    </row>
    <row r="2094" spans="1:21" x14ac:dyDescent="0.2">
      <c r="A2094" s="63" t="s">
        <v>2504</v>
      </c>
      <c r="B2094" s="64" t="s">
        <v>324</v>
      </c>
      <c r="C2094" s="64" t="s">
        <v>345</v>
      </c>
      <c r="D2094" s="64" t="s">
        <v>2590</v>
      </c>
      <c r="E2094" s="64" t="s">
        <v>324</v>
      </c>
      <c r="F2094" s="65" t="s">
        <v>1566</v>
      </c>
      <c r="G2094" s="64" t="s">
        <v>2508</v>
      </c>
      <c r="H2094" s="64" t="s">
        <v>239</v>
      </c>
      <c r="I2094" s="64" t="s">
        <v>10</v>
      </c>
      <c r="J2094" s="64" t="s">
        <v>201</v>
      </c>
      <c r="K2094" s="66">
        <v>86.9</v>
      </c>
      <c r="L2094" s="66">
        <f>K2094*VLOOKUP(I2094,dagsoorttabel1,2,FALSE)</f>
        <v>86.9</v>
      </c>
      <c r="M2094" s="67">
        <f>prodnorm50</f>
        <v>0</v>
      </c>
      <c r="N2094" s="68">
        <f>dagwerk50</f>
        <v>0</v>
      </c>
      <c r="O2094" s="64" t="s">
        <v>38</v>
      </c>
      <c r="P2094" s="69">
        <f>uurtarief50</f>
        <v>0</v>
      </c>
      <c r="Q2094" s="66" t="e">
        <f>IF(ISBLANK(M2094),0,L2094/ROUND(M2094,4))</f>
        <v>#DIV/0!</v>
      </c>
      <c r="R2094" s="66" t="e">
        <f>IF(ISBLANK(M2094),0,Q2094*ROUND(N2094,2))</f>
        <v>#DIV/0!</v>
      </c>
      <c r="S2094" s="69" t="e">
        <f>ROUND(P2094,2)*Q2094</f>
        <v>#DIV/0!</v>
      </c>
      <c r="T2094" s="66" t="e">
        <f>Q2094*dagenperjaar1</f>
        <v>#DIV/0!</v>
      </c>
      <c r="U2094" s="70" t="e">
        <f>T2094*ROUND(P2094,2)</f>
        <v>#DIV/0!</v>
      </c>
    </row>
    <row r="2095" spans="1:21" x14ac:dyDescent="0.2">
      <c r="A2095" s="63" t="s">
        <v>2504</v>
      </c>
      <c r="B2095" s="64" t="s">
        <v>324</v>
      </c>
      <c r="C2095" s="64" t="s">
        <v>345</v>
      </c>
      <c r="D2095" s="64" t="s">
        <v>2591</v>
      </c>
      <c r="E2095" s="64" t="s">
        <v>324</v>
      </c>
      <c r="F2095" s="65" t="s">
        <v>457</v>
      </c>
      <c r="G2095" s="64" t="s">
        <v>328</v>
      </c>
      <c r="H2095" s="64" t="s">
        <v>229</v>
      </c>
      <c r="I2095" s="64" t="s">
        <v>10</v>
      </c>
      <c r="J2095" s="64" t="s">
        <v>201</v>
      </c>
      <c r="K2095" s="66">
        <v>66.89</v>
      </c>
      <c r="L2095" s="66">
        <f>K2095*VLOOKUP(I2095,dagsoorttabel1,2,FALSE)</f>
        <v>66.89</v>
      </c>
      <c r="M2095" s="67">
        <f>prodnorm43</f>
        <v>0</v>
      </c>
      <c r="N2095" s="68">
        <f>dagwerk43</f>
        <v>0</v>
      </c>
      <c r="O2095" s="64" t="s">
        <v>38</v>
      </c>
      <c r="P2095" s="69">
        <f>uurtarief43</f>
        <v>0</v>
      </c>
      <c r="Q2095" s="66" t="e">
        <f>IF(ISBLANK(M2095),0,L2095/ROUND(M2095,4))</f>
        <v>#DIV/0!</v>
      </c>
      <c r="R2095" s="66" t="e">
        <f>IF(ISBLANK(M2095),0,Q2095*ROUND(N2095,2))</f>
        <v>#DIV/0!</v>
      </c>
      <c r="S2095" s="69" t="e">
        <f>ROUND(P2095,2)*Q2095</f>
        <v>#DIV/0!</v>
      </c>
      <c r="T2095" s="66" t="e">
        <f>Q2095*dagenperjaar1</f>
        <v>#DIV/0!</v>
      </c>
      <c r="U2095" s="70" t="e">
        <f>T2095*ROUND(P2095,2)</f>
        <v>#DIV/0!</v>
      </c>
    </row>
    <row r="2096" spans="1:21" x14ac:dyDescent="0.2">
      <c r="A2096" s="63" t="s">
        <v>2504</v>
      </c>
      <c r="B2096" s="64" t="s">
        <v>324</v>
      </c>
      <c r="C2096" s="64" t="s">
        <v>345</v>
      </c>
      <c r="D2096" s="64" t="s">
        <v>2592</v>
      </c>
      <c r="E2096" s="64" t="s">
        <v>324</v>
      </c>
      <c r="F2096" s="65" t="s">
        <v>2593</v>
      </c>
      <c r="G2096" s="64" t="s">
        <v>328</v>
      </c>
      <c r="H2096" s="64" t="s">
        <v>205</v>
      </c>
      <c r="I2096" s="64" t="s">
        <v>10</v>
      </c>
      <c r="J2096" s="64" t="s">
        <v>201</v>
      </c>
      <c r="K2096" s="66">
        <v>7.71</v>
      </c>
      <c r="L2096" s="66">
        <f>K2096*VLOOKUP(I2096,dagsoorttabel1,2,FALSE)</f>
        <v>7.71</v>
      </c>
      <c r="M2096" s="67">
        <f>prodnorm26</f>
        <v>0</v>
      </c>
      <c r="N2096" s="68">
        <f>dagwerk26</f>
        <v>0</v>
      </c>
      <c r="O2096" s="64" t="s">
        <v>38</v>
      </c>
      <c r="P2096" s="69">
        <f>uurtarief26</f>
        <v>0</v>
      </c>
      <c r="Q2096" s="66" t="e">
        <f>IF(ISBLANK(M2096),0,L2096/ROUND(M2096,4))</f>
        <v>#DIV/0!</v>
      </c>
      <c r="R2096" s="66" t="e">
        <f>IF(ISBLANK(M2096),0,Q2096*ROUND(N2096,2))</f>
        <v>#DIV/0!</v>
      </c>
      <c r="S2096" s="69" t="e">
        <f>ROUND(P2096,2)*Q2096</f>
        <v>#DIV/0!</v>
      </c>
      <c r="T2096" s="66" t="e">
        <f>Q2096*dagenperjaar1</f>
        <v>#DIV/0!</v>
      </c>
      <c r="U2096" s="70" t="e">
        <f>T2096*ROUND(P2096,2)</f>
        <v>#DIV/0!</v>
      </c>
    </row>
    <row r="2097" spans="1:21" x14ac:dyDescent="0.2">
      <c r="A2097" s="63" t="s">
        <v>2504</v>
      </c>
      <c r="B2097" s="64" t="s">
        <v>324</v>
      </c>
      <c r="C2097" s="64" t="s">
        <v>345</v>
      </c>
      <c r="D2097" s="64" t="s">
        <v>2594</v>
      </c>
      <c r="E2097" s="64" t="s">
        <v>324</v>
      </c>
      <c r="F2097" s="65" t="s">
        <v>2593</v>
      </c>
      <c r="G2097" s="64" t="s">
        <v>328</v>
      </c>
      <c r="H2097" s="64" t="s">
        <v>205</v>
      </c>
      <c r="I2097" s="64" t="s">
        <v>10</v>
      </c>
      <c r="J2097" s="64" t="s">
        <v>201</v>
      </c>
      <c r="K2097" s="66">
        <v>7.71</v>
      </c>
      <c r="L2097" s="66">
        <f>K2097*VLOOKUP(I2097,dagsoorttabel1,2,FALSE)</f>
        <v>7.71</v>
      </c>
      <c r="M2097" s="67">
        <f>prodnorm26</f>
        <v>0</v>
      </c>
      <c r="N2097" s="68">
        <f>dagwerk26</f>
        <v>0</v>
      </c>
      <c r="O2097" s="64" t="s">
        <v>38</v>
      </c>
      <c r="P2097" s="69">
        <f>uurtarief26</f>
        <v>0</v>
      </c>
      <c r="Q2097" s="66" t="e">
        <f>IF(ISBLANK(M2097),0,L2097/ROUND(M2097,4))</f>
        <v>#DIV/0!</v>
      </c>
      <c r="R2097" s="66" t="e">
        <f>IF(ISBLANK(M2097),0,Q2097*ROUND(N2097,2))</f>
        <v>#DIV/0!</v>
      </c>
      <c r="S2097" s="69" t="e">
        <f>ROUND(P2097,2)*Q2097</f>
        <v>#DIV/0!</v>
      </c>
      <c r="T2097" s="66" t="e">
        <f>Q2097*dagenperjaar1</f>
        <v>#DIV/0!</v>
      </c>
      <c r="U2097" s="70" t="e">
        <f>T2097*ROUND(P2097,2)</f>
        <v>#DIV/0!</v>
      </c>
    </row>
    <row r="2098" spans="1:21" x14ac:dyDescent="0.2">
      <c r="A2098" s="63" t="s">
        <v>2504</v>
      </c>
      <c r="B2098" s="64" t="s">
        <v>324</v>
      </c>
      <c r="C2098" s="64" t="s">
        <v>345</v>
      </c>
      <c r="D2098" s="64" t="s">
        <v>2595</v>
      </c>
      <c r="E2098" s="64" t="s">
        <v>324</v>
      </c>
      <c r="F2098" s="65" t="s">
        <v>2593</v>
      </c>
      <c r="G2098" s="64" t="s">
        <v>328</v>
      </c>
      <c r="H2098" s="64" t="s">
        <v>205</v>
      </c>
      <c r="I2098" s="64" t="s">
        <v>10</v>
      </c>
      <c r="J2098" s="64" t="s">
        <v>201</v>
      </c>
      <c r="K2098" s="66">
        <v>7.71</v>
      </c>
      <c r="L2098" s="66">
        <f>K2098*VLOOKUP(I2098,dagsoorttabel1,2,FALSE)</f>
        <v>7.71</v>
      </c>
      <c r="M2098" s="67">
        <f>prodnorm26</f>
        <v>0</v>
      </c>
      <c r="N2098" s="68">
        <f>dagwerk26</f>
        <v>0</v>
      </c>
      <c r="O2098" s="64" t="s">
        <v>38</v>
      </c>
      <c r="P2098" s="69">
        <f>uurtarief26</f>
        <v>0</v>
      </c>
      <c r="Q2098" s="66" t="e">
        <f>IF(ISBLANK(M2098),0,L2098/ROUND(M2098,4))</f>
        <v>#DIV/0!</v>
      </c>
      <c r="R2098" s="66" t="e">
        <f>IF(ISBLANK(M2098),0,Q2098*ROUND(N2098,2))</f>
        <v>#DIV/0!</v>
      </c>
      <c r="S2098" s="69" t="e">
        <f>ROUND(P2098,2)*Q2098</f>
        <v>#DIV/0!</v>
      </c>
      <c r="T2098" s="66" t="e">
        <f>Q2098*dagenperjaar1</f>
        <v>#DIV/0!</v>
      </c>
      <c r="U2098" s="70" t="e">
        <f>T2098*ROUND(P2098,2)</f>
        <v>#DIV/0!</v>
      </c>
    </row>
    <row r="2099" spans="1:21" x14ac:dyDescent="0.2">
      <c r="A2099" s="63" t="s">
        <v>2504</v>
      </c>
      <c r="B2099" s="64" t="s">
        <v>324</v>
      </c>
      <c r="C2099" s="64" t="s">
        <v>345</v>
      </c>
      <c r="D2099" s="64" t="s">
        <v>2596</v>
      </c>
      <c r="E2099" s="64" t="s">
        <v>324</v>
      </c>
      <c r="F2099" s="65" t="s">
        <v>2593</v>
      </c>
      <c r="G2099" s="64" t="s">
        <v>328</v>
      </c>
      <c r="H2099" s="64" t="s">
        <v>205</v>
      </c>
      <c r="I2099" s="64" t="s">
        <v>10</v>
      </c>
      <c r="J2099" s="64" t="s">
        <v>201</v>
      </c>
      <c r="K2099" s="66">
        <v>7.71</v>
      </c>
      <c r="L2099" s="66">
        <f>K2099*VLOOKUP(I2099,dagsoorttabel1,2,FALSE)</f>
        <v>7.71</v>
      </c>
      <c r="M2099" s="67">
        <f>prodnorm26</f>
        <v>0</v>
      </c>
      <c r="N2099" s="68">
        <f>dagwerk26</f>
        <v>0</v>
      </c>
      <c r="O2099" s="64" t="s">
        <v>38</v>
      </c>
      <c r="P2099" s="69">
        <f>uurtarief26</f>
        <v>0</v>
      </c>
      <c r="Q2099" s="66" t="e">
        <f>IF(ISBLANK(M2099),0,L2099/ROUND(M2099,4))</f>
        <v>#DIV/0!</v>
      </c>
      <c r="R2099" s="66" t="e">
        <f>IF(ISBLANK(M2099),0,Q2099*ROUND(N2099,2))</f>
        <v>#DIV/0!</v>
      </c>
      <c r="S2099" s="69" t="e">
        <f>ROUND(P2099,2)*Q2099</f>
        <v>#DIV/0!</v>
      </c>
      <c r="T2099" s="66" t="e">
        <f>Q2099*dagenperjaar1</f>
        <v>#DIV/0!</v>
      </c>
      <c r="U2099" s="70" t="e">
        <f>T2099*ROUND(P2099,2)</f>
        <v>#DIV/0!</v>
      </c>
    </row>
    <row r="2100" spans="1:21" x14ac:dyDescent="0.2">
      <c r="A2100" s="63" t="s">
        <v>2504</v>
      </c>
      <c r="B2100" s="64" t="s">
        <v>324</v>
      </c>
      <c r="C2100" s="64" t="s">
        <v>345</v>
      </c>
      <c r="D2100" s="64" t="s">
        <v>2597</v>
      </c>
      <c r="E2100" s="64" t="s">
        <v>324</v>
      </c>
      <c r="F2100" s="65" t="s">
        <v>457</v>
      </c>
      <c r="G2100" s="64" t="s">
        <v>328</v>
      </c>
      <c r="H2100" s="64" t="s">
        <v>229</v>
      </c>
      <c r="I2100" s="64" t="s">
        <v>10</v>
      </c>
      <c r="J2100" s="64" t="s">
        <v>201</v>
      </c>
      <c r="K2100" s="66">
        <v>85.89</v>
      </c>
      <c r="L2100" s="66">
        <f>K2100*VLOOKUP(I2100,dagsoorttabel1,2,FALSE)</f>
        <v>85.89</v>
      </c>
      <c r="M2100" s="67">
        <f>prodnorm43</f>
        <v>0</v>
      </c>
      <c r="N2100" s="68">
        <f>dagwerk43</f>
        <v>0</v>
      </c>
      <c r="O2100" s="64" t="s">
        <v>38</v>
      </c>
      <c r="P2100" s="69">
        <f>uurtarief43</f>
        <v>0</v>
      </c>
      <c r="Q2100" s="66" t="e">
        <f>IF(ISBLANK(M2100),0,L2100/ROUND(M2100,4))</f>
        <v>#DIV/0!</v>
      </c>
      <c r="R2100" s="66" t="e">
        <f>IF(ISBLANK(M2100),0,Q2100*ROUND(N2100,2))</f>
        <v>#DIV/0!</v>
      </c>
      <c r="S2100" s="69" t="e">
        <f>ROUND(P2100,2)*Q2100</f>
        <v>#DIV/0!</v>
      </c>
      <c r="T2100" s="66" t="e">
        <f>Q2100*dagenperjaar1</f>
        <v>#DIV/0!</v>
      </c>
      <c r="U2100" s="70" t="e">
        <f>T2100*ROUND(P2100,2)</f>
        <v>#DIV/0!</v>
      </c>
    </row>
    <row r="2101" spans="1:21" x14ac:dyDescent="0.2">
      <c r="A2101" s="63" t="s">
        <v>2504</v>
      </c>
      <c r="B2101" s="64" t="s">
        <v>324</v>
      </c>
      <c r="C2101" s="64" t="s">
        <v>345</v>
      </c>
      <c r="D2101" s="64" t="s">
        <v>2598</v>
      </c>
      <c r="E2101" s="64" t="s">
        <v>324</v>
      </c>
      <c r="F2101" s="65" t="s">
        <v>2571</v>
      </c>
      <c r="G2101" s="64" t="s">
        <v>328</v>
      </c>
      <c r="H2101" s="64" t="s">
        <v>271</v>
      </c>
      <c r="I2101" s="64" t="s">
        <v>10</v>
      </c>
      <c r="J2101" s="64" t="s">
        <v>201</v>
      </c>
      <c r="K2101" s="66">
        <v>38.120000000000005</v>
      </c>
      <c r="L2101" s="66">
        <f>K2101*VLOOKUP(I2101,dagsoorttabel1,2,FALSE)</f>
        <v>38.120000000000005</v>
      </c>
      <c r="M2101" s="67">
        <f>prodnorm68</f>
        <v>0</v>
      </c>
      <c r="N2101" s="68">
        <f>dagwerk68</f>
        <v>0</v>
      </c>
      <c r="O2101" s="64" t="s">
        <v>38</v>
      </c>
      <c r="P2101" s="69">
        <f>uurtarief68</f>
        <v>0</v>
      </c>
      <c r="Q2101" s="66" t="e">
        <f>IF(ISBLANK(M2101),0,L2101/ROUND(M2101,4))</f>
        <v>#DIV/0!</v>
      </c>
      <c r="R2101" s="66" t="e">
        <f>IF(ISBLANK(M2101),0,Q2101*ROUND(N2101,2))</f>
        <v>#DIV/0!</v>
      </c>
      <c r="S2101" s="69" t="e">
        <f>ROUND(P2101,2)*Q2101</f>
        <v>#DIV/0!</v>
      </c>
      <c r="T2101" s="66" t="e">
        <f>Q2101*dagenperjaar1</f>
        <v>#DIV/0!</v>
      </c>
      <c r="U2101" s="70" t="e">
        <f>T2101*ROUND(P2101,2)</f>
        <v>#DIV/0!</v>
      </c>
    </row>
    <row r="2102" spans="1:21" x14ac:dyDescent="0.2">
      <c r="A2102" s="63" t="s">
        <v>2504</v>
      </c>
      <c r="B2102" s="64" t="s">
        <v>324</v>
      </c>
      <c r="C2102" s="64" t="s">
        <v>345</v>
      </c>
      <c r="D2102" s="64" t="s">
        <v>2599</v>
      </c>
      <c r="E2102" s="64" t="s">
        <v>324</v>
      </c>
      <c r="F2102" s="65" t="s">
        <v>2571</v>
      </c>
      <c r="G2102" s="64" t="s">
        <v>328</v>
      </c>
      <c r="H2102" s="64" t="s">
        <v>271</v>
      </c>
      <c r="I2102" s="64" t="s">
        <v>10</v>
      </c>
      <c r="J2102" s="64" t="s">
        <v>201</v>
      </c>
      <c r="K2102" s="66">
        <v>29.22</v>
      </c>
      <c r="L2102" s="66">
        <f>K2102*VLOOKUP(I2102,dagsoorttabel1,2,FALSE)</f>
        <v>29.22</v>
      </c>
      <c r="M2102" s="67">
        <f>prodnorm68</f>
        <v>0</v>
      </c>
      <c r="N2102" s="68">
        <f>dagwerk68</f>
        <v>0</v>
      </c>
      <c r="O2102" s="64" t="s">
        <v>38</v>
      </c>
      <c r="P2102" s="69">
        <f>uurtarief68</f>
        <v>0</v>
      </c>
      <c r="Q2102" s="66" t="e">
        <f>IF(ISBLANK(M2102),0,L2102/ROUND(M2102,4))</f>
        <v>#DIV/0!</v>
      </c>
      <c r="R2102" s="66" t="e">
        <f>IF(ISBLANK(M2102),0,Q2102*ROUND(N2102,2))</f>
        <v>#DIV/0!</v>
      </c>
      <c r="S2102" s="69" t="e">
        <f>ROUND(P2102,2)*Q2102</f>
        <v>#DIV/0!</v>
      </c>
      <c r="T2102" s="66" t="e">
        <f>Q2102*dagenperjaar1</f>
        <v>#DIV/0!</v>
      </c>
      <c r="U2102" s="70" t="e">
        <f>T2102*ROUND(P2102,2)</f>
        <v>#DIV/0!</v>
      </c>
    </row>
    <row r="2103" spans="1:21" x14ac:dyDescent="0.2">
      <c r="A2103" s="63" t="s">
        <v>2504</v>
      </c>
      <c r="B2103" s="64" t="s">
        <v>324</v>
      </c>
      <c r="C2103" s="64" t="s">
        <v>345</v>
      </c>
      <c r="D2103" s="64" t="s">
        <v>2600</v>
      </c>
      <c r="E2103" s="64" t="s">
        <v>324</v>
      </c>
      <c r="F2103" s="65" t="s">
        <v>1566</v>
      </c>
      <c r="G2103" s="64" t="s">
        <v>2508</v>
      </c>
      <c r="H2103" s="64" t="s">
        <v>239</v>
      </c>
      <c r="I2103" s="64" t="s">
        <v>10</v>
      </c>
      <c r="J2103" s="64" t="s">
        <v>201</v>
      </c>
      <c r="K2103" s="66">
        <v>73.27</v>
      </c>
      <c r="L2103" s="66">
        <f>K2103*VLOOKUP(I2103,dagsoorttabel1,2,FALSE)</f>
        <v>73.27</v>
      </c>
      <c r="M2103" s="67">
        <f>prodnorm50</f>
        <v>0</v>
      </c>
      <c r="N2103" s="68">
        <f>dagwerk50</f>
        <v>0</v>
      </c>
      <c r="O2103" s="64" t="s">
        <v>38</v>
      </c>
      <c r="P2103" s="69">
        <f>uurtarief50</f>
        <v>0</v>
      </c>
      <c r="Q2103" s="66" t="e">
        <f>IF(ISBLANK(M2103),0,L2103/ROUND(M2103,4))</f>
        <v>#DIV/0!</v>
      </c>
      <c r="R2103" s="66" t="e">
        <f>IF(ISBLANK(M2103),0,Q2103*ROUND(N2103,2))</f>
        <v>#DIV/0!</v>
      </c>
      <c r="S2103" s="69" t="e">
        <f>ROUND(P2103,2)*Q2103</f>
        <v>#DIV/0!</v>
      </c>
      <c r="T2103" s="66" t="e">
        <f>Q2103*dagenperjaar1</f>
        <v>#DIV/0!</v>
      </c>
      <c r="U2103" s="70" t="e">
        <f>T2103*ROUND(P2103,2)</f>
        <v>#DIV/0!</v>
      </c>
    </row>
    <row r="2104" spans="1:21" x14ac:dyDescent="0.2">
      <c r="A2104" s="63" t="s">
        <v>2504</v>
      </c>
      <c r="B2104" s="64" t="s">
        <v>324</v>
      </c>
      <c r="C2104" s="64" t="s">
        <v>345</v>
      </c>
      <c r="D2104" s="64" t="s">
        <v>2601</v>
      </c>
      <c r="E2104" s="64" t="s">
        <v>324</v>
      </c>
      <c r="F2104" s="65" t="s">
        <v>2593</v>
      </c>
      <c r="G2104" s="64" t="s">
        <v>328</v>
      </c>
      <c r="H2104" s="64" t="s">
        <v>205</v>
      </c>
      <c r="I2104" s="64" t="s">
        <v>10</v>
      </c>
      <c r="J2104" s="64" t="s">
        <v>201</v>
      </c>
      <c r="K2104" s="66">
        <v>15.42</v>
      </c>
      <c r="L2104" s="66">
        <f>K2104*VLOOKUP(I2104,dagsoorttabel1,2,FALSE)</f>
        <v>15.42</v>
      </c>
      <c r="M2104" s="67">
        <f>prodnorm26</f>
        <v>0</v>
      </c>
      <c r="N2104" s="68">
        <f>dagwerk26</f>
        <v>0</v>
      </c>
      <c r="O2104" s="64" t="s">
        <v>38</v>
      </c>
      <c r="P2104" s="69">
        <f>uurtarief26</f>
        <v>0</v>
      </c>
      <c r="Q2104" s="66" t="e">
        <f>IF(ISBLANK(M2104),0,L2104/ROUND(M2104,4))</f>
        <v>#DIV/0!</v>
      </c>
      <c r="R2104" s="66" t="e">
        <f>IF(ISBLANK(M2104),0,Q2104*ROUND(N2104,2))</f>
        <v>#DIV/0!</v>
      </c>
      <c r="S2104" s="69" t="e">
        <f>ROUND(P2104,2)*Q2104</f>
        <v>#DIV/0!</v>
      </c>
      <c r="T2104" s="66" t="e">
        <f>Q2104*dagenperjaar1</f>
        <v>#DIV/0!</v>
      </c>
      <c r="U2104" s="70" t="e">
        <f>T2104*ROUND(P2104,2)</f>
        <v>#DIV/0!</v>
      </c>
    </row>
    <row r="2105" spans="1:21" x14ac:dyDescent="0.2">
      <c r="A2105" s="63" t="s">
        <v>2504</v>
      </c>
      <c r="B2105" s="64" t="s">
        <v>324</v>
      </c>
      <c r="C2105" s="64" t="s">
        <v>345</v>
      </c>
      <c r="D2105" s="64" t="s">
        <v>2602</v>
      </c>
      <c r="E2105" s="64" t="s">
        <v>324</v>
      </c>
      <c r="F2105" s="65" t="s">
        <v>2593</v>
      </c>
      <c r="G2105" s="64" t="s">
        <v>328</v>
      </c>
      <c r="H2105" s="64" t="s">
        <v>205</v>
      </c>
      <c r="I2105" s="64" t="s">
        <v>10</v>
      </c>
      <c r="J2105" s="64" t="s">
        <v>201</v>
      </c>
      <c r="K2105" s="66">
        <v>14.65</v>
      </c>
      <c r="L2105" s="66">
        <f>K2105*VLOOKUP(I2105,dagsoorttabel1,2,FALSE)</f>
        <v>14.65</v>
      </c>
      <c r="M2105" s="67">
        <f>prodnorm26</f>
        <v>0</v>
      </c>
      <c r="N2105" s="68">
        <f>dagwerk26</f>
        <v>0</v>
      </c>
      <c r="O2105" s="64" t="s">
        <v>38</v>
      </c>
      <c r="P2105" s="69">
        <f>uurtarief26</f>
        <v>0</v>
      </c>
      <c r="Q2105" s="66" t="e">
        <f>IF(ISBLANK(M2105),0,L2105/ROUND(M2105,4))</f>
        <v>#DIV/0!</v>
      </c>
      <c r="R2105" s="66" t="e">
        <f>IF(ISBLANK(M2105),0,Q2105*ROUND(N2105,2))</f>
        <v>#DIV/0!</v>
      </c>
      <c r="S2105" s="69" t="e">
        <f>ROUND(P2105,2)*Q2105</f>
        <v>#DIV/0!</v>
      </c>
      <c r="T2105" s="66" t="e">
        <f>Q2105*dagenperjaar1</f>
        <v>#DIV/0!</v>
      </c>
      <c r="U2105" s="70" t="e">
        <f>T2105*ROUND(P2105,2)</f>
        <v>#DIV/0!</v>
      </c>
    </row>
    <row r="2106" spans="1:21" x14ac:dyDescent="0.2">
      <c r="A2106" s="63" t="s">
        <v>2504</v>
      </c>
      <c r="B2106" s="64" t="s">
        <v>324</v>
      </c>
      <c r="C2106" s="64" t="s">
        <v>345</v>
      </c>
      <c r="D2106" s="64" t="s">
        <v>2603</v>
      </c>
      <c r="E2106" s="64" t="s">
        <v>324</v>
      </c>
      <c r="F2106" s="65" t="s">
        <v>671</v>
      </c>
      <c r="G2106" s="64" t="s">
        <v>365</v>
      </c>
      <c r="H2106" s="64" t="s">
        <v>255</v>
      </c>
      <c r="I2106" s="64" t="s">
        <v>10</v>
      </c>
      <c r="J2106" s="64" t="s">
        <v>201</v>
      </c>
      <c r="K2106" s="66">
        <v>6.35</v>
      </c>
      <c r="L2106" s="66">
        <f>K2106*VLOOKUP(I2106,dagsoorttabel1,2,FALSE)</f>
        <v>6.35</v>
      </c>
      <c r="M2106" s="67">
        <f>prodnorm59</f>
        <v>0</v>
      </c>
      <c r="N2106" s="68">
        <f>dagwerk59</f>
        <v>0</v>
      </c>
      <c r="O2106" s="64" t="s">
        <v>38</v>
      </c>
      <c r="P2106" s="69">
        <f>uurtarief59</f>
        <v>0</v>
      </c>
      <c r="Q2106" s="66" t="e">
        <f>IF(ISBLANK(M2106),0,L2106/ROUND(M2106,4))</f>
        <v>#DIV/0!</v>
      </c>
      <c r="R2106" s="66" t="e">
        <f>IF(ISBLANK(M2106),0,Q2106*ROUND(N2106,2))</f>
        <v>#DIV/0!</v>
      </c>
      <c r="S2106" s="69" t="e">
        <f>ROUND(P2106,2)*Q2106</f>
        <v>#DIV/0!</v>
      </c>
      <c r="T2106" s="66" t="e">
        <f>Q2106*dagenperjaar1</f>
        <v>#DIV/0!</v>
      </c>
      <c r="U2106" s="70" t="e">
        <f>T2106*ROUND(P2106,2)</f>
        <v>#DIV/0!</v>
      </c>
    </row>
    <row r="2107" spans="1:21" x14ac:dyDescent="0.2">
      <c r="A2107" s="63" t="s">
        <v>2504</v>
      </c>
      <c r="B2107" s="64" t="s">
        <v>324</v>
      </c>
      <c r="C2107" s="64" t="s">
        <v>345</v>
      </c>
      <c r="D2107" s="64" t="s">
        <v>2604</v>
      </c>
      <c r="E2107" s="64" t="s">
        <v>324</v>
      </c>
      <c r="F2107" s="65" t="s">
        <v>671</v>
      </c>
      <c r="G2107" s="64" t="s">
        <v>365</v>
      </c>
      <c r="H2107" s="64" t="s">
        <v>255</v>
      </c>
      <c r="I2107" s="64" t="s">
        <v>10</v>
      </c>
      <c r="J2107" s="64" t="s">
        <v>201</v>
      </c>
      <c r="K2107" s="66">
        <v>6.35</v>
      </c>
      <c r="L2107" s="66">
        <f>K2107*VLOOKUP(I2107,dagsoorttabel1,2,FALSE)</f>
        <v>6.35</v>
      </c>
      <c r="M2107" s="67">
        <f>prodnorm59</f>
        <v>0</v>
      </c>
      <c r="N2107" s="68">
        <f>dagwerk59</f>
        <v>0</v>
      </c>
      <c r="O2107" s="64" t="s">
        <v>38</v>
      </c>
      <c r="P2107" s="69">
        <f>uurtarief59</f>
        <v>0</v>
      </c>
      <c r="Q2107" s="66" t="e">
        <f>IF(ISBLANK(M2107),0,L2107/ROUND(M2107,4))</f>
        <v>#DIV/0!</v>
      </c>
      <c r="R2107" s="66" t="e">
        <f>IF(ISBLANK(M2107),0,Q2107*ROUND(N2107,2))</f>
        <v>#DIV/0!</v>
      </c>
      <c r="S2107" s="69" t="e">
        <f>ROUND(P2107,2)*Q2107</f>
        <v>#DIV/0!</v>
      </c>
      <c r="T2107" s="66" t="e">
        <f>Q2107*dagenperjaar1</f>
        <v>#DIV/0!</v>
      </c>
      <c r="U2107" s="70" t="e">
        <f>T2107*ROUND(P2107,2)</f>
        <v>#DIV/0!</v>
      </c>
    </row>
    <row r="2108" spans="1:21" x14ac:dyDescent="0.2">
      <c r="A2108" s="63" t="s">
        <v>2504</v>
      </c>
      <c r="B2108" s="64" t="s">
        <v>324</v>
      </c>
      <c r="C2108" s="64" t="s">
        <v>345</v>
      </c>
      <c r="D2108" s="64" t="s">
        <v>2605</v>
      </c>
      <c r="E2108" s="64" t="s">
        <v>324</v>
      </c>
      <c r="F2108" s="65" t="s">
        <v>2606</v>
      </c>
      <c r="G2108" s="64" t="s">
        <v>2587</v>
      </c>
      <c r="H2108" s="64" t="s">
        <v>267</v>
      </c>
      <c r="I2108" s="64" t="s">
        <v>10</v>
      </c>
      <c r="J2108" s="64" t="s">
        <v>201</v>
      </c>
      <c r="K2108" s="66">
        <v>47.43</v>
      </c>
      <c r="L2108" s="66">
        <f>K2108*VLOOKUP(I2108,dagsoorttabel1,2,FALSE)</f>
        <v>47.43</v>
      </c>
      <c r="M2108" s="67">
        <f>prodnorm65</f>
        <v>0</v>
      </c>
      <c r="N2108" s="68">
        <f>dagwerk65</f>
        <v>0</v>
      </c>
      <c r="O2108" s="64" t="s">
        <v>38</v>
      </c>
      <c r="P2108" s="69">
        <f>uurtarief65</f>
        <v>0</v>
      </c>
      <c r="Q2108" s="66" t="e">
        <f>IF(ISBLANK(M2108),0,L2108/ROUND(M2108,4))</f>
        <v>#DIV/0!</v>
      </c>
      <c r="R2108" s="66" t="e">
        <f>IF(ISBLANK(M2108),0,Q2108*ROUND(N2108,2))</f>
        <v>#DIV/0!</v>
      </c>
      <c r="S2108" s="69" t="e">
        <f>ROUND(P2108,2)*Q2108</f>
        <v>#DIV/0!</v>
      </c>
      <c r="T2108" s="66" t="e">
        <f>Q2108*dagenperjaar1</f>
        <v>#DIV/0!</v>
      </c>
      <c r="U2108" s="70" t="e">
        <f>T2108*ROUND(P2108,2)</f>
        <v>#DIV/0!</v>
      </c>
    </row>
    <row r="2109" spans="1:21" x14ac:dyDescent="0.2">
      <c r="A2109" s="63" t="s">
        <v>2504</v>
      </c>
      <c r="B2109" s="64" t="s">
        <v>324</v>
      </c>
      <c r="C2109" s="64" t="s">
        <v>345</v>
      </c>
      <c r="D2109" s="64" t="s">
        <v>2522</v>
      </c>
      <c r="E2109" s="64" t="s">
        <v>324</v>
      </c>
      <c r="F2109" s="65" t="s">
        <v>638</v>
      </c>
      <c r="G2109" s="64" t="s">
        <v>328</v>
      </c>
      <c r="H2109" s="64" t="s">
        <v>263</v>
      </c>
      <c r="I2109" s="64" t="s">
        <v>10</v>
      </c>
      <c r="J2109" s="64" t="s">
        <v>201</v>
      </c>
      <c r="K2109" s="66">
        <v>10.59</v>
      </c>
      <c r="L2109" s="66">
        <f>K2109*VLOOKUP(I2109,dagsoorttabel1,2,FALSE)</f>
        <v>10.59</v>
      </c>
      <c r="M2109" s="67">
        <f>prodnorm63</f>
        <v>0</v>
      </c>
      <c r="N2109" s="68">
        <f>dagwerk63</f>
        <v>0</v>
      </c>
      <c r="O2109" s="64" t="s">
        <v>38</v>
      </c>
      <c r="P2109" s="69">
        <f>uurtarief63</f>
        <v>0</v>
      </c>
      <c r="Q2109" s="66" t="e">
        <f>IF(ISBLANK(M2109),0,L2109/ROUND(M2109,4))</f>
        <v>#DIV/0!</v>
      </c>
      <c r="R2109" s="66" t="e">
        <f>IF(ISBLANK(M2109),0,Q2109*ROUND(N2109,2))</f>
        <v>#DIV/0!</v>
      </c>
      <c r="S2109" s="69" t="e">
        <f>ROUND(P2109,2)*Q2109</f>
        <v>#DIV/0!</v>
      </c>
      <c r="T2109" s="66" t="e">
        <f>Q2109*dagenperjaar1</f>
        <v>#DIV/0!</v>
      </c>
      <c r="U2109" s="70" t="e">
        <f>T2109*ROUND(P2109,2)</f>
        <v>#DIV/0!</v>
      </c>
    </row>
    <row r="2110" spans="1:21" ht="25.5" x14ac:dyDescent="0.2">
      <c r="A2110" s="63" t="s">
        <v>2504</v>
      </c>
      <c r="B2110" s="64" t="s">
        <v>324</v>
      </c>
      <c r="C2110" s="64" t="s">
        <v>345</v>
      </c>
      <c r="D2110" s="64" t="s">
        <v>2525</v>
      </c>
      <c r="E2110" s="64" t="s">
        <v>324</v>
      </c>
      <c r="F2110" s="65" t="s">
        <v>2607</v>
      </c>
      <c r="G2110" s="64" t="s">
        <v>365</v>
      </c>
      <c r="H2110" s="64" t="s">
        <v>263</v>
      </c>
      <c r="I2110" s="64" t="s">
        <v>10</v>
      </c>
      <c r="J2110" s="64" t="s">
        <v>201</v>
      </c>
      <c r="K2110" s="66">
        <v>7.1099999999999994</v>
      </c>
      <c r="L2110" s="66">
        <f>K2110*VLOOKUP(I2110,dagsoorttabel1,2,FALSE)</f>
        <v>7.1099999999999994</v>
      </c>
      <c r="M2110" s="67">
        <f>prodnorm63</f>
        <v>0</v>
      </c>
      <c r="N2110" s="68">
        <f>dagwerk63</f>
        <v>0</v>
      </c>
      <c r="O2110" s="64" t="s">
        <v>38</v>
      </c>
      <c r="P2110" s="69">
        <f>uurtarief63</f>
        <v>0</v>
      </c>
      <c r="Q2110" s="66" t="e">
        <f>IF(ISBLANK(M2110),0,L2110/ROUND(M2110,4))</f>
        <v>#DIV/0!</v>
      </c>
      <c r="R2110" s="66" t="e">
        <f>IF(ISBLANK(M2110),0,Q2110*ROUND(N2110,2))</f>
        <v>#DIV/0!</v>
      </c>
      <c r="S2110" s="69" t="e">
        <f>ROUND(P2110,2)*Q2110</f>
        <v>#DIV/0!</v>
      </c>
      <c r="T2110" s="66" t="e">
        <f>Q2110*dagenperjaar1</f>
        <v>#DIV/0!</v>
      </c>
      <c r="U2110" s="70" t="e">
        <f>T2110*ROUND(P2110,2)</f>
        <v>#DIV/0!</v>
      </c>
    </row>
    <row r="2111" spans="1:21" x14ac:dyDescent="0.2">
      <c r="A2111" s="63" t="s">
        <v>2504</v>
      </c>
      <c r="B2111" s="64" t="s">
        <v>324</v>
      </c>
      <c r="C2111" s="64" t="s">
        <v>345</v>
      </c>
      <c r="D2111" s="64" t="s">
        <v>2608</v>
      </c>
      <c r="E2111" s="64" t="s">
        <v>324</v>
      </c>
      <c r="F2111" s="65" t="s">
        <v>638</v>
      </c>
      <c r="G2111" s="64" t="s">
        <v>2609</v>
      </c>
      <c r="H2111" s="64" t="s">
        <v>263</v>
      </c>
      <c r="I2111" s="64" t="s">
        <v>10</v>
      </c>
      <c r="J2111" s="64" t="s">
        <v>201</v>
      </c>
      <c r="K2111" s="66">
        <v>6.78</v>
      </c>
      <c r="L2111" s="66">
        <f>K2111*VLOOKUP(I2111,dagsoorttabel1,2,FALSE)</f>
        <v>6.78</v>
      </c>
      <c r="M2111" s="67">
        <f>prodnorm63</f>
        <v>0</v>
      </c>
      <c r="N2111" s="68">
        <f>dagwerk63</f>
        <v>0</v>
      </c>
      <c r="O2111" s="64" t="s">
        <v>38</v>
      </c>
      <c r="P2111" s="69">
        <f>uurtarief63</f>
        <v>0</v>
      </c>
      <c r="Q2111" s="66" t="e">
        <f>IF(ISBLANK(M2111),0,L2111/ROUND(M2111,4))</f>
        <v>#DIV/0!</v>
      </c>
      <c r="R2111" s="66" t="e">
        <f>IF(ISBLANK(M2111),0,Q2111*ROUND(N2111,2))</f>
        <v>#DIV/0!</v>
      </c>
      <c r="S2111" s="69" t="e">
        <f>ROUND(P2111,2)*Q2111</f>
        <v>#DIV/0!</v>
      </c>
      <c r="T2111" s="66" t="e">
        <f>Q2111*dagenperjaar1</f>
        <v>#DIV/0!</v>
      </c>
      <c r="U2111" s="70" t="e">
        <f>T2111*ROUND(P2111,2)</f>
        <v>#DIV/0!</v>
      </c>
    </row>
    <row r="2112" spans="1:21" x14ac:dyDescent="0.2">
      <c r="A2112" s="63" t="s">
        <v>2504</v>
      </c>
      <c r="B2112" s="64" t="s">
        <v>324</v>
      </c>
      <c r="C2112" s="64" t="s">
        <v>345</v>
      </c>
      <c r="D2112" s="64" t="s">
        <v>2610</v>
      </c>
      <c r="E2112" s="64" t="s">
        <v>324</v>
      </c>
      <c r="F2112" s="65" t="s">
        <v>638</v>
      </c>
      <c r="G2112" s="64" t="s">
        <v>2609</v>
      </c>
      <c r="H2112" s="64" t="s">
        <v>263</v>
      </c>
      <c r="I2112" s="64" t="s">
        <v>10</v>
      </c>
      <c r="J2112" s="64" t="s">
        <v>201</v>
      </c>
      <c r="K2112" s="66">
        <v>17.36</v>
      </c>
      <c r="L2112" s="66">
        <f>K2112*VLOOKUP(I2112,dagsoorttabel1,2,FALSE)</f>
        <v>17.36</v>
      </c>
      <c r="M2112" s="67">
        <f>prodnorm63</f>
        <v>0</v>
      </c>
      <c r="N2112" s="68">
        <f>dagwerk63</f>
        <v>0</v>
      </c>
      <c r="O2112" s="64" t="s">
        <v>38</v>
      </c>
      <c r="P2112" s="69">
        <f>uurtarief63</f>
        <v>0</v>
      </c>
      <c r="Q2112" s="66" t="e">
        <f>IF(ISBLANK(M2112),0,L2112/ROUND(M2112,4))</f>
        <v>#DIV/0!</v>
      </c>
      <c r="R2112" s="66" t="e">
        <f>IF(ISBLANK(M2112),0,Q2112*ROUND(N2112,2))</f>
        <v>#DIV/0!</v>
      </c>
      <c r="S2112" s="69" t="e">
        <f>ROUND(P2112,2)*Q2112</f>
        <v>#DIV/0!</v>
      </c>
      <c r="T2112" s="66" t="e">
        <f>Q2112*dagenperjaar1</f>
        <v>#DIV/0!</v>
      </c>
      <c r="U2112" s="70" t="e">
        <f>T2112*ROUND(P2112,2)</f>
        <v>#DIV/0!</v>
      </c>
    </row>
    <row r="2113" spans="1:21" x14ac:dyDescent="0.2">
      <c r="A2113" s="63" t="s">
        <v>2504</v>
      </c>
      <c r="B2113" s="64" t="s">
        <v>324</v>
      </c>
      <c r="C2113" s="64" t="s">
        <v>345</v>
      </c>
      <c r="D2113" s="64" t="s">
        <v>2611</v>
      </c>
      <c r="E2113" s="64" t="s">
        <v>324</v>
      </c>
      <c r="F2113" s="65" t="s">
        <v>638</v>
      </c>
      <c r="G2113" s="64" t="s">
        <v>2609</v>
      </c>
      <c r="H2113" s="64" t="s">
        <v>263</v>
      </c>
      <c r="I2113" s="64" t="s">
        <v>10</v>
      </c>
      <c r="J2113" s="64" t="s">
        <v>201</v>
      </c>
      <c r="K2113" s="66">
        <v>10.16</v>
      </c>
      <c r="L2113" s="66">
        <f>K2113*VLOOKUP(I2113,dagsoorttabel1,2,FALSE)</f>
        <v>10.16</v>
      </c>
      <c r="M2113" s="67">
        <f>prodnorm63</f>
        <v>0</v>
      </c>
      <c r="N2113" s="68">
        <f>dagwerk63</f>
        <v>0</v>
      </c>
      <c r="O2113" s="64" t="s">
        <v>38</v>
      </c>
      <c r="P2113" s="69">
        <f>uurtarief63</f>
        <v>0</v>
      </c>
      <c r="Q2113" s="66" t="e">
        <f>IF(ISBLANK(M2113),0,L2113/ROUND(M2113,4))</f>
        <v>#DIV/0!</v>
      </c>
      <c r="R2113" s="66" t="e">
        <f>IF(ISBLANK(M2113),0,Q2113*ROUND(N2113,2))</f>
        <v>#DIV/0!</v>
      </c>
      <c r="S2113" s="69" t="e">
        <f>ROUND(P2113,2)*Q2113</f>
        <v>#DIV/0!</v>
      </c>
      <c r="T2113" s="66" t="e">
        <f>Q2113*dagenperjaar1</f>
        <v>#DIV/0!</v>
      </c>
      <c r="U2113" s="70" t="e">
        <f>T2113*ROUND(P2113,2)</f>
        <v>#DIV/0!</v>
      </c>
    </row>
    <row r="2114" spans="1:21" x14ac:dyDescent="0.2">
      <c r="A2114" s="63" t="s">
        <v>2504</v>
      </c>
      <c r="B2114" s="64" t="s">
        <v>324</v>
      </c>
      <c r="C2114" s="64" t="s">
        <v>345</v>
      </c>
      <c r="D2114" s="64" t="s">
        <v>2612</v>
      </c>
      <c r="E2114" s="64" t="s">
        <v>324</v>
      </c>
      <c r="F2114" s="65" t="s">
        <v>638</v>
      </c>
      <c r="G2114" s="64" t="s">
        <v>2508</v>
      </c>
      <c r="H2114" s="64" t="s">
        <v>263</v>
      </c>
      <c r="I2114" s="64" t="s">
        <v>10</v>
      </c>
      <c r="J2114" s="64" t="s">
        <v>201</v>
      </c>
      <c r="K2114" s="66">
        <v>10.67</v>
      </c>
      <c r="L2114" s="66">
        <f>K2114*VLOOKUP(I2114,dagsoorttabel1,2,FALSE)</f>
        <v>10.67</v>
      </c>
      <c r="M2114" s="67">
        <f>prodnorm63</f>
        <v>0</v>
      </c>
      <c r="N2114" s="68">
        <f>dagwerk63</f>
        <v>0</v>
      </c>
      <c r="O2114" s="64" t="s">
        <v>38</v>
      </c>
      <c r="P2114" s="69">
        <f>uurtarief63</f>
        <v>0</v>
      </c>
      <c r="Q2114" s="66" t="e">
        <f>IF(ISBLANK(M2114),0,L2114/ROUND(M2114,4))</f>
        <v>#DIV/0!</v>
      </c>
      <c r="R2114" s="66" t="e">
        <f>IF(ISBLANK(M2114),0,Q2114*ROUND(N2114,2))</f>
        <v>#DIV/0!</v>
      </c>
      <c r="S2114" s="69" t="e">
        <f>ROUND(P2114,2)*Q2114</f>
        <v>#DIV/0!</v>
      </c>
      <c r="T2114" s="66" t="e">
        <f>Q2114*dagenperjaar1</f>
        <v>#DIV/0!</v>
      </c>
      <c r="U2114" s="70" t="e">
        <f>T2114*ROUND(P2114,2)</f>
        <v>#DIV/0!</v>
      </c>
    </row>
    <row r="2115" spans="1:21" x14ac:dyDescent="0.2">
      <c r="A2115" s="63" t="s">
        <v>2504</v>
      </c>
      <c r="B2115" s="64" t="s">
        <v>324</v>
      </c>
      <c r="C2115" s="64" t="s">
        <v>345</v>
      </c>
      <c r="D2115" s="64" t="s">
        <v>2613</v>
      </c>
      <c r="E2115" s="64" t="s">
        <v>324</v>
      </c>
      <c r="F2115" s="65" t="s">
        <v>638</v>
      </c>
      <c r="G2115" s="64" t="s">
        <v>2614</v>
      </c>
      <c r="H2115" s="64" t="s">
        <v>263</v>
      </c>
      <c r="I2115" s="64" t="s">
        <v>10</v>
      </c>
      <c r="J2115" s="64" t="s">
        <v>201</v>
      </c>
      <c r="K2115" s="66">
        <v>10.16</v>
      </c>
      <c r="L2115" s="66">
        <f>K2115*VLOOKUP(I2115,dagsoorttabel1,2,FALSE)</f>
        <v>10.16</v>
      </c>
      <c r="M2115" s="67">
        <f>prodnorm63</f>
        <v>0</v>
      </c>
      <c r="N2115" s="68">
        <f>dagwerk63</f>
        <v>0</v>
      </c>
      <c r="O2115" s="64" t="s">
        <v>38</v>
      </c>
      <c r="P2115" s="69">
        <f>uurtarief63</f>
        <v>0</v>
      </c>
      <c r="Q2115" s="66" t="e">
        <f>IF(ISBLANK(M2115),0,L2115/ROUND(M2115,4))</f>
        <v>#DIV/0!</v>
      </c>
      <c r="R2115" s="66" t="e">
        <f>IF(ISBLANK(M2115),0,Q2115*ROUND(N2115,2))</f>
        <v>#DIV/0!</v>
      </c>
      <c r="S2115" s="69" t="e">
        <f>ROUND(P2115,2)*Q2115</f>
        <v>#DIV/0!</v>
      </c>
      <c r="T2115" s="66" t="e">
        <f>Q2115*dagenperjaar1</f>
        <v>#DIV/0!</v>
      </c>
      <c r="U2115" s="70" t="e">
        <f>T2115*ROUND(P2115,2)</f>
        <v>#DIV/0!</v>
      </c>
    </row>
    <row r="2116" spans="1:21" x14ac:dyDescent="0.2">
      <c r="A2116" s="63" t="s">
        <v>2504</v>
      </c>
      <c r="B2116" s="64" t="s">
        <v>324</v>
      </c>
      <c r="C2116" s="64" t="s">
        <v>345</v>
      </c>
      <c r="D2116" s="64" t="s">
        <v>2615</v>
      </c>
      <c r="E2116" s="64" t="s">
        <v>324</v>
      </c>
      <c r="F2116" s="65" t="s">
        <v>638</v>
      </c>
      <c r="G2116" s="64" t="s">
        <v>2609</v>
      </c>
      <c r="H2116" s="64" t="s">
        <v>263</v>
      </c>
      <c r="I2116" s="64" t="s">
        <v>10</v>
      </c>
      <c r="J2116" s="64" t="s">
        <v>201</v>
      </c>
      <c r="K2116" s="66">
        <v>3.3899999999999997</v>
      </c>
      <c r="L2116" s="66">
        <f>K2116*VLOOKUP(I2116,dagsoorttabel1,2,FALSE)</f>
        <v>3.3899999999999997</v>
      </c>
      <c r="M2116" s="67">
        <f>prodnorm63</f>
        <v>0</v>
      </c>
      <c r="N2116" s="68">
        <f>dagwerk63</f>
        <v>0</v>
      </c>
      <c r="O2116" s="64" t="s">
        <v>38</v>
      </c>
      <c r="P2116" s="69">
        <f>uurtarief63</f>
        <v>0</v>
      </c>
      <c r="Q2116" s="66" t="e">
        <f>IF(ISBLANK(M2116),0,L2116/ROUND(M2116,4))</f>
        <v>#DIV/0!</v>
      </c>
      <c r="R2116" s="66" t="e">
        <f>IF(ISBLANK(M2116),0,Q2116*ROUND(N2116,2))</f>
        <v>#DIV/0!</v>
      </c>
      <c r="S2116" s="69" t="e">
        <f>ROUND(P2116,2)*Q2116</f>
        <v>#DIV/0!</v>
      </c>
      <c r="T2116" s="66" t="e">
        <f>Q2116*dagenperjaar1</f>
        <v>#DIV/0!</v>
      </c>
      <c r="U2116" s="70" t="e">
        <f>T2116*ROUND(P2116,2)</f>
        <v>#DIV/0!</v>
      </c>
    </row>
    <row r="2117" spans="1:21" x14ac:dyDescent="0.2">
      <c r="A2117" s="63" t="s">
        <v>2504</v>
      </c>
      <c r="B2117" s="64" t="s">
        <v>324</v>
      </c>
      <c r="C2117" s="64" t="s">
        <v>345</v>
      </c>
      <c r="D2117" s="64" t="s">
        <v>2616</v>
      </c>
      <c r="E2117" s="64" t="s">
        <v>324</v>
      </c>
      <c r="F2117" s="65" t="s">
        <v>638</v>
      </c>
      <c r="G2117" s="64" t="s">
        <v>2609</v>
      </c>
      <c r="H2117" s="64" t="s">
        <v>263</v>
      </c>
      <c r="I2117" s="64" t="s">
        <v>10</v>
      </c>
      <c r="J2117" s="64" t="s">
        <v>201</v>
      </c>
      <c r="K2117" s="66">
        <v>3.3899999999999997</v>
      </c>
      <c r="L2117" s="66">
        <f>K2117*VLOOKUP(I2117,dagsoorttabel1,2,FALSE)</f>
        <v>3.3899999999999997</v>
      </c>
      <c r="M2117" s="67">
        <f>prodnorm63</f>
        <v>0</v>
      </c>
      <c r="N2117" s="68">
        <f>dagwerk63</f>
        <v>0</v>
      </c>
      <c r="O2117" s="64" t="s">
        <v>38</v>
      </c>
      <c r="P2117" s="69">
        <f>uurtarief63</f>
        <v>0</v>
      </c>
      <c r="Q2117" s="66" t="e">
        <f>IF(ISBLANK(M2117),0,L2117/ROUND(M2117,4))</f>
        <v>#DIV/0!</v>
      </c>
      <c r="R2117" s="66" t="e">
        <f>IF(ISBLANK(M2117),0,Q2117*ROUND(N2117,2))</f>
        <v>#DIV/0!</v>
      </c>
      <c r="S2117" s="69" t="e">
        <f>ROUND(P2117,2)*Q2117</f>
        <v>#DIV/0!</v>
      </c>
      <c r="T2117" s="66" t="e">
        <f>Q2117*dagenperjaar1</f>
        <v>#DIV/0!</v>
      </c>
      <c r="U2117" s="70" t="e">
        <f>T2117*ROUND(P2117,2)</f>
        <v>#DIV/0!</v>
      </c>
    </row>
    <row r="2118" spans="1:21" x14ac:dyDescent="0.2">
      <c r="A2118" s="63" t="s">
        <v>2504</v>
      </c>
      <c r="B2118" s="64" t="s">
        <v>324</v>
      </c>
      <c r="C2118" s="64" t="s">
        <v>345</v>
      </c>
      <c r="D2118" s="64" t="s">
        <v>2617</v>
      </c>
      <c r="E2118" s="64" t="s">
        <v>324</v>
      </c>
      <c r="F2118" s="65" t="s">
        <v>2618</v>
      </c>
      <c r="G2118" s="64" t="s">
        <v>328</v>
      </c>
      <c r="H2118" s="64" t="s">
        <v>229</v>
      </c>
      <c r="I2118" s="64" t="s">
        <v>10</v>
      </c>
      <c r="J2118" s="64" t="s">
        <v>201</v>
      </c>
      <c r="K2118" s="66">
        <v>164.57</v>
      </c>
      <c r="L2118" s="66">
        <f>K2118*VLOOKUP(I2118,dagsoorttabel1,2,FALSE)</f>
        <v>164.57</v>
      </c>
      <c r="M2118" s="67">
        <f>prodnorm43</f>
        <v>0</v>
      </c>
      <c r="N2118" s="68">
        <f>dagwerk43</f>
        <v>0</v>
      </c>
      <c r="O2118" s="64" t="s">
        <v>38</v>
      </c>
      <c r="P2118" s="69">
        <f>uurtarief43</f>
        <v>0</v>
      </c>
      <c r="Q2118" s="66" t="e">
        <f>IF(ISBLANK(M2118),0,L2118/ROUND(M2118,4))</f>
        <v>#DIV/0!</v>
      </c>
      <c r="R2118" s="66" t="e">
        <f>IF(ISBLANK(M2118),0,Q2118*ROUND(N2118,2))</f>
        <v>#DIV/0!</v>
      </c>
      <c r="S2118" s="69" t="e">
        <f>ROUND(P2118,2)*Q2118</f>
        <v>#DIV/0!</v>
      </c>
      <c r="T2118" s="66" t="e">
        <f>Q2118*dagenperjaar1</f>
        <v>#DIV/0!</v>
      </c>
      <c r="U2118" s="70" t="e">
        <f>T2118*ROUND(P2118,2)</f>
        <v>#DIV/0!</v>
      </c>
    </row>
    <row r="2119" spans="1:21" x14ac:dyDescent="0.2">
      <c r="A2119" s="63" t="s">
        <v>2504</v>
      </c>
      <c r="B2119" s="64" t="s">
        <v>324</v>
      </c>
      <c r="C2119" s="64" t="s">
        <v>345</v>
      </c>
      <c r="D2119" s="64" t="s">
        <v>2619</v>
      </c>
      <c r="E2119" s="64" t="s">
        <v>324</v>
      </c>
      <c r="F2119" s="65" t="s">
        <v>457</v>
      </c>
      <c r="G2119" s="64" t="s">
        <v>328</v>
      </c>
      <c r="H2119" s="64" t="s">
        <v>229</v>
      </c>
      <c r="I2119" s="64" t="s">
        <v>10</v>
      </c>
      <c r="J2119" s="64" t="s">
        <v>201</v>
      </c>
      <c r="K2119" s="66">
        <v>19.82</v>
      </c>
      <c r="L2119" s="66">
        <f>K2119*VLOOKUP(I2119,dagsoorttabel1,2,FALSE)</f>
        <v>19.82</v>
      </c>
      <c r="M2119" s="67">
        <f>prodnorm43</f>
        <v>0</v>
      </c>
      <c r="N2119" s="68">
        <f>dagwerk43</f>
        <v>0</v>
      </c>
      <c r="O2119" s="64" t="s">
        <v>38</v>
      </c>
      <c r="P2119" s="69">
        <f>uurtarief43</f>
        <v>0</v>
      </c>
      <c r="Q2119" s="66" t="e">
        <f>IF(ISBLANK(M2119),0,L2119/ROUND(M2119,4))</f>
        <v>#DIV/0!</v>
      </c>
      <c r="R2119" s="66" t="e">
        <f>IF(ISBLANK(M2119),0,Q2119*ROUND(N2119,2))</f>
        <v>#DIV/0!</v>
      </c>
      <c r="S2119" s="69" t="e">
        <f>ROUND(P2119,2)*Q2119</f>
        <v>#DIV/0!</v>
      </c>
      <c r="T2119" s="66" t="e">
        <f>Q2119*dagenperjaar1</f>
        <v>#DIV/0!</v>
      </c>
      <c r="U2119" s="70" t="e">
        <f>T2119*ROUND(P2119,2)</f>
        <v>#DIV/0!</v>
      </c>
    </row>
    <row r="2120" spans="1:21" x14ac:dyDescent="0.2">
      <c r="A2120" s="63" t="s">
        <v>2504</v>
      </c>
      <c r="B2120" s="64" t="s">
        <v>324</v>
      </c>
      <c r="C2120" s="64" t="s">
        <v>345</v>
      </c>
      <c r="D2120" s="64" t="s">
        <v>2620</v>
      </c>
      <c r="E2120" s="64" t="s">
        <v>324</v>
      </c>
      <c r="F2120" s="65" t="s">
        <v>457</v>
      </c>
      <c r="G2120" s="64" t="s">
        <v>328</v>
      </c>
      <c r="H2120" s="64" t="s">
        <v>229</v>
      </c>
      <c r="I2120" s="64" t="s">
        <v>10</v>
      </c>
      <c r="J2120" s="64" t="s">
        <v>201</v>
      </c>
      <c r="K2120" s="66">
        <v>36.590000000000003</v>
      </c>
      <c r="L2120" s="66">
        <f>K2120*VLOOKUP(I2120,dagsoorttabel1,2,FALSE)</f>
        <v>36.590000000000003</v>
      </c>
      <c r="M2120" s="67">
        <f>prodnorm43</f>
        <v>0</v>
      </c>
      <c r="N2120" s="68">
        <f>dagwerk43</f>
        <v>0</v>
      </c>
      <c r="O2120" s="64" t="s">
        <v>38</v>
      </c>
      <c r="P2120" s="69">
        <f>uurtarief43</f>
        <v>0</v>
      </c>
      <c r="Q2120" s="66" t="e">
        <f>IF(ISBLANK(M2120),0,L2120/ROUND(M2120,4))</f>
        <v>#DIV/0!</v>
      </c>
      <c r="R2120" s="66" t="e">
        <f>IF(ISBLANK(M2120),0,Q2120*ROUND(N2120,2))</f>
        <v>#DIV/0!</v>
      </c>
      <c r="S2120" s="69" t="e">
        <f>ROUND(P2120,2)*Q2120</f>
        <v>#DIV/0!</v>
      </c>
      <c r="T2120" s="66" t="e">
        <f>Q2120*dagenperjaar1</f>
        <v>#DIV/0!</v>
      </c>
      <c r="U2120" s="70" t="e">
        <f>T2120*ROUND(P2120,2)</f>
        <v>#DIV/0!</v>
      </c>
    </row>
    <row r="2121" spans="1:21" x14ac:dyDescent="0.2">
      <c r="A2121" s="63" t="s">
        <v>2504</v>
      </c>
      <c r="B2121" s="64" t="s">
        <v>324</v>
      </c>
      <c r="C2121" s="64" t="s">
        <v>345</v>
      </c>
      <c r="D2121" s="64" t="s">
        <v>2621</v>
      </c>
      <c r="E2121" s="64" t="s">
        <v>324</v>
      </c>
      <c r="F2121" s="65" t="s">
        <v>457</v>
      </c>
      <c r="G2121" s="64" t="s">
        <v>328</v>
      </c>
      <c r="H2121" s="64" t="s">
        <v>229</v>
      </c>
      <c r="I2121" s="64" t="s">
        <v>10</v>
      </c>
      <c r="J2121" s="64" t="s">
        <v>201</v>
      </c>
      <c r="K2121" s="66">
        <v>52.3</v>
      </c>
      <c r="L2121" s="66">
        <f>K2121*VLOOKUP(I2121,dagsoorttabel1,2,FALSE)</f>
        <v>52.3</v>
      </c>
      <c r="M2121" s="67">
        <f>prodnorm43</f>
        <v>0</v>
      </c>
      <c r="N2121" s="68">
        <f>dagwerk43</f>
        <v>0</v>
      </c>
      <c r="O2121" s="64" t="s">
        <v>38</v>
      </c>
      <c r="P2121" s="69">
        <f>uurtarief43</f>
        <v>0</v>
      </c>
      <c r="Q2121" s="66" t="e">
        <f>IF(ISBLANK(M2121),0,L2121/ROUND(M2121,4))</f>
        <v>#DIV/0!</v>
      </c>
      <c r="R2121" s="66" t="e">
        <f>IF(ISBLANK(M2121),0,Q2121*ROUND(N2121,2))</f>
        <v>#DIV/0!</v>
      </c>
      <c r="S2121" s="69" t="e">
        <f>ROUND(P2121,2)*Q2121</f>
        <v>#DIV/0!</v>
      </c>
      <c r="T2121" s="66" t="e">
        <f>Q2121*dagenperjaar1</f>
        <v>#DIV/0!</v>
      </c>
      <c r="U2121" s="70" t="e">
        <f>T2121*ROUND(P2121,2)</f>
        <v>#DIV/0!</v>
      </c>
    </row>
    <row r="2122" spans="1:21" x14ac:dyDescent="0.2">
      <c r="A2122" s="63" t="s">
        <v>2504</v>
      </c>
      <c r="B2122" s="64" t="s">
        <v>324</v>
      </c>
      <c r="C2122" s="64" t="s">
        <v>345</v>
      </c>
      <c r="D2122" s="64" t="s">
        <v>2622</v>
      </c>
      <c r="E2122" s="64" t="s">
        <v>324</v>
      </c>
      <c r="F2122" s="65" t="s">
        <v>2623</v>
      </c>
      <c r="G2122" s="64" t="s">
        <v>328</v>
      </c>
      <c r="H2122" s="64" t="s">
        <v>229</v>
      </c>
      <c r="I2122" s="64" t="s">
        <v>10</v>
      </c>
      <c r="J2122" s="64" t="s">
        <v>201</v>
      </c>
      <c r="K2122" s="66">
        <v>16.939999999999998</v>
      </c>
      <c r="L2122" s="66">
        <f>K2122*VLOOKUP(I2122,dagsoorttabel1,2,FALSE)</f>
        <v>16.939999999999998</v>
      </c>
      <c r="M2122" s="67">
        <f>prodnorm43</f>
        <v>0</v>
      </c>
      <c r="N2122" s="68">
        <f>dagwerk43</f>
        <v>0</v>
      </c>
      <c r="O2122" s="64" t="s">
        <v>38</v>
      </c>
      <c r="P2122" s="69">
        <f>uurtarief43</f>
        <v>0</v>
      </c>
      <c r="Q2122" s="66" t="e">
        <f>IF(ISBLANK(M2122),0,L2122/ROUND(M2122,4))</f>
        <v>#DIV/0!</v>
      </c>
      <c r="R2122" s="66" t="e">
        <f>IF(ISBLANK(M2122),0,Q2122*ROUND(N2122,2))</f>
        <v>#DIV/0!</v>
      </c>
      <c r="S2122" s="69" t="e">
        <f>ROUND(P2122,2)*Q2122</f>
        <v>#DIV/0!</v>
      </c>
      <c r="T2122" s="66" t="e">
        <f>Q2122*dagenperjaar1</f>
        <v>#DIV/0!</v>
      </c>
      <c r="U2122" s="70" t="e">
        <f>T2122*ROUND(P2122,2)</f>
        <v>#DIV/0!</v>
      </c>
    </row>
    <row r="2123" spans="1:21" x14ac:dyDescent="0.2">
      <c r="A2123" s="63" t="s">
        <v>2504</v>
      </c>
      <c r="B2123" s="64" t="s">
        <v>324</v>
      </c>
      <c r="C2123" s="64" t="s">
        <v>345</v>
      </c>
      <c r="D2123" s="64" t="s">
        <v>2624</v>
      </c>
      <c r="E2123" s="64" t="s">
        <v>324</v>
      </c>
      <c r="F2123" s="65" t="s">
        <v>2623</v>
      </c>
      <c r="G2123" s="64" t="s">
        <v>328</v>
      </c>
      <c r="H2123" s="64" t="s">
        <v>229</v>
      </c>
      <c r="I2123" s="64" t="s">
        <v>10</v>
      </c>
      <c r="J2123" s="64" t="s">
        <v>201</v>
      </c>
      <c r="K2123" s="66">
        <v>16.939999999999998</v>
      </c>
      <c r="L2123" s="66">
        <f>K2123*VLOOKUP(I2123,dagsoorttabel1,2,FALSE)</f>
        <v>16.939999999999998</v>
      </c>
      <c r="M2123" s="67">
        <f>prodnorm43</f>
        <v>0</v>
      </c>
      <c r="N2123" s="68">
        <f>dagwerk43</f>
        <v>0</v>
      </c>
      <c r="O2123" s="64" t="s">
        <v>38</v>
      </c>
      <c r="P2123" s="69">
        <f>uurtarief43</f>
        <v>0</v>
      </c>
      <c r="Q2123" s="66" t="e">
        <f>IF(ISBLANK(M2123),0,L2123/ROUND(M2123,4))</f>
        <v>#DIV/0!</v>
      </c>
      <c r="R2123" s="66" t="e">
        <f>IF(ISBLANK(M2123),0,Q2123*ROUND(N2123,2))</f>
        <v>#DIV/0!</v>
      </c>
      <c r="S2123" s="69" t="e">
        <f>ROUND(P2123,2)*Q2123</f>
        <v>#DIV/0!</v>
      </c>
      <c r="T2123" s="66" t="e">
        <f>Q2123*dagenperjaar1</f>
        <v>#DIV/0!</v>
      </c>
      <c r="U2123" s="70" t="e">
        <f>T2123*ROUND(P2123,2)</f>
        <v>#DIV/0!</v>
      </c>
    </row>
    <row r="2124" spans="1:21" x14ac:dyDescent="0.2">
      <c r="A2124" s="63" t="s">
        <v>2504</v>
      </c>
      <c r="B2124" s="64" t="s">
        <v>324</v>
      </c>
      <c r="C2124" s="64" t="s">
        <v>345</v>
      </c>
      <c r="D2124" s="64" t="s">
        <v>2625</v>
      </c>
      <c r="E2124" s="64" t="s">
        <v>324</v>
      </c>
      <c r="F2124" s="65" t="s">
        <v>2626</v>
      </c>
      <c r="G2124" s="64" t="s">
        <v>2508</v>
      </c>
      <c r="H2124" s="64" t="s">
        <v>239</v>
      </c>
      <c r="I2124" s="64" t="s">
        <v>10</v>
      </c>
      <c r="J2124" s="64" t="s">
        <v>201</v>
      </c>
      <c r="K2124" s="66">
        <v>96.56</v>
      </c>
      <c r="L2124" s="66">
        <f>K2124*VLOOKUP(I2124,dagsoorttabel1,2,FALSE)</f>
        <v>96.56</v>
      </c>
      <c r="M2124" s="67">
        <f>prodnorm50</f>
        <v>0</v>
      </c>
      <c r="N2124" s="68">
        <f>dagwerk50</f>
        <v>0</v>
      </c>
      <c r="O2124" s="64" t="s">
        <v>38</v>
      </c>
      <c r="P2124" s="69">
        <f>uurtarief50</f>
        <v>0</v>
      </c>
      <c r="Q2124" s="66" t="e">
        <f>IF(ISBLANK(M2124),0,L2124/ROUND(M2124,4))</f>
        <v>#DIV/0!</v>
      </c>
      <c r="R2124" s="66" t="e">
        <f>IF(ISBLANK(M2124),0,Q2124*ROUND(N2124,2))</f>
        <v>#DIV/0!</v>
      </c>
      <c r="S2124" s="69" t="e">
        <f>ROUND(P2124,2)*Q2124</f>
        <v>#DIV/0!</v>
      </c>
      <c r="T2124" s="66" t="e">
        <f>Q2124*dagenperjaar1</f>
        <v>#DIV/0!</v>
      </c>
      <c r="U2124" s="70" t="e">
        <f>T2124*ROUND(P2124,2)</f>
        <v>#DIV/0!</v>
      </c>
    </row>
    <row r="2125" spans="1:21" x14ac:dyDescent="0.2">
      <c r="A2125" s="63" t="s">
        <v>2504</v>
      </c>
      <c r="B2125" s="64" t="s">
        <v>324</v>
      </c>
      <c r="C2125" s="64" t="s">
        <v>345</v>
      </c>
      <c r="D2125" s="64" t="s">
        <v>2627</v>
      </c>
      <c r="E2125" s="64" t="s">
        <v>324</v>
      </c>
      <c r="F2125" s="65" t="s">
        <v>1566</v>
      </c>
      <c r="G2125" s="64" t="s">
        <v>328</v>
      </c>
      <c r="H2125" s="64" t="s">
        <v>239</v>
      </c>
      <c r="I2125" s="64" t="s">
        <v>10</v>
      </c>
      <c r="J2125" s="64" t="s">
        <v>201</v>
      </c>
      <c r="K2125" s="66">
        <v>30.919999999999998</v>
      </c>
      <c r="L2125" s="66">
        <f>K2125*VLOOKUP(I2125,dagsoorttabel1,2,FALSE)</f>
        <v>30.919999999999998</v>
      </c>
      <c r="M2125" s="67">
        <f>prodnorm50</f>
        <v>0</v>
      </c>
      <c r="N2125" s="68">
        <f>dagwerk50</f>
        <v>0</v>
      </c>
      <c r="O2125" s="64" t="s">
        <v>38</v>
      </c>
      <c r="P2125" s="69">
        <f>uurtarief50</f>
        <v>0</v>
      </c>
      <c r="Q2125" s="66" t="e">
        <f>IF(ISBLANK(M2125),0,L2125/ROUND(M2125,4))</f>
        <v>#DIV/0!</v>
      </c>
      <c r="R2125" s="66" t="e">
        <f>IF(ISBLANK(M2125),0,Q2125*ROUND(N2125,2))</f>
        <v>#DIV/0!</v>
      </c>
      <c r="S2125" s="69" t="e">
        <f>ROUND(P2125,2)*Q2125</f>
        <v>#DIV/0!</v>
      </c>
      <c r="T2125" s="66" t="e">
        <f>Q2125*dagenperjaar1</f>
        <v>#DIV/0!</v>
      </c>
      <c r="U2125" s="70" t="e">
        <f>T2125*ROUND(P2125,2)</f>
        <v>#DIV/0!</v>
      </c>
    </row>
    <row r="2126" spans="1:21" x14ac:dyDescent="0.2">
      <c r="A2126" s="63" t="s">
        <v>2504</v>
      </c>
      <c r="B2126" s="64" t="s">
        <v>324</v>
      </c>
      <c r="C2126" s="64" t="s">
        <v>345</v>
      </c>
      <c r="D2126" s="64" t="s">
        <v>2628</v>
      </c>
      <c r="E2126" s="64" t="s">
        <v>324</v>
      </c>
      <c r="F2126" s="65" t="s">
        <v>671</v>
      </c>
      <c r="G2126" s="64" t="s">
        <v>365</v>
      </c>
      <c r="H2126" s="64" t="s">
        <v>255</v>
      </c>
      <c r="I2126" s="64" t="s">
        <v>10</v>
      </c>
      <c r="J2126" s="64" t="s">
        <v>201</v>
      </c>
      <c r="K2126" s="66">
        <v>5.9300000000000006</v>
      </c>
      <c r="L2126" s="66">
        <f>K2126*VLOOKUP(I2126,dagsoorttabel1,2,FALSE)</f>
        <v>5.9300000000000006</v>
      </c>
      <c r="M2126" s="67">
        <f>prodnorm59</f>
        <v>0</v>
      </c>
      <c r="N2126" s="68">
        <f>dagwerk59</f>
        <v>0</v>
      </c>
      <c r="O2126" s="64" t="s">
        <v>38</v>
      </c>
      <c r="P2126" s="69">
        <f>uurtarief59</f>
        <v>0</v>
      </c>
      <c r="Q2126" s="66" t="e">
        <f>IF(ISBLANK(M2126),0,L2126/ROUND(M2126,4))</f>
        <v>#DIV/0!</v>
      </c>
      <c r="R2126" s="66" t="e">
        <f>IF(ISBLANK(M2126),0,Q2126*ROUND(N2126,2))</f>
        <v>#DIV/0!</v>
      </c>
      <c r="S2126" s="69" t="e">
        <f>ROUND(P2126,2)*Q2126</f>
        <v>#DIV/0!</v>
      </c>
      <c r="T2126" s="66" t="e">
        <f>Q2126*dagenperjaar1</f>
        <v>#DIV/0!</v>
      </c>
      <c r="U2126" s="70" t="e">
        <f>T2126*ROUND(P2126,2)</f>
        <v>#DIV/0!</v>
      </c>
    </row>
    <row r="2127" spans="1:21" x14ac:dyDescent="0.2">
      <c r="A2127" s="63" t="s">
        <v>2504</v>
      </c>
      <c r="B2127" s="64" t="s">
        <v>324</v>
      </c>
      <c r="C2127" s="64" t="s">
        <v>345</v>
      </c>
      <c r="D2127" s="64" t="s">
        <v>2629</v>
      </c>
      <c r="E2127" s="64" t="s">
        <v>324</v>
      </c>
      <c r="F2127" s="65" t="s">
        <v>671</v>
      </c>
      <c r="G2127" s="64" t="s">
        <v>365</v>
      </c>
      <c r="H2127" s="64" t="s">
        <v>255</v>
      </c>
      <c r="I2127" s="64" t="s">
        <v>10</v>
      </c>
      <c r="J2127" s="64" t="s">
        <v>201</v>
      </c>
      <c r="K2127" s="66">
        <v>5.9300000000000006</v>
      </c>
      <c r="L2127" s="66">
        <f>K2127*VLOOKUP(I2127,dagsoorttabel1,2,FALSE)</f>
        <v>5.9300000000000006</v>
      </c>
      <c r="M2127" s="67">
        <f>prodnorm59</f>
        <v>0</v>
      </c>
      <c r="N2127" s="68">
        <f>dagwerk59</f>
        <v>0</v>
      </c>
      <c r="O2127" s="64" t="s">
        <v>38</v>
      </c>
      <c r="P2127" s="69">
        <f>uurtarief59</f>
        <v>0</v>
      </c>
      <c r="Q2127" s="66" t="e">
        <f>IF(ISBLANK(M2127),0,L2127/ROUND(M2127,4))</f>
        <v>#DIV/0!</v>
      </c>
      <c r="R2127" s="66" t="e">
        <f>IF(ISBLANK(M2127),0,Q2127*ROUND(N2127,2))</f>
        <v>#DIV/0!</v>
      </c>
      <c r="S2127" s="69" t="e">
        <f>ROUND(P2127,2)*Q2127</f>
        <v>#DIV/0!</v>
      </c>
      <c r="T2127" s="66" t="e">
        <f>Q2127*dagenperjaar1</f>
        <v>#DIV/0!</v>
      </c>
      <c r="U2127" s="70" t="e">
        <f>T2127*ROUND(P2127,2)</f>
        <v>#DIV/0!</v>
      </c>
    </row>
    <row r="2128" spans="1:21" x14ac:dyDescent="0.2">
      <c r="A2128" s="63" t="s">
        <v>2504</v>
      </c>
      <c r="B2128" s="64" t="s">
        <v>324</v>
      </c>
      <c r="C2128" s="64" t="s">
        <v>2630</v>
      </c>
      <c r="D2128" s="64" t="s">
        <v>2631</v>
      </c>
      <c r="E2128" s="64" t="s">
        <v>324</v>
      </c>
      <c r="F2128" s="65" t="s">
        <v>1843</v>
      </c>
      <c r="G2128" s="64" t="s">
        <v>328</v>
      </c>
      <c r="H2128" s="64" t="s">
        <v>205</v>
      </c>
      <c r="I2128" s="64" t="s">
        <v>10</v>
      </c>
      <c r="J2128" s="64" t="s">
        <v>201</v>
      </c>
      <c r="K2128" s="66">
        <v>8.0500000000000007</v>
      </c>
      <c r="L2128" s="66">
        <f>K2128*VLOOKUP(I2128,dagsoorttabel1,2,FALSE)</f>
        <v>8.0500000000000007</v>
      </c>
      <c r="M2128" s="67">
        <f>prodnorm26</f>
        <v>0</v>
      </c>
      <c r="N2128" s="68">
        <f>dagwerk26</f>
        <v>0</v>
      </c>
      <c r="O2128" s="64" t="s">
        <v>38</v>
      </c>
      <c r="P2128" s="69">
        <f>uurtarief26</f>
        <v>0</v>
      </c>
      <c r="Q2128" s="66" t="e">
        <f>IF(ISBLANK(M2128),0,L2128/ROUND(M2128,4))</f>
        <v>#DIV/0!</v>
      </c>
      <c r="R2128" s="66" t="e">
        <f>IF(ISBLANK(M2128),0,Q2128*ROUND(N2128,2))</f>
        <v>#DIV/0!</v>
      </c>
      <c r="S2128" s="69" t="e">
        <f>ROUND(P2128,2)*Q2128</f>
        <v>#DIV/0!</v>
      </c>
      <c r="T2128" s="66" t="e">
        <f>Q2128*dagenperjaar1</f>
        <v>#DIV/0!</v>
      </c>
      <c r="U2128" s="70" t="e">
        <f>T2128*ROUND(P2128,2)</f>
        <v>#DIV/0!</v>
      </c>
    </row>
    <row r="2129" spans="1:21" x14ac:dyDescent="0.2">
      <c r="A2129" s="63" t="s">
        <v>2504</v>
      </c>
      <c r="B2129" s="64" t="s">
        <v>324</v>
      </c>
      <c r="C2129" s="64" t="s">
        <v>2630</v>
      </c>
      <c r="D2129" s="64" t="s">
        <v>2632</v>
      </c>
      <c r="E2129" s="64" t="s">
        <v>324</v>
      </c>
      <c r="F2129" s="65" t="s">
        <v>802</v>
      </c>
      <c r="G2129" s="64" t="s">
        <v>365</v>
      </c>
      <c r="H2129" s="64" t="s">
        <v>255</v>
      </c>
      <c r="I2129" s="64" t="s">
        <v>10</v>
      </c>
      <c r="J2129" s="64" t="s">
        <v>201</v>
      </c>
      <c r="K2129" s="66">
        <v>2.12</v>
      </c>
      <c r="L2129" s="66">
        <f>K2129*VLOOKUP(I2129,dagsoorttabel1,2,FALSE)</f>
        <v>2.12</v>
      </c>
      <c r="M2129" s="67">
        <f>prodnorm59</f>
        <v>0</v>
      </c>
      <c r="N2129" s="68">
        <f>dagwerk59</f>
        <v>0</v>
      </c>
      <c r="O2129" s="64" t="s">
        <v>38</v>
      </c>
      <c r="P2129" s="69">
        <f>uurtarief59</f>
        <v>0</v>
      </c>
      <c r="Q2129" s="66" t="e">
        <f>IF(ISBLANK(M2129),0,L2129/ROUND(M2129,4))</f>
        <v>#DIV/0!</v>
      </c>
      <c r="R2129" s="66" t="e">
        <f>IF(ISBLANK(M2129),0,Q2129*ROUND(N2129,2))</f>
        <v>#DIV/0!</v>
      </c>
      <c r="S2129" s="69" t="e">
        <f>ROUND(P2129,2)*Q2129</f>
        <v>#DIV/0!</v>
      </c>
      <c r="T2129" s="66" t="e">
        <f>Q2129*dagenperjaar1</f>
        <v>#DIV/0!</v>
      </c>
      <c r="U2129" s="70" t="e">
        <f>T2129*ROUND(P2129,2)</f>
        <v>#DIV/0!</v>
      </c>
    </row>
    <row r="2130" spans="1:21" x14ac:dyDescent="0.2">
      <c r="A2130" s="63" t="s">
        <v>2504</v>
      </c>
      <c r="B2130" s="64" t="s">
        <v>324</v>
      </c>
      <c r="C2130" s="64" t="s">
        <v>2630</v>
      </c>
      <c r="D2130" s="64" t="s">
        <v>2633</v>
      </c>
      <c r="E2130" s="64" t="s">
        <v>324</v>
      </c>
      <c r="F2130" s="65" t="s">
        <v>834</v>
      </c>
      <c r="G2130" s="64" t="s">
        <v>328</v>
      </c>
      <c r="H2130" s="64" t="s">
        <v>267</v>
      </c>
      <c r="I2130" s="64" t="s">
        <v>10</v>
      </c>
      <c r="J2130" s="64" t="s">
        <v>201</v>
      </c>
      <c r="K2130" s="66">
        <v>67.760000000000005</v>
      </c>
      <c r="L2130" s="66">
        <f>K2130*VLOOKUP(I2130,dagsoorttabel1,2,FALSE)</f>
        <v>67.760000000000005</v>
      </c>
      <c r="M2130" s="67">
        <f>prodnorm65</f>
        <v>0</v>
      </c>
      <c r="N2130" s="68">
        <f>dagwerk65</f>
        <v>0</v>
      </c>
      <c r="O2130" s="64" t="s">
        <v>38</v>
      </c>
      <c r="P2130" s="69">
        <f>uurtarief65</f>
        <v>0</v>
      </c>
      <c r="Q2130" s="66" t="e">
        <f>IF(ISBLANK(M2130),0,L2130/ROUND(M2130,4))</f>
        <v>#DIV/0!</v>
      </c>
      <c r="R2130" s="66" t="e">
        <f>IF(ISBLANK(M2130),0,Q2130*ROUND(N2130,2))</f>
        <v>#DIV/0!</v>
      </c>
      <c r="S2130" s="69" t="e">
        <f>ROUND(P2130,2)*Q2130</f>
        <v>#DIV/0!</v>
      </c>
      <c r="T2130" s="66" t="e">
        <f>Q2130*dagenperjaar1</f>
        <v>#DIV/0!</v>
      </c>
      <c r="U2130" s="70" t="e">
        <f>T2130*ROUND(P2130,2)</f>
        <v>#DIV/0!</v>
      </c>
    </row>
    <row r="2131" spans="1:21" x14ac:dyDescent="0.2">
      <c r="A2131" s="63" t="s">
        <v>2504</v>
      </c>
      <c r="B2131" s="64" t="s">
        <v>324</v>
      </c>
      <c r="C2131" s="64" t="s">
        <v>2630</v>
      </c>
      <c r="D2131" s="64" t="s">
        <v>2634</v>
      </c>
      <c r="E2131" s="64" t="s">
        <v>324</v>
      </c>
      <c r="F2131" s="65" t="s">
        <v>671</v>
      </c>
      <c r="G2131" s="64" t="s">
        <v>365</v>
      </c>
      <c r="H2131" s="64" t="s">
        <v>255</v>
      </c>
      <c r="I2131" s="64" t="s">
        <v>10</v>
      </c>
      <c r="J2131" s="64" t="s">
        <v>201</v>
      </c>
      <c r="K2131" s="66">
        <v>12.28</v>
      </c>
      <c r="L2131" s="66">
        <f>K2131*VLOOKUP(I2131,dagsoorttabel1,2,FALSE)</f>
        <v>12.28</v>
      </c>
      <c r="M2131" s="67">
        <f>prodnorm59</f>
        <v>0</v>
      </c>
      <c r="N2131" s="68">
        <f>dagwerk59</f>
        <v>0</v>
      </c>
      <c r="O2131" s="64" t="s">
        <v>38</v>
      </c>
      <c r="P2131" s="69">
        <f>uurtarief59</f>
        <v>0</v>
      </c>
      <c r="Q2131" s="66" t="e">
        <f>IF(ISBLANK(M2131),0,L2131/ROUND(M2131,4))</f>
        <v>#DIV/0!</v>
      </c>
      <c r="R2131" s="66" t="e">
        <f>IF(ISBLANK(M2131),0,Q2131*ROUND(N2131,2))</f>
        <v>#DIV/0!</v>
      </c>
      <c r="S2131" s="69" t="e">
        <f>ROUND(P2131,2)*Q2131</f>
        <v>#DIV/0!</v>
      </c>
      <c r="T2131" s="66" t="e">
        <f>Q2131*dagenperjaar1</f>
        <v>#DIV/0!</v>
      </c>
      <c r="U2131" s="70" t="e">
        <f>T2131*ROUND(P2131,2)</f>
        <v>#DIV/0!</v>
      </c>
    </row>
    <row r="2132" spans="1:21" x14ac:dyDescent="0.2">
      <c r="A2132" s="63" t="s">
        <v>2504</v>
      </c>
      <c r="B2132" s="64" t="s">
        <v>324</v>
      </c>
      <c r="C2132" s="64" t="s">
        <v>2630</v>
      </c>
      <c r="D2132" s="64" t="s">
        <v>2635</v>
      </c>
      <c r="E2132" s="64" t="s">
        <v>324</v>
      </c>
      <c r="F2132" s="65" t="s">
        <v>638</v>
      </c>
      <c r="G2132" s="64" t="s">
        <v>2609</v>
      </c>
      <c r="H2132" s="64" t="s">
        <v>263</v>
      </c>
      <c r="I2132" s="64" t="s">
        <v>10</v>
      </c>
      <c r="J2132" s="64" t="s">
        <v>201</v>
      </c>
      <c r="K2132" s="66">
        <v>3.3899999999999997</v>
      </c>
      <c r="L2132" s="66">
        <f>K2132*VLOOKUP(I2132,dagsoorttabel1,2,FALSE)</f>
        <v>3.3899999999999997</v>
      </c>
      <c r="M2132" s="67">
        <f>prodnorm63</f>
        <v>0</v>
      </c>
      <c r="N2132" s="68">
        <f>dagwerk63</f>
        <v>0</v>
      </c>
      <c r="O2132" s="64" t="s">
        <v>38</v>
      </c>
      <c r="P2132" s="69">
        <f>uurtarief63</f>
        <v>0</v>
      </c>
      <c r="Q2132" s="66" t="e">
        <f>IF(ISBLANK(M2132),0,L2132/ROUND(M2132,4))</f>
        <v>#DIV/0!</v>
      </c>
      <c r="R2132" s="66" t="e">
        <f>IF(ISBLANK(M2132),0,Q2132*ROUND(N2132,2))</f>
        <v>#DIV/0!</v>
      </c>
      <c r="S2132" s="69" t="e">
        <f>ROUND(P2132,2)*Q2132</f>
        <v>#DIV/0!</v>
      </c>
      <c r="T2132" s="66" t="e">
        <f>Q2132*dagenperjaar1</f>
        <v>#DIV/0!</v>
      </c>
      <c r="U2132" s="70" t="e">
        <f>T2132*ROUND(P2132,2)</f>
        <v>#DIV/0!</v>
      </c>
    </row>
    <row r="2133" spans="1:21" x14ac:dyDescent="0.2">
      <c r="A2133" s="63" t="s">
        <v>2504</v>
      </c>
      <c r="B2133" s="64" t="s">
        <v>324</v>
      </c>
      <c r="C2133" s="64" t="s">
        <v>323</v>
      </c>
      <c r="D2133" s="64" t="s">
        <v>2636</v>
      </c>
      <c r="E2133" s="64" t="s">
        <v>324</v>
      </c>
      <c r="F2133" s="65" t="s">
        <v>578</v>
      </c>
      <c r="G2133" s="64" t="s">
        <v>328</v>
      </c>
      <c r="H2133" s="64" t="s">
        <v>267</v>
      </c>
      <c r="I2133" s="64" t="s">
        <v>10</v>
      </c>
      <c r="J2133" s="64" t="s">
        <v>201</v>
      </c>
      <c r="K2133" s="66">
        <v>29.14</v>
      </c>
      <c r="L2133" s="66">
        <f>K2133*VLOOKUP(I2133,dagsoorttabel1,2,FALSE)</f>
        <v>29.14</v>
      </c>
      <c r="M2133" s="67">
        <f>prodnorm65</f>
        <v>0</v>
      </c>
      <c r="N2133" s="68">
        <f>dagwerk65</f>
        <v>0</v>
      </c>
      <c r="O2133" s="64" t="s">
        <v>38</v>
      </c>
      <c r="P2133" s="69">
        <f>uurtarief65</f>
        <v>0</v>
      </c>
      <c r="Q2133" s="66" t="e">
        <f>IF(ISBLANK(M2133),0,L2133/ROUND(M2133,4))</f>
        <v>#DIV/0!</v>
      </c>
      <c r="R2133" s="66" t="e">
        <f>IF(ISBLANK(M2133),0,Q2133*ROUND(N2133,2))</f>
        <v>#DIV/0!</v>
      </c>
      <c r="S2133" s="69" t="e">
        <f>ROUND(P2133,2)*Q2133</f>
        <v>#DIV/0!</v>
      </c>
      <c r="T2133" s="66" t="e">
        <f>Q2133*dagenperjaar1</f>
        <v>#DIV/0!</v>
      </c>
      <c r="U2133" s="70" t="e">
        <f>T2133*ROUND(P2133,2)</f>
        <v>#DIV/0!</v>
      </c>
    </row>
    <row r="2134" spans="1:21" x14ac:dyDescent="0.2">
      <c r="A2134" s="63" t="s">
        <v>2504</v>
      </c>
      <c r="B2134" s="64" t="s">
        <v>324</v>
      </c>
      <c r="C2134" s="64" t="s">
        <v>323</v>
      </c>
      <c r="D2134" s="64" t="s">
        <v>2637</v>
      </c>
      <c r="E2134" s="64" t="s">
        <v>324</v>
      </c>
      <c r="F2134" s="65" t="s">
        <v>2638</v>
      </c>
      <c r="G2134" s="64" t="s">
        <v>328</v>
      </c>
      <c r="H2134" s="64" t="s">
        <v>205</v>
      </c>
      <c r="I2134" s="64" t="s">
        <v>10</v>
      </c>
      <c r="J2134" s="64" t="s">
        <v>201</v>
      </c>
      <c r="K2134" s="66">
        <v>55.82</v>
      </c>
      <c r="L2134" s="66">
        <f>K2134*VLOOKUP(I2134,dagsoorttabel1,2,FALSE)</f>
        <v>55.82</v>
      </c>
      <c r="M2134" s="67">
        <f>prodnorm26</f>
        <v>0</v>
      </c>
      <c r="N2134" s="68">
        <f>dagwerk26</f>
        <v>0</v>
      </c>
      <c r="O2134" s="64" t="s">
        <v>38</v>
      </c>
      <c r="P2134" s="69">
        <f>uurtarief26</f>
        <v>0</v>
      </c>
      <c r="Q2134" s="66" t="e">
        <f>IF(ISBLANK(M2134),0,L2134/ROUND(M2134,4))</f>
        <v>#DIV/0!</v>
      </c>
      <c r="R2134" s="66" t="e">
        <f>IF(ISBLANK(M2134),0,Q2134*ROUND(N2134,2))</f>
        <v>#DIV/0!</v>
      </c>
      <c r="S2134" s="69" t="e">
        <f>ROUND(P2134,2)*Q2134</f>
        <v>#DIV/0!</v>
      </c>
      <c r="T2134" s="66" t="e">
        <f>Q2134*dagenperjaar1</f>
        <v>#DIV/0!</v>
      </c>
      <c r="U2134" s="70" t="e">
        <f>T2134*ROUND(P2134,2)</f>
        <v>#DIV/0!</v>
      </c>
    </row>
    <row r="2135" spans="1:21" x14ac:dyDescent="0.2">
      <c r="A2135" s="63" t="s">
        <v>2504</v>
      </c>
      <c r="B2135" s="64" t="s">
        <v>324</v>
      </c>
      <c r="C2135" s="64" t="s">
        <v>323</v>
      </c>
      <c r="D2135" s="64" t="s">
        <v>2639</v>
      </c>
      <c r="E2135" s="64" t="s">
        <v>324</v>
      </c>
      <c r="F2135" s="65" t="s">
        <v>2640</v>
      </c>
      <c r="G2135" s="64" t="s">
        <v>328</v>
      </c>
      <c r="H2135" s="64" t="s">
        <v>215</v>
      </c>
      <c r="I2135" s="64" t="s">
        <v>10</v>
      </c>
      <c r="J2135" s="64" t="s">
        <v>201</v>
      </c>
      <c r="K2135" s="66">
        <v>161.76999999999998</v>
      </c>
      <c r="L2135" s="66">
        <f>K2135*VLOOKUP(I2135,dagsoorttabel1,2,FALSE)</f>
        <v>161.76999999999998</v>
      </c>
      <c r="M2135" s="67">
        <f>prodnorm34</f>
        <v>0</v>
      </c>
      <c r="N2135" s="68">
        <f>dagwerk34</f>
        <v>0</v>
      </c>
      <c r="O2135" s="64" t="s">
        <v>38</v>
      </c>
      <c r="P2135" s="69">
        <f>uurtarief34</f>
        <v>0</v>
      </c>
      <c r="Q2135" s="66" t="e">
        <f>IF(ISBLANK(M2135),0,L2135/ROUND(M2135,4))</f>
        <v>#DIV/0!</v>
      </c>
      <c r="R2135" s="66" t="e">
        <f>IF(ISBLANK(M2135),0,Q2135*ROUND(N2135,2))</f>
        <v>#DIV/0!</v>
      </c>
      <c r="S2135" s="69" t="e">
        <f>ROUND(P2135,2)*Q2135</f>
        <v>#DIV/0!</v>
      </c>
      <c r="T2135" s="66" t="e">
        <f>Q2135*dagenperjaar1</f>
        <v>#DIV/0!</v>
      </c>
      <c r="U2135" s="70" t="e">
        <f>T2135*ROUND(P2135,2)</f>
        <v>#DIV/0!</v>
      </c>
    </row>
    <row r="2136" spans="1:21" x14ac:dyDescent="0.2">
      <c r="A2136" s="63" t="s">
        <v>2504</v>
      </c>
      <c r="B2136" s="64" t="s">
        <v>324</v>
      </c>
      <c r="C2136" s="64" t="s">
        <v>323</v>
      </c>
      <c r="D2136" s="64" t="s">
        <v>2641</v>
      </c>
      <c r="E2136" s="64" t="s">
        <v>324</v>
      </c>
      <c r="F2136" s="65" t="s">
        <v>2516</v>
      </c>
      <c r="G2136" s="64" t="s">
        <v>365</v>
      </c>
      <c r="H2136" s="64" t="s">
        <v>255</v>
      </c>
      <c r="I2136" s="64" t="s">
        <v>10</v>
      </c>
      <c r="J2136" s="64" t="s">
        <v>201</v>
      </c>
      <c r="K2136" s="66">
        <v>4.1499999999999995</v>
      </c>
      <c r="L2136" s="66">
        <f>K2136*VLOOKUP(I2136,dagsoorttabel1,2,FALSE)</f>
        <v>4.1499999999999995</v>
      </c>
      <c r="M2136" s="67">
        <f>prodnorm59</f>
        <v>0</v>
      </c>
      <c r="N2136" s="68">
        <f>dagwerk59</f>
        <v>0</v>
      </c>
      <c r="O2136" s="64" t="s">
        <v>38</v>
      </c>
      <c r="P2136" s="69">
        <f>uurtarief59</f>
        <v>0</v>
      </c>
      <c r="Q2136" s="66" t="e">
        <f>IF(ISBLANK(M2136),0,L2136/ROUND(M2136,4))</f>
        <v>#DIV/0!</v>
      </c>
      <c r="R2136" s="66" t="e">
        <f>IF(ISBLANK(M2136),0,Q2136*ROUND(N2136,2))</f>
        <v>#DIV/0!</v>
      </c>
      <c r="S2136" s="69" t="e">
        <f>ROUND(P2136,2)*Q2136</f>
        <v>#DIV/0!</v>
      </c>
      <c r="T2136" s="66" t="e">
        <f>Q2136*dagenperjaar1</f>
        <v>#DIV/0!</v>
      </c>
      <c r="U2136" s="70" t="e">
        <f>T2136*ROUND(P2136,2)</f>
        <v>#DIV/0!</v>
      </c>
    </row>
    <row r="2137" spans="1:21" x14ac:dyDescent="0.2">
      <c r="A2137" s="63" t="s">
        <v>2504</v>
      </c>
      <c r="B2137" s="64" t="s">
        <v>324</v>
      </c>
      <c r="C2137" s="64" t="s">
        <v>323</v>
      </c>
      <c r="D2137" s="64" t="s">
        <v>2642</v>
      </c>
      <c r="E2137" s="64" t="s">
        <v>324</v>
      </c>
      <c r="F2137" s="65" t="s">
        <v>2516</v>
      </c>
      <c r="G2137" s="64" t="s">
        <v>365</v>
      </c>
      <c r="H2137" s="64" t="s">
        <v>255</v>
      </c>
      <c r="I2137" s="64" t="s">
        <v>10</v>
      </c>
      <c r="J2137" s="64" t="s">
        <v>201</v>
      </c>
      <c r="K2137" s="66">
        <v>4.1499999999999995</v>
      </c>
      <c r="L2137" s="66">
        <f>K2137*VLOOKUP(I2137,dagsoorttabel1,2,FALSE)</f>
        <v>4.1499999999999995</v>
      </c>
      <c r="M2137" s="67">
        <f>prodnorm59</f>
        <v>0</v>
      </c>
      <c r="N2137" s="68">
        <f>dagwerk59</f>
        <v>0</v>
      </c>
      <c r="O2137" s="64" t="s">
        <v>38</v>
      </c>
      <c r="P2137" s="69">
        <f>uurtarief59</f>
        <v>0</v>
      </c>
      <c r="Q2137" s="66" t="e">
        <f>IF(ISBLANK(M2137),0,L2137/ROUND(M2137,4))</f>
        <v>#DIV/0!</v>
      </c>
      <c r="R2137" s="66" t="e">
        <f>IF(ISBLANK(M2137),0,Q2137*ROUND(N2137,2))</f>
        <v>#DIV/0!</v>
      </c>
      <c r="S2137" s="69" t="e">
        <f>ROUND(P2137,2)*Q2137</f>
        <v>#DIV/0!</v>
      </c>
      <c r="T2137" s="66" t="e">
        <f>Q2137*dagenperjaar1</f>
        <v>#DIV/0!</v>
      </c>
      <c r="U2137" s="70" t="e">
        <f>T2137*ROUND(P2137,2)</f>
        <v>#DIV/0!</v>
      </c>
    </row>
    <row r="2138" spans="1:21" x14ac:dyDescent="0.2">
      <c r="A2138" s="63" t="s">
        <v>2504</v>
      </c>
      <c r="B2138" s="64" t="s">
        <v>324</v>
      </c>
      <c r="C2138" s="64" t="s">
        <v>323</v>
      </c>
      <c r="D2138" s="64" t="s">
        <v>2643</v>
      </c>
      <c r="E2138" s="64" t="s">
        <v>324</v>
      </c>
      <c r="F2138" s="65" t="s">
        <v>671</v>
      </c>
      <c r="G2138" s="64" t="s">
        <v>365</v>
      </c>
      <c r="H2138" s="64" t="s">
        <v>255</v>
      </c>
      <c r="I2138" s="64" t="s">
        <v>10</v>
      </c>
      <c r="J2138" s="64" t="s">
        <v>201</v>
      </c>
      <c r="K2138" s="66">
        <v>6.78</v>
      </c>
      <c r="L2138" s="66">
        <f>K2138*VLOOKUP(I2138,dagsoorttabel1,2,FALSE)</f>
        <v>6.78</v>
      </c>
      <c r="M2138" s="67">
        <f>prodnorm59</f>
        <v>0</v>
      </c>
      <c r="N2138" s="68">
        <f>dagwerk59</f>
        <v>0</v>
      </c>
      <c r="O2138" s="64" t="s">
        <v>38</v>
      </c>
      <c r="P2138" s="69">
        <f>uurtarief59</f>
        <v>0</v>
      </c>
      <c r="Q2138" s="66" t="e">
        <f>IF(ISBLANK(M2138),0,L2138/ROUND(M2138,4))</f>
        <v>#DIV/0!</v>
      </c>
      <c r="R2138" s="66" t="e">
        <f>IF(ISBLANK(M2138),0,Q2138*ROUND(N2138,2))</f>
        <v>#DIV/0!</v>
      </c>
      <c r="S2138" s="69" t="e">
        <f>ROUND(P2138,2)*Q2138</f>
        <v>#DIV/0!</v>
      </c>
      <c r="T2138" s="66" t="e">
        <f>Q2138*dagenperjaar1</f>
        <v>#DIV/0!</v>
      </c>
      <c r="U2138" s="70" t="e">
        <f>T2138*ROUND(P2138,2)</f>
        <v>#DIV/0!</v>
      </c>
    </row>
    <row r="2139" spans="1:21" x14ac:dyDescent="0.2">
      <c r="A2139" s="63" t="s">
        <v>2504</v>
      </c>
      <c r="B2139" s="64" t="s">
        <v>324</v>
      </c>
      <c r="C2139" s="64" t="s">
        <v>323</v>
      </c>
      <c r="D2139" s="64" t="s">
        <v>2644</v>
      </c>
      <c r="E2139" s="64" t="s">
        <v>324</v>
      </c>
      <c r="F2139" s="65" t="s">
        <v>671</v>
      </c>
      <c r="G2139" s="64" t="s">
        <v>365</v>
      </c>
      <c r="H2139" s="64" t="s">
        <v>255</v>
      </c>
      <c r="I2139" s="64" t="s">
        <v>10</v>
      </c>
      <c r="J2139" s="64" t="s">
        <v>201</v>
      </c>
      <c r="K2139" s="66">
        <v>6.78</v>
      </c>
      <c r="L2139" s="66">
        <f>K2139*VLOOKUP(I2139,dagsoorttabel1,2,FALSE)</f>
        <v>6.78</v>
      </c>
      <c r="M2139" s="67">
        <f>prodnorm59</f>
        <v>0</v>
      </c>
      <c r="N2139" s="68">
        <f>dagwerk59</f>
        <v>0</v>
      </c>
      <c r="O2139" s="64" t="s">
        <v>38</v>
      </c>
      <c r="P2139" s="69">
        <f>uurtarief59</f>
        <v>0</v>
      </c>
      <c r="Q2139" s="66" t="e">
        <f>IF(ISBLANK(M2139),0,L2139/ROUND(M2139,4))</f>
        <v>#DIV/0!</v>
      </c>
      <c r="R2139" s="66" t="e">
        <f>IF(ISBLANK(M2139),0,Q2139*ROUND(N2139,2))</f>
        <v>#DIV/0!</v>
      </c>
      <c r="S2139" s="69" t="e">
        <f>ROUND(P2139,2)*Q2139</f>
        <v>#DIV/0!</v>
      </c>
      <c r="T2139" s="66" t="e">
        <f>Q2139*dagenperjaar1</f>
        <v>#DIV/0!</v>
      </c>
      <c r="U2139" s="70" t="e">
        <f>T2139*ROUND(P2139,2)</f>
        <v>#DIV/0!</v>
      </c>
    </row>
    <row r="2140" spans="1:21" x14ac:dyDescent="0.2">
      <c r="A2140" s="63" t="s">
        <v>2504</v>
      </c>
      <c r="B2140" s="64" t="s">
        <v>324</v>
      </c>
      <c r="C2140" s="64" t="s">
        <v>323</v>
      </c>
      <c r="D2140" s="64" t="s">
        <v>2645</v>
      </c>
      <c r="E2140" s="64" t="s">
        <v>324</v>
      </c>
      <c r="F2140" s="65" t="s">
        <v>2646</v>
      </c>
      <c r="G2140" s="64" t="s">
        <v>685</v>
      </c>
      <c r="H2140" s="64" t="s">
        <v>217</v>
      </c>
      <c r="I2140" s="64" t="s">
        <v>10</v>
      </c>
      <c r="J2140" s="64" t="s">
        <v>201</v>
      </c>
      <c r="K2140" s="66">
        <v>10.16</v>
      </c>
      <c r="L2140" s="66">
        <f>K2140*VLOOKUP(I2140,dagsoorttabel1,2,FALSE)</f>
        <v>10.16</v>
      </c>
      <c r="M2140" s="67">
        <f>prodnorm35</f>
        <v>0</v>
      </c>
      <c r="N2140" s="68">
        <f>dagwerk35</f>
        <v>0</v>
      </c>
      <c r="O2140" s="64" t="s">
        <v>38</v>
      </c>
      <c r="P2140" s="69">
        <f>uurtarief35</f>
        <v>0</v>
      </c>
      <c r="Q2140" s="66" t="e">
        <f>IF(ISBLANK(M2140),0,L2140/ROUND(M2140,4))</f>
        <v>#DIV/0!</v>
      </c>
      <c r="R2140" s="66" t="e">
        <f>IF(ISBLANK(M2140),0,Q2140*ROUND(N2140,2))</f>
        <v>#DIV/0!</v>
      </c>
      <c r="S2140" s="69" t="e">
        <f>ROUND(P2140,2)*Q2140</f>
        <v>#DIV/0!</v>
      </c>
      <c r="T2140" s="66" t="e">
        <f>Q2140*dagenperjaar1</f>
        <v>#DIV/0!</v>
      </c>
      <c r="U2140" s="70" t="e">
        <f>T2140*ROUND(P2140,2)</f>
        <v>#DIV/0!</v>
      </c>
    </row>
    <row r="2141" spans="1:21" x14ac:dyDescent="0.2">
      <c r="A2141" s="63" t="s">
        <v>2504</v>
      </c>
      <c r="B2141" s="64" t="s">
        <v>324</v>
      </c>
      <c r="C2141" s="64" t="s">
        <v>323</v>
      </c>
      <c r="D2141" s="64" t="s">
        <v>2647</v>
      </c>
      <c r="E2141" s="64" t="s">
        <v>324</v>
      </c>
      <c r="F2141" s="65" t="s">
        <v>2648</v>
      </c>
      <c r="G2141" s="64" t="s">
        <v>328</v>
      </c>
      <c r="H2141" s="64" t="s">
        <v>267</v>
      </c>
      <c r="I2141" s="64" t="s">
        <v>10</v>
      </c>
      <c r="J2141" s="64" t="s">
        <v>201</v>
      </c>
      <c r="K2141" s="66">
        <v>6.35</v>
      </c>
      <c r="L2141" s="66">
        <f>K2141*VLOOKUP(I2141,dagsoorttabel1,2,FALSE)</f>
        <v>6.35</v>
      </c>
      <c r="M2141" s="67">
        <f>prodnorm65</f>
        <v>0</v>
      </c>
      <c r="N2141" s="68">
        <f>dagwerk65</f>
        <v>0</v>
      </c>
      <c r="O2141" s="64" t="s">
        <v>38</v>
      </c>
      <c r="P2141" s="69">
        <f>uurtarief65</f>
        <v>0</v>
      </c>
      <c r="Q2141" s="66" t="e">
        <f>IF(ISBLANK(M2141),0,L2141/ROUND(M2141,4))</f>
        <v>#DIV/0!</v>
      </c>
      <c r="R2141" s="66" t="e">
        <f>IF(ISBLANK(M2141),0,Q2141*ROUND(N2141,2))</f>
        <v>#DIV/0!</v>
      </c>
      <c r="S2141" s="69" t="e">
        <f>ROUND(P2141,2)*Q2141</f>
        <v>#DIV/0!</v>
      </c>
      <c r="T2141" s="66" t="e">
        <f>Q2141*dagenperjaar1</f>
        <v>#DIV/0!</v>
      </c>
      <c r="U2141" s="70" t="e">
        <f>T2141*ROUND(P2141,2)</f>
        <v>#DIV/0!</v>
      </c>
    </row>
    <row r="2142" spans="1:21" x14ac:dyDescent="0.2">
      <c r="A2142" s="63" t="s">
        <v>2504</v>
      </c>
      <c r="B2142" s="64" t="s">
        <v>324</v>
      </c>
      <c r="C2142" s="64" t="s">
        <v>323</v>
      </c>
      <c r="D2142" s="64" t="s">
        <v>2649</v>
      </c>
      <c r="E2142" s="64" t="s">
        <v>324</v>
      </c>
      <c r="F2142" s="65" t="s">
        <v>605</v>
      </c>
      <c r="G2142" s="64" t="s">
        <v>328</v>
      </c>
      <c r="H2142" s="64" t="s">
        <v>200</v>
      </c>
      <c r="I2142" s="64" t="s">
        <v>10</v>
      </c>
      <c r="J2142" s="64" t="s">
        <v>201</v>
      </c>
      <c r="K2142" s="66">
        <v>177.53</v>
      </c>
      <c r="L2142" s="66">
        <f>K2142*VLOOKUP(I2142,dagsoorttabel1,2,FALSE)</f>
        <v>177.53</v>
      </c>
      <c r="M2142" s="67">
        <f>prodnorm24</f>
        <v>0</v>
      </c>
      <c r="N2142" s="68">
        <f>dagwerk24</f>
        <v>0</v>
      </c>
      <c r="O2142" s="64" t="s">
        <v>38</v>
      </c>
      <c r="P2142" s="69">
        <f>uurtarief24</f>
        <v>0</v>
      </c>
      <c r="Q2142" s="66" t="e">
        <f>IF(ISBLANK(M2142),0,L2142/ROUND(M2142,4))</f>
        <v>#DIV/0!</v>
      </c>
      <c r="R2142" s="66" t="e">
        <f>IF(ISBLANK(M2142),0,Q2142*ROUND(N2142,2))</f>
        <v>#DIV/0!</v>
      </c>
      <c r="S2142" s="69" t="e">
        <f>ROUND(P2142,2)*Q2142</f>
        <v>#DIV/0!</v>
      </c>
      <c r="T2142" s="66" t="e">
        <f>Q2142*dagenperjaar1</f>
        <v>#DIV/0!</v>
      </c>
      <c r="U2142" s="70" t="e">
        <f>T2142*ROUND(P2142,2)</f>
        <v>#DIV/0!</v>
      </c>
    </row>
    <row r="2143" spans="1:21" x14ac:dyDescent="0.2">
      <c r="A2143" s="63" t="s">
        <v>2504</v>
      </c>
      <c r="B2143" s="64" t="s">
        <v>324</v>
      </c>
      <c r="C2143" s="64" t="s">
        <v>323</v>
      </c>
      <c r="D2143" s="64" t="s">
        <v>2650</v>
      </c>
      <c r="E2143" s="64" t="s">
        <v>324</v>
      </c>
      <c r="F2143" s="65" t="s">
        <v>834</v>
      </c>
      <c r="G2143" s="64" t="s">
        <v>328</v>
      </c>
      <c r="H2143" s="64" t="s">
        <v>267</v>
      </c>
      <c r="I2143" s="64" t="s">
        <v>10</v>
      </c>
      <c r="J2143" s="64" t="s">
        <v>201</v>
      </c>
      <c r="K2143" s="66">
        <v>91.48</v>
      </c>
      <c r="L2143" s="66">
        <f>K2143*VLOOKUP(I2143,dagsoorttabel1,2,FALSE)</f>
        <v>91.48</v>
      </c>
      <c r="M2143" s="67">
        <f>prodnorm65</f>
        <v>0</v>
      </c>
      <c r="N2143" s="68">
        <f>dagwerk65</f>
        <v>0</v>
      </c>
      <c r="O2143" s="64" t="s">
        <v>38</v>
      </c>
      <c r="P2143" s="69">
        <f>uurtarief65</f>
        <v>0</v>
      </c>
      <c r="Q2143" s="66" t="e">
        <f>IF(ISBLANK(M2143),0,L2143/ROUND(M2143,4))</f>
        <v>#DIV/0!</v>
      </c>
      <c r="R2143" s="66" t="e">
        <f>IF(ISBLANK(M2143),0,Q2143*ROUND(N2143,2))</f>
        <v>#DIV/0!</v>
      </c>
      <c r="S2143" s="69" t="e">
        <f>ROUND(P2143,2)*Q2143</f>
        <v>#DIV/0!</v>
      </c>
      <c r="T2143" s="66" t="e">
        <f>Q2143*dagenperjaar1</f>
        <v>#DIV/0!</v>
      </c>
      <c r="U2143" s="70" t="e">
        <f>T2143*ROUND(P2143,2)</f>
        <v>#DIV/0!</v>
      </c>
    </row>
    <row r="2144" spans="1:21" x14ac:dyDescent="0.2">
      <c r="A2144" s="63" t="s">
        <v>2504</v>
      </c>
      <c r="B2144" s="64" t="s">
        <v>324</v>
      </c>
      <c r="C2144" s="64" t="s">
        <v>323</v>
      </c>
      <c r="D2144" s="64" t="s">
        <v>2611</v>
      </c>
      <c r="E2144" s="64" t="s">
        <v>324</v>
      </c>
      <c r="F2144" s="65" t="s">
        <v>638</v>
      </c>
      <c r="G2144" s="64" t="s">
        <v>2651</v>
      </c>
      <c r="H2144" s="64" t="s">
        <v>263</v>
      </c>
      <c r="I2144" s="64" t="s">
        <v>10</v>
      </c>
      <c r="J2144" s="64" t="s">
        <v>201</v>
      </c>
      <c r="K2144" s="66">
        <v>3.19</v>
      </c>
      <c r="L2144" s="66">
        <f>K2144*VLOOKUP(I2144,dagsoorttabel1,2,FALSE)</f>
        <v>3.19</v>
      </c>
      <c r="M2144" s="67">
        <f>prodnorm63</f>
        <v>0</v>
      </c>
      <c r="N2144" s="68">
        <f>dagwerk63</f>
        <v>0</v>
      </c>
      <c r="O2144" s="64" t="s">
        <v>38</v>
      </c>
      <c r="P2144" s="69">
        <f>uurtarief63</f>
        <v>0</v>
      </c>
      <c r="Q2144" s="66" t="e">
        <f>IF(ISBLANK(M2144),0,L2144/ROUND(M2144,4))</f>
        <v>#DIV/0!</v>
      </c>
      <c r="R2144" s="66" t="e">
        <f>IF(ISBLANK(M2144),0,Q2144*ROUND(N2144,2))</f>
        <v>#DIV/0!</v>
      </c>
      <c r="S2144" s="69" t="e">
        <f>ROUND(P2144,2)*Q2144</f>
        <v>#DIV/0!</v>
      </c>
      <c r="T2144" s="66" t="e">
        <f>Q2144*dagenperjaar1</f>
        <v>#DIV/0!</v>
      </c>
      <c r="U2144" s="70" t="e">
        <f>T2144*ROUND(P2144,2)</f>
        <v>#DIV/0!</v>
      </c>
    </row>
    <row r="2145" spans="1:21" x14ac:dyDescent="0.2">
      <c r="A2145" s="63" t="s">
        <v>2504</v>
      </c>
      <c r="B2145" s="64" t="s">
        <v>324</v>
      </c>
      <c r="C2145" s="64" t="s">
        <v>323</v>
      </c>
      <c r="D2145" s="64" t="s">
        <v>2612</v>
      </c>
      <c r="E2145" s="64" t="s">
        <v>324</v>
      </c>
      <c r="F2145" s="65" t="s">
        <v>638</v>
      </c>
      <c r="G2145" s="64" t="s">
        <v>2609</v>
      </c>
      <c r="H2145" s="64" t="s">
        <v>263</v>
      </c>
      <c r="I2145" s="64" t="s">
        <v>10</v>
      </c>
      <c r="J2145" s="64" t="s">
        <v>201</v>
      </c>
      <c r="K2145" s="66">
        <v>11.43</v>
      </c>
      <c r="L2145" s="66">
        <f>K2145*VLOOKUP(I2145,dagsoorttabel1,2,FALSE)</f>
        <v>11.43</v>
      </c>
      <c r="M2145" s="67">
        <f>prodnorm63</f>
        <v>0</v>
      </c>
      <c r="N2145" s="68">
        <f>dagwerk63</f>
        <v>0</v>
      </c>
      <c r="O2145" s="64" t="s">
        <v>38</v>
      </c>
      <c r="P2145" s="69">
        <f>uurtarief63</f>
        <v>0</v>
      </c>
      <c r="Q2145" s="66" t="e">
        <f>IF(ISBLANK(M2145),0,L2145/ROUND(M2145,4))</f>
        <v>#DIV/0!</v>
      </c>
      <c r="R2145" s="66" t="e">
        <f>IF(ISBLANK(M2145),0,Q2145*ROUND(N2145,2))</f>
        <v>#DIV/0!</v>
      </c>
      <c r="S2145" s="69" t="e">
        <f>ROUND(P2145,2)*Q2145</f>
        <v>#DIV/0!</v>
      </c>
      <c r="T2145" s="66" t="e">
        <f>Q2145*dagenperjaar1</f>
        <v>#DIV/0!</v>
      </c>
      <c r="U2145" s="70" t="e">
        <f>T2145*ROUND(P2145,2)</f>
        <v>#DIV/0!</v>
      </c>
    </row>
    <row r="2146" spans="1:21" x14ac:dyDescent="0.2">
      <c r="A2146" s="63" t="s">
        <v>2504</v>
      </c>
      <c r="B2146" s="64" t="s">
        <v>324</v>
      </c>
      <c r="C2146" s="64" t="s">
        <v>323</v>
      </c>
      <c r="D2146" s="64" t="s">
        <v>2613</v>
      </c>
      <c r="E2146" s="64" t="s">
        <v>324</v>
      </c>
      <c r="F2146" s="65" t="s">
        <v>638</v>
      </c>
      <c r="G2146" s="64" t="s">
        <v>2651</v>
      </c>
      <c r="H2146" s="64" t="s">
        <v>263</v>
      </c>
      <c r="I2146" s="64" t="s">
        <v>10</v>
      </c>
      <c r="J2146" s="64" t="s">
        <v>201</v>
      </c>
      <c r="K2146" s="66">
        <v>6.1</v>
      </c>
      <c r="L2146" s="66">
        <f>K2146*VLOOKUP(I2146,dagsoorttabel1,2,FALSE)</f>
        <v>6.1</v>
      </c>
      <c r="M2146" s="67">
        <f>prodnorm63</f>
        <v>0</v>
      </c>
      <c r="N2146" s="68">
        <f>dagwerk63</f>
        <v>0</v>
      </c>
      <c r="O2146" s="64" t="s">
        <v>38</v>
      </c>
      <c r="P2146" s="69">
        <f>uurtarief63</f>
        <v>0</v>
      </c>
      <c r="Q2146" s="66" t="e">
        <f>IF(ISBLANK(M2146),0,L2146/ROUND(M2146,4))</f>
        <v>#DIV/0!</v>
      </c>
      <c r="R2146" s="66" t="e">
        <f>IF(ISBLANK(M2146),0,Q2146*ROUND(N2146,2))</f>
        <v>#DIV/0!</v>
      </c>
      <c r="S2146" s="69" t="e">
        <f>ROUND(P2146,2)*Q2146</f>
        <v>#DIV/0!</v>
      </c>
      <c r="T2146" s="66" t="e">
        <f>Q2146*dagenperjaar1</f>
        <v>#DIV/0!</v>
      </c>
      <c r="U2146" s="70" t="e">
        <f>T2146*ROUND(P2146,2)</f>
        <v>#DIV/0!</v>
      </c>
    </row>
    <row r="2147" spans="1:21" x14ac:dyDescent="0.2">
      <c r="A2147" s="63" t="s">
        <v>2504</v>
      </c>
      <c r="B2147" s="64" t="s">
        <v>324</v>
      </c>
      <c r="C2147" s="64" t="s">
        <v>323</v>
      </c>
      <c r="D2147" s="64" t="s">
        <v>2635</v>
      </c>
      <c r="E2147" s="64" t="s">
        <v>324</v>
      </c>
      <c r="F2147" s="65" t="s">
        <v>638</v>
      </c>
      <c r="G2147" s="64" t="s">
        <v>2609</v>
      </c>
      <c r="H2147" s="64" t="s">
        <v>263</v>
      </c>
      <c r="I2147" s="64" t="s">
        <v>10</v>
      </c>
      <c r="J2147" s="64" t="s">
        <v>201</v>
      </c>
      <c r="K2147" s="66">
        <v>4.07</v>
      </c>
      <c r="L2147" s="66">
        <f>K2147*VLOOKUP(I2147,dagsoorttabel1,2,FALSE)</f>
        <v>4.07</v>
      </c>
      <c r="M2147" s="67">
        <f>prodnorm63</f>
        <v>0</v>
      </c>
      <c r="N2147" s="68">
        <f>dagwerk63</f>
        <v>0</v>
      </c>
      <c r="O2147" s="64" t="s">
        <v>38</v>
      </c>
      <c r="P2147" s="69">
        <f>uurtarief63</f>
        <v>0</v>
      </c>
      <c r="Q2147" s="66" t="e">
        <f>IF(ISBLANK(M2147),0,L2147/ROUND(M2147,4))</f>
        <v>#DIV/0!</v>
      </c>
      <c r="R2147" s="66" t="e">
        <f>IF(ISBLANK(M2147),0,Q2147*ROUND(N2147,2))</f>
        <v>#DIV/0!</v>
      </c>
      <c r="S2147" s="69" t="e">
        <f>ROUND(P2147,2)*Q2147</f>
        <v>#DIV/0!</v>
      </c>
      <c r="T2147" s="66" t="e">
        <f>Q2147*dagenperjaar1</f>
        <v>#DIV/0!</v>
      </c>
      <c r="U2147" s="70" t="e">
        <f>T2147*ROUND(P2147,2)</f>
        <v>#DIV/0!</v>
      </c>
    </row>
    <row r="2148" spans="1:21" x14ac:dyDescent="0.2">
      <c r="A2148" s="63" t="s">
        <v>2504</v>
      </c>
      <c r="B2148" s="64" t="s">
        <v>324</v>
      </c>
      <c r="C2148" s="64" t="s">
        <v>323</v>
      </c>
      <c r="D2148" s="64" t="s">
        <v>2652</v>
      </c>
      <c r="E2148" s="64" t="s">
        <v>324</v>
      </c>
      <c r="F2148" s="65" t="s">
        <v>638</v>
      </c>
      <c r="G2148" s="64" t="s">
        <v>2508</v>
      </c>
      <c r="H2148" s="64" t="s">
        <v>263</v>
      </c>
      <c r="I2148" s="64" t="s">
        <v>10</v>
      </c>
      <c r="J2148" s="64" t="s">
        <v>201</v>
      </c>
      <c r="K2148" s="66">
        <v>12.709999999999999</v>
      </c>
      <c r="L2148" s="66">
        <f>K2148*VLOOKUP(I2148,dagsoorttabel1,2,FALSE)</f>
        <v>12.709999999999999</v>
      </c>
      <c r="M2148" s="67">
        <f>prodnorm63</f>
        <v>0</v>
      </c>
      <c r="N2148" s="68">
        <f>dagwerk63</f>
        <v>0</v>
      </c>
      <c r="O2148" s="64" t="s">
        <v>38</v>
      </c>
      <c r="P2148" s="69">
        <f>uurtarief63</f>
        <v>0</v>
      </c>
      <c r="Q2148" s="66" t="e">
        <f>IF(ISBLANK(M2148),0,L2148/ROUND(M2148,4))</f>
        <v>#DIV/0!</v>
      </c>
      <c r="R2148" s="66" t="e">
        <f>IF(ISBLANK(M2148),0,Q2148*ROUND(N2148,2))</f>
        <v>#DIV/0!</v>
      </c>
      <c r="S2148" s="69" t="e">
        <f>ROUND(P2148,2)*Q2148</f>
        <v>#DIV/0!</v>
      </c>
      <c r="T2148" s="66" t="e">
        <f>Q2148*dagenperjaar1</f>
        <v>#DIV/0!</v>
      </c>
      <c r="U2148" s="70" t="e">
        <f>T2148*ROUND(P2148,2)</f>
        <v>#DIV/0!</v>
      </c>
    </row>
    <row r="2149" spans="1:21" x14ac:dyDescent="0.2">
      <c r="A2149" s="63" t="s">
        <v>2504</v>
      </c>
      <c r="B2149" s="64" t="s">
        <v>324</v>
      </c>
      <c r="C2149" s="64" t="s">
        <v>323</v>
      </c>
      <c r="D2149" s="64" t="s">
        <v>2653</v>
      </c>
      <c r="E2149" s="64" t="s">
        <v>324</v>
      </c>
      <c r="F2149" s="65" t="s">
        <v>638</v>
      </c>
      <c r="G2149" s="64" t="s">
        <v>2654</v>
      </c>
      <c r="H2149" s="64" t="s">
        <v>263</v>
      </c>
      <c r="I2149" s="64" t="s">
        <v>10</v>
      </c>
      <c r="J2149" s="64" t="s">
        <v>201</v>
      </c>
      <c r="K2149" s="66">
        <v>59.290000000000006</v>
      </c>
      <c r="L2149" s="66">
        <f>K2149*VLOOKUP(I2149,dagsoorttabel1,2,FALSE)</f>
        <v>59.290000000000006</v>
      </c>
      <c r="M2149" s="67">
        <f>prodnorm63</f>
        <v>0</v>
      </c>
      <c r="N2149" s="68">
        <f>dagwerk63</f>
        <v>0</v>
      </c>
      <c r="O2149" s="64" t="s">
        <v>38</v>
      </c>
      <c r="P2149" s="69">
        <f>uurtarief63</f>
        <v>0</v>
      </c>
      <c r="Q2149" s="66" t="e">
        <f>IF(ISBLANK(M2149),0,L2149/ROUND(M2149,4))</f>
        <v>#DIV/0!</v>
      </c>
      <c r="R2149" s="66" t="e">
        <f>IF(ISBLANK(M2149),0,Q2149*ROUND(N2149,2))</f>
        <v>#DIV/0!</v>
      </c>
      <c r="S2149" s="69" t="e">
        <f>ROUND(P2149,2)*Q2149</f>
        <v>#DIV/0!</v>
      </c>
      <c r="T2149" s="66" t="e">
        <f>Q2149*dagenperjaar1</f>
        <v>#DIV/0!</v>
      </c>
      <c r="U2149" s="70" t="e">
        <f>T2149*ROUND(P2149,2)</f>
        <v>#DIV/0!</v>
      </c>
    </row>
    <row r="2150" spans="1:21" x14ac:dyDescent="0.2">
      <c r="A2150" s="63" t="s">
        <v>2504</v>
      </c>
      <c r="B2150" s="64" t="s">
        <v>324</v>
      </c>
      <c r="C2150" s="64" t="s">
        <v>323</v>
      </c>
      <c r="D2150" s="64" t="s">
        <v>2655</v>
      </c>
      <c r="E2150" s="64" t="s">
        <v>324</v>
      </c>
      <c r="F2150" s="65" t="s">
        <v>1566</v>
      </c>
      <c r="G2150" s="64" t="s">
        <v>328</v>
      </c>
      <c r="H2150" s="64" t="s">
        <v>229</v>
      </c>
      <c r="I2150" s="64" t="s">
        <v>10</v>
      </c>
      <c r="J2150" s="64" t="s">
        <v>201</v>
      </c>
      <c r="K2150" s="66">
        <v>141.60999999999999</v>
      </c>
      <c r="L2150" s="66">
        <f>K2150*VLOOKUP(I2150,dagsoorttabel1,2,FALSE)</f>
        <v>141.60999999999999</v>
      </c>
      <c r="M2150" s="67">
        <f>prodnorm43</f>
        <v>0</v>
      </c>
      <c r="N2150" s="68">
        <f>dagwerk43</f>
        <v>0</v>
      </c>
      <c r="O2150" s="64" t="s">
        <v>38</v>
      </c>
      <c r="P2150" s="69">
        <f>uurtarief43</f>
        <v>0</v>
      </c>
      <c r="Q2150" s="66" t="e">
        <f>IF(ISBLANK(M2150),0,L2150/ROUND(M2150,4))</f>
        <v>#DIV/0!</v>
      </c>
      <c r="R2150" s="66" t="e">
        <f>IF(ISBLANK(M2150),0,Q2150*ROUND(N2150,2))</f>
        <v>#DIV/0!</v>
      </c>
      <c r="S2150" s="69" t="e">
        <f>ROUND(P2150,2)*Q2150</f>
        <v>#DIV/0!</v>
      </c>
      <c r="T2150" s="66" t="e">
        <f>Q2150*dagenperjaar1</f>
        <v>#DIV/0!</v>
      </c>
      <c r="U2150" s="70" t="e">
        <f>T2150*ROUND(P2150,2)</f>
        <v>#DIV/0!</v>
      </c>
    </row>
    <row r="2151" spans="1:21" x14ac:dyDescent="0.2">
      <c r="A2151" s="63" t="s">
        <v>2504</v>
      </c>
      <c r="B2151" s="64" t="s">
        <v>324</v>
      </c>
      <c r="C2151" s="64" t="s">
        <v>323</v>
      </c>
      <c r="D2151" s="64" t="s">
        <v>2656</v>
      </c>
      <c r="E2151" s="64" t="s">
        <v>324</v>
      </c>
      <c r="F2151" s="65" t="s">
        <v>457</v>
      </c>
      <c r="G2151" s="64" t="s">
        <v>328</v>
      </c>
      <c r="H2151" s="64" t="s">
        <v>229</v>
      </c>
      <c r="I2151" s="64" t="s">
        <v>10</v>
      </c>
      <c r="J2151" s="64" t="s">
        <v>201</v>
      </c>
      <c r="K2151" s="66">
        <v>44.04</v>
      </c>
      <c r="L2151" s="66">
        <f>K2151*VLOOKUP(I2151,dagsoorttabel1,2,FALSE)</f>
        <v>44.04</v>
      </c>
      <c r="M2151" s="67">
        <f>prodnorm43</f>
        <v>0</v>
      </c>
      <c r="N2151" s="68">
        <f>dagwerk43</f>
        <v>0</v>
      </c>
      <c r="O2151" s="64" t="s">
        <v>38</v>
      </c>
      <c r="P2151" s="69">
        <f>uurtarief43</f>
        <v>0</v>
      </c>
      <c r="Q2151" s="66" t="e">
        <f>IF(ISBLANK(M2151),0,L2151/ROUND(M2151,4))</f>
        <v>#DIV/0!</v>
      </c>
      <c r="R2151" s="66" t="e">
        <f>IF(ISBLANK(M2151),0,Q2151*ROUND(N2151,2))</f>
        <v>#DIV/0!</v>
      </c>
      <c r="S2151" s="69" t="e">
        <f>ROUND(P2151,2)*Q2151</f>
        <v>#DIV/0!</v>
      </c>
      <c r="T2151" s="66" t="e">
        <f>Q2151*dagenperjaar1</f>
        <v>#DIV/0!</v>
      </c>
      <c r="U2151" s="70" t="e">
        <f>T2151*ROUND(P2151,2)</f>
        <v>#DIV/0!</v>
      </c>
    </row>
    <row r="2152" spans="1:21" x14ac:dyDescent="0.2">
      <c r="A2152" s="63" t="s">
        <v>2504</v>
      </c>
      <c r="B2152" s="64" t="s">
        <v>324</v>
      </c>
      <c r="C2152" s="64" t="s">
        <v>323</v>
      </c>
      <c r="D2152" s="64" t="s">
        <v>2657</v>
      </c>
      <c r="E2152" s="64" t="s">
        <v>324</v>
      </c>
      <c r="F2152" s="65" t="s">
        <v>457</v>
      </c>
      <c r="G2152" s="64" t="s">
        <v>328</v>
      </c>
      <c r="H2152" s="64" t="s">
        <v>229</v>
      </c>
      <c r="I2152" s="64" t="s">
        <v>10</v>
      </c>
      <c r="J2152" s="64" t="s">
        <v>201</v>
      </c>
      <c r="K2152" s="66">
        <v>50.65</v>
      </c>
      <c r="L2152" s="66">
        <f>K2152*VLOOKUP(I2152,dagsoorttabel1,2,FALSE)</f>
        <v>50.65</v>
      </c>
      <c r="M2152" s="67">
        <f>prodnorm43</f>
        <v>0</v>
      </c>
      <c r="N2152" s="68">
        <f>dagwerk43</f>
        <v>0</v>
      </c>
      <c r="O2152" s="64" t="s">
        <v>38</v>
      </c>
      <c r="P2152" s="69">
        <f>uurtarief43</f>
        <v>0</v>
      </c>
      <c r="Q2152" s="66" t="e">
        <f>IF(ISBLANK(M2152),0,L2152/ROUND(M2152,4))</f>
        <v>#DIV/0!</v>
      </c>
      <c r="R2152" s="66" t="e">
        <f>IF(ISBLANK(M2152),0,Q2152*ROUND(N2152,2))</f>
        <v>#DIV/0!</v>
      </c>
      <c r="S2152" s="69" t="e">
        <f>ROUND(P2152,2)*Q2152</f>
        <v>#DIV/0!</v>
      </c>
      <c r="T2152" s="66" t="e">
        <f>Q2152*dagenperjaar1</f>
        <v>#DIV/0!</v>
      </c>
      <c r="U2152" s="70" t="e">
        <f>T2152*ROUND(P2152,2)</f>
        <v>#DIV/0!</v>
      </c>
    </row>
    <row r="2153" spans="1:21" x14ac:dyDescent="0.2">
      <c r="A2153" s="63" t="s">
        <v>2504</v>
      </c>
      <c r="B2153" s="64" t="s">
        <v>324</v>
      </c>
      <c r="C2153" s="64" t="s">
        <v>323</v>
      </c>
      <c r="D2153" s="64" t="s">
        <v>2658</v>
      </c>
      <c r="E2153" s="64" t="s">
        <v>324</v>
      </c>
      <c r="F2153" s="65" t="s">
        <v>457</v>
      </c>
      <c r="G2153" s="64" t="s">
        <v>328</v>
      </c>
      <c r="H2153" s="64" t="s">
        <v>229</v>
      </c>
      <c r="I2153" s="64" t="s">
        <v>10</v>
      </c>
      <c r="J2153" s="64" t="s">
        <v>201</v>
      </c>
      <c r="K2153" s="66">
        <v>52.94</v>
      </c>
      <c r="L2153" s="66">
        <f>K2153*VLOOKUP(I2153,dagsoorttabel1,2,FALSE)</f>
        <v>52.94</v>
      </c>
      <c r="M2153" s="67">
        <f>prodnorm43</f>
        <v>0</v>
      </c>
      <c r="N2153" s="68">
        <f>dagwerk43</f>
        <v>0</v>
      </c>
      <c r="O2153" s="64" t="s">
        <v>38</v>
      </c>
      <c r="P2153" s="69">
        <f>uurtarief43</f>
        <v>0</v>
      </c>
      <c r="Q2153" s="66" t="e">
        <f>IF(ISBLANK(M2153),0,L2153/ROUND(M2153,4))</f>
        <v>#DIV/0!</v>
      </c>
      <c r="R2153" s="66" t="e">
        <f>IF(ISBLANK(M2153),0,Q2153*ROUND(N2153,2))</f>
        <v>#DIV/0!</v>
      </c>
      <c r="S2153" s="69" t="e">
        <f>ROUND(P2153,2)*Q2153</f>
        <v>#DIV/0!</v>
      </c>
      <c r="T2153" s="66" t="e">
        <f>Q2153*dagenperjaar1</f>
        <v>#DIV/0!</v>
      </c>
      <c r="U2153" s="70" t="e">
        <f>T2153*ROUND(P2153,2)</f>
        <v>#DIV/0!</v>
      </c>
    </row>
    <row r="2154" spans="1:21" x14ac:dyDescent="0.2">
      <c r="A2154" s="63" t="s">
        <v>2504</v>
      </c>
      <c r="B2154" s="64" t="s">
        <v>324</v>
      </c>
      <c r="C2154" s="64" t="s">
        <v>323</v>
      </c>
      <c r="D2154" s="64" t="s">
        <v>2659</v>
      </c>
      <c r="E2154" s="64" t="s">
        <v>324</v>
      </c>
      <c r="F2154" s="65" t="s">
        <v>457</v>
      </c>
      <c r="G2154" s="64" t="s">
        <v>328</v>
      </c>
      <c r="H2154" s="64" t="s">
        <v>229</v>
      </c>
      <c r="I2154" s="64" t="s">
        <v>10</v>
      </c>
      <c r="J2154" s="64" t="s">
        <v>201</v>
      </c>
      <c r="K2154" s="66">
        <v>36.839999999999996</v>
      </c>
      <c r="L2154" s="66">
        <f>K2154*VLOOKUP(I2154,dagsoorttabel1,2,FALSE)</f>
        <v>36.839999999999996</v>
      </c>
      <c r="M2154" s="67">
        <f>prodnorm43</f>
        <v>0</v>
      </c>
      <c r="N2154" s="68">
        <f>dagwerk43</f>
        <v>0</v>
      </c>
      <c r="O2154" s="64" t="s">
        <v>38</v>
      </c>
      <c r="P2154" s="69">
        <f>uurtarief43</f>
        <v>0</v>
      </c>
      <c r="Q2154" s="66" t="e">
        <f>IF(ISBLANK(M2154),0,L2154/ROUND(M2154,4))</f>
        <v>#DIV/0!</v>
      </c>
      <c r="R2154" s="66" t="e">
        <f>IF(ISBLANK(M2154),0,Q2154*ROUND(N2154,2))</f>
        <v>#DIV/0!</v>
      </c>
      <c r="S2154" s="69" t="e">
        <f>ROUND(P2154,2)*Q2154</f>
        <v>#DIV/0!</v>
      </c>
      <c r="T2154" s="66" t="e">
        <f>Q2154*dagenperjaar1</f>
        <v>#DIV/0!</v>
      </c>
      <c r="U2154" s="70" t="e">
        <f>T2154*ROUND(P2154,2)</f>
        <v>#DIV/0!</v>
      </c>
    </row>
    <row r="2155" spans="1:21" x14ac:dyDescent="0.2">
      <c r="A2155" s="63" t="s">
        <v>2504</v>
      </c>
      <c r="B2155" s="64" t="s">
        <v>324</v>
      </c>
      <c r="C2155" s="64" t="s">
        <v>323</v>
      </c>
      <c r="D2155" s="64" t="s">
        <v>2660</v>
      </c>
      <c r="E2155" s="64" t="s">
        <v>324</v>
      </c>
      <c r="F2155" s="65" t="s">
        <v>457</v>
      </c>
      <c r="G2155" s="64" t="s">
        <v>328</v>
      </c>
      <c r="H2155" s="64" t="s">
        <v>229</v>
      </c>
      <c r="I2155" s="64" t="s">
        <v>10</v>
      </c>
      <c r="J2155" s="64" t="s">
        <v>201</v>
      </c>
      <c r="K2155" s="66">
        <v>48.790000000000006</v>
      </c>
      <c r="L2155" s="66">
        <f>K2155*VLOOKUP(I2155,dagsoorttabel1,2,FALSE)</f>
        <v>48.790000000000006</v>
      </c>
      <c r="M2155" s="67">
        <f>prodnorm43</f>
        <v>0</v>
      </c>
      <c r="N2155" s="68">
        <f>dagwerk43</f>
        <v>0</v>
      </c>
      <c r="O2155" s="64" t="s">
        <v>38</v>
      </c>
      <c r="P2155" s="69">
        <f>uurtarief43</f>
        <v>0</v>
      </c>
      <c r="Q2155" s="66" t="e">
        <f>IF(ISBLANK(M2155),0,L2155/ROUND(M2155,4))</f>
        <v>#DIV/0!</v>
      </c>
      <c r="R2155" s="66" t="e">
        <f>IF(ISBLANK(M2155),0,Q2155*ROUND(N2155,2))</f>
        <v>#DIV/0!</v>
      </c>
      <c r="S2155" s="69" t="e">
        <f>ROUND(P2155,2)*Q2155</f>
        <v>#DIV/0!</v>
      </c>
      <c r="T2155" s="66" t="e">
        <f>Q2155*dagenperjaar1</f>
        <v>#DIV/0!</v>
      </c>
      <c r="U2155" s="70" t="e">
        <f>T2155*ROUND(P2155,2)</f>
        <v>#DIV/0!</v>
      </c>
    </row>
    <row r="2156" spans="1:21" x14ac:dyDescent="0.2">
      <c r="A2156" s="63" t="s">
        <v>2504</v>
      </c>
      <c r="B2156" s="64" t="s">
        <v>324</v>
      </c>
      <c r="C2156" s="64" t="s">
        <v>323</v>
      </c>
      <c r="D2156" s="64" t="s">
        <v>2661</v>
      </c>
      <c r="E2156" s="64" t="s">
        <v>324</v>
      </c>
      <c r="F2156" s="65" t="s">
        <v>457</v>
      </c>
      <c r="G2156" s="64" t="s">
        <v>328</v>
      </c>
      <c r="H2156" s="64" t="s">
        <v>229</v>
      </c>
      <c r="I2156" s="64" t="s">
        <v>10</v>
      </c>
      <c r="J2156" s="64" t="s">
        <v>201</v>
      </c>
      <c r="K2156" s="66">
        <v>59.290000000000006</v>
      </c>
      <c r="L2156" s="66">
        <f>K2156*VLOOKUP(I2156,dagsoorttabel1,2,FALSE)</f>
        <v>59.290000000000006</v>
      </c>
      <c r="M2156" s="67">
        <f>prodnorm43</f>
        <v>0</v>
      </c>
      <c r="N2156" s="68">
        <f>dagwerk43</f>
        <v>0</v>
      </c>
      <c r="O2156" s="64" t="s">
        <v>38</v>
      </c>
      <c r="P2156" s="69">
        <f>uurtarief43</f>
        <v>0</v>
      </c>
      <c r="Q2156" s="66" t="e">
        <f>IF(ISBLANK(M2156),0,L2156/ROUND(M2156,4))</f>
        <v>#DIV/0!</v>
      </c>
      <c r="R2156" s="66" t="e">
        <f>IF(ISBLANK(M2156),0,Q2156*ROUND(N2156,2))</f>
        <v>#DIV/0!</v>
      </c>
      <c r="S2156" s="69" t="e">
        <f>ROUND(P2156,2)*Q2156</f>
        <v>#DIV/0!</v>
      </c>
      <c r="T2156" s="66" t="e">
        <f>Q2156*dagenperjaar1</f>
        <v>#DIV/0!</v>
      </c>
      <c r="U2156" s="70" t="e">
        <f>T2156*ROUND(P2156,2)</f>
        <v>#DIV/0!</v>
      </c>
    </row>
    <row r="2157" spans="1:21" x14ac:dyDescent="0.2">
      <c r="A2157" s="63" t="s">
        <v>2504</v>
      </c>
      <c r="B2157" s="64" t="s">
        <v>324</v>
      </c>
      <c r="C2157" s="64" t="s">
        <v>323</v>
      </c>
      <c r="D2157" s="64" t="s">
        <v>2662</v>
      </c>
      <c r="E2157" s="64" t="s">
        <v>324</v>
      </c>
      <c r="F2157" s="65" t="s">
        <v>457</v>
      </c>
      <c r="G2157" s="64" t="s">
        <v>328</v>
      </c>
      <c r="H2157" s="64" t="s">
        <v>229</v>
      </c>
      <c r="I2157" s="64" t="s">
        <v>10</v>
      </c>
      <c r="J2157" s="64" t="s">
        <v>201</v>
      </c>
      <c r="K2157" s="66">
        <v>46.75</v>
      </c>
      <c r="L2157" s="66">
        <f>K2157*VLOOKUP(I2157,dagsoorttabel1,2,FALSE)</f>
        <v>46.75</v>
      </c>
      <c r="M2157" s="67">
        <f>prodnorm43</f>
        <v>0</v>
      </c>
      <c r="N2157" s="68">
        <f>dagwerk43</f>
        <v>0</v>
      </c>
      <c r="O2157" s="64" t="s">
        <v>38</v>
      </c>
      <c r="P2157" s="69">
        <f>uurtarief43</f>
        <v>0</v>
      </c>
      <c r="Q2157" s="66" t="e">
        <f>IF(ISBLANK(M2157),0,L2157/ROUND(M2157,4))</f>
        <v>#DIV/0!</v>
      </c>
      <c r="R2157" s="66" t="e">
        <f>IF(ISBLANK(M2157),0,Q2157*ROUND(N2157,2))</f>
        <v>#DIV/0!</v>
      </c>
      <c r="S2157" s="69" t="e">
        <f>ROUND(P2157,2)*Q2157</f>
        <v>#DIV/0!</v>
      </c>
      <c r="T2157" s="66" t="e">
        <f>Q2157*dagenperjaar1</f>
        <v>#DIV/0!</v>
      </c>
      <c r="U2157" s="70" t="e">
        <f>T2157*ROUND(P2157,2)</f>
        <v>#DIV/0!</v>
      </c>
    </row>
    <row r="2158" spans="1:21" x14ac:dyDescent="0.2">
      <c r="A2158" s="63" t="s">
        <v>2504</v>
      </c>
      <c r="B2158" s="64" t="s">
        <v>324</v>
      </c>
      <c r="C2158" s="64" t="s">
        <v>323</v>
      </c>
      <c r="D2158" s="64" t="s">
        <v>2663</v>
      </c>
      <c r="E2158" s="64" t="s">
        <v>324</v>
      </c>
      <c r="F2158" s="65" t="s">
        <v>595</v>
      </c>
      <c r="G2158" s="64" t="s">
        <v>328</v>
      </c>
      <c r="H2158" s="64" t="s">
        <v>205</v>
      </c>
      <c r="I2158" s="64" t="s">
        <v>10</v>
      </c>
      <c r="J2158" s="64" t="s">
        <v>201</v>
      </c>
      <c r="K2158" s="66">
        <v>11.860000000000001</v>
      </c>
      <c r="L2158" s="66">
        <f>K2158*VLOOKUP(I2158,dagsoorttabel1,2,FALSE)</f>
        <v>11.860000000000001</v>
      </c>
      <c r="M2158" s="67">
        <f>prodnorm26</f>
        <v>0</v>
      </c>
      <c r="N2158" s="68">
        <f>dagwerk26</f>
        <v>0</v>
      </c>
      <c r="O2158" s="64" t="s">
        <v>38</v>
      </c>
      <c r="P2158" s="69">
        <f>uurtarief26</f>
        <v>0</v>
      </c>
      <c r="Q2158" s="66" t="e">
        <f>IF(ISBLANK(M2158),0,L2158/ROUND(M2158,4))</f>
        <v>#DIV/0!</v>
      </c>
      <c r="R2158" s="66" t="e">
        <f>IF(ISBLANK(M2158),0,Q2158*ROUND(N2158,2))</f>
        <v>#DIV/0!</v>
      </c>
      <c r="S2158" s="69" t="e">
        <f>ROUND(P2158,2)*Q2158</f>
        <v>#DIV/0!</v>
      </c>
      <c r="T2158" s="66" t="e">
        <f>Q2158*dagenperjaar1</f>
        <v>#DIV/0!</v>
      </c>
      <c r="U2158" s="70" t="e">
        <f>T2158*ROUND(P2158,2)</f>
        <v>#DIV/0!</v>
      </c>
    </row>
    <row r="2159" spans="1:21" x14ac:dyDescent="0.2">
      <c r="A2159" s="63" t="s">
        <v>2504</v>
      </c>
      <c r="B2159" s="64" t="s">
        <v>324</v>
      </c>
      <c r="C2159" s="64" t="s">
        <v>323</v>
      </c>
      <c r="D2159" s="64" t="s">
        <v>2664</v>
      </c>
      <c r="E2159" s="64" t="s">
        <v>324</v>
      </c>
      <c r="F2159" s="65" t="s">
        <v>671</v>
      </c>
      <c r="G2159" s="64" t="s">
        <v>365</v>
      </c>
      <c r="H2159" s="64" t="s">
        <v>255</v>
      </c>
      <c r="I2159" s="64" t="s">
        <v>10</v>
      </c>
      <c r="J2159" s="64" t="s">
        <v>201</v>
      </c>
      <c r="K2159" s="66">
        <v>4.24</v>
      </c>
      <c r="L2159" s="66">
        <f>K2159*VLOOKUP(I2159,dagsoorttabel1,2,FALSE)</f>
        <v>4.24</v>
      </c>
      <c r="M2159" s="67">
        <f>prodnorm59</f>
        <v>0</v>
      </c>
      <c r="N2159" s="68">
        <f>dagwerk59</f>
        <v>0</v>
      </c>
      <c r="O2159" s="64" t="s">
        <v>38</v>
      </c>
      <c r="P2159" s="69">
        <f>uurtarief59</f>
        <v>0</v>
      </c>
      <c r="Q2159" s="66" t="e">
        <f>IF(ISBLANK(M2159),0,L2159/ROUND(M2159,4))</f>
        <v>#DIV/0!</v>
      </c>
      <c r="R2159" s="66" t="e">
        <f>IF(ISBLANK(M2159),0,Q2159*ROUND(N2159,2))</f>
        <v>#DIV/0!</v>
      </c>
      <c r="S2159" s="69" t="e">
        <f>ROUND(P2159,2)*Q2159</f>
        <v>#DIV/0!</v>
      </c>
      <c r="T2159" s="66" t="e">
        <f>Q2159*dagenperjaar1</f>
        <v>#DIV/0!</v>
      </c>
      <c r="U2159" s="70" t="e">
        <f>T2159*ROUND(P2159,2)</f>
        <v>#DIV/0!</v>
      </c>
    </row>
    <row r="2160" spans="1:21" x14ac:dyDescent="0.2">
      <c r="A2160" s="63" t="s">
        <v>2504</v>
      </c>
      <c r="B2160" s="64" t="s">
        <v>324</v>
      </c>
      <c r="C2160" s="64" t="s">
        <v>323</v>
      </c>
      <c r="D2160" s="64" t="s">
        <v>2665</v>
      </c>
      <c r="E2160" s="64" t="s">
        <v>324</v>
      </c>
      <c r="F2160" s="65" t="s">
        <v>671</v>
      </c>
      <c r="G2160" s="64" t="s">
        <v>365</v>
      </c>
      <c r="H2160" s="64" t="s">
        <v>255</v>
      </c>
      <c r="I2160" s="64" t="s">
        <v>10</v>
      </c>
      <c r="J2160" s="64" t="s">
        <v>201</v>
      </c>
      <c r="K2160" s="66">
        <v>4.24</v>
      </c>
      <c r="L2160" s="66">
        <f>K2160*VLOOKUP(I2160,dagsoorttabel1,2,FALSE)</f>
        <v>4.24</v>
      </c>
      <c r="M2160" s="67">
        <f>prodnorm59</f>
        <v>0</v>
      </c>
      <c r="N2160" s="68">
        <f>dagwerk59</f>
        <v>0</v>
      </c>
      <c r="O2160" s="64" t="s">
        <v>38</v>
      </c>
      <c r="P2160" s="69">
        <f>uurtarief59</f>
        <v>0</v>
      </c>
      <c r="Q2160" s="66" t="e">
        <f>IF(ISBLANK(M2160),0,L2160/ROUND(M2160,4))</f>
        <v>#DIV/0!</v>
      </c>
      <c r="R2160" s="66" t="e">
        <f>IF(ISBLANK(M2160),0,Q2160*ROUND(N2160,2))</f>
        <v>#DIV/0!</v>
      </c>
      <c r="S2160" s="69" t="e">
        <f>ROUND(P2160,2)*Q2160</f>
        <v>#DIV/0!</v>
      </c>
      <c r="T2160" s="66" t="e">
        <f>Q2160*dagenperjaar1</f>
        <v>#DIV/0!</v>
      </c>
      <c r="U2160" s="70" t="e">
        <f>T2160*ROUND(P2160,2)</f>
        <v>#DIV/0!</v>
      </c>
    </row>
    <row r="2161" spans="1:21" x14ac:dyDescent="0.2">
      <c r="A2161" s="63" t="s">
        <v>2504</v>
      </c>
      <c r="B2161" s="64" t="s">
        <v>324</v>
      </c>
      <c r="C2161" s="64" t="s">
        <v>323</v>
      </c>
      <c r="D2161" s="64" t="s">
        <v>2666</v>
      </c>
      <c r="E2161" s="64" t="s">
        <v>324</v>
      </c>
      <c r="F2161" s="65" t="s">
        <v>1566</v>
      </c>
      <c r="G2161" s="64" t="s">
        <v>328</v>
      </c>
      <c r="H2161" s="64" t="s">
        <v>239</v>
      </c>
      <c r="I2161" s="64" t="s">
        <v>10</v>
      </c>
      <c r="J2161" s="64" t="s">
        <v>201</v>
      </c>
      <c r="K2161" s="66">
        <v>167.03</v>
      </c>
      <c r="L2161" s="66">
        <f>K2161*VLOOKUP(I2161,dagsoorttabel1,2,FALSE)</f>
        <v>167.03</v>
      </c>
      <c r="M2161" s="67">
        <f>prodnorm50</f>
        <v>0</v>
      </c>
      <c r="N2161" s="68">
        <f>dagwerk50</f>
        <v>0</v>
      </c>
      <c r="O2161" s="64" t="s">
        <v>38</v>
      </c>
      <c r="P2161" s="69">
        <f>uurtarief50</f>
        <v>0</v>
      </c>
      <c r="Q2161" s="66" t="e">
        <f>IF(ISBLANK(M2161),0,L2161/ROUND(M2161,4))</f>
        <v>#DIV/0!</v>
      </c>
      <c r="R2161" s="66" t="e">
        <f>IF(ISBLANK(M2161),0,Q2161*ROUND(N2161,2))</f>
        <v>#DIV/0!</v>
      </c>
      <c r="S2161" s="69" t="e">
        <f>ROUND(P2161,2)*Q2161</f>
        <v>#DIV/0!</v>
      </c>
      <c r="T2161" s="66" t="e">
        <f>Q2161*dagenperjaar1</f>
        <v>#DIV/0!</v>
      </c>
      <c r="U2161" s="70" t="e">
        <f>T2161*ROUND(P2161,2)</f>
        <v>#DIV/0!</v>
      </c>
    </row>
    <row r="2162" spans="1:21" x14ac:dyDescent="0.2">
      <c r="A2162" s="63" t="s">
        <v>2504</v>
      </c>
      <c r="B2162" s="64" t="s">
        <v>324</v>
      </c>
      <c r="C2162" s="64" t="s">
        <v>323</v>
      </c>
      <c r="D2162" s="64" t="s">
        <v>2667</v>
      </c>
      <c r="E2162" s="64" t="s">
        <v>324</v>
      </c>
      <c r="F2162" s="65" t="s">
        <v>2623</v>
      </c>
      <c r="G2162" s="64" t="s">
        <v>328</v>
      </c>
      <c r="H2162" s="64" t="s">
        <v>229</v>
      </c>
      <c r="I2162" s="64" t="s">
        <v>10</v>
      </c>
      <c r="J2162" s="64" t="s">
        <v>201</v>
      </c>
      <c r="K2162" s="66">
        <v>52.51</v>
      </c>
      <c r="L2162" s="66">
        <f>K2162*VLOOKUP(I2162,dagsoorttabel1,2,FALSE)</f>
        <v>52.51</v>
      </c>
      <c r="M2162" s="67">
        <f>prodnorm43</f>
        <v>0</v>
      </c>
      <c r="N2162" s="68">
        <f>dagwerk43</f>
        <v>0</v>
      </c>
      <c r="O2162" s="64" t="s">
        <v>38</v>
      </c>
      <c r="P2162" s="69">
        <f>uurtarief43</f>
        <v>0</v>
      </c>
      <c r="Q2162" s="66" t="e">
        <f>IF(ISBLANK(M2162),0,L2162/ROUND(M2162,4))</f>
        <v>#DIV/0!</v>
      </c>
      <c r="R2162" s="66" t="e">
        <f>IF(ISBLANK(M2162),0,Q2162*ROUND(N2162,2))</f>
        <v>#DIV/0!</v>
      </c>
      <c r="S2162" s="69" t="e">
        <f>ROUND(P2162,2)*Q2162</f>
        <v>#DIV/0!</v>
      </c>
      <c r="T2162" s="66" t="e">
        <f>Q2162*dagenperjaar1</f>
        <v>#DIV/0!</v>
      </c>
      <c r="U2162" s="70" t="e">
        <f>T2162*ROUND(P2162,2)</f>
        <v>#DIV/0!</v>
      </c>
    </row>
    <row r="2163" spans="1:21" x14ac:dyDescent="0.2">
      <c r="A2163" s="63" t="s">
        <v>2504</v>
      </c>
      <c r="B2163" s="64" t="s">
        <v>324</v>
      </c>
      <c r="C2163" s="64" t="s">
        <v>323</v>
      </c>
      <c r="D2163" s="64" t="s">
        <v>2668</v>
      </c>
      <c r="E2163" s="64" t="s">
        <v>324</v>
      </c>
      <c r="F2163" s="65" t="s">
        <v>457</v>
      </c>
      <c r="G2163" s="64" t="s">
        <v>328</v>
      </c>
      <c r="H2163" s="64" t="s">
        <v>229</v>
      </c>
      <c r="I2163" s="64" t="s">
        <v>10</v>
      </c>
      <c r="J2163" s="64" t="s">
        <v>201</v>
      </c>
      <c r="K2163" s="66">
        <v>51.54</v>
      </c>
      <c r="L2163" s="66">
        <f>K2163*VLOOKUP(I2163,dagsoorttabel1,2,FALSE)</f>
        <v>51.54</v>
      </c>
      <c r="M2163" s="67">
        <f>prodnorm43</f>
        <v>0</v>
      </c>
      <c r="N2163" s="68">
        <f>dagwerk43</f>
        <v>0</v>
      </c>
      <c r="O2163" s="64" t="s">
        <v>38</v>
      </c>
      <c r="P2163" s="69">
        <f>uurtarief43</f>
        <v>0</v>
      </c>
      <c r="Q2163" s="66" t="e">
        <f>IF(ISBLANK(M2163),0,L2163/ROUND(M2163,4))</f>
        <v>#DIV/0!</v>
      </c>
      <c r="R2163" s="66" t="e">
        <f>IF(ISBLANK(M2163),0,Q2163*ROUND(N2163,2))</f>
        <v>#DIV/0!</v>
      </c>
      <c r="S2163" s="69" t="e">
        <f>ROUND(P2163,2)*Q2163</f>
        <v>#DIV/0!</v>
      </c>
      <c r="T2163" s="66" t="e">
        <f>Q2163*dagenperjaar1</f>
        <v>#DIV/0!</v>
      </c>
      <c r="U2163" s="70" t="e">
        <f>T2163*ROUND(P2163,2)</f>
        <v>#DIV/0!</v>
      </c>
    </row>
    <row r="2164" spans="1:21" x14ac:dyDescent="0.2">
      <c r="A2164" s="63" t="s">
        <v>2504</v>
      </c>
      <c r="B2164" s="64" t="s">
        <v>324</v>
      </c>
      <c r="C2164" s="64" t="s">
        <v>323</v>
      </c>
      <c r="D2164" s="64" t="s">
        <v>2669</v>
      </c>
      <c r="E2164" s="64" t="s">
        <v>324</v>
      </c>
      <c r="F2164" s="65" t="s">
        <v>457</v>
      </c>
      <c r="G2164" s="64" t="s">
        <v>328</v>
      </c>
      <c r="H2164" s="64" t="s">
        <v>229</v>
      </c>
      <c r="I2164" s="64" t="s">
        <v>10</v>
      </c>
      <c r="J2164" s="64" t="s">
        <v>201</v>
      </c>
      <c r="K2164" s="66">
        <v>50.82</v>
      </c>
      <c r="L2164" s="66">
        <f>K2164*VLOOKUP(I2164,dagsoorttabel1,2,FALSE)</f>
        <v>50.82</v>
      </c>
      <c r="M2164" s="67">
        <f>prodnorm43</f>
        <v>0</v>
      </c>
      <c r="N2164" s="68">
        <f>dagwerk43</f>
        <v>0</v>
      </c>
      <c r="O2164" s="64" t="s">
        <v>38</v>
      </c>
      <c r="P2164" s="69">
        <f>uurtarief43</f>
        <v>0</v>
      </c>
      <c r="Q2164" s="66" t="e">
        <f>IF(ISBLANK(M2164),0,L2164/ROUND(M2164,4))</f>
        <v>#DIV/0!</v>
      </c>
      <c r="R2164" s="66" t="e">
        <f>IF(ISBLANK(M2164),0,Q2164*ROUND(N2164,2))</f>
        <v>#DIV/0!</v>
      </c>
      <c r="S2164" s="69" t="e">
        <f>ROUND(P2164,2)*Q2164</f>
        <v>#DIV/0!</v>
      </c>
      <c r="T2164" s="66" t="e">
        <f>Q2164*dagenperjaar1</f>
        <v>#DIV/0!</v>
      </c>
      <c r="U2164" s="70" t="e">
        <f>T2164*ROUND(P2164,2)</f>
        <v>#DIV/0!</v>
      </c>
    </row>
    <row r="2165" spans="1:21" x14ac:dyDescent="0.2">
      <c r="A2165" s="63" t="s">
        <v>2504</v>
      </c>
      <c r="B2165" s="64" t="s">
        <v>324</v>
      </c>
      <c r="C2165" s="64" t="s">
        <v>323</v>
      </c>
      <c r="D2165" s="64" t="s">
        <v>2670</v>
      </c>
      <c r="E2165" s="64" t="s">
        <v>324</v>
      </c>
      <c r="F2165" s="65" t="s">
        <v>457</v>
      </c>
      <c r="G2165" s="64" t="s">
        <v>328</v>
      </c>
      <c r="H2165" s="64" t="s">
        <v>229</v>
      </c>
      <c r="I2165" s="64" t="s">
        <v>10</v>
      </c>
      <c r="J2165" s="64" t="s">
        <v>201</v>
      </c>
      <c r="K2165" s="66">
        <v>52.51</v>
      </c>
      <c r="L2165" s="66">
        <f>K2165*VLOOKUP(I2165,dagsoorttabel1,2,FALSE)</f>
        <v>52.51</v>
      </c>
      <c r="M2165" s="67">
        <f>prodnorm43</f>
        <v>0</v>
      </c>
      <c r="N2165" s="68">
        <f>dagwerk43</f>
        <v>0</v>
      </c>
      <c r="O2165" s="64" t="s">
        <v>38</v>
      </c>
      <c r="P2165" s="69">
        <f>uurtarief43</f>
        <v>0</v>
      </c>
      <c r="Q2165" s="66" t="e">
        <f>IF(ISBLANK(M2165),0,L2165/ROUND(M2165,4))</f>
        <v>#DIV/0!</v>
      </c>
      <c r="R2165" s="66" t="e">
        <f>IF(ISBLANK(M2165),0,Q2165*ROUND(N2165,2))</f>
        <v>#DIV/0!</v>
      </c>
      <c r="S2165" s="69" t="e">
        <f>ROUND(P2165,2)*Q2165</f>
        <v>#DIV/0!</v>
      </c>
      <c r="T2165" s="66" t="e">
        <f>Q2165*dagenperjaar1</f>
        <v>#DIV/0!</v>
      </c>
      <c r="U2165" s="70" t="e">
        <f>T2165*ROUND(P2165,2)</f>
        <v>#DIV/0!</v>
      </c>
    </row>
    <row r="2166" spans="1:21" x14ac:dyDescent="0.2">
      <c r="A2166" s="63" t="s">
        <v>2504</v>
      </c>
      <c r="B2166" s="64" t="s">
        <v>324</v>
      </c>
      <c r="C2166" s="64" t="s">
        <v>323</v>
      </c>
      <c r="D2166" s="64" t="s">
        <v>2671</v>
      </c>
      <c r="E2166" s="64" t="s">
        <v>324</v>
      </c>
      <c r="F2166" s="65" t="s">
        <v>457</v>
      </c>
      <c r="G2166" s="64" t="s">
        <v>328</v>
      </c>
      <c r="H2166" s="64" t="s">
        <v>229</v>
      </c>
      <c r="I2166" s="64" t="s">
        <v>10</v>
      </c>
      <c r="J2166" s="64" t="s">
        <v>201</v>
      </c>
      <c r="K2166" s="66">
        <v>48.7</v>
      </c>
      <c r="L2166" s="66">
        <f>K2166*VLOOKUP(I2166,dagsoorttabel1,2,FALSE)</f>
        <v>48.7</v>
      </c>
      <c r="M2166" s="67">
        <f>prodnorm43</f>
        <v>0</v>
      </c>
      <c r="N2166" s="68">
        <f>dagwerk43</f>
        <v>0</v>
      </c>
      <c r="O2166" s="64" t="s">
        <v>38</v>
      </c>
      <c r="P2166" s="69">
        <f>uurtarief43</f>
        <v>0</v>
      </c>
      <c r="Q2166" s="66" t="e">
        <f>IF(ISBLANK(M2166),0,L2166/ROUND(M2166,4))</f>
        <v>#DIV/0!</v>
      </c>
      <c r="R2166" s="66" t="e">
        <f>IF(ISBLANK(M2166),0,Q2166*ROUND(N2166,2))</f>
        <v>#DIV/0!</v>
      </c>
      <c r="S2166" s="69" t="e">
        <f>ROUND(P2166,2)*Q2166</f>
        <v>#DIV/0!</v>
      </c>
      <c r="T2166" s="66" t="e">
        <f>Q2166*dagenperjaar1</f>
        <v>#DIV/0!</v>
      </c>
      <c r="U2166" s="70" t="e">
        <f>T2166*ROUND(P2166,2)</f>
        <v>#DIV/0!</v>
      </c>
    </row>
    <row r="2167" spans="1:21" x14ac:dyDescent="0.2">
      <c r="A2167" s="63" t="s">
        <v>2504</v>
      </c>
      <c r="B2167" s="64" t="s">
        <v>324</v>
      </c>
      <c r="C2167" s="64" t="s">
        <v>323</v>
      </c>
      <c r="D2167" s="64" t="s">
        <v>2672</v>
      </c>
      <c r="E2167" s="64" t="s">
        <v>324</v>
      </c>
      <c r="F2167" s="65" t="s">
        <v>457</v>
      </c>
      <c r="G2167" s="64" t="s">
        <v>328</v>
      </c>
      <c r="H2167" s="64" t="s">
        <v>229</v>
      </c>
      <c r="I2167" s="64" t="s">
        <v>10</v>
      </c>
      <c r="J2167" s="64" t="s">
        <v>201</v>
      </c>
      <c r="K2167" s="66">
        <v>67.55</v>
      </c>
      <c r="L2167" s="66">
        <f>K2167*VLOOKUP(I2167,dagsoorttabel1,2,FALSE)</f>
        <v>67.55</v>
      </c>
      <c r="M2167" s="67">
        <f>prodnorm43</f>
        <v>0</v>
      </c>
      <c r="N2167" s="68">
        <f>dagwerk43</f>
        <v>0</v>
      </c>
      <c r="O2167" s="64" t="s">
        <v>38</v>
      </c>
      <c r="P2167" s="69">
        <f>uurtarief43</f>
        <v>0</v>
      </c>
      <c r="Q2167" s="66" t="e">
        <f>IF(ISBLANK(M2167),0,L2167/ROUND(M2167,4))</f>
        <v>#DIV/0!</v>
      </c>
      <c r="R2167" s="66" t="e">
        <f>IF(ISBLANK(M2167),0,Q2167*ROUND(N2167,2))</f>
        <v>#DIV/0!</v>
      </c>
      <c r="S2167" s="69" t="e">
        <f>ROUND(P2167,2)*Q2167</f>
        <v>#DIV/0!</v>
      </c>
      <c r="T2167" s="66" t="e">
        <f>Q2167*dagenperjaar1</f>
        <v>#DIV/0!</v>
      </c>
      <c r="U2167" s="70" t="e">
        <f>T2167*ROUND(P2167,2)</f>
        <v>#DIV/0!</v>
      </c>
    </row>
    <row r="2168" spans="1:21" x14ac:dyDescent="0.2">
      <c r="A2168" s="63" t="s">
        <v>2504</v>
      </c>
      <c r="B2168" s="64" t="s">
        <v>324</v>
      </c>
      <c r="C2168" s="64" t="s">
        <v>323</v>
      </c>
      <c r="D2168" s="64" t="s">
        <v>2673</v>
      </c>
      <c r="E2168" s="64" t="s">
        <v>324</v>
      </c>
      <c r="F2168" s="65" t="s">
        <v>2623</v>
      </c>
      <c r="G2168" s="64" t="s">
        <v>328</v>
      </c>
      <c r="H2168" s="64" t="s">
        <v>229</v>
      </c>
      <c r="I2168" s="64" t="s">
        <v>10</v>
      </c>
      <c r="J2168" s="64" t="s">
        <v>201</v>
      </c>
      <c r="K2168" s="66">
        <v>52.51</v>
      </c>
      <c r="L2168" s="66">
        <f>K2168*VLOOKUP(I2168,dagsoorttabel1,2,FALSE)</f>
        <v>52.51</v>
      </c>
      <c r="M2168" s="67">
        <f>prodnorm43</f>
        <v>0</v>
      </c>
      <c r="N2168" s="68">
        <f>dagwerk43</f>
        <v>0</v>
      </c>
      <c r="O2168" s="64" t="s">
        <v>38</v>
      </c>
      <c r="P2168" s="69">
        <f>uurtarief43</f>
        <v>0</v>
      </c>
      <c r="Q2168" s="66" t="e">
        <f>IF(ISBLANK(M2168),0,L2168/ROUND(M2168,4))</f>
        <v>#DIV/0!</v>
      </c>
      <c r="R2168" s="66" t="e">
        <f>IF(ISBLANK(M2168),0,Q2168*ROUND(N2168,2))</f>
        <v>#DIV/0!</v>
      </c>
      <c r="S2168" s="69" t="e">
        <f>ROUND(P2168,2)*Q2168</f>
        <v>#DIV/0!</v>
      </c>
      <c r="T2168" s="66" t="e">
        <f>Q2168*dagenperjaar1</f>
        <v>#DIV/0!</v>
      </c>
      <c r="U2168" s="70" t="e">
        <f>T2168*ROUND(P2168,2)</f>
        <v>#DIV/0!</v>
      </c>
    </row>
    <row r="2169" spans="1:21" x14ac:dyDescent="0.2">
      <c r="A2169" s="63" t="s">
        <v>2504</v>
      </c>
      <c r="B2169" s="64" t="s">
        <v>324</v>
      </c>
      <c r="C2169" s="64" t="s">
        <v>323</v>
      </c>
      <c r="D2169" s="64" t="s">
        <v>2674</v>
      </c>
      <c r="E2169" s="64" t="s">
        <v>324</v>
      </c>
      <c r="F2169" s="65" t="s">
        <v>595</v>
      </c>
      <c r="G2169" s="64" t="s">
        <v>328</v>
      </c>
      <c r="H2169" s="64" t="s">
        <v>205</v>
      </c>
      <c r="I2169" s="64" t="s">
        <v>10</v>
      </c>
      <c r="J2169" s="64" t="s">
        <v>201</v>
      </c>
      <c r="K2169" s="66">
        <v>21.6</v>
      </c>
      <c r="L2169" s="66">
        <f>K2169*VLOOKUP(I2169,dagsoorttabel1,2,FALSE)</f>
        <v>21.6</v>
      </c>
      <c r="M2169" s="67">
        <f>prodnorm26</f>
        <v>0</v>
      </c>
      <c r="N2169" s="68">
        <f>dagwerk26</f>
        <v>0</v>
      </c>
      <c r="O2169" s="64" t="s">
        <v>38</v>
      </c>
      <c r="P2169" s="69">
        <f>uurtarief26</f>
        <v>0</v>
      </c>
      <c r="Q2169" s="66" t="e">
        <f>IF(ISBLANK(M2169),0,L2169/ROUND(M2169,4))</f>
        <v>#DIV/0!</v>
      </c>
      <c r="R2169" s="66" t="e">
        <f>IF(ISBLANK(M2169),0,Q2169*ROUND(N2169,2))</f>
        <v>#DIV/0!</v>
      </c>
      <c r="S2169" s="69" t="e">
        <f>ROUND(P2169,2)*Q2169</f>
        <v>#DIV/0!</v>
      </c>
      <c r="T2169" s="66" t="e">
        <f>Q2169*dagenperjaar1</f>
        <v>#DIV/0!</v>
      </c>
      <c r="U2169" s="70" t="e">
        <f>T2169*ROUND(P2169,2)</f>
        <v>#DIV/0!</v>
      </c>
    </row>
    <row r="2170" spans="1:21" x14ac:dyDescent="0.2">
      <c r="A2170" s="63" t="s">
        <v>2504</v>
      </c>
      <c r="B2170" s="64" t="s">
        <v>324</v>
      </c>
      <c r="C2170" s="64" t="s">
        <v>323</v>
      </c>
      <c r="D2170" s="64" t="s">
        <v>2675</v>
      </c>
      <c r="E2170" s="64" t="s">
        <v>324</v>
      </c>
      <c r="F2170" s="65" t="s">
        <v>595</v>
      </c>
      <c r="G2170" s="64" t="s">
        <v>328</v>
      </c>
      <c r="H2170" s="64" t="s">
        <v>205</v>
      </c>
      <c r="I2170" s="64" t="s">
        <v>10</v>
      </c>
      <c r="J2170" s="64" t="s">
        <v>201</v>
      </c>
      <c r="K2170" s="66">
        <v>10.16</v>
      </c>
      <c r="L2170" s="66">
        <f>K2170*VLOOKUP(I2170,dagsoorttabel1,2,FALSE)</f>
        <v>10.16</v>
      </c>
      <c r="M2170" s="67">
        <f>prodnorm26</f>
        <v>0</v>
      </c>
      <c r="N2170" s="68">
        <f>dagwerk26</f>
        <v>0</v>
      </c>
      <c r="O2170" s="64" t="s">
        <v>38</v>
      </c>
      <c r="P2170" s="69">
        <f>uurtarief26</f>
        <v>0</v>
      </c>
      <c r="Q2170" s="66" t="e">
        <f>IF(ISBLANK(M2170),0,L2170/ROUND(M2170,4))</f>
        <v>#DIV/0!</v>
      </c>
      <c r="R2170" s="66" t="e">
        <f>IF(ISBLANK(M2170),0,Q2170*ROUND(N2170,2))</f>
        <v>#DIV/0!</v>
      </c>
      <c r="S2170" s="69" t="e">
        <f>ROUND(P2170,2)*Q2170</f>
        <v>#DIV/0!</v>
      </c>
      <c r="T2170" s="66" t="e">
        <f>Q2170*dagenperjaar1</f>
        <v>#DIV/0!</v>
      </c>
      <c r="U2170" s="70" t="e">
        <f>T2170*ROUND(P2170,2)</f>
        <v>#DIV/0!</v>
      </c>
    </row>
    <row r="2171" spans="1:21" x14ac:dyDescent="0.2">
      <c r="A2171" s="63" t="s">
        <v>2504</v>
      </c>
      <c r="B2171" s="64" t="s">
        <v>324</v>
      </c>
      <c r="C2171" s="64" t="s">
        <v>323</v>
      </c>
      <c r="D2171" s="64" t="s">
        <v>2676</v>
      </c>
      <c r="E2171" s="64" t="s">
        <v>324</v>
      </c>
      <c r="F2171" s="65" t="s">
        <v>2677</v>
      </c>
      <c r="G2171" s="64" t="s">
        <v>328</v>
      </c>
      <c r="H2171" s="64" t="s">
        <v>267</v>
      </c>
      <c r="I2171" s="64" t="s">
        <v>10</v>
      </c>
      <c r="J2171" s="64" t="s">
        <v>201</v>
      </c>
      <c r="K2171" s="66">
        <v>37.520000000000003</v>
      </c>
      <c r="L2171" s="66">
        <f>K2171*VLOOKUP(I2171,dagsoorttabel1,2,FALSE)</f>
        <v>37.520000000000003</v>
      </c>
      <c r="M2171" s="67">
        <f>prodnorm65</f>
        <v>0</v>
      </c>
      <c r="N2171" s="68">
        <f>dagwerk65</f>
        <v>0</v>
      </c>
      <c r="O2171" s="64" t="s">
        <v>38</v>
      </c>
      <c r="P2171" s="69">
        <f>uurtarief65</f>
        <v>0</v>
      </c>
      <c r="Q2171" s="66" t="e">
        <f>IF(ISBLANK(M2171),0,L2171/ROUND(M2171,4))</f>
        <v>#DIV/0!</v>
      </c>
      <c r="R2171" s="66" t="e">
        <f>IF(ISBLANK(M2171),0,Q2171*ROUND(N2171,2))</f>
        <v>#DIV/0!</v>
      </c>
      <c r="S2171" s="69" t="e">
        <f>ROUND(P2171,2)*Q2171</f>
        <v>#DIV/0!</v>
      </c>
      <c r="T2171" s="66" t="e">
        <f>Q2171*dagenperjaar1</f>
        <v>#DIV/0!</v>
      </c>
      <c r="U2171" s="70" t="e">
        <f>T2171*ROUND(P2171,2)</f>
        <v>#DIV/0!</v>
      </c>
    </row>
    <row r="2172" spans="1:21" x14ac:dyDescent="0.2">
      <c r="A2172" s="63" t="s">
        <v>2504</v>
      </c>
      <c r="B2172" s="64" t="s">
        <v>324</v>
      </c>
      <c r="C2172" s="64" t="s">
        <v>323</v>
      </c>
      <c r="D2172" s="64" t="s">
        <v>2678</v>
      </c>
      <c r="E2172" s="64" t="s">
        <v>324</v>
      </c>
      <c r="F2172" s="65" t="s">
        <v>671</v>
      </c>
      <c r="G2172" s="64" t="s">
        <v>365</v>
      </c>
      <c r="H2172" s="64" t="s">
        <v>255</v>
      </c>
      <c r="I2172" s="64" t="s">
        <v>10</v>
      </c>
      <c r="J2172" s="64" t="s">
        <v>201</v>
      </c>
      <c r="K2172" s="66">
        <v>6.78</v>
      </c>
      <c r="L2172" s="66">
        <f>K2172*VLOOKUP(I2172,dagsoorttabel1,2,FALSE)</f>
        <v>6.78</v>
      </c>
      <c r="M2172" s="67">
        <f>prodnorm59</f>
        <v>0</v>
      </c>
      <c r="N2172" s="68">
        <f>dagwerk59</f>
        <v>0</v>
      </c>
      <c r="O2172" s="64" t="s">
        <v>38</v>
      </c>
      <c r="P2172" s="69">
        <f>uurtarief59</f>
        <v>0</v>
      </c>
      <c r="Q2172" s="66" t="e">
        <f>IF(ISBLANK(M2172),0,L2172/ROUND(M2172,4))</f>
        <v>#DIV/0!</v>
      </c>
      <c r="R2172" s="66" t="e">
        <f>IF(ISBLANK(M2172),0,Q2172*ROUND(N2172,2))</f>
        <v>#DIV/0!</v>
      </c>
      <c r="S2172" s="69" t="e">
        <f>ROUND(P2172,2)*Q2172</f>
        <v>#DIV/0!</v>
      </c>
      <c r="T2172" s="66" t="e">
        <f>Q2172*dagenperjaar1</f>
        <v>#DIV/0!</v>
      </c>
      <c r="U2172" s="70" t="e">
        <f>T2172*ROUND(P2172,2)</f>
        <v>#DIV/0!</v>
      </c>
    </row>
    <row r="2173" spans="1:21" x14ac:dyDescent="0.2">
      <c r="A2173" s="63" t="s">
        <v>2504</v>
      </c>
      <c r="B2173" s="64" t="s">
        <v>324</v>
      </c>
      <c r="C2173" s="64" t="s">
        <v>323</v>
      </c>
      <c r="D2173" s="64" t="s">
        <v>2679</v>
      </c>
      <c r="E2173" s="64" t="s">
        <v>324</v>
      </c>
      <c r="F2173" s="65" t="s">
        <v>671</v>
      </c>
      <c r="G2173" s="64" t="s">
        <v>365</v>
      </c>
      <c r="H2173" s="64" t="s">
        <v>255</v>
      </c>
      <c r="I2173" s="64" t="s">
        <v>10</v>
      </c>
      <c r="J2173" s="64" t="s">
        <v>201</v>
      </c>
      <c r="K2173" s="66">
        <v>6.78</v>
      </c>
      <c r="L2173" s="66">
        <f>K2173*VLOOKUP(I2173,dagsoorttabel1,2,FALSE)</f>
        <v>6.78</v>
      </c>
      <c r="M2173" s="67">
        <f>prodnorm59</f>
        <v>0</v>
      </c>
      <c r="N2173" s="68">
        <f>dagwerk59</f>
        <v>0</v>
      </c>
      <c r="O2173" s="64" t="s">
        <v>38</v>
      </c>
      <c r="P2173" s="69">
        <f>uurtarief59</f>
        <v>0</v>
      </c>
      <c r="Q2173" s="66" t="e">
        <f>IF(ISBLANK(M2173),0,L2173/ROUND(M2173,4))</f>
        <v>#DIV/0!</v>
      </c>
      <c r="R2173" s="66" t="e">
        <f>IF(ISBLANK(M2173),0,Q2173*ROUND(N2173,2))</f>
        <v>#DIV/0!</v>
      </c>
      <c r="S2173" s="69" t="e">
        <f>ROUND(P2173,2)*Q2173</f>
        <v>#DIV/0!</v>
      </c>
      <c r="T2173" s="66" t="e">
        <f>Q2173*dagenperjaar1</f>
        <v>#DIV/0!</v>
      </c>
      <c r="U2173" s="70" t="e">
        <f>T2173*ROUND(P2173,2)</f>
        <v>#DIV/0!</v>
      </c>
    </row>
    <row r="2174" spans="1:21" x14ac:dyDescent="0.2">
      <c r="A2174" s="63" t="s">
        <v>2504</v>
      </c>
      <c r="B2174" s="64" t="s">
        <v>324</v>
      </c>
      <c r="C2174" s="64" t="s">
        <v>323</v>
      </c>
      <c r="D2174" s="64" t="s">
        <v>2680</v>
      </c>
      <c r="E2174" s="64" t="s">
        <v>324</v>
      </c>
      <c r="F2174" s="65" t="s">
        <v>2623</v>
      </c>
      <c r="G2174" s="64" t="s">
        <v>328</v>
      </c>
      <c r="H2174" s="64" t="s">
        <v>229</v>
      </c>
      <c r="I2174" s="64" t="s">
        <v>10</v>
      </c>
      <c r="J2174" s="64" t="s">
        <v>201</v>
      </c>
      <c r="K2174" s="66">
        <v>12.2</v>
      </c>
      <c r="L2174" s="66">
        <f>K2174*VLOOKUP(I2174,dagsoorttabel1,2,FALSE)</f>
        <v>12.2</v>
      </c>
      <c r="M2174" s="67">
        <f>prodnorm43</f>
        <v>0</v>
      </c>
      <c r="N2174" s="68">
        <f>dagwerk43</f>
        <v>0</v>
      </c>
      <c r="O2174" s="64" t="s">
        <v>38</v>
      </c>
      <c r="P2174" s="69">
        <f>uurtarief43</f>
        <v>0</v>
      </c>
      <c r="Q2174" s="66" t="e">
        <f>IF(ISBLANK(M2174),0,L2174/ROUND(M2174,4))</f>
        <v>#DIV/0!</v>
      </c>
      <c r="R2174" s="66" t="e">
        <f>IF(ISBLANK(M2174),0,Q2174*ROUND(N2174,2))</f>
        <v>#DIV/0!</v>
      </c>
      <c r="S2174" s="69" t="e">
        <f>ROUND(P2174,2)*Q2174</f>
        <v>#DIV/0!</v>
      </c>
      <c r="T2174" s="66" t="e">
        <f>Q2174*dagenperjaar1</f>
        <v>#DIV/0!</v>
      </c>
      <c r="U2174" s="70" t="e">
        <f>T2174*ROUND(P2174,2)</f>
        <v>#DIV/0!</v>
      </c>
    </row>
    <row r="2175" spans="1:21" x14ac:dyDescent="0.2">
      <c r="A2175" s="63" t="s">
        <v>2504</v>
      </c>
      <c r="B2175" s="64" t="s">
        <v>324</v>
      </c>
      <c r="C2175" s="64" t="s">
        <v>323</v>
      </c>
      <c r="D2175" s="64" t="s">
        <v>2680</v>
      </c>
      <c r="E2175" s="64" t="s">
        <v>324</v>
      </c>
      <c r="F2175" s="65" t="s">
        <v>335</v>
      </c>
      <c r="G2175" s="64" t="s">
        <v>328</v>
      </c>
      <c r="H2175" s="64" t="s">
        <v>267</v>
      </c>
      <c r="I2175" s="64" t="s">
        <v>10</v>
      </c>
      <c r="J2175" s="64" t="s">
        <v>201</v>
      </c>
      <c r="K2175" s="66">
        <v>23.72</v>
      </c>
      <c r="L2175" s="66">
        <f>K2175*VLOOKUP(I2175,dagsoorttabel1,2,FALSE)</f>
        <v>23.72</v>
      </c>
      <c r="M2175" s="67">
        <f>prodnorm65</f>
        <v>0</v>
      </c>
      <c r="N2175" s="68">
        <f>dagwerk65</f>
        <v>0</v>
      </c>
      <c r="O2175" s="64" t="s">
        <v>38</v>
      </c>
      <c r="P2175" s="69">
        <f>uurtarief65</f>
        <v>0</v>
      </c>
      <c r="Q2175" s="66" t="e">
        <f>IF(ISBLANK(M2175),0,L2175/ROUND(M2175,4))</f>
        <v>#DIV/0!</v>
      </c>
      <c r="R2175" s="66" t="e">
        <f>IF(ISBLANK(M2175),0,Q2175*ROUND(N2175,2))</f>
        <v>#DIV/0!</v>
      </c>
      <c r="S2175" s="69" t="e">
        <f>ROUND(P2175,2)*Q2175</f>
        <v>#DIV/0!</v>
      </c>
      <c r="T2175" s="66" t="e">
        <f>Q2175*dagenperjaar1</f>
        <v>#DIV/0!</v>
      </c>
      <c r="U2175" s="70" t="e">
        <f>T2175*ROUND(P2175,2)</f>
        <v>#DIV/0!</v>
      </c>
    </row>
    <row r="2176" spans="1:21" x14ac:dyDescent="0.2">
      <c r="A2176" s="63" t="s">
        <v>2504</v>
      </c>
      <c r="B2176" s="64" t="s">
        <v>324</v>
      </c>
      <c r="C2176" s="64" t="s">
        <v>472</v>
      </c>
      <c r="D2176" s="64" t="s">
        <v>2681</v>
      </c>
      <c r="E2176" s="64" t="s">
        <v>324</v>
      </c>
      <c r="F2176" s="65" t="s">
        <v>2586</v>
      </c>
      <c r="G2176" s="64" t="s">
        <v>2508</v>
      </c>
      <c r="H2176" s="64" t="s">
        <v>267</v>
      </c>
      <c r="I2176" s="64" t="s">
        <v>10</v>
      </c>
      <c r="J2176" s="64" t="s">
        <v>201</v>
      </c>
      <c r="K2176" s="66">
        <v>13.55</v>
      </c>
      <c r="L2176" s="66">
        <f>K2176*VLOOKUP(I2176,dagsoorttabel1,2,FALSE)</f>
        <v>13.55</v>
      </c>
      <c r="M2176" s="67">
        <f>prodnorm65</f>
        <v>0</v>
      </c>
      <c r="N2176" s="68">
        <f>dagwerk65</f>
        <v>0</v>
      </c>
      <c r="O2176" s="64" t="s">
        <v>38</v>
      </c>
      <c r="P2176" s="69">
        <f>uurtarief65</f>
        <v>0</v>
      </c>
      <c r="Q2176" s="66" t="e">
        <f>IF(ISBLANK(M2176),0,L2176/ROUND(M2176,4))</f>
        <v>#DIV/0!</v>
      </c>
      <c r="R2176" s="66" t="e">
        <f>IF(ISBLANK(M2176),0,Q2176*ROUND(N2176,2))</f>
        <v>#DIV/0!</v>
      </c>
      <c r="S2176" s="69" t="e">
        <f>ROUND(P2176,2)*Q2176</f>
        <v>#DIV/0!</v>
      </c>
      <c r="T2176" s="66" t="e">
        <f>Q2176*dagenperjaar1</f>
        <v>#DIV/0!</v>
      </c>
      <c r="U2176" s="70" t="e">
        <f>T2176*ROUND(P2176,2)</f>
        <v>#DIV/0!</v>
      </c>
    </row>
    <row r="2177" spans="1:21" x14ac:dyDescent="0.2">
      <c r="A2177" s="63" t="s">
        <v>2504</v>
      </c>
      <c r="B2177" s="64" t="s">
        <v>324</v>
      </c>
      <c r="C2177" s="64" t="s">
        <v>472</v>
      </c>
      <c r="D2177" s="64" t="s">
        <v>2682</v>
      </c>
      <c r="E2177" s="64" t="s">
        <v>324</v>
      </c>
      <c r="F2177" s="65" t="s">
        <v>834</v>
      </c>
      <c r="G2177" s="64" t="s">
        <v>2508</v>
      </c>
      <c r="H2177" s="64" t="s">
        <v>267</v>
      </c>
      <c r="I2177" s="64" t="s">
        <v>10</v>
      </c>
      <c r="J2177" s="64" t="s">
        <v>201</v>
      </c>
      <c r="K2177" s="66">
        <v>171</v>
      </c>
      <c r="L2177" s="66">
        <f>K2177*VLOOKUP(I2177,dagsoorttabel1,2,FALSE)</f>
        <v>171</v>
      </c>
      <c r="M2177" s="67">
        <f>prodnorm65</f>
        <v>0</v>
      </c>
      <c r="N2177" s="68">
        <f>dagwerk65</f>
        <v>0</v>
      </c>
      <c r="O2177" s="64" t="s">
        <v>38</v>
      </c>
      <c r="P2177" s="69">
        <f>uurtarief65</f>
        <v>0</v>
      </c>
      <c r="Q2177" s="66" t="e">
        <f>IF(ISBLANK(M2177),0,L2177/ROUND(M2177,4))</f>
        <v>#DIV/0!</v>
      </c>
      <c r="R2177" s="66" t="e">
        <f>IF(ISBLANK(M2177),0,Q2177*ROUND(N2177,2))</f>
        <v>#DIV/0!</v>
      </c>
      <c r="S2177" s="69" t="e">
        <f>ROUND(P2177,2)*Q2177</f>
        <v>#DIV/0!</v>
      </c>
      <c r="T2177" s="66" t="e">
        <f>Q2177*dagenperjaar1</f>
        <v>#DIV/0!</v>
      </c>
      <c r="U2177" s="70" t="e">
        <f>T2177*ROUND(P2177,2)</f>
        <v>#DIV/0!</v>
      </c>
    </row>
    <row r="2178" spans="1:21" x14ac:dyDescent="0.2">
      <c r="A2178" s="63" t="s">
        <v>2504</v>
      </c>
      <c r="B2178" s="64" t="s">
        <v>324</v>
      </c>
      <c r="C2178" s="64" t="s">
        <v>472</v>
      </c>
      <c r="D2178" s="64" t="s">
        <v>2683</v>
      </c>
      <c r="E2178" s="64" t="s">
        <v>324</v>
      </c>
      <c r="F2178" s="65" t="s">
        <v>327</v>
      </c>
      <c r="G2178" s="64" t="s">
        <v>328</v>
      </c>
      <c r="H2178" s="64" t="s">
        <v>223</v>
      </c>
      <c r="I2178" s="64" t="s">
        <v>10</v>
      </c>
      <c r="J2178" s="64" t="s">
        <v>201</v>
      </c>
      <c r="K2178" s="66">
        <v>2.3899999999999997</v>
      </c>
      <c r="L2178" s="66">
        <f>K2178*VLOOKUP(I2178,dagsoorttabel1,2,FALSE)</f>
        <v>2.3899999999999997</v>
      </c>
      <c r="M2178" s="67">
        <f>prodnorm39</f>
        <v>0</v>
      </c>
      <c r="N2178" s="68">
        <f>dagwerk39</f>
        <v>0</v>
      </c>
      <c r="O2178" s="64" t="s">
        <v>38</v>
      </c>
      <c r="P2178" s="69">
        <f>uurtarief39</f>
        <v>0</v>
      </c>
      <c r="Q2178" s="66" t="e">
        <f>IF(ISBLANK(M2178),0,L2178/ROUND(M2178,4))</f>
        <v>#DIV/0!</v>
      </c>
      <c r="R2178" s="66" t="e">
        <f>IF(ISBLANK(M2178),0,Q2178*ROUND(N2178,2))</f>
        <v>#DIV/0!</v>
      </c>
      <c r="S2178" s="69" t="e">
        <f>ROUND(P2178,2)*Q2178</f>
        <v>#DIV/0!</v>
      </c>
      <c r="T2178" s="66" t="e">
        <f>Q2178*dagenperjaar1</f>
        <v>#DIV/0!</v>
      </c>
      <c r="U2178" s="70" t="e">
        <f>T2178*ROUND(P2178,2)</f>
        <v>#DIV/0!</v>
      </c>
    </row>
    <row r="2179" spans="1:21" x14ac:dyDescent="0.2">
      <c r="A2179" s="63" t="s">
        <v>2504</v>
      </c>
      <c r="B2179" s="64" t="s">
        <v>324</v>
      </c>
      <c r="C2179" s="64" t="s">
        <v>472</v>
      </c>
      <c r="D2179" s="64" t="s">
        <v>2684</v>
      </c>
      <c r="E2179" s="64" t="s">
        <v>324</v>
      </c>
      <c r="F2179" s="65" t="s">
        <v>381</v>
      </c>
      <c r="G2179" s="64" t="s">
        <v>328</v>
      </c>
      <c r="H2179" s="64" t="s">
        <v>205</v>
      </c>
      <c r="I2179" s="64" t="s">
        <v>10</v>
      </c>
      <c r="J2179" s="64" t="s">
        <v>201</v>
      </c>
      <c r="K2179" s="66">
        <v>55.06</v>
      </c>
      <c r="L2179" s="66">
        <f>K2179*VLOOKUP(I2179,dagsoorttabel1,2,FALSE)</f>
        <v>55.06</v>
      </c>
      <c r="M2179" s="67">
        <f>prodnorm26</f>
        <v>0</v>
      </c>
      <c r="N2179" s="68">
        <f>dagwerk26</f>
        <v>0</v>
      </c>
      <c r="O2179" s="64" t="s">
        <v>38</v>
      </c>
      <c r="P2179" s="69">
        <f>uurtarief26</f>
        <v>0</v>
      </c>
      <c r="Q2179" s="66" t="e">
        <f>IF(ISBLANK(M2179),0,L2179/ROUND(M2179,4))</f>
        <v>#DIV/0!</v>
      </c>
      <c r="R2179" s="66" t="e">
        <f>IF(ISBLANK(M2179),0,Q2179*ROUND(N2179,2))</f>
        <v>#DIV/0!</v>
      </c>
      <c r="S2179" s="69" t="e">
        <f>ROUND(P2179,2)*Q2179</f>
        <v>#DIV/0!</v>
      </c>
      <c r="T2179" s="66" t="e">
        <f>Q2179*dagenperjaar1</f>
        <v>#DIV/0!</v>
      </c>
      <c r="U2179" s="70" t="e">
        <f>T2179*ROUND(P2179,2)</f>
        <v>#DIV/0!</v>
      </c>
    </row>
    <row r="2180" spans="1:21" x14ac:dyDescent="0.2">
      <c r="A2180" s="63" t="s">
        <v>2504</v>
      </c>
      <c r="B2180" s="64" t="s">
        <v>324</v>
      </c>
      <c r="C2180" s="64" t="s">
        <v>472</v>
      </c>
      <c r="D2180" s="64" t="s">
        <v>2685</v>
      </c>
      <c r="E2180" s="64" t="s">
        <v>324</v>
      </c>
      <c r="F2180" s="65" t="s">
        <v>632</v>
      </c>
      <c r="G2180" s="64" t="s">
        <v>328</v>
      </c>
      <c r="H2180" s="64" t="s">
        <v>205</v>
      </c>
      <c r="I2180" s="64" t="s">
        <v>10</v>
      </c>
      <c r="J2180" s="64" t="s">
        <v>201</v>
      </c>
      <c r="K2180" s="66">
        <v>36.93</v>
      </c>
      <c r="L2180" s="66">
        <f>K2180*VLOOKUP(I2180,dagsoorttabel1,2,FALSE)</f>
        <v>36.93</v>
      </c>
      <c r="M2180" s="67">
        <f>prodnorm26</f>
        <v>0</v>
      </c>
      <c r="N2180" s="68">
        <f>dagwerk26</f>
        <v>0</v>
      </c>
      <c r="O2180" s="64" t="s">
        <v>38</v>
      </c>
      <c r="P2180" s="69">
        <f>uurtarief26</f>
        <v>0</v>
      </c>
      <c r="Q2180" s="66" t="e">
        <f>IF(ISBLANK(M2180),0,L2180/ROUND(M2180,4))</f>
        <v>#DIV/0!</v>
      </c>
      <c r="R2180" s="66" t="e">
        <f>IF(ISBLANK(M2180),0,Q2180*ROUND(N2180,2))</f>
        <v>#DIV/0!</v>
      </c>
      <c r="S2180" s="69" t="e">
        <f>ROUND(P2180,2)*Q2180</f>
        <v>#DIV/0!</v>
      </c>
      <c r="T2180" s="66" t="e">
        <f>Q2180*dagenperjaar1</f>
        <v>#DIV/0!</v>
      </c>
      <c r="U2180" s="70" t="e">
        <f>T2180*ROUND(P2180,2)</f>
        <v>#DIV/0!</v>
      </c>
    </row>
    <row r="2181" spans="1:21" x14ac:dyDescent="0.2">
      <c r="A2181" s="63" t="s">
        <v>2504</v>
      </c>
      <c r="B2181" s="64" t="s">
        <v>324</v>
      </c>
      <c r="C2181" s="64" t="s">
        <v>472</v>
      </c>
      <c r="D2181" s="64" t="s">
        <v>2686</v>
      </c>
      <c r="E2181" s="64" t="s">
        <v>324</v>
      </c>
      <c r="F2181" s="65" t="s">
        <v>2687</v>
      </c>
      <c r="G2181" s="64" t="s">
        <v>328</v>
      </c>
      <c r="H2181" s="64" t="s">
        <v>267</v>
      </c>
      <c r="I2181" s="64" t="s">
        <v>10</v>
      </c>
      <c r="J2181" s="64" t="s">
        <v>201</v>
      </c>
      <c r="K2181" s="66">
        <v>11.01</v>
      </c>
      <c r="L2181" s="66">
        <f>K2181*VLOOKUP(I2181,dagsoorttabel1,2,FALSE)</f>
        <v>11.01</v>
      </c>
      <c r="M2181" s="67">
        <f>prodnorm65</f>
        <v>0</v>
      </c>
      <c r="N2181" s="68">
        <f>dagwerk65</f>
        <v>0</v>
      </c>
      <c r="O2181" s="64" t="s">
        <v>38</v>
      </c>
      <c r="P2181" s="69">
        <f>uurtarief65</f>
        <v>0</v>
      </c>
      <c r="Q2181" s="66" t="e">
        <f>IF(ISBLANK(M2181),0,L2181/ROUND(M2181,4))</f>
        <v>#DIV/0!</v>
      </c>
      <c r="R2181" s="66" t="e">
        <f>IF(ISBLANK(M2181),0,Q2181*ROUND(N2181,2))</f>
        <v>#DIV/0!</v>
      </c>
      <c r="S2181" s="69" t="e">
        <f>ROUND(P2181,2)*Q2181</f>
        <v>#DIV/0!</v>
      </c>
      <c r="T2181" s="66" t="e">
        <f>Q2181*dagenperjaar1</f>
        <v>#DIV/0!</v>
      </c>
      <c r="U2181" s="70" t="e">
        <f>T2181*ROUND(P2181,2)</f>
        <v>#DIV/0!</v>
      </c>
    </row>
    <row r="2182" spans="1:21" x14ac:dyDescent="0.2">
      <c r="A2182" s="63" t="s">
        <v>2504</v>
      </c>
      <c r="B2182" s="64" t="s">
        <v>324</v>
      </c>
      <c r="C2182" s="64" t="s">
        <v>472</v>
      </c>
      <c r="D2182" s="64" t="s">
        <v>2688</v>
      </c>
      <c r="E2182" s="64" t="s">
        <v>324</v>
      </c>
      <c r="F2182" s="65" t="s">
        <v>975</v>
      </c>
      <c r="G2182" s="64" t="s">
        <v>328</v>
      </c>
      <c r="H2182" s="64" t="s">
        <v>205</v>
      </c>
      <c r="I2182" s="64" t="s">
        <v>10</v>
      </c>
      <c r="J2182" s="64" t="s">
        <v>201</v>
      </c>
      <c r="K2182" s="66">
        <v>14.91</v>
      </c>
      <c r="L2182" s="66">
        <f>K2182*VLOOKUP(I2182,dagsoorttabel1,2,FALSE)</f>
        <v>14.91</v>
      </c>
      <c r="M2182" s="67">
        <f>prodnorm26</f>
        <v>0</v>
      </c>
      <c r="N2182" s="68">
        <f>dagwerk26</f>
        <v>0</v>
      </c>
      <c r="O2182" s="64" t="s">
        <v>38</v>
      </c>
      <c r="P2182" s="69">
        <f>uurtarief26</f>
        <v>0</v>
      </c>
      <c r="Q2182" s="66" t="e">
        <f>IF(ISBLANK(M2182),0,L2182/ROUND(M2182,4))</f>
        <v>#DIV/0!</v>
      </c>
      <c r="R2182" s="66" t="e">
        <f>IF(ISBLANK(M2182),0,Q2182*ROUND(N2182,2))</f>
        <v>#DIV/0!</v>
      </c>
      <c r="S2182" s="69" t="e">
        <f>ROUND(P2182,2)*Q2182</f>
        <v>#DIV/0!</v>
      </c>
      <c r="T2182" s="66" t="e">
        <f>Q2182*dagenperjaar1</f>
        <v>#DIV/0!</v>
      </c>
      <c r="U2182" s="70" t="e">
        <f>T2182*ROUND(P2182,2)</f>
        <v>#DIV/0!</v>
      </c>
    </row>
    <row r="2183" spans="1:21" x14ac:dyDescent="0.2">
      <c r="A2183" s="63" t="s">
        <v>2504</v>
      </c>
      <c r="B2183" s="64" t="s">
        <v>324</v>
      </c>
      <c r="C2183" s="64" t="s">
        <v>472</v>
      </c>
      <c r="D2183" s="64" t="s">
        <v>2689</v>
      </c>
      <c r="E2183" s="64" t="s">
        <v>324</v>
      </c>
      <c r="F2183" s="65" t="s">
        <v>632</v>
      </c>
      <c r="G2183" s="64" t="s">
        <v>328</v>
      </c>
      <c r="H2183" s="64" t="s">
        <v>205</v>
      </c>
      <c r="I2183" s="64" t="s">
        <v>10</v>
      </c>
      <c r="J2183" s="64" t="s">
        <v>201</v>
      </c>
      <c r="K2183" s="66">
        <v>22.53</v>
      </c>
      <c r="L2183" s="66">
        <f>K2183*VLOOKUP(I2183,dagsoorttabel1,2,FALSE)</f>
        <v>22.53</v>
      </c>
      <c r="M2183" s="67">
        <f>prodnorm26</f>
        <v>0</v>
      </c>
      <c r="N2183" s="68">
        <f>dagwerk26</f>
        <v>0</v>
      </c>
      <c r="O2183" s="64" t="s">
        <v>38</v>
      </c>
      <c r="P2183" s="69">
        <f>uurtarief26</f>
        <v>0</v>
      </c>
      <c r="Q2183" s="66" t="e">
        <f>IF(ISBLANK(M2183),0,L2183/ROUND(M2183,4))</f>
        <v>#DIV/0!</v>
      </c>
      <c r="R2183" s="66" t="e">
        <f>IF(ISBLANK(M2183),0,Q2183*ROUND(N2183,2))</f>
        <v>#DIV/0!</v>
      </c>
      <c r="S2183" s="69" t="e">
        <f>ROUND(P2183,2)*Q2183</f>
        <v>#DIV/0!</v>
      </c>
      <c r="T2183" s="66" t="e">
        <f>Q2183*dagenperjaar1</f>
        <v>#DIV/0!</v>
      </c>
      <c r="U2183" s="70" t="e">
        <f>T2183*ROUND(P2183,2)</f>
        <v>#DIV/0!</v>
      </c>
    </row>
    <row r="2184" spans="1:21" x14ac:dyDescent="0.2">
      <c r="A2184" s="63" t="s">
        <v>2504</v>
      </c>
      <c r="B2184" s="64" t="s">
        <v>324</v>
      </c>
      <c r="C2184" s="64" t="s">
        <v>472</v>
      </c>
      <c r="D2184" s="64" t="s">
        <v>2690</v>
      </c>
      <c r="E2184" s="64" t="s">
        <v>324</v>
      </c>
      <c r="F2184" s="65" t="s">
        <v>975</v>
      </c>
      <c r="G2184" s="64" t="s">
        <v>328</v>
      </c>
      <c r="H2184" s="64" t="s">
        <v>205</v>
      </c>
      <c r="I2184" s="64" t="s">
        <v>10</v>
      </c>
      <c r="J2184" s="64" t="s">
        <v>201</v>
      </c>
      <c r="K2184" s="66">
        <v>14.91</v>
      </c>
      <c r="L2184" s="66">
        <f>K2184*VLOOKUP(I2184,dagsoorttabel1,2,FALSE)</f>
        <v>14.91</v>
      </c>
      <c r="M2184" s="67">
        <f>prodnorm26</f>
        <v>0</v>
      </c>
      <c r="N2184" s="68">
        <f>dagwerk26</f>
        <v>0</v>
      </c>
      <c r="O2184" s="64" t="s">
        <v>38</v>
      </c>
      <c r="P2184" s="69">
        <f>uurtarief26</f>
        <v>0</v>
      </c>
      <c r="Q2184" s="66" t="e">
        <f>IF(ISBLANK(M2184),0,L2184/ROUND(M2184,4))</f>
        <v>#DIV/0!</v>
      </c>
      <c r="R2184" s="66" t="e">
        <f>IF(ISBLANK(M2184),0,Q2184*ROUND(N2184,2))</f>
        <v>#DIV/0!</v>
      </c>
      <c r="S2184" s="69" t="e">
        <f>ROUND(P2184,2)*Q2184</f>
        <v>#DIV/0!</v>
      </c>
      <c r="T2184" s="66" t="e">
        <f>Q2184*dagenperjaar1</f>
        <v>#DIV/0!</v>
      </c>
      <c r="U2184" s="70" t="e">
        <f>T2184*ROUND(P2184,2)</f>
        <v>#DIV/0!</v>
      </c>
    </row>
    <row r="2185" spans="1:21" x14ac:dyDescent="0.2">
      <c r="A2185" s="63" t="s">
        <v>2504</v>
      </c>
      <c r="B2185" s="64" t="s">
        <v>324</v>
      </c>
      <c r="C2185" s="64" t="s">
        <v>472</v>
      </c>
      <c r="D2185" s="64" t="s">
        <v>2691</v>
      </c>
      <c r="E2185" s="64" t="s">
        <v>324</v>
      </c>
      <c r="F2185" s="65" t="s">
        <v>457</v>
      </c>
      <c r="G2185" s="64" t="s">
        <v>328</v>
      </c>
      <c r="H2185" s="64" t="s">
        <v>229</v>
      </c>
      <c r="I2185" s="64" t="s">
        <v>10</v>
      </c>
      <c r="J2185" s="64" t="s">
        <v>201</v>
      </c>
      <c r="K2185" s="66">
        <v>14.229999999999999</v>
      </c>
      <c r="L2185" s="66">
        <f>K2185*VLOOKUP(I2185,dagsoorttabel1,2,FALSE)</f>
        <v>14.229999999999999</v>
      </c>
      <c r="M2185" s="67">
        <f>prodnorm43</f>
        <v>0</v>
      </c>
      <c r="N2185" s="68">
        <f>dagwerk43</f>
        <v>0</v>
      </c>
      <c r="O2185" s="64" t="s">
        <v>38</v>
      </c>
      <c r="P2185" s="69">
        <f>uurtarief43</f>
        <v>0</v>
      </c>
      <c r="Q2185" s="66" t="e">
        <f>IF(ISBLANK(M2185),0,L2185/ROUND(M2185,4))</f>
        <v>#DIV/0!</v>
      </c>
      <c r="R2185" s="66" t="e">
        <f>IF(ISBLANK(M2185),0,Q2185*ROUND(N2185,2))</f>
        <v>#DIV/0!</v>
      </c>
      <c r="S2185" s="69" t="e">
        <f>ROUND(P2185,2)*Q2185</f>
        <v>#DIV/0!</v>
      </c>
      <c r="T2185" s="66" t="e">
        <f>Q2185*dagenperjaar1</f>
        <v>#DIV/0!</v>
      </c>
      <c r="U2185" s="70" t="e">
        <f>T2185*ROUND(P2185,2)</f>
        <v>#DIV/0!</v>
      </c>
    </row>
    <row r="2186" spans="1:21" x14ac:dyDescent="0.2">
      <c r="A2186" s="63" t="s">
        <v>2504</v>
      </c>
      <c r="B2186" s="64" t="s">
        <v>324</v>
      </c>
      <c r="C2186" s="64" t="s">
        <v>472</v>
      </c>
      <c r="D2186" s="64" t="s">
        <v>2692</v>
      </c>
      <c r="E2186" s="64" t="s">
        <v>324</v>
      </c>
      <c r="F2186" s="65" t="s">
        <v>2693</v>
      </c>
      <c r="G2186" s="64" t="s">
        <v>328</v>
      </c>
      <c r="H2186" s="64" t="s">
        <v>205</v>
      </c>
      <c r="I2186" s="64" t="s">
        <v>10</v>
      </c>
      <c r="J2186" s="64" t="s">
        <v>201</v>
      </c>
      <c r="K2186" s="66">
        <v>121.8</v>
      </c>
      <c r="L2186" s="66">
        <f>K2186*VLOOKUP(I2186,dagsoorttabel1,2,FALSE)</f>
        <v>121.8</v>
      </c>
      <c r="M2186" s="67">
        <f>prodnorm26</f>
        <v>0</v>
      </c>
      <c r="N2186" s="68">
        <f>dagwerk26</f>
        <v>0</v>
      </c>
      <c r="O2186" s="64" t="s">
        <v>38</v>
      </c>
      <c r="P2186" s="69">
        <f>uurtarief26</f>
        <v>0</v>
      </c>
      <c r="Q2186" s="66" t="e">
        <f>IF(ISBLANK(M2186),0,L2186/ROUND(M2186,4))</f>
        <v>#DIV/0!</v>
      </c>
      <c r="R2186" s="66" t="e">
        <f>IF(ISBLANK(M2186),0,Q2186*ROUND(N2186,2))</f>
        <v>#DIV/0!</v>
      </c>
      <c r="S2186" s="69" t="e">
        <f>ROUND(P2186,2)*Q2186</f>
        <v>#DIV/0!</v>
      </c>
      <c r="T2186" s="66" t="e">
        <f>Q2186*dagenperjaar1</f>
        <v>#DIV/0!</v>
      </c>
      <c r="U2186" s="70" t="e">
        <f>T2186*ROUND(P2186,2)</f>
        <v>#DIV/0!</v>
      </c>
    </row>
    <row r="2187" spans="1:21" x14ac:dyDescent="0.2">
      <c r="A2187" s="63" t="s">
        <v>2504</v>
      </c>
      <c r="B2187" s="64" t="s">
        <v>324</v>
      </c>
      <c r="C2187" s="64" t="s">
        <v>472</v>
      </c>
      <c r="D2187" s="64" t="s">
        <v>2694</v>
      </c>
      <c r="E2187" s="64" t="s">
        <v>324</v>
      </c>
      <c r="F2187" s="65" t="s">
        <v>457</v>
      </c>
      <c r="G2187" s="64" t="s">
        <v>328</v>
      </c>
      <c r="H2187" s="64" t="s">
        <v>229</v>
      </c>
      <c r="I2187" s="64" t="s">
        <v>10</v>
      </c>
      <c r="J2187" s="64" t="s">
        <v>201</v>
      </c>
      <c r="K2187" s="66">
        <v>35.24</v>
      </c>
      <c r="L2187" s="66">
        <f>K2187*VLOOKUP(I2187,dagsoorttabel1,2,FALSE)</f>
        <v>35.24</v>
      </c>
      <c r="M2187" s="67">
        <f>prodnorm43</f>
        <v>0</v>
      </c>
      <c r="N2187" s="68">
        <f>dagwerk43</f>
        <v>0</v>
      </c>
      <c r="O2187" s="64" t="s">
        <v>38</v>
      </c>
      <c r="P2187" s="69">
        <f>uurtarief43</f>
        <v>0</v>
      </c>
      <c r="Q2187" s="66" t="e">
        <f>IF(ISBLANK(M2187),0,L2187/ROUND(M2187,4))</f>
        <v>#DIV/0!</v>
      </c>
      <c r="R2187" s="66" t="e">
        <f>IF(ISBLANK(M2187),0,Q2187*ROUND(N2187,2))</f>
        <v>#DIV/0!</v>
      </c>
      <c r="S2187" s="69" t="e">
        <f>ROUND(P2187,2)*Q2187</f>
        <v>#DIV/0!</v>
      </c>
      <c r="T2187" s="66" t="e">
        <f>Q2187*dagenperjaar1</f>
        <v>#DIV/0!</v>
      </c>
      <c r="U2187" s="70" t="e">
        <f>T2187*ROUND(P2187,2)</f>
        <v>#DIV/0!</v>
      </c>
    </row>
    <row r="2188" spans="1:21" x14ac:dyDescent="0.2">
      <c r="A2188" s="63" t="s">
        <v>2504</v>
      </c>
      <c r="B2188" s="64" t="s">
        <v>324</v>
      </c>
      <c r="C2188" s="64" t="s">
        <v>472</v>
      </c>
      <c r="D2188" s="64" t="s">
        <v>2695</v>
      </c>
      <c r="E2188" s="64" t="s">
        <v>324</v>
      </c>
      <c r="F2188" s="65" t="s">
        <v>2693</v>
      </c>
      <c r="G2188" s="64" t="s">
        <v>328</v>
      </c>
      <c r="H2188" s="64" t="s">
        <v>205</v>
      </c>
      <c r="I2188" s="64" t="s">
        <v>10</v>
      </c>
      <c r="J2188" s="64" t="s">
        <v>201</v>
      </c>
      <c r="K2188" s="66">
        <v>156.60999999999999</v>
      </c>
      <c r="L2188" s="66">
        <f>K2188*VLOOKUP(I2188,dagsoorttabel1,2,FALSE)</f>
        <v>156.60999999999999</v>
      </c>
      <c r="M2188" s="67">
        <f>prodnorm26</f>
        <v>0</v>
      </c>
      <c r="N2188" s="68">
        <f>dagwerk26</f>
        <v>0</v>
      </c>
      <c r="O2188" s="64" t="s">
        <v>38</v>
      </c>
      <c r="P2188" s="69">
        <f>uurtarief26</f>
        <v>0</v>
      </c>
      <c r="Q2188" s="66" t="e">
        <f>IF(ISBLANK(M2188),0,L2188/ROUND(M2188,4))</f>
        <v>#DIV/0!</v>
      </c>
      <c r="R2188" s="66" t="e">
        <f>IF(ISBLANK(M2188),0,Q2188*ROUND(N2188,2))</f>
        <v>#DIV/0!</v>
      </c>
      <c r="S2188" s="69" t="e">
        <f>ROUND(P2188,2)*Q2188</f>
        <v>#DIV/0!</v>
      </c>
      <c r="T2188" s="66" t="e">
        <f>Q2188*dagenperjaar1</f>
        <v>#DIV/0!</v>
      </c>
      <c r="U2188" s="70" t="e">
        <f>T2188*ROUND(P2188,2)</f>
        <v>#DIV/0!</v>
      </c>
    </row>
    <row r="2189" spans="1:21" x14ac:dyDescent="0.2">
      <c r="A2189" s="63" t="s">
        <v>2504</v>
      </c>
      <c r="B2189" s="64" t="s">
        <v>324</v>
      </c>
      <c r="C2189" s="64" t="s">
        <v>472</v>
      </c>
      <c r="D2189" s="64" t="s">
        <v>2696</v>
      </c>
      <c r="E2189" s="64" t="s">
        <v>324</v>
      </c>
      <c r="F2189" s="65" t="s">
        <v>2697</v>
      </c>
      <c r="G2189" s="64" t="s">
        <v>328</v>
      </c>
      <c r="H2189" s="64" t="s">
        <v>205</v>
      </c>
      <c r="I2189" s="64" t="s">
        <v>10</v>
      </c>
      <c r="J2189" s="64" t="s">
        <v>201</v>
      </c>
      <c r="K2189" s="66">
        <v>8.4700000000000006</v>
      </c>
      <c r="L2189" s="66">
        <f>K2189*VLOOKUP(I2189,dagsoorttabel1,2,FALSE)</f>
        <v>8.4700000000000006</v>
      </c>
      <c r="M2189" s="67">
        <f>prodnorm26</f>
        <v>0</v>
      </c>
      <c r="N2189" s="68">
        <f>dagwerk26</f>
        <v>0</v>
      </c>
      <c r="O2189" s="64" t="s">
        <v>38</v>
      </c>
      <c r="P2189" s="69">
        <f>uurtarief26</f>
        <v>0</v>
      </c>
      <c r="Q2189" s="66" t="e">
        <f>IF(ISBLANK(M2189),0,L2189/ROUND(M2189,4))</f>
        <v>#DIV/0!</v>
      </c>
      <c r="R2189" s="66" t="e">
        <f>IF(ISBLANK(M2189),0,Q2189*ROUND(N2189,2))</f>
        <v>#DIV/0!</v>
      </c>
      <c r="S2189" s="69" t="e">
        <f>ROUND(P2189,2)*Q2189</f>
        <v>#DIV/0!</v>
      </c>
      <c r="T2189" s="66" t="e">
        <f>Q2189*dagenperjaar1</f>
        <v>#DIV/0!</v>
      </c>
      <c r="U2189" s="70" t="e">
        <f>T2189*ROUND(P2189,2)</f>
        <v>#DIV/0!</v>
      </c>
    </row>
    <row r="2190" spans="1:21" x14ac:dyDescent="0.2">
      <c r="A2190" s="63" t="s">
        <v>2504</v>
      </c>
      <c r="B2190" s="64" t="s">
        <v>324</v>
      </c>
      <c r="C2190" s="64" t="s">
        <v>472</v>
      </c>
      <c r="D2190" s="64" t="s">
        <v>2698</v>
      </c>
      <c r="E2190" s="64" t="s">
        <v>324</v>
      </c>
      <c r="F2190" s="65" t="s">
        <v>595</v>
      </c>
      <c r="G2190" s="64" t="s">
        <v>328</v>
      </c>
      <c r="H2190" s="64" t="s">
        <v>205</v>
      </c>
      <c r="I2190" s="64" t="s">
        <v>10</v>
      </c>
      <c r="J2190" s="64" t="s">
        <v>201</v>
      </c>
      <c r="K2190" s="66">
        <v>8.4700000000000006</v>
      </c>
      <c r="L2190" s="66">
        <f>K2190*VLOOKUP(I2190,dagsoorttabel1,2,FALSE)</f>
        <v>8.4700000000000006</v>
      </c>
      <c r="M2190" s="67">
        <f>prodnorm26</f>
        <v>0</v>
      </c>
      <c r="N2190" s="68">
        <f>dagwerk26</f>
        <v>0</v>
      </c>
      <c r="O2190" s="64" t="s">
        <v>38</v>
      </c>
      <c r="P2190" s="69">
        <f>uurtarief26</f>
        <v>0</v>
      </c>
      <c r="Q2190" s="66" t="e">
        <f>IF(ISBLANK(M2190),0,L2190/ROUND(M2190,4))</f>
        <v>#DIV/0!</v>
      </c>
      <c r="R2190" s="66" t="e">
        <f>IF(ISBLANK(M2190),0,Q2190*ROUND(N2190,2))</f>
        <v>#DIV/0!</v>
      </c>
      <c r="S2190" s="69" t="e">
        <f>ROUND(P2190,2)*Q2190</f>
        <v>#DIV/0!</v>
      </c>
      <c r="T2190" s="66" t="e">
        <f>Q2190*dagenperjaar1</f>
        <v>#DIV/0!</v>
      </c>
      <c r="U2190" s="70" t="e">
        <f>T2190*ROUND(P2190,2)</f>
        <v>#DIV/0!</v>
      </c>
    </row>
    <row r="2191" spans="1:21" x14ac:dyDescent="0.2">
      <c r="A2191" s="63" t="s">
        <v>2504</v>
      </c>
      <c r="B2191" s="64" t="s">
        <v>324</v>
      </c>
      <c r="C2191" s="64" t="s">
        <v>472</v>
      </c>
      <c r="D2191" s="64" t="s">
        <v>2699</v>
      </c>
      <c r="E2191" s="64" t="s">
        <v>324</v>
      </c>
      <c r="F2191" s="65" t="s">
        <v>671</v>
      </c>
      <c r="G2191" s="64" t="s">
        <v>365</v>
      </c>
      <c r="H2191" s="64" t="s">
        <v>255</v>
      </c>
      <c r="I2191" s="64" t="s">
        <v>10</v>
      </c>
      <c r="J2191" s="64" t="s">
        <v>201</v>
      </c>
      <c r="K2191" s="66">
        <v>5.9300000000000006</v>
      </c>
      <c r="L2191" s="66">
        <f>K2191*VLOOKUP(I2191,dagsoorttabel1,2,FALSE)</f>
        <v>5.9300000000000006</v>
      </c>
      <c r="M2191" s="67">
        <f>prodnorm59</f>
        <v>0</v>
      </c>
      <c r="N2191" s="68">
        <f>dagwerk59</f>
        <v>0</v>
      </c>
      <c r="O2191" s="64" t="s">
        <v>38</v>
      </c>
      <c r="P2191" s="69">
        <f>uurtarief59</f>
        <v>0</v>
      </c>
      <c r="Q2191" s="66" t="e">
        <f>IF(ISBLANK(M2191),0,L2191/ROUND(M2191,4))</f>
        <v>#DIV/0!</v>
      </c>
      <c r="R2191" s="66" t="e">
        <f>IF(ISBLANK(M2191),0,Q2191*ROUND(N2191,2))</f>
        <v>#DIV/0!</v>
      </c>
      <c r="S2191" s="69" t="e">
        <f>ROUND(P2191,2)*Q2191</f>
        <v>#DIV/0!</v>
      </c>
      <c r="T2191" s="66" t="e">
        <f>Q2191*dagenperjaar1</f>
        <v>#DIV/0!</v>
      </c>
      <c r="U2191" s="70" t="e">
        <f>T2191*ROUND(P2191,2)</f>
        <v>#DIV/0!</v>
      </c>
    </row>
    <row r="2192" spans="1:21" x14ac:dyDescent="0.2">
      <c r="A2192" s="63" t="s">
        <v>2504</v>
      </c>
      <c r="B2192" s="64" t="s">
        <v>324</v>
      </c>
      <c r="C2192" s="64" t="s">
        <v>472</v>
      </c>
      <c r="D2192" s="64" t="s">
        <v>2700</v>
      </c>
      <c r="E2192" s="64" t="s">
        <v>324</v>
      </c>
      <c r="F2192" s="65" t="s">
        <v>671</v>
      </c>
      <c r="G2192" s="64" t="s">
        <v>365</v>
      </c>
      <c r="H2192" s="64" t="s">
        <v>255</v>
      </c>
      <c r="I2192" s="64" t="s">
        <v>10</v>
      </c>
      <c r="J2192" s="64" t="s">
        <v>201</v>
      </c>
      <c r="K2192" s="66">
        <v>5.9300000000000006</v>
      </c>
      <c r="L2192" s="66">
        <f>K2192*VLOOKUP(I2192,dagsoorttabel1,2,FALSE)</f>
        <v>5.9300000000000006</v>
      </c>
      <c r="M2192" s="67">
        <f>prodnorm59</f>
        <v>0</v>
      </c>
      <c r="N2192" s="68">
        <f>dagwerk59</f>
        <v>0</v>
      </c>
      <c r="O2192" s="64" t="s">
        <v>38</v>
      </c>
      <c r="P2192" s="69">
        <f>uurtarief59</f>
        <v>0</v>
      </c>
      <c r="Q2192" s="66" t="e">
        <f>IF(ISBLANK(M2192),0,L2192/ROUND(M2192,4))</f>
        <v>#DIV/0!</v>
      </c>
      <c r="R2192" s="66" t="e">
        <f>IF(ISBLANK(M2192),0,Q2192*ROUND(N2192,2))</f>
        <v>#DIV/0!</v>
      </c>
      <c r="S2192" s="69" t="e">
        <f>ROUND(P2192,2)*Q2192</f>
        <v>#DIV/0!</v>
      </c>
      <c r="T2192" s="66" t="e">
        <f>Q2192*dagenperjaar1</f>
        <v>#DIV/0!</v>
      </c>
      <c r="U2192" s="70" t="e">
        <f>T2192*ROUND(P2192,2)</f>
        <v>#DIV/0!</v>
      </c>
    </row>
    <row r="2193" spans="1:21" x14ac:dyDescent="0.2">
      <c r="A2193" s="63" t="s">
        <v>2504</v>
      </c>
      <c r="B2193" s="64" t="s">
        <v>324</v>
      </c>
      <c r="C2193" s="64" t="s">
        <v>472</v>
      </c>
      <c r="D2193" s="64" t="s">
        <v>2701</v>
      </c>
      <c r="E2193" s="64" t="s">
        <v>324</v>
      </c>
      <c r="F2193" s="65" t="s">
        <v>2626</v>
      </c>
      <c r="G2193" s="64" t="s">
        <v>328</v>
      </c>
      <c r="H2193" s="64" t="s">
        <v>239</v>
      </c>
      <c r="I2193" s="64" t="s">
        <v>10</v>
      </c>
      <c r="J2193" s="64" t="s">
        <v>201</v>
      </c>
      <c r="K2193" s="66">
        <v>95.29</v>
      </c>
      <c r="L2193" s="66">
        <f>K2193*VLOOKUP(I2193,dagsoorttabel1,2,FALSE)</f>
        <v>95.29</v>
      </c>
      <c r="M2193" s="67">
        <f>prodnorm50</f>
        <v>0</v>
      </c>
      <c r="N2193" s="68">
        <f>dagwerk50</f>
        <v>0</v>
      </c>
      <c r="O2193" s="64" t="s">
        <v>38</v>
      </c>
      <c r="P2193" s="69">
        <f>uurtarief50</f>
        <v>0</v>
      </c>
      <c r="Q2193" s="66" t="e">
        <f>IF(ISBLANK(M2193),0,L2193/ROUND(M2193,4))</f>
        <v>#DIV/0!</v>
      </c>
      <c r="R2193" s="66" t="e">
        <f>IF(ISBLANK(M2193),0,Q2193*ROUND(N2193,2))</f>
        <v>#DIV/0!</v>
      </c>
      <c r="S2193" s="69" t="e">
        <f>ROUND(P2193,2)*Q2193</f>
        <v>#DIV/0!</v>
      </c>
      <c r="T2193" s="66" t="e">
        <f>Q2193*dagenperjaar1</f>
        <v>#DIV/0!</v>
      </c>
      <c r="U2193" s="70" t="e">
        <f>T2193*ROUND(P2193,2)</f>
        <v>#DIV/0!</v>
      </c>
    </row>
    <row r="2194" spans="1:21" x14ac:dyDescent="0.2">
      <c r="A2194" s="63" t="s">
        <v>2504</v>
      </c>
      <c r="B2194" s="64" t="s">
        <v>324</v>
      </c>
      <c r="C2194" s="64" t="s">
        <v>472</v>
      </c>
      <c r="D2194" s="64" t="s">
        <v>2702</v>
      </c>
      <c r="E2194" s="64" t="s">
        <v>324</v>
      </c>
      <c r="F2194" s="65" t="s">
        <v>2626</v>
      </c>
      <c r="G2194" s="64" t="s">
        <v>328</v>
      </c>
      <c r="H2194" s="64" t="s">
        <v>239</v>
      </c>
      <c r="I2194" s="64" t="s">
        <v>10</v>
      </c>
      <c r="J2194" s="64" t="s">
        <v>201</v>
      </c>
      <c r="K2194" s="66">
        <v>79.11</v>
      </c>
      <c r="L2194" s="66">
        <f>K2194*VLOOKUP(I2194,dagsoorttabel1,2,FALSE)</f>
        <v>79.11</v>
      </c>
      <c r="M2194" s="67">
        <f>prodnorm50</f>
        <v>0</v>
      </c>
      <c r="N2194" s="68">
        <f>dagwerk50</f>
        <v>0</v>
      </c>
      <c r="O2194" s="64" t="s">
        <v>38</v>
      </c>
      <c r="P2194" s="69">
        <f>uurtarief50</f>
        <v>0</v>
      </c>
      <c r="Q2194" s="66" t="e">
        <f>IF(ISBLANK(M2194),0,L2194/ROUND(M2194,4))</f>
        <v>#DIV/0!</v>
      </c>
      <c r="R2194" s="66" t="e">
        <f>IF(ISBLANK(M2194),0,Q2194*ROUND(N2194,2))</f>
        <v>#DIV/0!</v>
      </c>
      <c r="S2194" s="69" t="e">
        <f>ROUND(P2194,2)*Q2194</f>
        <v>#DIV/0!</v>
      </c>
      <c r="T2194" s="66" t="e">
        <f>Q2194*dagenperjaar1</f>
        <v>#DIV/0!</v>
      </c>
      <c r="U2194" s="70" t="e">
        <f>T2194*ROUND(P2194,2)</f>
        <v>#DIV/0!</v>
      </c>
    </row>
    <row r="2195" spans="1:21" x14ac:dyDescent="0.2">
      <c r="A2195" s="63" t="s">
        <v>2504</v>
      </c>
      <c r="B2195" s="64" t="s">
        <v>324</v>
      </c>
      <c r="C2195" s="64" t="s">
        <v>472</v>
      </c>
      <c r="D2195" s="64" t="s">
        <v>2703</v>
      </c>
      <c r="E2195" s="64" t="s">
        <v>324</v>
      </c>
      <c r="F2195" s="65" t="s">
        <v>425</v>
      </c>
      <c r="G2195" s="64" t="s">
        <v>328</v>
      </c>
      <c r="H2195" s="64" t="s">
        <v>239</v>
      </c>
      <c r="I2195" s="64" t="s">
        <v>10</v>
      </c>
      <c r="J2195" s="64" t="s">
        <v>201</v>
      </c>
      <c r="K2195" s="66">
        <v>52.18</v>
      </c>
      <c r="L2195" s="66">
        <f>K2195*VLOOKUP(I2195,dagsoorttabel1,2,FALSE)</f>
        <v>52.18</v>
      </c>
      <c r="M2195" s="67">
        <f>prodnorm50</f>
        <v>0</v>
      </c>
      <c r="N2195" s="68">
        <f>dagwerk50</f>
        <v>0</v>
      </c>
      <c r="O2195" s="64" t="s">
        <v>38</v>
      </c>
      <c r="P2195" s="69">
        <f>uurtarief50</f>
        <v>0</v>
      </c>
      <c r="Q2195" s="66" t="e">
        <f>IF(ISBLANK(M2195),0,L2195/ROUND(M2195,4))</f>
        <v>#DIV/0!</v>
      </c>
      <c r="R2195" s="66" t="e">
        <f>IF(ISBLANK(M2195),0,Q2195*ROUND(N2195,2))</f>
        <v>#DIV/0!</v>
      </c>
      <c r="S2195" s="69" t="e">
        <f>ROUND(P2195,2)*Q2195</f>
        <v>#DIV/0!</v>
      </c>
      <c r="T2195" s="66" t="e">
        <f>Q2195*dagenperjaar1</f>
        <v>#DIV/0!</v>
      </c>
      <c r="U2195" s="70" t="e">
        <f>T2195*ROUND(P2195,2)</f>
        <v>#DIV/0!</v>
      </c>
    </row>
    <row r="2196" spans="1:21" x14ac:dyDescent="0.2">
      <c r="A2196" s="63" t="s">
        <v>2504</v>
      </c>
      <c r="B2196" s="64" t="s">
        <v>324</v>
      </c>
      <c r="C2196" s="64" t="s">
        <v>472</v>
      </c>
      <c r="D2196" s="64" t="s">
        <v>2704</v>
      </c>
      <c r="E2196" s="64" t="s">
        <v>324</v>
      </c>
      <c r="F2196" s="65" t="s">
        <v>1566</v>
      </c>
      <c r="G2196" s="64" t="s">
        <v>328</v>
      </c>
      <c r="H2196" s="64" t="s">
        <v>239</v>
      </c>
      <c r="I2196" s="64" t="s">
        <v>10</v>
      </c>
      <c r="J2196" s="64" t="s">
        <v>201</v>
      </c>
      <c r="K2196" s="66">
        <v>76.23</v>
      </c>
      <c r="L2196" s="66">
        <f>K2196*VLOOKUP(I2196,dagsoorttabel1,2,FALSE)</f>
        <v>76.23</v>
      </c>
      <c r="M2196" s="67">
        <f>prodnorm50</f>
        <v>0</v>
      </c>
      <c r="N2196" s="68">
        <f>dagwerk50</f>
        <v>0</v>
      </c>
      <c r="O2196" s="64" t="s">
        <v>38</v>
      </c>
      <c r="P2196" s="69">
        <f>uurtarief50</f>
        <v>0</v>
      </c>
      <c r="Q2196" s="66" t="e">
        <f>IF(ISBLANK(M2196),0,L2196/ROUND(M2196,4))</f>
        <v>#DIV/0!</v>
      </c>
      <c r="R2196" s="66" t="e">
        <f>IF(ISBLANK(M2196),0,Q2196*ROUND(N2196,2))</f>
        <v>#DIV/0!</v>
      </c>
      <c r="S2196" s="69" t="e">
        <f>ROUND(P2196,2)*Q2196</f>
        <v>#DIV/0!</v>
      </c>
      <c r="T2196" s="66" t="e">
        <f>Q2196*dagenperjaar1</f>
        <v>#DIV/0!</v>
      </c>
      <c r="U2196" s="70" t="e">
        <f>T2196*ROUND(P2196,2)</f>
        <v>#DIV/0!</v>
      </c>
    </row>
    <row r="2197" spans="1:21" x14ac:dyDescent="0.2">
      <c r="A2197" s="63" t="s">
        <v>2504</v>
      </c>
      <c r="B2197" s="64" t="s">
        <v>324</v>
      </c>
      <c r="C2197" s="64" t="s">
        <v>472</v>
      </c>
      <c r="D2197" s="64" t="s">
        <v>2705</v>
      </c>
      <c r="E2197" s="64" t="s">
        <v>324</v>
      </c>
      <c r="F2197" s="65" t="s">
        <v>457</v>
      </c>
      <c r="G2197" s="64" t="s">
        <v>328</v>
      </c>
      <c r="H2197" s="64" t="s">
        <v>229</v>
      </c>
      <c r="I2197" s="64" t="s">
        <v>10</v>
      </c>
      <c r="J2197" s="64" t="s">
        <v>201</v>
      </c>
      <c r="K2197" s="66">
        <v>55.06</v>
      </c>
      <c r="L2197" s="66">
        <f>K2197*VLOOKUP(I2197,dagsoorttabel1,2,FALSE)</f>
        <v>55.06</v>
      </c>
      <c r="M2197" s="67">
        <f>prodnorm43</f>
        <v>0</v>
      </c>
      <c r="N2197" s="68">
        <f>dagwerk43</f>
        <v>0</v>
      </c>
      <c r="O2197" s="64" t="s">
        <v>38</v>
      </c>
      <c r="P2197" s="69">
        <f>uurtarief43</f>
        <v>0</v>
      </c>
      <c r="Q2197" s="66" t="e">
        <f>IF(ISBLANK(M2197),0,L2197/ROUND(M2197,4))</f>
        <v>#DIV/0!</v>
      </c>
      <c r="R2197" s="66" t="e">
        <f>IF(ISBLANK(M2197),0,Q2197*ROUND(N2197,2))</f>
        <v>#DIV/0!</v>
      </c>
      <c r="S2197" s="69" t="e">
        <f>ROUND(P2197,2)*Q2197</f>
        <v>#DIV/0!</v>
      </c>
      <c r="T2197" s="66" t="e">
        <f>Q2197*dagenperjaar1</f>
        <v>#DIV/0!</v>
      </c>
      <c r="U2197" s="70" t="e">
        <f>T2197*ROUND(P2197,2)</f>
        <v>#DIV/0!</v>
      </c>
    </row>
    <row r="2198" spans="1:21" x14ac:dyDescent="0.2">
      <c r="A2198" s="63" t="s">
        <v>2504</v>
      </c>
      <c r="B2198" s="64" t="s">
        <v>324</v>
      </c>
      <c r="C2198" s="64" t="s">
        <v>472</v>
      </c>
      <c r="D2198" s="64" t="s">
        <v>2706</v>
      </c>
      <c r="E2198" s="64" t="s">
        <v>324</v>
      </c>
      <c r="F2198" s="65" t="s">
        <v>2623</v>
      </c>
      <c r="G2198" s="64" t="s">
        <v>328</v>
      </c>
      <c r="H2198" s="64" t="s">
        <v>229</v>
      </c>
      <c r="I2198" s="64" t="s">
        <v>10</v>
      </c>
      <c r="J2198" s="64" t="s">
        <v>201</v>
      </c>
      <c r="K2198" s="66">
        <v>46.59</v>
      </c>
      <c r="L2198" s="66">
        <f>K2198*VLOOKUP(I2198,dagsoorttabel1,2,FALSE)</f>
        <v>46.59</v>
      </c>
      <c r="M2198" s="67">
        <f>prodnorm43</f>
        <v>0</v>
      </c>
      <c r="N2198" s="68">
        <f>dagwerk43</f>
        <v>0</v>
      </c>
      <c r="O2198" s="64" t="s">
        <v>38</v>
      </c>
      <c r="P2198" s="69">
        <f>uurtarief43</f>
        <v>0</v>
      </c>
      <c r="Q2198" s="66" t="e">
        <f>IF(ISBLANK(M2198),0,L2198/ROUND(M2198,4))</f>
        <v>#DIV/0!</v>
      </c>
      <c r="R2198" s="66" t="e">
        <f>IF(ISBLANK(M2198),0,Q2198*ROUND(N2198,2))</f>
        <v>#DIV/0!</v>
      </c>
      <c r="S2198" s="69" t="e">
        <f>ROUND(P2198,2)*Q2198</f>
        <v>#DIV/0!</v>
      </c>
      <c r="T2198" s="66" t="e">
        <f>Q2198*dagenperjaar1</f>
        <v>#DIV/0!</v>
      </c>
      <c r="U2198" s="70" t="e">
        <f>T2198*ROUND(P2198,2)</f>
        <v>#DIV/0!</v>
      </c>
    </row>
    <row r="2199" spans="1:21" x14ac:dyDescent="0.2">
      <c r="A2199" s="63" t="s">
        <v>2504</v>
      </c>
      <c r="B2199" s="64" t="s">
        <v>324</v>
      </c>
      <c r="C2199" s="64" t="s">
        <v>472</v>
      </c>
      <c r="D2199" s="64" t="s">
        <v>2707</v>
      </c>
      <c r="E2199" s="64" t="s">
        <v>324</v>
      </c>
      <c r="F2199" s="65" t="s">
        <v>457</v>
      </c>
      <c r="G2199" s="64" t="s">
        <v>328</v>
      </c>
      <c r="H2199" s="64" t="s">
        <v>229</v>
      </c>
      <c r="I2199" s="64" t="s">
        <v>10</v>
      </c>
      <c r="J2199" s="64" t="s">
        <v>201</v>
      </c>
      <c r="K2199" s="66">
        <v>63.53</v>
      </c>
      <c r="L2199" s="66">
        <f>K2199*VLOOKUP(I2199,dagsoorttabel1,2,FALSE)</f>
        <v>63.53</v>
      </c>
      <c r="M2199" s="67">
        <f>prodnorm43</f>
        <v>0</v>
      </c>
      <c r="N2199" s="68">
        <f>dagwerk43</f>
        <v>0</v>
      </c>
      <c r="O2199" s="64" t="s">
        <v>38</v>
      </c>
      <c r="P2199" s="69">
        <f>uurtarief43</f>
        <v>0</v>
      </c>
      <c r="Q2199" s="66" t="e">
        <f>IF(ISBLANK(M2199),0,L2199/ROUND(M2199,4))</f>
        <v>#DIV/0!</v>
      </c>
      <c r="R2199" s="66" t="e">
        <f>IF(ISBLANK(M2199),0,Q2199*ROUND(N2199,2))</f>
        <v>#DIV/0!</v>
      </c>
      <c r="S2199" s="69" t="e">
        <f>ROUND(P2199,2)*Q2199</f>
        <v>#DIV/0!</v>
      </c>
      <c r="T2199" s="66" t="e">
        <f>Q2199*dagenperjaar1</f>
        <v>#DIV/0!</v>
      </c>
      <c r="U2199" s="70" t="e">
        <f>T2199*ROUND(P2199,2)</f>
        <v>#DIV/0!</v>
      </c>
    </row>
    <row r="2200" spans="1:21" x14ac:dyDescent="0.2">
      <c r="A2200" s="63" t="s">
        <v>2504</v>
      </c>
      <c r="B2200" s="64" t="s">
        <v>324</v>
      </c>
      <c r="C2200" s="64" t="s">
        <v>472</v>
      </c>
      <c r="D2200" s="64" t="s">
        <v>2708</v>
      </c>
      <c r="E2200" s="64" t="s">
        <v>324</v>
      </c>
      <c r="F2200" s="65" t="s">
        <v>671</v>
      </c>
      <c r="G2200" s="64" t="s">
        <v>365</v>
      </c>
      <c r="H2200" s="64" t="s">
        <v>255</v>
      </c>
      <c r="I2200" s="64" t="s">
        <v>10</v>
      </c>
      <c r="J2200" s="64" t="s">
        <v>201</v>
      </c>
      <c r="K2200" s="66">
        <v>5.9300000000000006</v>
      </c>
      <c r="L2200" s="66">
        <f>K2200*VLOOKUP(I2200,dagsoorttabel1,2,FALSE)</f>
        <v>5.9300000000000006</v>
      </c>
      <c r="M2200" s="67">
        <f>prodnorm59</f>
        <v>0</v>
      </c>
      <c r="N2200" s="68">
        <f>dagwerk59</f>
        <v>0</v>
      </c>
      <c r="O2200" s="64" t="s">
        <v>38</v>
      </c>
      <c r="P2200" s="69">
        <f>uurtarief59</f>
        <v>0</v>
      </c>
      <c r="Q2200" s="66" t="e">
        <f>IF(ISBLANK(M2200),0,L2200/ROUND(M2200,4))</f>
        <v>#DIV/0!</v>
      </c>
      <c r="R2200" s="66" t="e">
        <f>IF(ISBLANK(M2200),0,Q2200*ROUND(N2200,2))</f>
        <v>#DIV/0!</v>
      </c>
      <c r="S2200" s="69" t="e">
        <f>ROUND(P2200,2)*Q2200</f>
        <v>#DIV/0!</v>
      </c>
      <c r="T2200" s="66" t="e">
        <f>Q2200*dagenperjaar1</f>
        <v>#DIV/0!</v>
      </c>
      <c r="U2200" s="70" t="e">
        <f>T2200*ROUND(P2200,2)</f>
        <v>#DIV/0!</v>
      </c>
    </row>
    <row r="2201" spans="1:21" x14ac:dyDescent="0.2">
      <c r="A2201" s="63" t="s">
        <v>2504</v>
      </c>
      <c r="B2201" s="64" t="s">
        <v>324</v>
      </c>
      <c r="C2201" s="64" t="s">
        <v>472</v>
      </c>
      <c r="D2201" s="64" t="s">
        <v>2709</v>
      </c>
      <c r="E2201" s="64" t="s">
        <v>324</v>
      </c>
      <c r="F2201" s="65" t="s">
        <v>671</v>
      </c>
      <c r="G2201" s="64" t="s">
        <v>365</v>
      </c>
      <c r="H2201" s="64" t="s">
        <v>255</v>
      </c>
      <c r="I2201" s="64" t="s">
        <v>10</v>
      </c>
      <c r="J2201" s="64" t="s">
        <v>201</v>
      </c>
      <c r="K2201" s="66">
        <v>5.9300000000000006</v>
      </c>
      <c r="L2201" s="66">
        <f>K2201*VLOOKUP(I2201,dagsoorttabel1,2,FALSE)</f>
        <v>5.9300000000000006</v>
      </c>
      <c r="M2201" s="67">
        <f>prodnorm59</f>
        <v>0</v>
      </c>
      <c r="N2201" s="68">
        <f>dagwerk59</f>
        <v>0</v>
      </c>
      <c r="O2201" s="64" t="s">
        <v>38</v>
      </c>
      <c r="P2201" s="69">
        <f>uurtarief59</f>
        <v>0</v>
      </c>
      <c r="Q2201" s="66" t="e">
        <f>IF(ISBLANK(M2201),0,L2201/ROUND(M2201,4))</f>
        <v>#DIV/0!</v>
      </c>
      <c r="R2201" s="66" t="e">
        <f>IF(ISBLANK(M2201),0,Q2201*ROUND(N2201,2))</f>
        <v>#DIV/0!</v>
      </c>
      <c r="S2201" s="69" t="e">
        <f>ROUND(P2201,2)*Q2201</f>
        <v>#DIV/0!</v>
      </c>
      <c r="T2201" s="66" t="e">
        <f>Q2201*dagenperjaar1</f>
        <v>#DIV/0!</v>
      </c>
      <c r="U2201" s="70" t="e">
        <f>T2201*ROUND(P2201,2)</f>
        <v>#DIV/0!</v>
      </c>
    </row>
    <row r="2202" spans="1:21" x14ac:dyDescent="0.2">
      <c r="A2202" s="63" t="s">
        <v>2504</v>
      </c>
      <c r="B2202" s="64" t="s">
        <v>324</v>
      </c>
      <c r="C2202" s="64" t="s">
        <v>472</v>
      </c>
      <c r="D2202" s="64" t="s">
        <v>2710</v>
      </c>
      <c r="E2202" s="64" t="s">
        <v>324</v>
      </c>
      <c r="F2202" s="65" t="s">
        <v>2626</v>
      </c>
      <c r="G2202" s="64" t="s">
        <v>328</v>
      </c>
      <c r="H2202" s="64" t="s">
        <v>239</v>
      </c>
      <c r="I2202" s="64" t="s">
        <v>10</v>
      </c>
      <c r="J2202" s="64" t="s">
        <v>201</v>
      </c>
      <c r="K2202" s="66">
        <v>42.349999999999994</v>
      </c>
      <c r="L2202" s="66">
        <f>K2202*VLOOKUP(I2202,dagsoorttabel1,2,FALSE)</f>
        <v>42.349999999999994</v>
      </c>
      <c r="M2202" s="67">
        <f>prodnorm50</f>
        <v>0</v>
      </c>
      <c r="N2202" s="68">
        <f>dagwerk50</f>
        <v>0</v>
      </c>
      <c r="O2202" s="64" t="s">
        <v>38</v>
      </c>
      <c r="P2202" s="69">
        <f>uurtarief50</f>
        <v>0</v>
      </c>
      <c r="Q2202" s="66" t="e">
        <f>IF(ISBLANK(M2202),0,L2202/ROUND(M2202,4))</f>
        <v>#DIV/0!</v>
      </c>
      <c r="R2202" s="66" t="e">
        <f>IF(ISBLANK(M2202),0,Q2202*ROUND(N2202,2))</f>
        <v>#DIV/0!</v>
      </c>
      <c r="S2202" s="69" t="e">
        <f>ROUND(P2202,2)*Q2202</f>
        <v>#DIV/0!</v>
      </c>
      <c r="T2202" s="66" t="e">
        <f>Q2202*dagenperjaar1</f>
        <v>#DIV/0!</v>
      </c>
      <c r="U2202" s="70" t="e">
        <f>T2202*ROUND(P2202,2)</f>
        <v>#DIV/0!</v>
      </c>
    </row>
    <row r="2203" spans="1:21" x14ac:dyDescent="0.2">
      <c r="A2203" s="63" t="s">
        <v>2504</v>
      </c>
      <c r="B2203" s="64" t="s">
        <v>324</v>
      </c>
      <c r="C2203" s="64" t="s">
        <v>472</v>
      </c>
      <c r="D2203" s="64" t="s">
        <v>2526</v>
      </c>
      <c r="E2203" s="64" t="s">
        <v>324</v>
      </c>
      <c r="F2203" s="65" t="s">
        <v>638</v>
      </c>
      <c r="G2203" s="64" t="s">
        <v>2609</v>
      </c>
      <c r="H2203" s="64" t="s">
        <v>263</v>
      </c>
      <c r="I2203" s="64" t="s">
        <v>10</v>
      </c>
      <c r="J2203" s="64" t="s">
        <v>201</v>
      </c>
      <c r="K2203" s="66">
        <v>12.2</v>
      </c>
      <c r="L2203" s="66">
        <f>K2203*VLOOKUP(I2203,dagsoorttabel1,2,FALSE)</f>
        <v>12.2</v>
      </c>
      <c r="M2203" s="67">
        <f>prodnorm63</f>
        <v>0</v>
      </c>
      <c r="N2203" s="68">
        <f>dagwerk63</f>
        <v>0</v>
      </c>
      <c r="O2203" s="64" t="s">
        <v>38</v>
      </c>
      <c r="P2203" s="69">
        <f>uurtarief63</f>
        <v>0</v>
      </c>
      <c r="Q2203" s="66" t="e">
        <f>IF(ISBLANK(M2203),0,L2203/ROUND(M2203,4))</f>
        <v>#DIV/0!</v>
      </c>
      <c r="R2203" s="66" t="e">
        <f>IF(ISBLANK(M2203),0,Q2203*ROUND(N2203,2))</f>
        <v>#DIV/0!</v>
      </c>
      <c r="S2203" s="69" t="e">
        <f>ROUND(P2203,2)*Q2203</f>
        <v>#DIV/0!</v>
      </c>
      <c r="T2203" s="66" t="e">
        <f>Q2203*dagenperjaar1</f>
        <v>#DIV/0!</v>
      </c>
      <c r="U2203" s="70" t="e">
        <f>T2203*ROUND(P2203,2)</f>
        <v>#DIV/0!</v>
      </c>
    </row>
    <row r="2204" spans="1:21" x14ac:dyDescent="0.2">
      <c r="A2204" s="63" t="s">
        <v>2504</v>
      </c>
      <c r="B2204" s="64" t="s">
        <v>324</v>
      </c>
      <c r="C2204" s="64" t="s">
        <v>472</v>
      </c>
      <c r="D2204" s="64" t="s">
        <v>2711</v>
      </c>
      <c r="E2204" s="64" t="s">
        <v>324</v>
      </c>
      <c r="F2204" s="65" t="s">
        <v>638</v>
      </c>
      <c r="G2204" s="64" t="s">
        <v>2609</v>
      </c>
      <c r="H2204" s="64" t="s">
        <v>263</v>
      </c>
      <c r="I2204" s="64" t="s">
        <v>10</v>
      </c>
      <c r="J2204" s="64" t="s">
        <v>201</v>
      </c>
      <c r="K2204" s="66">
        <v>13.55</v>
      </c>
      <c r="L2204" s="66">
        <f>K2204*VLOOKUP(I2204,dagsoorttabel1,2,FALSE)</f>
        <v>13.55</v>
      </c>
      <c r="M2204" s="67">
        <f>prodnorm63</f>
        <v>0</v>
      </c>
      <c r="N2204" s="68">
        <f>dagwerk63</f>
        <v>0</v>
      </c>
      <c r="O2204" s="64" t="s">
        <v>38</v>
      </c>
      <c r="P2204" s="69">
        <f>uurtarief63</f>
        <v>0</v>
      </c>
      <c r="Q2204" s="66" t="e">
        <f>IF(ISBLANK(M2204),0,L2204/ROUND(M2204,4))</f>
        <v>#DIV/0!</v>
      </c>
      <c r="R2204" s="66" t="e">
        <f>IF(ISBLANK(M2204),0,Q2204*ROUND(N2204,2))</f>
        <v>#DIV/0!</v>
      </c>
      <c r="S2204" s="69" t="e">
        <f>ROUND(P2204,2)*Q2204</f>
        <v>#DIV/0!</v>
      </c>
      <c r="T2204" s="66" t="e">
        <f>Q2204*dagenperjaar1</f>
        <v>#DIV/0!</v>
      </c>
      <c r="U2204" s="70" t="e">
        <f>T2204*ROUND(P2204,2)</f>
        <v>#DIV/0!</v>
      </c>
    </row>
    <row r="2205" spans="1:21" x14ac:dyDescent="0.2">
      <c r="A2205" s="63" t="s">
        <v>2504</v>
      </c>
      <c r="B2205" s="64" t="s">
        <v>324</v>
      </c>
      <c r="C2205" s="64" t="s">
        <v>472</v>
      </c>
      <c r="D2205" s="64" t="s">
        <v>2712</v>
      </c>
      <c r="E2205" s="64" t="s">
        <v>324</v>
      </c>
      <c r="F2205" s="65" t="s">
        <v>638</v>
      </c>
      <c r="G2205" s="64" t="s">
        <v>2609</v>
      </c>
      <c r="H2205" s="64" t="s">
        <v>263</v>
      </c>
      <c r="I2205" s="64" t="s">
        <v>10</v>
      </c>
      <c r="J2205" s="64" t="s">
        <v>201</v>
      </c>
      <c r="K2205" s="66">
        <v>13.55</v>
      </c>
      <c r="L2205" s="66">
        <f>K2205*VLOOKUP(I2205,dagsoorttabel1,2,FALSE)</f>
        <v>13.55</v>
      </c>
      <c r="M2205" s="67">
        <f>prodnorm63</f>
        <v>0</v>
      </c>
      <c r="N2205" s="68">
        <f>dagwerk63</f>
        <v>0</v>
      </c>
      <c r="O2205" s="64" t="s">
        <v>38</v>
      </c>
      <c r="P2205" s="69">
        <f>uurtarief63</f>
        <v>0</v>
      </c>
      <c r="Q2205" s="66" t="e">
        <f>IF(ISBLANK(M2205),0,L2205/ROUND(M2205,4))</f>
        <v>#DIV/0!</v>
      </c>
      <c r="R2205" s="66" t="e">
        <f>IF(ISBLANK(M2205),0,Q2205*ROUND(N2205,2))</f>
        <v>#DIV/0!</v>
      </c>
      <c r="S2205" s="69" t="e">
        <f>ROUND(P2205,2)*Q2205</f>
        <v>#DIV/0!</v>
      </c>
      <c r="T2205" s="66" t="e">
        <f>Q2205*dagenperjaar1</f>
        <v>#DIV/0!</v>
      </c>
      <c r="U2205" s="70" t="e">
        <f>T2205*ROUND(P2205,2)</f>
        <v>#DIV/0!</v>
      </c>
    </row>
    <row r="2206" spans="1:21" x14ac:dyDescent="0.2">
      <c r="A2206" s="63" t="s">
        <v>2504</v>
      </c>
      <c r="B2206" s="64" t="s">
        <v>324</v>
      </c>
      <c r="C2206" s="64" t="s">
        <v>472</v>
      </c>
      <c r="D2206" s="64" t="s">
        <v>2713</v>
      </c>
      <c r="E2206" s="64" t="s">
        <v>324</v>
      </c>
      <c r="F2206" s="65" t="s">
        <v>638</v>
      </c>
      <c r="G2206" s="64" t="s">
        <v>2609</v>
      </c>
      <c r="H2206" s="64" t="s">
        <v>263</v>
      </c>
      <c r="I2206" s="64" t="s">
        <v>10</v>
      </c>
      <c r="J2206" s="64" t="s">
        <v>201</v>
      </c>
      <c r="K2206" s="66">
        <v>6.35</v>
      </c>
      <c r="L2206" s="66">
        <f>K2206*VLOOKUP(I2206,dagsoorttabel1,2,FALSE)</f>
        <v>6.35</v>
      </c>
      <c r="M2206" s="67">
        <f>prodnorm63</f>
        <v>0</v>
      </c>
      <c r="N2206" s="68">
        <f>dagwerk63</f>
        <v>0</v>
      </c>
      <c r="O2206" s="64" t="s">
        <v>38</v>
      </c>
      <c r="P2206" s="69">
        <f>uurtarief63</f>
        <v>0</v>
      </c>
      <c r="Q2206" s="66" t="e">
        <f>IF(ISBLANK(M2206),0,L2206/ROUND(M2206,4))</f>
        <v>#DIV/0!</v>
      </c>
      <c r="R2206" s="66" t="e">
        <f>IF(ISBLANK(M2206),0,Q2206*ROUND(N2206,2))</f>
        <v>#DIV/0!</v>
      </c>
      <c r="S2206" s="69" t="e">
        <f>ROUND(P2206,2)*Q2206</f>
        <v>#DIV/0!</v>
      </c>
      <c r="T2206" s="66" t="e">
        <f>Q2206*dagenperjaar1</f>
        <v>#DIV/0!</v>
      </c>
      <c r="U2206" s="70" t="e">
        <f>T2206*ROUND(P2206,2)</f>
        <v>#DIV/0!</v>
      </c>
    </row>
    <row r="2207" spans="1:21" x14ac:dyDescent="0.2">
      <c r="A2207" s="63" t="s">
        <v>2504</v>
      </c>
      <c r="B2207" s="64" t="s">
        <v>324</v>
      </c>
      <c r="C2207" s="64" t="s">
        <v>472</v>
      </c>
      <c r="D2207" s="64" t="s">
        <v>2714</v>
      </c>
      <c r="E2207" s="64" t="s">
        <v>324</v>
      </c>
      <c r="F2207" s="65" t="s">
        <v>638</v>
      </c>
      <c r="G2207" s="64" t="s">
        <v>2609</v>
      </c>
      <c r="H2207" s="64" t="s">
        <v>263</v>
      </c>
      <c r="I2207" s="64" t="s">
        <v>10</v>
      </c>
      <c r="J2207" s="64" t="s">
        <v>201</v>
      </c>
      <c r="K2207" s="66">
        <v>10.59</v>
      </c>
      <c r="L2207" s="66">
        <f>K2207*VLOOKUP(I2207,dagsoorttabel1,2,FALSE)</f>
        <v>10.59</v>
      </c>
      <c r="M2207" s="67">
        <f>prodnorm63</f>
        <v>0</v>
      </c>
      <c r="N2207" s="68">
        <f>dagwerk63</f>
        <v>0</v>
      </c>
      <c r="O2207" s="64" t="s">
        <v>38</v>
      </c>
      <c r="P2207" s="69">
        <f>uurtarief63</f>
        <v>0</v>
      </c>
      <c r="Q2207" s="66" t="e">
        <f>IF(ISBLANK(M2207),0,L2207/ROUND(M2207,4))</f>
        <v>#DIV/0!</v>
      </c>
      <c r="R2207" s="66" t="e">
        <f>IF(ISBLANK(M2207),0,Q2207*ROUND(N2207,2))</f>
        <v>#DIV/0!</v>
      </c>
      <c r="S2207" s="69" t="e">
        <f>ROUND(P2207,2)*Q2207</f>
        <v>#DIV/0!</v>
      </c>
      <c r="T2207" s="66" t="e">
        <f>Q2207*dagenperjaar1</f>
        <v>#DIV/0!</v>
      </c>
      <c r="U2207" s="70" t="e">
        <f>T2207*ROUND(P2207,2)</f>
        <v>#DIV/0!</v>
      </c>
    </row>
    <row r="2208" spans="1:21" x14ac:dyDescent="0.2">
      <c r="A2208" s="63" t="s">
        <v>2504</v>
      </c>
      <c r="B2208" s="64" t="s">
        <v>324</v>
      </c>
      <c r="C2208" s="64" t="s">
        <v>472</v>
      </c>
      <c r="D2208" s="64" t="s">
        <v>2715</v>
      </c>
      <c r="E2208" s="64" t="s">
        <v>324</v>
      </c>
      <c r="F2208" s="65" t="s">
        <v>1566</v>
      </c>
      <c r="G2208" s="64" t="s">
        <v>328</v>
      </c>
      <c r="H2208" s="64" t="s">
        <v>239</v>
      </c>
      <c r="I2208" s="64" t="s">
        <v>10</v>
      </c>
      <c r="J2208" s="64" t="s">
        <v>201</v>
      </c>
      <c r="K2208" s="66">
        <v>195.10999999999999</v>
      </c>
      <c r="L2208" s="66">
        <f>K2208*VLOOKUP(I2208,dagsoorttabel1,2,FALSE)</f>
        <v>195.10999999999999</v>
      </c>
      <c r="M2208" s="67">
        <f>prodnorm50</f>
        <v>0</v>
      </c>
      <c r="N2208" s="68">
        <f>dagwerk50</f>
        <v>0</v>
      </c>
      <c r="O2208" s="64" t="s">
        <v>38</v>
      </c>
      <c r="P2208" s="69">
        <f>uurtarief50</f>
        <v>0</v>
      </c>
      <c r="Q2208" s="66" t="e">
        <f>IF(ISBLANK(M2208),0,L2208/ROUND(M2208,4))</f>
        <v>#DIV/0!</v>
      </c>
      <c r="R2208" s="66" t="e">
        <f>IF(ISBLANK(M2208),0,Q2208*ROUND(N2208,2))</f>
        <v>#DIV/0!</v>
      </c>
      <c r="S2208" s="69" t="e">
        <f>ROUND(P2208,2)*Q2208</f>
        <v>#DIV/0!</v>
      </c>
      <c r="T2208" s="66" t="e">
        <f>Q2208*dagenperjaar1</f>
        <v>#DIV/0!</v>
      </c>
      <c r="U2208" s="70" t="e">
        <f>T2208*ROUND(P2208,2)</f>
        <v>#DIV/0!</v>
      </c>
    </row>
    <row r="2209" spans="1:21" x14ac:dyDescent="0.2">
      <c r="A2209" s="63" t="s">
        <v>2504</v>
      </c>
      <c r="B2209" s="64" t="s">
        <v>324</v>
      </c>
      <c r="C2209" s="64" t="s">
        <v>472</v>
      </c>
      <c r="D2209" s="64" t="s">
        <v>2716</v>
      </c>
      <c r="E2209" s="64" t="s">
        <v>324</v>
      </c>
      <c r="F2209" s="65" t="s">
        <v>457</v>
      </c>
      <c r="G2209" s="64" t="s">
        <v>328</v>
      </c>
      <c r="H2209" s="64" t="s">
        <v>229</v>
      </c>
      <c r="I2209" s="64" t="s">
        <v>10</v>
      </c>
      <c r="J2209" s="64" t="s">
        <v>201</v>
      </c>
      <c r="K2209" s="66">
        <v>55.9</v>
      </c>
      <c r="L2209" s="66">
        <f>K2209*VLOOKUP(I2209,dagsoorttabel1,2,FALSE)</f>
        <v>55.9</v>
      </c>
      <c r="M2209" s="67">
        <f>prodnorm43</f>
        <v>0</v>
      </c>
      <c r="N2209" s="68">
        <f>dagwerk43</f>
        <v>0</v>
      </c>
      <c r="O2209" s="64" t="s">
        <v>38</v>
      </c>
      <c r="P2209" s="69">
        <f>uurtarief43</f>
        <v>0</v>
      </c>
      <c r="Q2209" s="66" t="e">
        <f>IF(ISBLANK(M2209),0,L2209/ROUND(M2209,4))</f>
        <v>#DIV/0!</v>
      </c>
      <c r="R2209" s="66" t="e">
        <f>IF(ISBLANK(M2209),0,Q2209*ROUND(N2209,2))</f>
        <v>#DIV/0!</v>
      </c>
      <c r="S2209" s="69" t="e">
        <f>ROUND(P2209,2)*Q2209</f>
        <v>#DIV/0!</v>
      </c>
      <c r="T2209" s="66" t="e">
        <f>Q2209*dagenperjaar1</f>
        <v>#DIV/0!</v>
      </c>
      <c r="U2209" s="70" t="e">
        <f>T2209*ROUND(P2209,2)</f>
        <v>#DIV/0!</v>
      </c>
    </row>
    <row r="2210" spans="1:21" x14ac:dyDescent="0.2">
      <c r="A2210" s="63" t="s">
        <v>2504</v>
      </c>
      <c r="B2210" s="64" t="s">
        <v>324</v>
      </c>
      <c r="C2210" s="64" t="s">
        <v>472</v>
      </c>
      <c r="D2210" s="64" t="s">
        <v>2717</v>
      </c>
      <c r="E2210" s="64" t="s">
        <v>324</v>
      </c>
      <c r="F2210" s="65" t="s">
        <v>457</v>
      </c>
      <c r="G2210" s="64" t="s">
        <v>328</v>
      </c>
      <c r="H2210" s="64" t="s">
        <v>229</v>
      </c>
      <c r="I2210" s="64" t="s">
        <v>10</v>
      </c>
      <c r="J2210" s="64" t="s">
        <v>201</v>
      </c>
      <c r="K2210" s="66">
        <v>41.5</v>
      </c>
      <c r="L2210" s="66">
        <f>K2210*VLOOKUP(I2210,dagsoorttabel1,2,FALSE)</f>
        <v>41.5</v>
      </c>
      <c r="M2210" s="67">
        <f>prodnorm43</f>
        <v>0</v>
      </c>
      <c r="N2210" s="68">
        <f>dagwerk43</f>
        <v>0</v>
      </c>
      <c r="O2210" s="64" t="s">
        <v>38</v>
      </c>
      <c r="P2210" s="69">
        <f>uurtarief43</f>
        <v>0</v>
      </c>
      <c r="Q2210" s="66" t="e">
        <f>IF(ISBLANK(M2210),0,L2210/ROUND(M2210,4))</f>
        <v>#DIV/0!</v>
      </c>
      <c r="R2210" s="66" t="e">
        <f>IF(ISBLANK(M2210),0,Q2210*ROUND(N2210,2))</f>
        <v>#DIV/0!</v>
      </c>
      <c r="S2210" s="69" t="e">
        <f>ROUND(P2210,2)*Q2210</f>
        <v>#DIV/0!</v>
      </c>
      <c r="T2210" s="66" t="e">
        <f>Q2210*dagenperjaar1</f>
        <v>#DIV/0!</v>
      </c>
      <c r="U2210" s="70" t="e">
        <f>T2210*ROUND(P2210,2)</f>
        <v>#DIV/0!</v>
      </c>
    </row>
    <row r="2211" spans="1:21" x14ac:dyDescent="0.2">
      <c r="A2211" s="63" t="s">
        <v>2504</v>
      </c>
      <c r="B2211" s="64" t="s">
        <v>324</v>
      </c>
      <c r="C2211" s="64" t="s">
        <v>472</v>
      </c>
      <c r="D2211" s="64" t="s">
        <v>2718</v>
      </c>
      <c r="E2211" s="64" t="s">
        <v>324</v>
      </c>
      <c r="F2211" s="65" t="s">
        <v>457</v>
      </c>
      <c r="G2211" s="64" t="s">
        <v>328</v>
      </c>
      <c r="H2211" s="64" t="s">
        <v>229</v>
      </c>
      <c r="I2211" s="64" t="s">
        <v>10</v>
      </c>
      <c r="J2211" s="64" t="s">
        <v>201</v>
      </c>
      <c r="K2211" s="66">
        <v>50.65</v>
      </c>
      <c r="L2211" s="66">
        <f>K2211*VLOOKUP(I2211,dagsoorttabel1,2,FALSE)</f>
        <v>50.65</v>
      </c>
      <c r="M2211" s="67">
        <f>prodnorm43</f>
        <v>0</v>
      </c>
      <c r="N2211" s="68">
        <f>dagwerk43</f>
        <v>0</v>
      </c>
      <c r="O2211" s="64" t="s">
        <v>38</v>
      </c>
      <c r="P2211" s="69">
        <f>uurtarief43</f>
        <v>0</v>
      </c>
      <c r="Q2211" s="66" t="e">
        <f>IF(ISBLANK(M2211),0,L2211/ROUND(M2211,4))</f>
        <v>#DIV/0!</v>
      </c>
      <c r="R2211" s="66" t="e">
        <f>IF(ISBLANK(M2211),0,Q2211*ROUND(N2211,2))</f>
        <v>#DIV/0!</v>
      </c>
      <c r="S2211" s="69" t="e">
        <f>ROUND(P2211,2)*Q2211</f>
        <v>#DIV/0!</v>
      </c>
      <c r="T2211" s="66" t="e">
        <f>Q2211*dagenperjaar1</f>
        <v>#DIV/0!</v>
      </c>
      <c r="U2211" s="70" t="e">
        <f>T2211*ROUND(P2211,2)</f>
        <v>#DIV/0!</v>
      </c>
    </row>
    <row r="2212" spans="1:21" x14ac:dyDescent="0.2">
      <c r="A2212" s="63" t="s">
        <v>2504</v>
      </c>
      <c r="B2212" s="64" t="s">
        <v>324</v>
      </c>
      <c r="C2212" s="64" t="s">
        <v>472</v>
      </c>
      <c r="D2212" s="64" t="s">
        <v>2719</v>
      </c>
      <c r="E2212" s="64" t="s">
        <v>324</v>
      </c>
      <c r="F2212" s="65" t="s">
        <v>457</v>
      </c>
      <c r="G2212" s="64" t="s">
        <v>328</v>
      </c>
      <c r="H2212" s="64" t="s">
        <v>229</v>
      </c>
      <c r="I2212" s="64" t="s">
        <v>10</v>
      </c>
      <c r="J2212" s="64" t="s">
        <v>201</v>
      </c>
      <c r="K2212" s="66">
        <v>59.21</v>
      </c>
      <c r="L2212" s="66">
        <f>K2212*VLOOKUP(I2212,dagsoorttabel1,2,FALSE)</f>
        <v>59.21</v>
      </c>
      <c r="M2212" s="67">
        <f>prodnorm43</f>
        <v>0</v>
      </c>
      <c r="N2212" s="68">
        <f>dagwerk43</f>
        <v>0</v>
      </c>
      <c r="O2212" s="64" t="s">
        <v>38</v>
      </c>
      <c r="P2212" s="69">
        <f>uurtarief43</f>
        <v>0</v>
      </c>
      <c r="Q2212" s="66" t="e">
        <f>IF(ISBLANK(M2212),0,L2212/ROUND(M2212,4))</f>
        <v>#DIV/0!</v>
      </c>
      <c r="R2212" s="66" t="e">
        <f>IF(ISBLANK(M2212),0,Q2212*ROUND(N2212,2))</f>
        <v>#DIV/0!</v>
      </c>
      <c r="S2212" s="69" t="e">
        <f>ROUND(P2212,2)*Q2212</f>
        <v>#DIV/0!</v>
      </c>
      <c r="T2212" s="66" t="e">
        <f>Q2212*dagenperjaar1</f>
        <v>#DIV/0!</v>
      </c>
      <c r="U2212" s="70" t="e">
        <f>T2212*ROUND(P2212,2)</f>
        <v>#DIV/0!</v>
      </c>
    </row>
    <row r="2213" spans="1:21" x14ac:dyDescent="0.2">
      <c r="A2213" s="63" t="s">
        <v>2504</v>
      </c>
      <c r="B2213" s="64" t="s">
        <v>324</v>
      </c>
      <c r="C2213" s="64" t="s">
        <v>472</v>
      </c>
      <c r="D2213" s="64" t="s">
        <v>2720</v>
      </c>
      <c r="E2213" s="64" t="s">
        <v>324</v>
      </c>
      <c r="F2213" s="65" t="s">
        <v>457</v>
      </c>
      <c r="G2213" s="64" t="s">
        <v>328</v>
      </c>
      <c r="H2213" s="64" t="s">
        <v>229</v>
      </c>
      <c r="I2213" s="64" t="s">
        <v>10</v>
      </c>
      <c r="J2213" s="64" t="s">
        <v>201</v>
      </c>
      <c r="K2213" s="66">
        <v>50.82</v>
      </c>
      <c r="L2213" s="66">
        <f>K2213*VLOOKUP(I2213,dagsoorttabel1,2,FALSE)</f>
        <v>50.82</v>
      </c>
      <c r="M2213" s="67">
        <f>prodnorm43</f>
        <v>0</v>
      </c>
      <c r="N2213" s="68">
        <f>dagwerk43</f>
        <v>0</v>
      </c>
      <c r="O2213" s="64" t="s">
        <v>38</v>
      </c>
      <c r="P2213" s="69">
        <f>uurtarief43</f>
        <v>0</v>
      </c>
      <c r="Q2213" s="66" t="e">
        <f>IF(ISBLANK(M2213),0,L2213/ROUND(M2213,4))</f>
        <v>#DIV/0!</v>
      </c>
      <c r="R2213" s="66" t="e">
        <f>IF(ISBLANK(M2213),0,Q2213*ROUND(N2213,2))</f>
        <v>#DIV/0!</v>
      </c>
      <c r="S2213" s="69" t="e">
        <f>ROUND(P2213,2)*Q2213</f>
        <v>#DIV/0!</v>
      </c>
      <c r="T2213" s="66" t="e">
        <f>Q2213*dagenperjaar1</f>
        <v>#DIV/0!</v>
      </c>
      <c r="U2213" s="70" t="e">
        <f>T2213*ROUND(P2213,2)</f>
        <v>#DIV/0!</v>
      </c>
    </row>
    <row r="2214" spans="1:21" x14ac:dyDescent="0.2">
      <c r="A2214" s="63" t="s">
        <v>2504</v>
      </c>
      <c r="B2214" s="64" t="s">
        <v>324</v>
      </c>
      <c r="C2214" s="64" t="s">
        <v>472</v>
      </c>
      <c r="D2214" s="64" t="s">
        <v>2721</v>
      </c>
      <c r="E2214" s="64" t="s">
        <v>324</v>
      </c>
      <c r="F2214" s="65" t="s">
        <v>457</v>
      </c>
      <c r="G2214" s="64" t="s">
        <v>328</v>
      </c>
      <c r="H2214" s="64" t="s">
        <v>229</v>
      </c>
      <c r="I2214" s="64" t="s">
        <v>10</v>
      </c>
      <c r="J2214" s="64" t="s">
        <v>201</v>
      </c>
      <c r="K2214" s="66">
        <v>51.120000000000005</v>
      </c>
      <c r="L2214" s="66">
        <f>K2214*VLOOKUP(I2214,dagsoorttabel1,2,FALSE)</f>
        <v>51.120000000000005</v>
      </c>
      <c r="M2214" s="67">
        <f>prodnorm43</f>
        <v>0</v>
      </c>
      <c r="N2214" s="68">
        <f>dagwerk43</f>
        <v>0</v>
      </c>
      <c r="O2214" s="64" t="s">
        <v>38</v>
      </c>
      <c r="P2214" s="69">
        <f>uurtarief43</f>
        <v>0</v>
      </c>
      <c r="Q2214" s="66" t="e">
        <f>IF(ISBLANK(M2214),0,L2214/ROUND(M2214,4))</f>
        <v>#DIV/0!</v>
      </c>
      <c r="R2214" s="66" t="e">
        <f>IF(ISBLANK(M2214),0,Q2214*ROUND(N2214,2))</f>
        <v>#DIV/0!</v>
      </c>
      <c r="S2214" s="69" t="e">
        <f>ROUND(P2214,2)*Q2214</f>
        <v>#DIV/0!</v>
      </c>
      <c r="T2214" s="66" t="e">
        <f>Q2214*dagenperjaar1</f>
        <v>#DIV/0!</v>
      </c>
      <c r="U2214" s="70" t="e">
        <f>T2214*ROUND(P2214,2)</f>
        <v>#DIV/0!</v>
      </c>
    </row>
    <row r="2215" spans="1:21" x14ac:dyDescent="0.2">
      <c r="A2215" s="63" t="s">
        <v>2504</v>
      </c>
      <c r="B2215" s="64" t="s">
        <v>324</v>
      </c>
      <c r="C2215" s="64" t="s">
        <v>472</v>
      </c>
      <c r="D2215" s="64" t="s">
        <v>2722</v>
      </c>
      <c r="E2215" s="64" t="s">
        <v>324</v>
      </c>
      <c r="F2215" s="65" t="s">
        <v>457</v>
      </c>
      <c r="G2215" s="64" t="s">
        <v>328</v>
      </c>
      <c r="H2215" s="64" t="s">
        <v>229</v>
      </c>
      <c r="I2215" s="64" t="s">
        <v>10</v>
      </c>
      <c r="J2215" s="64" t="s">
        <v>201</v>
      </c>
      <c r="K2215" s="66">
        <v>42.349999999999994</v>
      </c>
      <c r="L2215" s="66">
        <f>K2215*VLOOKUP(I2215,dagsoorttabel1,2,FALSE)</f>
        <v>42.349999999999994</v>
      </c>
      <c r="M2215" s="67">
        <f>prodnorm43</f>
        <v>0</v>
      </c>
      <c r="N2215" s="68">
        <f>dagwerk43</f>
        <v>0</v>
      </c>
      <c r="O2215" s="64" t="s">
        <v>38</v>
      </c>
      <c r="P2215" s="69">
        <f>uurtarief43</f>
        <v>0</v>
      </c>
      <c r="Q2215" s="66" t="e">
        <f>IF(ISBLANK(M2215),0,L2215/ROUND(M2215,4))</f>
        <v>#DIV/0!</v>
      </c>
      <c r="R2215" s="66" t="e">
        <f>IF(ISBLANK(M2215),0,Q2215*ROUND(N2215,2))</f>
        <v>#DIV/0!</v>
      </c>
      <c r="S2215" s="69" t="e">
        <f>ROUND(P2215,2)*Q2215</f>
        <v>#DIV/0!</v>
      </c>
      <c r="T2215" s="66" t="e">
        <f>Q2215*dagenperjaar1</f>
        <v>#DIV/0!</v>
      </c>
      <c r="U2215" s="70" t="e">
        <f>T2215*ROUND(P2215,2)</f>
        <v>#DIV/0!</v>
      </c>
    </row>
    <row r="2216" spans="1:21" x14ac:dyDescent="0.2">
      <c r="A2216" s="63" t="s">
        <v>2504</v>
      </c>
      <c r="B2216" s="64" t="s">
        <v>324</v>
      </c>
      <c r="C2216" s="64" t="s">
        <v>472</v>
      </c>
      <c r="D2216" s="64" t="s">
        <v>2723</v>
      </c>
      <c r="E2216" s="64" t="s">
        <v>324</v>
      </c>
      <c r="F2216" s="65" t="s">
        <v>663</v>
      </c>
      <c r="G2216" s="64" t="s">
        <v>328</v>
      </c>
      <c r="H2216" s="64" t="s">
        <v>205</v>
      </c>
      <c r="I2216" s="64" t="s">
        <v>10</v>
      </c>
      <c r="J2216" s="64" t="s">
        <v>201</v>
      </c>
      <c r="K2216" s="66">
        <v>15.25</v>
      </c>
      <c r="L2216" s="66">
        <f>K2216*VLOOKUP(I2216,dagsoorttabel1,2,FALSE)</f>
        <v>15.25</v>
      </c>
      <c r="M2216" s="67">
        <f>prodnorm26</f>
        <v>0</v>
      </c>
      <c r="N2216" s="68">
        <f>dagwerk26</f>
        <v>0</v>
      </c>
      <c r="O2216" s="64" t="s">
        <v>38</v>
      </c>
      <c r="P2216" s="69">
        <f>uurtarief26</f>
        <v>0</v>
      </c>
      <c r="Q2216" s="66" t="e">
        <f>IF(ISBLANK(M2216),0,L2216/ROUND(M2216,4))</f>
        <v>#DIV/0!</v>
      </c>
      <c r="R2216" s="66" t="e">
        <f>IF(ISBLANK(M2216),0,Q2216*ROUND(N2216,2))</f>
        <v>#DIV/0!</v>
      </c>
      <c r="S2216" s="69" t="e">
        <f>ROUND(P2216,2)*Q2216</f>
        <v>#DIV/0!</v>
      </c>
      <c r="T2216" s="66" t="e">
        <f>Q2216*dagenperjaar1</f>
        <v>#DIV/0!</v>
      </c>
      <c r="U2216" s="70" t="e">
        <f>T2216*ROUND(P2216,2)</f>
        <v>#DIV/0!</v>
      </c>
    </row>
    <row r="2217" spans="1:21" x14ac:dyDescent="0.2">
      <c r="A2217" s="63" t="s">
        <v>2504</v>
      </c>
      <c r="B2217" s="64" t="s">
        <v>324</v>
      </c>
      <c r="C2217" s="64" t="s">
        <v>472</v>
      </c>
      <c r="D2217" s="64" t="s">
        <v>2724</v>
      </c>
      <c r="E2217" s="64" t="s">
        <v>324</v>
      </c>
      <c r="F2217" s="65" t="s">
        <v>671</v>
      </c>
      <c r="G2217" s="64" t="s">
        <v>365</v>
      </c>
      <c r="H2217" s="64" t="s">
        <v>255</v>
      </c>
      <c r="I2217" s="64" t="s">
        <v>10</v>
      </c>
      <c r="J2217" s="64" t="s">
        <v>201</v>
      </c>
      <c r="K2217" s="66">
        <v>5.9300000000000006</v>
      </c>
      <c r="L2217" s="66">
        <f>K2217*VLOOKUP(I2217,dagsoorttabel1,2,FALSE)</f>
        <v>5.9300000000000006</v>
      </c>
      <c r="M2217" s="67">
        <f>prodnorm59</f>
        <v>0</v>
      </c>
      <c r="N2217" s="68">
        <f>dagwerk59</f>
        <v>0</v>
      </c>
      <c r="O2217" s="64" t="s">
        <v>38</v>
      </c>
      <c r="P2217" s="69">
        <f>uurtarief59</f>
        <v>0</v>
      </c>
      <c r="Q2217" s="66" t="e">
        <f>IF(ISBLANK(M2217),0,L2217/ROUND(M2217,4))</f>
        <v>#DIV/0!</v>
      </c>
      <c r="R2217" s="66" t="e">
        <f>IF(ISBLANK(M2217),0,Q2217*ROUND(N2217,2))</f>
        <v>#DIV/0!</v>
      </c>
      <c r="S2217" s="69" t="e">
        <f>ROUND(P2217,2)*Q2217</f>
        <v>#DIV/0!</v>
      </c>
      <c r="T2217" s="66" t="e">
        <f>Q2217*dagenperjaar1</f>
        <v>#DIV/0!</v>
      </c>
      <c r="U2217" s="70" t="e">
        <f>T2217*ROUND(P2217,2)</f>
        <v>#DIV/0!</v>
      </c>
    </row>
    <row r="2218" spans="1:21" x14ac:dyDescent="0.2">
      <c r="A2218" s="63" t="s">
        <v>2504</v>
      </c>
      <c r="B2218" s="64" t="s">
        <v>324</v>
      </c>
      <c r="C2218" s="64" t="s">
        <v>472</v>
      </c>
      <c r="D2218" s="64" t="s">
        <v>2725</v>
      </c>
      <c r="E2218" s="64" t="s">
        <v>324</v>
      </c>
      <c r="F2218" s="65" t="s">
        <v>671</v>
      </c>
      <c r="G2218" s="64" t="s">
        <v>365</v>
      </c>
      <c r="H2218" s="64" t="s">
        <v>255</v>
      </c>
      <c r="I2218" s="64" t="s">
        <v>10</v>
      </c>
      <c r="J2218" s="64" t="s">
        <v>201</v>
      </c>
      <c r="K2218" s="66">
        <v>5.9300000000000006</v>
      </c>
      <c r="L2218" s="66">
        <f>K2218*VLOOKUP(I2218,dagsoorttabel1,2,FALSE)</f>
        <v>5.9300000000000006</v>
      </c>
      <c r="M2218" s="67">
        <f>prodnorm59</f>
        <v>0</v>
      </c>
      <c r="N2218" s="68">
        <f>dagwerk59</f>
        <v>0</v>
      </c>
      <c r="O2218" s="64" t="s">
        <v>38</v>
      </c>
      <c r="P2218" s="69">
        <f>uurtarief59</f>
        <v>0</v>
      </c>
      <c r="Q2218" s="66" t="e">
        <f>IF(ISBLANK(M2218),0,L2218/ROUND(M2218,4))</f>
        <v>#DIV/0!</v>
      </c>
      <c r="R2218" s="66" t="e">
        <f>IF(ISBLANK(M2218),0,Q2218*ROUND(N2218,2))</f>
        <v>#DIV/0!</v>
      </c>
      <c r="S2218" s="69" t="e">
        <f>ROUND(P2218,2)*Q2218</f>
        <v>#DIV/0!</v>
      </c>
      <c r="T2218" s="66" t="e">
        <f>Q2218*dagenperjaar1</f>
        <v>#DIV/0!</v>
      </c>
      <c r="U2218" s="70" t="e">
        <f>T2218*ROUND(P2218,2)</f>
        <v>#DIV/0!</v>
      </c>
    </row>
    <row r="2219" spans="1:21" x14ac:dyDescent="0.2">
      <c r="A2219" s="63" t="s">
        <v>2504</v>
      </c>
      <c r="B2219" s="64" t="s">
        <v>324</v>
      </c>
      <c r="C2219" s="64" t="s">
        <v>530</v>
      </c>
      <c r="D2219" s="64" t="s">
        <v>2726</v>
      </c>
      <c r="E2219" s="64" t="s">
        <v>324</v>
      </c>
      <c r="F2219" s="65" t="s">
        <v>2727</v>
      </c>
      <c r="G2219" s="64" t="s">
        <v>2508</v>
      </c>
      <c r="H2219" s="64" t="s">
        <v>200</v>
      </c>
      <c r="I2219" s="64" t="s">
        <v>10</v>
      </c>
      <c r="J2219" s="64" t="s">
        <v>201</v>
      </c>
      <c r="K2219" s="66">
        <v>9.57</v>
      </c>
      <c r="L2219" s="66">
        <f>K2219*VLOOKUP(I2219,dagsoorttabel1,2,FALSE)</f>
        <v>9.57</v>
      </c>
      <c r="M2219" s="67">
        <f>prodnorm24</f>
        <v>0</v>
      </c>
      <c r="N2219" s="68">
        <f>dagwerk24</f>
        <v>0</v>
      </c>
      <c r="O2219" s="64" t="s">
        <v>38</v>
      </c>
      <c r="P2219" s="69">
        <f>uurtarief24</f>
        <v>0</v>
      </c>
      <c r="Q2219" s="66" t="e">
        <f>IF(ISBLANK(M2219),0,L2219/ROUND(M2219,4))</f>
        <v>#DIV/0!</v>
      </c>
      <c r="R2219" s="66" t="e">
        <f>IF(ISBLANK(M2219),0,Q2219*ROUND(N2219,2))</f>
        <v>#DIV/0!</v>
      </c>
      <c r="S2219" s="69" t="e">
        <f>ROUND(P2219,2)*Q2219</f>
        <v>#DIV/0!</v>
      </c>
      <c r="T2219" s="66" t="e">
        <f>Q2219*dagenperjaar1</f>
        <v>#DIV/0!</v>
      </c>
      <c r="U2219" s="70" t="e">
        <f>T2219*ROUND(P2219,2)</f>
        <v>#DIV/0!</v>
      </c>
    </row>
    <row r="2220" spans="1:21" x14ac:dyDescent="0.2">
      <c r="A2220" s="63" t="s">
        <v>2504</v>
      </c>
      <c r="B2220" s="64" t="s">
        <v>324</v>
      </c>
      <c r="C2220" s="64" t="s">
        <v>530</v>
      </c>
      <c r="D2220" s="64" t="s">
        <v>2728</v>
      </c>
      <c r="E2220" s="64" t="s">
        <v>324</v>
      </c>
      <c r="F2220" s="65" t="s">
        <v>638</v>
      </c>
      <c r="G2220" s="64" t="s">
        <v>2609</v>
      </c>
      <c r="H2220" s="64" t="s">
        <v>263</v>
      </c>
      <c r="I2220" s="64" t="s">
        <v>10</v>
      </c>
      <c r="J2220" s="64" t="s">
        <v>201</v>
      </c>
      <c r="K2220" s="66">
        <v>6.35</v>
      </c>
      <c r="L2220" s="66">
        <f>K2220*VLOOKUP(I2220,dagsoorttabel1,2,FALSE)</f>
        <v>6.35</v>
      </c>
      <c r="M2220" s="67">
        <f>prodnorm63</f>
        <v>0</v>
      </c>
      <c r="N2220" s="68">
        <f>dagwerk63</f>
        <v>0</v>
      </c>
      <c r="O2220" s="64" t="s">
        <v>38</v>
      </c>
      <c r="P2220" s="69">
        <f>uurtarief63</f>
        <v>0</v>
      </c>
      <c r="Q2220" s="66" t="e">
        <f>IF(ISBLANK(M2220),0,L2220/ROUND(M2220,4))</f>
        <v>#DIV/0!</v>
      </c>
      <c r="R2220" s="66" t="e">
        <f>IF(ISBLANK(M2220),0,Q2220*ROUND(N2220,2))</f>
        <v>#DIV/0!</v>
      </c>
      <c r="S2220" s="69" t="e">
        <f>ROUND(P2220,2)*Q2220</f>
        <v>#DIV/0!</v>
      </c>
      <c r="T2220" s="66" t="e">
        <f>Q2220*dagenperjaar1</f>
        <v>#DIV/0!</v>
      </c>
      <c r="U2220" s="70" t="e">
        <f>T2220*ROUND(P2220,2)</f>
        <v>#DIV/0!</v>
      </c>
    </row>
    <row r="2221" spans="1:21" x14ac:dyDescent="0.2">
      <c r="A2221" s="63" t="s">
        <v>2504</v>
      </c>
      <c r="B2221" s="64" t="s">
        <v>324</v>
      </c>
      <c r="C2221" s="64" t="s">
        <v>530</v>
      </c>
      <c r="D2221" s="64" t="s">
        <v>2729</v>
      </c>
      <c r="E2221" s="64" t="s">
        <v>324</v>
      </c>
      <c r="F2221" s="65" t="s">
        <v>638</v>
      </c>
      <c r="G2221" s="64" t="s">
        <v>2609</v>
      </c>
      <c r="H2221" s="64" t="s">
        <v>263</v>
      </c>
      <c r="I2221" s="64" t="s">
        <v>10</v>
      </c>
      <c r="J2221" s="64" t="s">
        <v>201</v>
      </c>
      <c r="K2221" s="66">
        <v>6.35</v>
      </c>
      <c r="L2221" s="66">
        <f>K2221*VLOOKUP(I2221,dagsoorttabel1,2,FALSE)</f>
        <v>6.35</v>
      </c>
      <c r="M2221" s="67">
        <f>prodnorm63</f>
        <v>0</v>
      </c>
      <c r="N2221" s="68">
        <f>dagwerk63</f>
        <v>0</v>
      </c>
      <c r="O2221" s="64" t="s">
        <v>38</v>
      </c>
      <c r="P2221" s="69">
        <f>uurtarief63</f>
        <v>0</v>
      </c>
      <c r="Q2221" s="66" t="e">
        <f>IF(ISBLANK(M2221),0,L2221/ROUND(M2221,4))</f>
        <v>#DIV/0!</v>
      </c>
      <c r="R2221" s="66" t="e">
        <f>IF(ISBLANK(M2221),0,Q2221*ROUND(N2221,2))</f>
        <v>#DIV/0!</v>
      </c>
      <c r="S2221" s="69" t="e">
        <f>ROUND(P2221,2)*Q2221</f>
        <v>#DIV/0!</v>
      </c>
      <c r="T2221" s="66" t="e">
        <f>Q2221*dagenperjaar1</f>
        <v>#DIV/0!</v>
      </c>
      <c r="U2221" s="70" t="e">
        <f>T2221*ROUND(P2221,2)</f>
        <v>#DIV/0!</v>
      </c>
    </row>
    <row r="2222" spans="1:21" x14ac:dyDescent="0.2">
      <c r="A2222" s="63" t="s">
        <v>2504</v>
      </c>
      <c r="B2222" s="64" t="s">
        <v>324</v>
      </c>
      <c r="C2222" s="64" t="s">
        <v>530</v>
      </c>
      <c r="D2222" s="64" t="s">
        <v>2730</v>
      </c>
      <c r="E2222" s="64" t="s">
        <v>324</v>
      </c>
      <c r="F2222" s="65" t="s">
        <v>638</v>
      </c>
      <c r="G2222" s="64" t="s">
        <v>2609</v>
      </c>
      <c r="H2222" s="64" t="s">
        <v>263</v>
      </c>
      <c r="I2222" s="64" t="s">
        <v>10</v>
      </c>
      <c r="J2222" s="64" t="s">
        <v>201</v>
      </c>
      <c r="K2222" s="66">
        <v>6.35</v>
      </c>
      <c r="L2222" s="66">
        <f>K2222*VLOOKUP(I2222,dagsoorttabel1,2,FALSE)</f>
        <v>6.35</v>
      </c>
      <c r="M2222" s="67">
        <f>prodnorm63</f>
        <v>0</v>
      </c>
      <c r="N2222" s="68">
        <f>dagwerk63</f>
        <v>0</v>
      </c>
      <c r="O2222" s="64" t="s">
        <v>38</v>
      </c>
      <c r="P2222" s="69">
        <f>uurtarief63</f>
        <v>0</v>
      </c>
      <c r="Q2222" s="66" t="e">
        <f>IF(ISBLANK(M2222),0,L2222/ROUND(M2222,4))</f>
        <v>#DIV/0!</v>
      </c>
      <c r="R2222" s="66" t="e">
        <f>IF(ISBLANK(M2222),0,Q2222*ROUND(N2222,2))</f>
        <v>#DIV/0!</v>
      </c>
      <c r="S2222" s="69" t="e">
        <f>ROUND(P2222,2)*Q2222</f>
        <v>#DIV/0!</v>
      </c>
      <c r="T2222" s="66" t="e">
        <f>Q2222*dagenperjaar1</f>
        <v>#DIV/0!</v>
      </c>
      <c r="U2222" s="70" t="e">
        <f>T2222*ROUND(P2222,2)</f>
        <v>#DIV/0!</v>
      </c>
    </row>
    <row r="2223" spans="1:21" x14ac:dyDescent="0.2">
      <c r="A2223" s="63" t="s">
        <v>2504</v>
      </c>
      <c r="B2223" s="64" t="s">
        <v>324</v>
      </c>
      <c r="C2223" s="64" t="s">
        <v>530</v>
      </c>
      <c r="D2223" s="64" t="s">
        <v>2731</v>
      </c>
      <c r="E2223" s="64" t="s">
        <v>324</v>
      </c>
      <c r="F2223" s="65" t="s">
        <v>1566</v>
      </c>
      <c r="G2223" s="64" t="s">
        <v>328</v>
      </c>
      <c r="H2223" s="64" t="s">
        <v>239</v>
      </c>
      <c r="I2223" s="64" t="s">
        <v>10</v>
      </c>
      <c r="J2223" s="64" t="s">
        <v>201</v>
      </c>
      <c r="K2223" s="66">
        <v>137.55000000000001</v>
      </c>
      <c r="L2223" s="66">
        <f>K2223*VLOOKUP(I2223,dagsoorttabel1,2,FALSE)</f>
        <v>137.55000000000001</v>
      </c>
      <c r="M2223" s="67">
        <f>prodnorm50</f>
        <v>0</v>
      </c>
      <c r="N2223" s="68">
        <f>dagwerk50</f>
        <v>0</v>
      </c>
      <c r="O2223" s="64" t="s">
        <v>38</v>
      </c>
      <c r="P2223" s="69">
        <f>uurtarief50</f>
        <v>0</v>
      </c>
      <c r="Q2223" s="66" t="e">
        <f>IF(ISBLANK(M2223),0,L2223/ROUND(M2223,4))</f>
        <v>#DIV/0!</v>
      </c>
      <c r="R2223" s="66" t="e">
        <f>IF(ISBLANK(M2223),0,Q2223*ROUND(N2223,2))</f>
        <v>#DIV/0!</v>
      </c>
      <c r="S2223" s="69" t="e">
        <f>ROUND(P2223,2)*Q2223</f>
        <v>#DIV/0!</v>
      </c>
      <c r="T2223" s="66" t="e">
        <f>Q2223*dagenperjaar1</f>
        <v>#DIV/0!</v>
      </c>
      <c r="U2223" s="70" t="e">
        <f>T2223*ROUND(P2223,2)</f>
        <v>#DIV/0!</v>
      </c>
    </row>
    <row r="2224" spans="1:21" x14ac:dyDescent="0.2">
      <c r="A2224" s="63" t="s">
        <v>2504</v>
      </c>
      <c r="B2224" s="64" t="s">
        <v>324</v>
      </c>
      <c r="C2224" s="64" t="s">
        <v>530</v>
      </c>
      <c r="D2224" s="64" t="s">
        <v>2732</v>
      </c>
      <c r="E2224" s="64" t="s">
        <v>324</v>
      </c>
      <c r="F2224" s="65" t="s">
        <v>335</v>
      </c>
      <c r="G2224" s="64" t="s">
        <v>328</v>
      </c>
      <c r="H2224" s="64" t="s">
        <v>267</v>
      </c>
      <c r="I2224" s="64" t="s">
        <v>10</v>
      </c>
      <c r="J2224" s="64" t="s">
        <v>201</v>
      </c>
      <c r="K2224" s="66">
        <v>10</v>
      </c>
      <c r="L2224" s="66">
        <f>K2224*VLOOKUP(I2224,dagsoorttabel1,2,FALSE)</f>
        <v>10</v>
      </c>
      <c r="M2224" s="67">
        <f>prodnorm65</f>
        <v>0</v>
      </c>
      <c r="N2224" s="68">
        <f>dagwerk65</f>
        <v>0</v>
      </c>
      <c r="O2224" s="64" t="s">
        <v>38</v>
      </c>
      <c r="P2224" s="69">
        <f>uurtarief65</f>
        <v>0</v>
      </c>
      <c r="Q2224" s="66" t="e">
        <f>IF(ISBLANK(M2224),0,L2224/ROUND(M2224,4))</f>
        <v>#DIV/0!</v>
      </c>
      <c r="R2224" s="66" t="e">
        <f>IF(ISBLANK(M2224),0,Q2224*ROUND(N2224,2))</f>
        <v>#DIV/0!</v>
      </c>
      <c r="S2224" s="69" t="e">
        <f>ROUND(P2224,2)*Q2224</f>
        <v>#DIV/0!</v>
      </c>
      <c r="T2224" s="66" t="e">
        <f>Q2224*dagenperjaar1</f>
        <v>#DIV/0!</v>
      </c>
      <c r="U2224" s="70" t="e">
        <f>T2224*ROUND(P2224,2)</f>
        <v>#DIV/0!</v>
      </c>
    </row>
    <row r="2225" spans="1:21" x14ac:dyDescent="0.2">
      <c r="A2225" s="63" t="s">
        <v>2504</v>
      </c>
      <c r="B2225" s="64" t="s">
        <v>324</v>
      </c>
      <c r="C2225" s="64" t="s">
        <v>530</v>
      </c>
      <c r="D2225" s="64" t="s">
        <v>2733</v>
      </c>
      <c r="E2225" s="64" t="s">
        <v>324</v>
      </c>
      <c r="F2225" s="65" t="s">
        <v>457</v>
      </c>
      <c r="G2225" s="64" t="s">
        <v>328</v>
      </c>
      <c r="H2225" s="64" t="s">
        <v>229</v>
      </c>
      <c r="I2225" s="64" t="s">
        <v>10</v>
      </c>
      <c r="J2225" s="64" t="s">
        <v>201</v>
      </c>
      <c r="K2225" s="66">
        <v>52.6</v>
      </c>
      <c r="L2225" s="66">
        <f>K2225*VLOOKUP(I2225,dagsoorttabel1,2,FALSE)</f>
        <v>52.6</v>
      </c>
      <c r="M2225" s="67">
        <f>prodnorm43</f>
        <v>0</v>
      </c>
      <c r="N2225" s="68">
        <f>dagwerk43</f>
        <v>0</v>
      </c>
      <c r="O2225" s="64" t="s">
        <v>38</v>
      </c>
      <c r="P2225" s="69">
        <f>uurtarief43</f>
        <v>0</v>
      </c>
      <c r="Q2225" s="66" t="e">
        <f>IF(ISBLANK(M2225),0,L2225/ROUND(M2225,4))</f>
        <v>#DIV/0!</v>
      </c>
      <c r="R2225" s="66" t="e">
        <f>IF(ISBLANK(M2225),0,Q2225*ROUND(N2225,2))</f>
        <v>#DIV/0!</v>
      </c>
      <c r="S2225" s="69" t="e">
        <f>ROUND(P2225,2)*Q2225</f>
        <v>#DIV/0!</v>
      </c>
      <c r="T2225" s="66" t="e">
        <f>Q2225*dagenperjaar1</f>
        <v>#DIV/0!</v>
      </c>
      <c r="U2225" s="70" t="e">
        <f>T2225*ROUND(P2225,2)</f>
        <v>#DIV/0!</v>
      </c>
    </row>
    <row r="2226" spans="1:21" x14ac:dyDescent="0.2">
      <c r="A2226" s="63" t="s">
        <v>2504</v>
      </c>
      <c r="B2226" s="64" t="s">
        <v>324</v>
      </c>
      <c r="C2226" s="64" t="s">
        <v>530</v>
      </c>
      <c r="D2226" s="64" t="s">
        <v>2734</v>
      </c>
      <c r="E2226" s="64" t="s">
        <v>324</v>
      </c>
      <c r="F2226" s="65" t="s">
        <v>457</v>
      </c>
      <c r="G2226" s="64" t="s">
        <v>328</v>
      </c>
      <c r="H2226" s="64" t="s">
        <v>229</v>
      </c>
      <c r="I2226" s="64" t="s">
        <v>10</v>
      </c>
      <c r="J2226" s="64" t="s">
        <v>201</v>
      </c>
      <c r="K2226" s="66">
        <v>48.7</v>
      </c>
      <c r="L2226" s="66">
        <f>K2226*VLOOKUP(I2226,dagsoorttabel1,2,FALSE)</f>
        <v>48.7</v>
      </c>
      <c r="M2226" s="67">
        <f>prodnorm43</f>
        <v>0</v>
      </c>
      <c r="N2226" s="68">
        <f>dagwerk43</f>
        <v>0</v>
      </c>
      <c r="O2226" s="64" t="s">
        <v>38</v>
      </c>
      <c r="P2226" s="69">
        <f>uurtarief43</f>
        <v>0</v>
      </c>
      <c r="Q2226" s="66" t="e">
        <f>IF(ISBLANK(M2226),0,L2226/ROUND(M2226,4))</f>
        <v>#DIV/0!</v>
      </c>
      <c r="R2226" s="66" t="e">
        <f>IF(ISBLANK(M2226),0,Q2226*ROUND(N2226,2))</f>
        <v>#DIV/0!</v>
      </c>
      <c r="S2226" s="69" t="e">
        <f>ROUND(P2226,2)*Q2226</f>
        <v>#DIV/0!</v>
      </c>
      <c r="T2226" s="66" t="e">
        <f>Q2226*dagenperjaar1</f>
        <v>#DIV/0!</v>
      </c>
      <c r="U2226" s="70" t="e">
        <f>T2226*ROUND(P2226,2)</f>
        <v>#DIV/0!</v>
      </c>
    </row>
    <row r="2227" spans="1:21" x14ac:dyDescent="0.2">
      <c r="A2227" s="63" t="s">
        <v>2504</v>
      </c>
      <c r="B2227" s="64" t="s">
        <v>324</v>
      </c>
      <c r="C2227" s="64" t="s">
        <v>530</v>
      </c>
      <c r="D2227" s="64" t="s">
        <v>2735</v>
      </c>
      <c r="E2227" s="64" t="s">
        <v>324</v>
      </c>
      <c r="F2227" s="65" t="s">
        <v>457</v>
      </c>
      <c r="G2227" s="64" t="s">
        <v>328</v>
      </c>
      <c r="H2227" s="64" t="s">
        <v>229</v>
      </c>
      <c r="I2227" s="64" t="s">
        <v>10</v>
      </c>
      <c r="J2227" s="64" t="s">
        <v>201</v>
      </c>
      <c r="K2227" s="66">
        <v>45.36</v>
      </c>
      <c r="L2227" s="66">
        <f>K2227*VLOOKUP(I2227,dagsoorttabel1,2,FALSE)</f>
        <v>45.36</v>
      </c>
      <c r="M2227" s="67">
        <f>prodnorm43</f>
        <v>0</v>
      </c>
      <c r="N2227" s="68">
        <f>dagwerk43</f>
        <v>0</v>
      </c>
      <c r="O2227" s="64" t="s">
        <v>38</v>
      </c>
      <c r="P2227" s="69">
        <f>uurtarief43</f>
        <v>0</v>
      </c>
      <c r="Q2227" s="66" t="e">
        <f>IF(ISBLANK(M2227),0,L2227/ROUND(M2227,4))</f>
        <v>#DIV/0!</v>
      </c>
      <c r="R2227" s="66" t="e">
        <f>IF(ISBLANK(M2227),0,Q2227*ROUND(N2227,2))</f>
        <v>#DIV/0!</v>
      </c>
      <c r="S2227" s="69" t="e">
        <f>ROUND(P2227,2)*Q2227</f>
        <v>#DIV/0!</v>
      </c>
      <c r="T2227" s="66" t="e">
        <f>Q2227*dagenperjaar1</f>
        <v>#DIV/0!</v>
      </c>
      <c r="U2227" s="70" t="e">
        <f>T2227*ROUND(P2227,2)</f>
        <v>#DIV/0!</v>
      </c>
    </row>
    <row r="2228" spans="1:21" x14ac:dyDescent="0.2">
      <c r="A2228" s="63" t="s">
        <v>2504</v>
      </c>
      <c r="B2228" s="64" t="s">
        <v>324</v>
      </c>
      <c r="C2228" s="64" t="s">
        <v>530</v>
      </c>
      <c r="D2228" s="64" t="s">
        <v>2736</v>
      </c>
      <c r="E2228" s="64" t="s">
        <v>324</v>
      </c>
      <c r="F2228" s="65" t="s">
        <v>457</v>
      </c>
      <c r="G2228" s="64" t="s">
        <v>328</v>
      </c>
      <c r="H2228" s="64" t="s">
        <v>229</v>
      </c>
      <c r="I2228" s="64" t="s">
        <v>10</v>
      </c>
      <c r="J2228" s="64" t="s">
        <v>201</v>
      </c>
      <c r="K2228" s="66">
        <v>45.74</v>
      </c>
      <c r="L2228" s="66">
        <f>K2228*VLOOKUP(I2228,dagsoorttabel1,2,FALSE)</f>
        <v>45.74</v>
      </c>
      <c r="M2228" s="67">
        <f>prodnorm43</f>
        <v>0</v>
      </c>
      <c r="N2228" s="68">
        <f>dagwerk43</f>
        <v>0</v>
      </c>
      <c r="O2228" s="64" t="s">
        <v>38</v>
      </c>
      <c r="P2228" s="69">
        <f>uurtarief43</f>
        <v>0</v>
      </c>
      <c r="Q2228" s="66" t="e">
        <f>IF(ISBLANK(M2228),0,L2228/ROUND(M2228,4))</f>
        <v>#DIV/0!</v>
      </c>
      <c r="R2228" s="66" t="e">
        <f>IF(ISBLANK(M2228),0,Q2228*ROUND(N2228,2))</f>
        <v>#DIV/0!</v>
      </c>
      <c r="S2228" s="69" t="e">
        <f>ROUND(P2228,2)*Q2228</f>
        <v>#DIV/0!</v>
      </c>
      <c r="T2228" s="66" t="e">
        <f>Q2228*dagenperjaar1</f>
        <v>#DIV/0!</v>
      </c>
      <c r="U2228" s="70" t="e">
        <f>T2228*ROUND(P2228,2)</f>
        <v>#DIV/0!</v>
      </c>
    </row>
    <row r="2229" spans="1:21" x14ac:dyDescent="0.2">
      <c r="A2229" s="63" t="s">
        <v>2504</v>
      </c>
      <c r="B2229" s="64" t="s">
        <v>324</v>
      </c>
      <c r="C2229" s="64" t="s">
        <v>530</v>
      </c>
      <c r="D2229" s="64" t="s">
        <v>2737</v>
      </c>
      <c r="E2229" s="64" t="s">
        <v>324</v>
      </c>
      <c r="F2229" s="65" t="s">
        <v>457</v>
      </c>
      <c r="G2229" s="64" t="s">
        <v>328</v>
      </c>
      <c r="H2229" s="64" t="s">
        <v>229</v>
      </c>
      <c r="I2229" s="64" t="s">
        <v>10</v>
      </c>
      <c r="J2229" s="64" t="s">
        <v>201</v>
      </c>
      <c r="K2229" s="66">
        <v>47.94</v>
      </c>
      <c r="L2229" s="66">
        <f>K2229*VLOOKUP(I2229,dagsoorttabel1,2,FALSE)</f>
        <v>47.94</v>
      </c>
      <c r="M2229" s="67">
        <f>prodnorm43</f>
        <v>0</v>
      </c>
      <c r="N2229" s="68">
        <f>dagwerk43</f>
        <v>0</v>
      </c>
      <c r="O2229" s="64" t="s">
        <v>38</v>
      </c>
      <c r="P2229" s="69">
        <f>uurtarief43</f>
        <v>0</v>
      </c>
      <c r="Q2229" s="66" t="e">
        <f>IF(ISBLANK(M2229),0,L2229/ROUND(M2229,4))</f>
        <v>#DIV/0!</v>
      </c>
      <c r="R2229" s="66" t="e">
        <f>IF(ISBLANK(M2229),0,Q2229*ROUND(N2229,2))</f>
        <v>#DIV/0!</v>
      </c>
      <c r="S2229" s="69" t="e">
        <f>ROUND(P2229,2)*Q2229</f>
        <v>#DIV/0!</v>
      </c>
      <c r="T2229" s="66" t="e">
        <f>Q2229*dagenperjaar1</f>
        <v>#DIV/0!</v>
      </c>
      <c r="U2229" s="70" t="e">
        <f>T2229*ROUND(P2229,2)</f>
        <v>#DIV/0!</v>
      </c>
    </row>
    <row r="2230" spans="1:21" x14ac:dyDescent="0.2">
      <c r="A2230" s="63" t="s">
        <v>2504</v>
      </c>
      <c r="B2230" s="64" t="s">
        <v>324</v>
      </c>
      <c r="C2230" s="64" t="s">
        <v>530</v>
      </c>
      <c r="D2230" s="64" t="s">
        <v>2738</v>
      </c>
      <c r="E2230" s="64" t="s">
        <v>324</v>
      </c>
      <c r="F2230" s="65" t="s">
        <v>457</v>
      </c>
      <c r="G2230" s="64" t="s">
        <v>328</v>
      </c>
      <c r="H2230" s="64" t="s">
        <v>229</v>
      </c>
      <c r="I2230" s="64" t="s">
        <v>10</v>
      </c>
      <c r="J2230" s="64" t="s">
        <v>201</v>
      </c>
      <c r="K2230" s="66">
        <v>46.25</v>
      </c>
      <c r="L2230" s="66">
        <f>K2230*VLOOKUP(I2230,dagsoorttabel1,2,FALSE)</f>
        <v>46.25</v>
      </c>
      <c r="M2230" s="67">
        <f>prodnorm43</f>
        <v>0</v>
      </c>
      <c r="N2230" s="68">
        <f>dagwerk43</f>
        <v>0</v>
      </c>
      <c r="O2230" s="64" t="s">
        <v>38</v>
      </c>
      <c r="P2230" s="69">
        <f>uurtarief43</f>
        <v>0</v>
      </c>
      <c r="Q2230" s="66" t="e">
        <f>IF(ISBLANK(M2230),0,L2230/ROUND(M2230,4))</f>
        <v>#DIV/0!</v>
      </c>
      <c r="R2230" s="66" t="e">
        <f>IF(ISBLANK(M2230),0,Q2230*ROUND(N2230,2))</f>
        <v>#DIV/0!</v>
      </c>
      <c r="S2230" s="69" t="e">
        <f>ROUND(P2230,2)*Q2230</f>
        <v>#DIV/0!</v>
      </c>
      <c r="T2230" s="66" t="e">
        <f>Q2230*dagenperjaar1</f>
        <v>#DIV/0!</v>
      </c>
      <c r="U2230" s="70" t="e">
        <f>T2230*ROUND(P2230,2)</f>
        <v>#DIV/0!</v>
      </c>
    </row>
    <row r="2231" spans="1:21" x14ac:dyDescent="0.2">
      <c r="A2231" s="63" t="s">
        <v>2504</v>
      </c>
      <c r="B2231" s="64" t="s">
        <v>324</v>
      </c>
      <c r="C2231" s="64" t="s">
        <v>530</v>
      </c>
      <c r="D2231" s="64" t="s">
        <v>2739</v>
      </c>
      <c r="E2231" s="64" t="s">
        <v>324</v>
      </c>
      <c r="F2231" s="65" t="s">
        <v>2623</v>
      </c>
      <c r="G2231" s="64" t="s">
        <v>328</v>
      </c>
      <c r="H2231" s="64" t="s">
        <v>229</v>
      </c>
      <c r="I2231" s="64" t="s">
        <v>10</v>
      </c>
      <c r="J2231" s="64" t="s">
        <v>201</v>
      </c>
      <c r="K2231" s="66">
        <v>47.43</v>
      </c>
      <c r="L2231" s="66">
        <f>K2231*VLOOKUP(I2231,dagsoorttabel1,2,FALSE)</f>
        <v>47.43</v>
      </c>
      <c r="M2231" s="67">
        <f>prodnorm43</f>
        <v>0</v>
      </c>
      <c r="N2231" s="68">
        <f>dagwerk43</f>
        <v>0</v>
      </c>
      <c r="O2231" s="64" t="s">
        <v>38</v>
      </c>
      <c r="P2231" s="69">
        <f>uurtarief43</f>
        <v>0</v>
      </c>
      <c r="Q2231" s="66" t="e">
        <f>IF(ISBLANK(M2231),0,L2231/ROUND(M2231,4))</f>
        <v>#DIV/0!</v>
      </c>
      <c r="R2231" s="66" t="e">
        <f>IF(ISBLANK(M2231),0,Q2231*ROUND(N2231,2))</f>
        <v>#DIV/0!</v>
      </c>
      <c r="S2231" s="69" t="e">
        <f>ROUND(P2231,2)*Q2231</f>
        <v>#DIV/0!</v>
      </c>
      <c r="T2231" s="66" t="e">
        <f>Q2231*dagenperjaar1</f>
        <v>#DIV/0!</v>
      </c>
      <c r="U2231" s="70" t="e">
        <f>T2231*ROUND(P2231,2)</f>
        <v>#DIV/0!</v>
      </c>
    </row>
    <row r="2232" spans="1:21" x14ac:dyDescent="0.2">
      <c r="A2232" s="63" t="s">
        <v>2504</v>
      </c>
      <c r="B2232" s="64" t="s">
        <v>324</v>
      </c>
      <c r="C2232" s="64" t="s">
        <v>530</v>
      </c>
      <c r="D2232" s="64" t="s">
        <v>2740</v>
      </c>
      <c r="E2232" s="64" t="s">
        <v>324</v>
      </c>
      <c r="F2232" s="65" t="s">
        <v>595</v>
      </c>
      <c r="G2232" s="64" t="s">
        <v>328</v>
      </c>
      <c r="H2232" s="64" t="s">
        <v>205</v>
      </c>
      <c r="I2232" s="64" t="s">
        <v>10</v>
      </c>
      <c r="J2232" s="64" t="s">
        <v>201</v>
      </c>
      <c r="K2232" s="66">
        <v>11.01</v>
      </c>
      <c r="L2232" s="66">
        <f>K2232*VLOOKUP(I2232,dagsoorttabel1,2,FALSE)</f>
        <v>11.01</v>
      </c>
      <c r="M2232" s="67">
        <f>prodnorm26</f>
        <v>0</v>
      </c>
      <c r="N2232" s="68">
        <f>dagwerk26</f>
        <v>0</v>
      </c>
      <c r="O2232" s="64" t="s">
        <v>38</v>
      </c>
      <c r="P2232" s="69">
        <f>uurtarief26</f>
        <v>0</v>
      </c>
      <c r="Q2232" s="66" t="e">
        <f>IF(ISBLANK(M2232),0,L2232/ROUND(M2232,4))</f>
        <v>#DIV/0!</v>
      </c>
      <c r="R2232" s="66" t="e">
        <f>IF(ISBLANK(M2232),0,Q2232*ROUND(N2232,2))</f>
        <v>#DIV/0!</v>
      </c>
      <c r="S2232" s="69" t="e">
        <f>ROUND(P2232,2)*Q2232</f>
        <v>#DIV/0!</v>
      </c>
      <c r="T2232" s="66" t="e">
        <f>Q2232*dagenperjaar1</f>
        <v>#DIV/0!</v>
      </c>
      <c r="U2232" s="70" t="e">
        <f>T2232*ROUND(P2232,2)</f>
        <v>#DIV/0!</v>
      </c>
    </row>
    <row r="2233" spans="1:21" x14ac:dyDescent="0.2">
      <c r="A2233" s="63" t="s">
        <v>2504</v>
      </c>
      <c r="B2233" s="64" t="s">
        <v>324</v>
      </c>
      <c r="C2233" s="64" t="s">
        <v>530</v>
      </c>
      <c r="D2233" s="64" t="s">
        <v>2741</v>
      </c>
      <c r="E2233" s="64" t="s">
        <v>324</v>
      </c>
      <c r="F2233" s="65" t="s">
        <v>2677</v>
      </c>
      <c r="G2233" s="64" t="s">
        <v>2508</v>
      </c>
      <c r="H2233" s="64" t="s">
        <v>267</v>
      </c>
      <c r="I2233" s="64" t="s">
        <v>10</v>
      </c>
      <c r="J2233" s="64" t="s">
        <v>201</v>
      </c>
      <c r="K2233" s="66">
        <v>70.3</v>
      </c>
      <c r="L2233" s="66">
        <f>K2233*VLOOKUP(I2233,dagsoorttabel1,2,FALSE)</f>
        <v>70.3</v>
      </c>
      <c r="M2233" s="67">
        <f>prodnorm65</f>
        <v>0</v>
      </c>
      <c r="N2233" s="68">
        <f>dagwerk65</f>
        <v>0</v>
      </c>
      <c r="O2233" s="64" t="s">
        <v>38</v>
      </c>
      <c r="P2233" s="69">
        <f>uurtarief65</f>
        <v>0</v>
      </c>
      <c r="Q2233" s="66" t="e">
        <f>IF(ISBLANK(M2233),0,L2233/ROUND(M2233,4))</f>
        <v>#DIV/0!</v>
      </c>
      <c r="R2233" s="66" t="e">
        <f>IF(ISBLANK(M2233),0,Q2233*ROUND(N2233,2))</f>
        <v>#DIV/0!</v>
      </c>
      <c r="S2233" s="69" t="e">
        <f>ROUND(P2233,2)*Q2233</f>
        <v>#DIV/0!</v>
      </c>
      <c r="T2233" s="66" t="e">
        <f>Q2233*dagenperjaar1</f>
        <v>#DIV/0!</v>
      </c>
      <c r="U2233" s="70" t="e">
        <f>T2233*ROUND(P2233,2)</f>
        <v>#DIV/0!</v>
      </c>
    </row>
    <row r="2234" spans="1:21" x14ac:dyDescent="0.2">
      <c r="A2234" s="63" t="s">
        <v>2504</v>
      </c>
      <c r="B2234" s="64" t="s">
        <v>324</v>
      </c>
      <c r="C2234" s="64" t="s">
        <v>530</v>
      </c>
      <c r="D2234" s="64" t="s">
        <v>2742</v>
      </c>
      <c r="E2234" s="64" t="s">
        <v>324</v>
      </c>
      <c r="F2234" s="65" t="s">
        <v>671</v>
      </c>
      <c r="G2234" s="64" t="s">
        <v>365</v>
      </c>
      <c r="H2234" s="64" t="s">
        <v>255</v>
      </c>
      <c r="I2234" s="64" t="s">
        <v>10</v>
      </c>
      <c r="J2234" s="64" t="s">
        <v>201</v>
      </c>
      <c r="K2234" s="66">
        <v>6.78</v>
      </c>
      <c r="L2234" s="66">
        <f>K2234*VLOOKUP(I2234,dagsoorttabel1,2,FALSE)</f>
        <v>6.78</v>
      </c>
      <c r="M2234" s="67">
        <f>prodnorm59</f>
        <v>0</v>
      </c>
      <c r="N2234" s="68">
        <f>dagwerk59</f>
        <v>0</v>
      </c>
      <c r="O2234" s="64" t="s">
        <v>38</v>
      </c>
      <c r="P2234" s="69">
        <f>uurtarief59</f>
        <v>0</v>
      </c>
      <c r="Q2234" s="66" t="e">
        <f>IF(ISBLANK(M2234),0,L2234/ROUND(M2234,4))</f>
        <v>#DIV/0!</v>
      </c>
      <c r="R2234" s="66" t="e">
        <f>IF(ISBLANK(M2234),0,Q2234*ROUND(N2234,2))</f>
        <v>#DIV/0!</v>
      </c>
      <c r="S2234" s="69" t="e">
        <f>ROUND(P2234,2)*Q2234</f>
        <v>#DIV/0!</v>
      </c>
      <c r="T2234" s="66" t="e">
        <f>Q2234*dagenperjaar1</f>
        <v>#DIV/0!</v>
      </c>
      <c r="U2234" s="70" t="e">
        <f>T2234*ROUND(P2234,2)</f>
        <v>#DIV/0!</v>
      </c>
    </row>
    <row r="2235" spans="1:21" x14ac:dyDescent="0.2">
      <c r="A2235" s="63" t="s">
        <v>2504</v>
      </c>
      <c r="B2235" s="64" t="s">
        <v>324</v>
      </c>
      <c r="C2235" s="64" t="s">
        <v>530</v>
      </c>
      <c r="D2235" s="64" t="s">
        <v>2743</v>
      </c>
      <c r="E2235" s="64" t="s">
        <v>324</v>
      </c>
      <c r="F2235" s="65" t="s">
        <v>671</v>
      </c>
      <c r="G2235" s="64" t="s">
        <v>365</v>
      </c>
      <c r="H2235" s="64" t="s">
        <v>255</v>
      </c>
      <c r="I2235" s="64" t="s">
        <v>10</v>
      </c>
      <c r="J2235" s="64" t="s">
        <v>201</v>
      </c>
      <c r="K2235" s="66">
        <v>6.78</v>
      </c>
      <c r="L2235" s="66">
        <f>K2235*VLOOKUP(I2235,dagsoorttabel1,2,FALSE)</f>
        <v>6.78</v>
      </c>
      <c r="M2235" s="67">
        <f>prodnorm59</f>
        <v>0</v>
      </c>
      <c r="N2235" s="68">
        <f>dagwerk59</f>
        <v>0</v>
      </c>
      <c r="O2235" s="64" t="s">
        <v>38</v>
      </c>
      <c r="P2235" s="69">
        <f>uurtarief59</f>
        <v>0</v>
      </c>
      <c r="Q2235" s="66" t="e">
        <f>IF(ISBLANK(M2235),0,L2235/ROUND(M2235,4))</f>
        <v>#DIV/0!</v>
      </c>
      <c r="R2235" s="66" t="e">
        <f>IF(ISBLANK(M2235),0,Q2235*ROUND(N2235,2))</f>
        <v>#DIV/0!</v>
      </c>
      <c r="S2235" s="69" t="e">
        <f>ROUND(P2235,2)*Q2235</f>
        <v>#DIV/0!</v>
      </c>
      <c r="T2235" s="66" t="e">
        <f>Q2235*dagenperjaar1</f>
        <v>#DIV/0!</v>
      </c>
      <c r="U2235" s="70" t="e">
        <f>T2235*ROUND(P2235,2)</f>
        <v>#DIV/0!</v>
      </c>
    </row>
    <row r="2236" spans="1:21" x14ac:dyDescent="0.2">
      <c r="A2236" s="63" t="s">
        <v>2504</v>
      </c>
      <c r="B2236" s="64" t="s">
        <v>324</v>
      </c>
      <c r="C2236" s="64" t="s">
        <v>530</v>
      </c>
      <c r="D2236" s="64" t="s">
        <v>2744</v>
      </c>
      <c r="E2236" s="64" t="s">
        <v>324</v>
      </c>
      <c r="F2236" s="65" t="s">
        <v>2745</v>
      </c>
      <c r="G2236" s="64" t="s">
        <v>2508</v>
      </c>
      <c r="H2236" s="64" t="s">
        <v>200</v>
      </c>
      <c r="I2236" s="64" t="s">
        <v>10</v>
      </c>
      <c r="J2236" s="64" t="s">
        <v>201</v>
      </c>
      <c r="K2236" s="66">
        <v>95.33</v>
      </c>
      <c r="L2236" s="66">
        <f>K2236*VLOOKUP(I2236,dagsoorttabel1,2,FALSE)</f>
        <v>95.33</v>
      </c>
      <c r="M2236" s="67">
        <f>prodnorm24</f>
        <v>0</v>
      </c>
      <c r="N2236" s="68">
        <f>dagwerk24</f>
        <v>0</v>
      </c>
      <c r="O2236" s="64" t="s">
        <v>38</v>
      </c>
      <c r="P2236" s="69">
        <f>uurtarief24</f>
        <v>0</v>
      </c>
      <c r="Q2236" s="66" t="e">
        <f>IF(ISBLANK(M2236),0,L2236/ROUND(M2236,4))</f>
        <v>#DIV/0!</v>
      </c>
      <c r="R2236" s="66" t="e">
        <f>IF(ISBLANK(M2236),0,Q2236*ROUND(N2236,2))</f>
        <v>#DIV/0!</v>
      </c>
      <c r="S2236" s="69" t="e">
        <f>ROUND(P2236,2)*Q2236</f>
        <v>#DIV/0!</v>
      </c>
      <c r="T2236" s="66" t="e">
        <f>Q2236*dagenperjaar1</f>
        <v>#DIV/0!</v>
      </c>
      <c r="U2236" s="70" t="e">
        <f>T2236*ROUND(P2236,2)</f>
        <v>#DIV/0!</v>
      </c>
    </row>
    <row r="2237" spans="1:21" x14ac:dyDescent="0.2">
      <c r="A2237" s="63" t="s">
        <v>2504</v>
      </c>
      <c r="B2237" s="64" t="s">
        <v>324</v>
      </c>
      <c r="C2237" s="64" t="s">
        <v>530</v>
      </c>
      <c r="D2237" s="64" t="s">
        <v>2746</v>
      </c>
      <c r="E2237" s="64" t="s">
        <v>324</v>
      </c>
      <c r="F2237" s="65" t="s">
        <v>595</v>
      </c>
      <c r="G2237" s="64" t="s">
        <v>328</v>
      </c>
      <c r="H2237" s="64" t="s">
        <v>205</v>
      </c>
      <c r="I2237" s="64" t="s">
        <v>10</v>
      </c>
      <c r="J2237" s="64" t="s">
        <v>201</v>
      </c>
      <c r="K2237" s="66">
        <v>10.16</v>
      </c>
      <c r="L2237" s="66">
        <f>K2237*VLOOKUP(I2237,dagsoorttabel1,2,FALSE)</f>
        <v>10.16</v>
      </c>
      <c r="M2237" s="67">
        <f>prodnorm26</f>
        <v>0</v>
      </c>
      <c r="N2237" s="68">
        <f>dagwerk26</f>
        <v>0</v>
      </c>
      <c r="O2237" s="64" t="s">
        <v>38</v>
      </c>
      <c r="P2237" s="69">
        <f>uurtarief26</f>
        <v>0</v>
      </c>
      <c r="Q2237" s="66" t="e">
        <f>IF(ISBLANK(M2237),0,L2237/ROUND(M2237,4))</f>
        <v>#DIV/0!</v>
      </c>
      <c r="R2237" s="66" t="e">
        <f>IF(ISBLANK(M2237),0,Q2237*ROUND(N2237,2))</f>
        <v>#DIV/0!</v>
      </c>
      <c r="S2237" s="69" t="e">
        <f>ROUND(P2237,2)*Q2237</f>
        <v>#DIV/0!</v>
      </c>
      <c r="T2237" s="66" t="e">
        <f>Q2237*dagenperjaar1</f>
        <v>#DIV/0!</v>
      </c>
      <c r="U2237" s="70" t="e">
        <f>T2237*ROUND(P2237,2)</f>
        <v>#DIV/0!</v>
      </c>
    </row>
    <row r="2238" spans="1:21" x14ac:dyDescent="0.2">
      <c r="A2238" s="63" t="s">
        <v>2504</v>
      </c>
      <c r="B2238" s="64" t="s">
        <v>324</v>
      </c>
      <c r="C2238" s="64" t="s">
        <v>530</v>
      </c>
      <c r="D2238" s="64" t="s">
        <v>2747</v>
      </c>
      <c r="E2238" s="64" t="s">
        <v>324</v>
      </c>
      <c r="F2238" s="65" t="s">
        <v>595</v>
      </c>
      <c r="G2238" s="64" t="s">
        <v>328</v>
      </c>
      <c r="H2238" s="64" t="s">
        <v>205</v>
      </c>
      <c r="I2238" s="64" t="s">
        <v>10</v>
      </c>
      <c r="J2238" s="64" t="s">
        <v>201</v>
      </c>
      <c r="K2238" s="66">
        <v>6.78</v>
      </c>
      <c r="L2238" s="66">
        <f>K2238*VLOOKUP(I2238,dagsoorttabel1,2,FALSE)</f>
        <v>6.78</v>
      </c>
      <c r="M2238" s="67">
        <f>prodnorm26</f>
        <v>0</v>
      </c>
      <c r="N2238" s="68">
        <f>dagwerk26</f>
        <v>0</v>
      </c>
      <c r="O2238" s="64" t="s">
        <v>38</v>
      </c>
      <c r="P2238" s="69">
        <f>uurtarief26</f>
        <v>0</v>
      </c>
      <c r="Q2238" s="66" t="e">
        <f>IF(ISBLANK(M2238),0,L2238/ROUND(M2238,4))</f>
        <v>#DIV/0!</v>
      </c>
      <c r="R2238" s="66" t="e">
        <f>IF(ISBLANK(M2238),0,Q2238*ROUND(N2238,2))</f>
        <v>#DIV/0!</v>
      </c>
      <c r="S2238" s="69" t="e">
        <f>ROUND(P2238,2)*Q2238</f>
        <v>#DIV/0!</v>
      </c>
      <c r="T2238" s="66" t="e">
        <f>Q2238*dagenperjaar1</f>
        <v>#DIV/0!</v>
      </c>
      <c r="U2238" s="70" t="e">
        <f>T2238*ROUND(P2238,2)</f>
        <v>#DIV/0!</v>
      </c>
    </row>
    <row r="2239" spans="1:21" x14ac:dyDescent="0.2">
      <c r="A2239" s="63" t="s">
        <v>2504</v>
      </c>
      <c r="B2239" s="64" t="s">
        <v>324</v>
      </c>
      <c r="C2239" s="64" t="s">
        <v>530</v>
      </c>
      <c r="D2239" s="64" t="s">
        <v>2748</v>
      </c>
      <c r="E2239" s="64" t="s">
        <v>324</v>
      </c>
      <c r="F2239" s="65" t="s">
        <v>457</v>
      </c>
      <c r="G2239" s="64" t="s">
        <v>328</v>
      </c>
      <c r="H2239" s="64" t="s">
        <v>229</v>
      </c>
      <c r="I2239" s="64" t="s">
        <v>10</v>
      </c>
      <c r="J2239" s="64" t="s">
        <v>201</v>
      </c>
      <c r="K2239" s="66">
        <v>57.17</v>
      </c>
      <c r="L2239" s="66">
        <f>K2239*VLOOKUP(I2239,dagsoorttabel1,2,FALSE)</f>
        <v>57.17</v>
      </c>
      <c r="M2239" s="67">
        <f>prodnorm43</f>
        <v>0</v>
      </c>
      <c r="N2239" s="68">
        <f>dagwerk43</f>
        <v>0</v>
      </c>
      <c r="O2239" s="64" t="s">
        <v>38</v>
      </c>
      <c r="P2239" s="69">
        <f>uurtarief43</f>
        <v>0</v>
      </c>
      <c r="Q2239" s="66" t="e">
        <f>IF(ISBLANK(M2239),0,L2239/ROUND(M2239,4))</f>
        <v>#DIV/0!</v>
      </c>
      <c r="R2239" s="66" t="e">
        <f>IF(ISBLANK(M2239),0,Q2239*ROUND(N2239,2))</f>
        <v>#DIV/0!</v>
      </c>
      <c r="S2239" s="69" t="e">
        <f>ROUND(P2239,2)*Q2239</f>
        <v>#DIV/0!</v>
      </c>
      <c r="T2239" s="66" t="e">
        <f>Q2239*dagenperjaar1</f>
        <v>#DIV/0!</v>
      </c>
      <c r="U2239" s="70" t="e">
        <f>T2239*ROUND(P2239,2)</f>
        <v>#DIV/0!</v>
      </c>
    </row>
    <row r="2240" spans="1:21" x14ac:dyDescent="0.2">
      <c r="A2240" s="63" t="s">
        <v>2504</v>
      </c>
      <c r="B2240" s="64" t="s">
        <v>324</v>
      </c>
      <c r="C2240" s="64" t="s">
        <v>530</v>
      </c>
      <c r="D2240" s="64" t="s">
        <v>2749</v>
      </c>
      <c r="E2240" s="64" t="s">
        <v>324</v>
      </c>
      <c r="F2240" s="65" t="s">
        <v>457</v>
      </c>
      <c r="G2240" s="64" t="s">
        <v>328</v>
      </c>
      <c r="H2240" s="64" t="s">
        <v>229</v>
      </c>
      <c r="I2240" s="64" t="s">
        <v>10</v>
      </c>
      <c r="J2240" s="64" t="s">
        <v>201</v>
      </c>
      <c r="K2240" s="66">
        <v>35.57</v>
      </c>
      <c r="L2240" s="66">
        <f>K2240*VLOOKUP(I2240,dagsoorttabel1,2,FALSE)</f>
        <v>35.57</v>
      </c>
      <c r="M2240" s="67">
        <f>prodnorm43</f>
        <v>0</v>
      </c>
      <c r="N2240" s="68">
        <f>dagwerk43</f>
        <v>0</v>
      </c>
      <c r="O2240" s="64" t="s">
        <v>38</v>
      </c>
      <c r="P2240" s="69">
        <f>uurtarief43</f>
        <v>0</v>
      </c>
      <c r="Q2240" s="66" t="e">
        <f>IF(ISBLANK(M2240),0,L2240/ROUND(M2240,4))</f>
        <v>#DIV/0!</v>
      </c>
      <c r="R2240" s="66" t="e">
        <f>IF(ISBLANK(M2240),0,Q2240*ROUND(N2240,2))</f>
        <v>#DIV/0!</v>
      </c>
      <c r="S2240" s="69" t="e">
        <f>ROUND(P2240,2)*Q2240</f>
        <v>#DIV/0!</v>
      </c>
      <c r="T2240" s="66" t="e">
        <f>Q2240*dagenperjaar1</f>
        <v>#DIV/0!</v>
      </c>
      <c r="U2240" s="70" t="e">
        <f>T2240*ROUND(P2240,2)</f>
        <v>#DIV/0!</v>
      </c>
    </row>
    <row r="2241" spans="1:21" x14ac:dyDescent="0.2">
      <c r="A2241" s="63" t="s">
        <v>2504</v>
      </c>
      <c r="B2241" s="64" t="s">
        <v>324</v>
      </c>
      <c r="C2241" s="64" t="s">
        <v>530</v>
      </c>
      <c r="D2241" s="64" t="s">
        <v>2750</v>
      </c>
      <c r="E2241" s="64" t="s">
        <v>324</v>
      </c>
      <c r="F2241" s="65" t="s">
        <v>457</v>
      </c>
      <c r="G2241" s="64" t="s">
        <v>328</v>
      </c>
      <c r="H2241" s="64" t="s">
        <v>229</v>
      </c>
      <c r="I2241" s="64" t="s">
        <v>10</v>
      </c>
      <c r="J2241" s="64" t="s">
        <v>201</v>
      </c>
      <c r="K2241" s="66">
        <v>20.330000000000002</v>
      </c>
      <c r="L2241" s="66">
        <f>K2241*VLOOKUP(I2241,dagsoorttabel1,2,FALSE)</f>
        <v>20.330000000000002</v>
      </c>
      <c r="M2241" s="67">
        <f>prodnorm43</f>
        <v>0</v>
      </c>
      <c r="N2241" s="68">
        <f>dagwerk43</f>
        <v>0</v>
      </c>
      <c r="O2241" s="64" t="s">
        <v>38</v>
      </c>
      <c r="P2241" s="69">
        <f>uurtarief43</f>
        <v>0</v>
      </c>
      <c r="Q2241" s="66" t="e">
        <f>IF(ISBLANK(M2241),0,L2241/ROUND(M2241,4))</f>
        <v>#DIV/0!</v>
      </c>
      <c r="R2241" s="66" t="e">
        <f>IF(ISBLANK(M2241),0,Q2241*ROUND(N2241,2))</f>
        <v>#DIV/0!</v>
      </c>
      <c r="S2241" s="69" t="e">
        <f>ROUND(P2241,2)*Q2241</f>
        <v>#DIV/0!</v>
      </c>
      <c r="T2241" s="66" t="e">
        <f>Q2241*dagenperjaar1</f>
        <v>#DIV/0!</v>
      </c>
      <c r="U2241" s="70" t="e">
        <f>T2241*ROUND(P2241,2)</f>
        <v>#DIV/0!</v>
      </c>
    </row>
    <row r="2242" spans="1:21" x14ac:dyDescent="0.2">
      <c r="A2242" s="63" t="s">
        <v>2504</v>
      </c>
      <c r="B2242" s="64" t="s">
        <v>324</v>
      </c>
      <c r="C2242" s="64" t="s">
        <v>530</v>
      </c>
      <c r="D2242" s="64" t="s">
        <v>2751</v>
      </c>
      <c r="E2242" s="64" t="s">
        <v>324</v>
      </c>
      <c r="F2242" s="65" t="s">
        <v>457</v>
      </c>
      <c r="G2242" s="64" t="s">
        <v>328</v>
      </c>
      <c r="H2242" s="64" t="s">
        <v>229</v>
      </c>
      <c r="I2242" s="64" t="s">
        <v>10</v>
      </c>
      <c r="J2242" s="64" t="s">
        <v>201</v>
      </c>
      <c r="K2242" s="66">
        <v>38.24</v>
      </c>
      <c r="L2242" s="66">
        <f>K2242*VLOOKUP(I2242,dagsoorttabel1,2,FALSE)</f>
        <v>38.24</v>
      </c>
      <c r="M2242" s="67">
        <f>prodnorm43</f>
        <v>0</v>
      </c>
      <c r="N2242" s="68">
        <f>dagwerk43</f>
        <v>0</v>
      </c>
      <c r="O2242" s="64" t="s">
        <v>38</v>
      </c>
      <c r="P2242" s="69">
        <f>uurtarief43</f>
        <v>0</v>
      </c>
      <c r="Q2242" s="66" t="e">
        <f>IF(ISBLANK(M2242),0,L2242/ROUND(M2242,4))</f>
        <v>#DIV/0!</v>
      </c>
      <c r="R2242" s="66" t="e">
        <f>IF(ISBLANK(M2242),0,Q2242*ROUND(N2242,2))</f>
        <v>#DIV/0!</v>
      </c>
      <c r="S2242" s="69" t="e">
        <f>ROUND(P2242,2)*Q2242</f>
        <v>#DIV/0!</v>
      </c>
      <c r="T2242" s="66" t="e">
        <f>Q2242*dagenperjaar1</f>
        <v>#DIV/0!</v>
      </c>
      <c r="U2242" s="70" t="e">
        <f>T2242*ROUND(P2242,2)</f>
        <v>#DIV/0!</v>
      </c>
    </row>
    <row r="2243" spans="1:21" x14ac:dyDescent="0.2">
      <c r="A2243" s="63" t="s">
        <v>2504</v>
      </c>
      <c r="B2243" s="64" t="s">
        <v>324</v>
      </c>
      <c r="C2243" s="64" t="s">
        <v>530</v>
      </c>
      <c r="D2243" s="64" t="s">
        <v>2752</v>
      </c>
      <c r="E2243" s="64" t="s">
        <v>324</v>
      </c>
      <c r="F2243" s="65" t="s">
        <v>457</v>
      </c>
      <c r="G2243" s="64" t="s">
        <v>328</v>
      </c>
      <c r="H2243" s="64" t="s">
        <v>229</v>
      </c>
      <c r="I2243" s="64" t="s">
        <v>10</v>
      </c>
      <c r="J2243" s="64" t="s">
        <v>201</v>
      </c>
      <c r="K2243" s="66">
        <v>54.55</v>
      </c>
      <c r="L2243" s="66">
        <f>K2243*VLOOKUP(I2243,dagsoorttabel1,2,FALSE)</f>
        <v>54.55</v>
      </c>
      <c r="M2243" s="67">
        <f>prodnorm43</f>
        <v>0</v>
      </c>
      <c r="N2243" s="68">
        <f>dagwerk43</f>
        <v>0</v>
      </c>
      <c r="O2243" s="64" t="s">
        <v>38</v>
      </c>
      <c r="P2243" s="69">
        <f>uurtarief43</f>
        <v>0</v>
      </c>
      <c r="Q2243" s="66" t="e">
        <f>IF(ISBLANK(M2243),0,L2243/ROUND(M2243,4))</f>
        <v>#DIV/0!</v>
      </c>
      <c r="R2243" s="66" t="e">
        <f>IF(ISBLANK(M2243),0,Q2243*ROUND(N2243,2))</f>
        <v>#DIV/0!</v>
      </c>
      <c r="S2243" s="69" t="e">
        <f>ROUND(P2243,2)*Q2243</f>
        <v>#DIV/0!</v>
      </c>
      <c r="T2243" s="66" t="e">
        <f>Q2243*dagenperjaar1</f>
        <v>#DIV/0!</v>
      </c>
      <c r="U2243" s="70" t="e">
        <f>T2243*ROUND(P2243,2)</f>
        <v>#DIV/0!</v>
      </c>
    </row>
    <row r="2244" spans="1:21" x14ac:dyDescent="0.2">
      <c r="A2244" s="63" t="s">
        <v>2504</v>
      </c>
      <c r="B2244" s="64" t="s">
        <v>324</v>
      </c>
      <c r="C2244" s="64" t="s">
        <v>530</v>
      </c>
      <c r="D2244" s="64" t="s">
        <v>2753</v>
      </c>
      <c r="E2244" s="64" t="s">
        <v>324</v>
      </c>
      <c r="F2244" s="65" t="s">
        <v>1566</v>
      </c>
      <c r="G2244" s="64" t="s">
        <v>328</v>
      </c>
      <c r="H2244" s="64" t="s">
        <v>229</v>
      </c>
      <c r="I2244" s="64" t="s">
        <v>10</v>
      </c>
      <c r="J2244" s="64" t="s">
        <v>201</v>
      </c>
      <c r="K2244" s="66">
        <v>155</v>
      </c>
      <c r="L2244" s="66">
        <f>K2244*VLOOKUP(I2244,dagsoorttabel1,2,FALSE)</f>
        <v>155</v>
      </c>
      <c r="M2244" s="67">
        <f>prodnorm43</f>
        <v>0</v>
      </c>
      <c r="N2244" s="68">
        <f>dagwerk43</f>
        <v>0</v>
      </c>
      <c r="O2244" s="64" t="s">
        <v>38</v>
      </c>
      <c r="P2244" s="69">
        <f>uurtarief43</f>
        <v>0</v>
      </c>
      <c r="Q2244" s="66" t="e">
        <f>IF(ISBLANK(M2244),0,L2244/ROUND(M2244,4))</f>
        <v>#DIV/0!</v>
      </c>
      <c r="R2244" s="66" t="e">
        <f>IF(ISBLANK(M2244),0,Q2244*ROUND(N2244,2))</f>
        <v>#DIV/0!</v>
      </c>
      <c r="S2244" s="69" t="e">
        <f>ROUND(P2244,2)*Q2244</f>
        <v>#DIV/0!</v>
      </c>
      <c r="T2244" s="66" t="e">
        <f>Q2244*dagenperjaar1</f>
        <v>#DIV/0!</v>
      </c>
      <c r="U2244" s="70" t="e">
        <f>T2244*ROUND(P2244,2)</f>
        <v>#DIV/0!</v>
      </c>
    </row>
    <row r="2245" spans="1:21" x14ac:dyDescent="0.2">
      <c r="A2245" s="63" t="s">
        <v>2504</v>
      </c>
      <c r="B2245" s="64" t="s">
        <v>324</v>
      </c>
      <c r="C2245" s="64" t="s">
        <v>530</v>
      </c>
      <c r="D2245" s="64" t="s">
        <v>2754</v>
      </c>
      <c r="E2245" s="64" t="s">
        <v>324</v>
      </c>
      <c r="F2245" s="65" t="s">
        <v>335</v>
      </c>
      <c r="G2245" s="64" t="s">
        <v>328</v>
      </c>
      <c r="H2245" s="64" t="s">
        <v>267</v>
      </c>
      <c r="I2245" s="64" t="s">
        <v>10</v>
      </c>
      <c r="J2245" s="64" t="s">
        <v>201</v>
      </c>
      <c r="K2245" s="66">
        <v>10</v>
      </c>
      <c r="L2245" s="66">
        <f>K2245*VLOOKUP(I2245,dagsoorttabel1,2,FALSE)</f>
        <v>10</v>
      </c>
      <c r="M2245" s="67">
        <f>prodnorm65</f>
        <v>0</v>
      </c>
      <c r="N2245" s="68">
        <f>dagwerk65</f>
        <v>0</v>
      </c>
      <c r="O2245" s="64" t="s">
        <v>38</v>
      </c>
      <c r="P2245" s="69">
        <f>uurtarief65</f>
        <v>0</v>
      </c>
      <c r="Q2245" s="66" t="e">
        <f>IF(ISBLANK(M2245),0,L2245/ROUND(M2245,4))</f>
        <v>#DIV/0!</v>
      </c>
      <c r="R2245" s="66" t="e">
        <f>IF(ISBLANK(M2245),0,Q2245*ROUND(N2245,2))</f>
        <v>#DIV/0!</v>
      </c>
      <c r="S2245" s="69" t="e">
        <f>ROUND(P2245,2)*Q2245</f>
        <v>#DIV/0!</v>
      </c>
      <c r="T2245" s="66" t="e">
        <f>Q2245*dagenperjaar1</f>
        <v>#DIV/0!</v>
      </c>
      <c r="U2245" s="70" t="e">
        <f>T2245*ROUND(P2245,2)</f>
        <v>#DIV/0!</v>
      </c>
    </row>
    <row r="2246" spans="1:21" x14ac:dyDescent="0.2">
      <c r="A2246" s="63" t="s">
        <v>2504</v>
      </c>
      <c r="B2246" s="64" t="s">
        <v>324</v>
      </c>
      <c r="C2246" s="64" t="s">
        <v>530</v>
      </c>
      <c r="D2246" s="64" t="s">
        <v>2755</v>
      </c>
      <c r="E2246" s="64" t="s">
        <v>324</v>
      </c>
      <c r="F2246" s="65" t="s">
        <v>2756</v>
      </c>
      <c r="G2246" s="64" t="s">
        <v>328</v>
      </c>
      <c r="H2246" s="64" t="s">
        <v>267</v>
      </c>
      <c r="I2246" s="64" t="s">
        <v>10</v>
      </c>
      <c r="J2246" s="64" t="s">
        <v>201</v>
      </c>
      <c r="K2246" s="66">
        <v>44.64</v>
      </c>
      <c r="L2246" s="66">
        <f>K2246*VLOOKUP(I2246,dagsoorttabel1,2,FALSE)</f>
        <v>44.64</v>
      </c>
      <c r="M2246" s="67">
        <f>prodnorm65</f>
        <v>0</v>
      </c>
      <c r="N2246" s="68">
        <f>dagwerk65</f>
        <v>0</v>
      </c>
      <c r="O2246" s="64" t="s">
        <v>38</v>
      </c>
      <c r="P2246" s="69">
        <f>uurtarief65</f>
        <v>0</v>
      </c>
      <c r="Q2246" s="66" t="e">
        <f>IF(ISBLANK(M2246),0,L2246/ROUND(M2246,4))</f>
        <v>#DIV/0!</v>
      </c>
      <c r="R2246" s="66" t="e">
        <f>IF(ISBLANK(M2246),0,Q2246*ROUND(N2246,2))</f>
        <v>#DIV/0!</v>
      </c>
      <c r="S2246" s="69" t="e">
        <f>ROUND(P2246,2)*Q2246</f>
        <v>#DIV/0!</v>
      </c>
      <c r="T2246" s="66" t="e">
        <f>Q2246*dagenperjaar1</f>
        <v>#DIV/0!</v>
      </c>
      <c r="U2246" s="70" t="e">
        <f>T2246*ROUND(P2246,2)</f>
        <v>#DIV/0!</v>
      </c>
    </row>
    <row r="2247" spans="1:21" x14ac:dyDescent="0.2">
      <c r="A2247" s="63" t="s">
        <v>2504</v>
      </c>
      <c r="B2247" s="64" t="s">
        <v>324</v>
      </c>
      <c r="C2247" s="64" t="s">
        <v>530</v>
      </c>
      <c r="D2247" s="64" t="s">
        <v>2757</v>
      </c>
      <c r="E2247" s="64" t="s">
        <v>324</v>
      </c>
      <c r="F2247" s="65" t="s">
        <v>2677</v>
      </c>
      <c r="G2247" s="64" t="s">
        <v>2508</v>
      </c>
      <c r="H2247" s="64" t="s">
        <v>267</v>
      </c>
      <c r="I2247" s="64" t="s">
        <v>10</v>
      </c>
      <c r="J2247" s="64" t="s">
        <v>201</v>
      </c>
      <c r="K2247" s="66">
        <v>48.449999999999996</v>
      </c>
      <c r="L2247" s="66">
        <f>K2247*VLOOKUP(I2247,dagsoorttabel1,2,FALSE)</f>
        <v>48.449999999999996</v>
      </c>
      <c r="M2247" s="67">
        <f>prodnorm65</f>
        <v>0</v>
      </c>
      <c r="N2247" s="68">
        <f>dagwerk65</f>
        <v>0</v>
      </c>
      <c r="O2247" s="64" t="s">
        <v>38</v>
      </c>
      <c r="P2247" s="69">
        <f>uurtarief65</f>
        <v>0</v>
      </c>
      <c r="Q2247" s="66" t="e">
        <f>IF(ISBLANK(M2247),0,L2247/ROUND(M2247,4))</f>
        <v>#DIV/0!</v>
      </c>
      <c r="R2247" s="66" t="e">
        <f>IF(ISBLANK(M2247),0,Q2247*ROUND(N2247,2))</f>
        <v>#DIV/0!</v>
      </c>
      <c r="S2247" s="69" t="e">
        <f>ROUND(P2247,2)*Q2247</f>
        <v>#DIV/0!</v>
      </c>
      <c r="T2247" s="66" t="e">
        <f>Q2247*dagenperjaar1</f>
        <v>#DIV/0!</v>
      </c>
      <c r="U2247" s="70" t="e">
        <f>T2247*ROUND(P2247,2)</f>
        <v>#DIV/0!</v>
      </c>
    </row>
    <row r="2248" spans="1:21" x14ac:dyDescent="0.2">
      <c r="A2248" s="63" t="s">
        <v>2504</v>
      </c>
      <c r="B2248" s="64" t="s">
        <v>324</v>
      </c>
      <c r="C2248" s="64" t="s">
        <v>530</v>
      </c>
      <c r="D2248" s="64" t="s">
        <v>2758</v>
      </c>
      <c r="E2248" s="64" t="s">
        <v>324</v>
      </c>
      <c r="F2248" s="65" t="s">
        <v>671</v>
      </c>
      <c r="G2248" s="64" t="s">
        <v>365</v>
      </c>
      <c r="H2248" s="64" t="s">
        <v>255</v>
      </c>
      <c r="I2248" s="64" t="s">
        <v>10</v>
      </c>
      <c r="J2248" s="64" t="s">
        <v>201</v>
      </c>
      <c r="K2248" s="66">
        <v>6.78</v>
      </c>
      <c r="L2248" s="66">
        <f>K2248*VLOOKUP(I2248,dagsoorttabel1,2,FALSE)</f>
        <v>6.78</v>
      </c>
      <c r="M2248" s="67">
        <f>prodnorm59</f>
        <v>0</v>
      </c>
      <c r="N2248" s="68">
        <f>dagwerk59</f>
        <v>0</v>
      </c>
      <c r="O2248" s="64" t="s">
        <v>38</v>
      </c>
      <c r="P2248" s="69">
        <f>uurtarief59</f>
        <v>0</v>
      </c>
      <c r="Q2248" s="66" t="e">
        <f>IF(ISBLANK(M2248),0,L2248/ROUND(M2248,4))</f>
        <v>#DIV/0!</v>
      </c>
      <c r="R2248" s="66" t="e">
        <f>IF(ISBLANK(M2248),0,Q2248*ROUND(N2248,2))</f>
        <v>#DIV/0!</v>
      </c>
      <c r="S2248" s="69" t="e">
        <f>ROUND(P2248,2)*Q2248</f>
        <v>#DIV/0!</v>
      </c>
      <c r="T2248" s="66" t="e">
        <f>Q2248*dagenperjaar1</f>
        <v>#DIV/0!</v>
      </c>
      <c r="U2248" s="70" t="e">
        <f>T2248*ROUND(P2248,2)</f>
        <v>#DIV/0!</v>
      </c>
    </row>
    <row r="2249" spans="1:21" x14ac:dyDescent="0.2">
      <c r="A2249" s="63" t="s">
        <v>2504</v>
      </c>
      <c r="B2249" s="64" t="s">
        <v>324</v>
      </c>
      <c r="C2249" s="64" t="s">
        <v>530</v>
      </c>
      <c r="D2249" s="64" t="s">
        <v>2759</v>
      </c>
      <c r="E2249" s="64" t="s">
        <v>324</v>
      </c>
      <c r="F2249" s="65" t="s">
        <v>671</v>
      </c>
      <c r="G2249" s="64" t="s">
        <v>365</v>
      </c>
      <c r="H2249" s="64" t="s">
        <v>255</v>
      </c>
      <c r="I2249" s="64" t="s">
        <v>10</v>
      </c>
      <c r="J2249" s="64" t="s">
        <v>201</v>
      </c>
      <c r="K2249" s="66">
        <v>6.78</v>
      </c>
      <c r="L2249" s="66">
        <f>K2249*VLOOKUP(I2249,dagsoorttabel1,2,FALSE)</f>
        <v>6.78</v>
      </c>
      <c r="M2249" s="67">
        <f>prodnorm59</f>
        <v>0</v>
      </c>
      <c r="N2249" s="68">
        <f>dagwerk59</f>
        <v>0</v>
      </c>
      <c r="O2249" s="64" t="s">
        <v>38</v>
      </c>
      <c r="P2249" s="69">
        <f>uurtarief59</f>
        <v>0</v>
      </c>
      <c r="Q2249" s="66" t="e">
        <f>IF(ISBLANK(M2249),0,L2249/ROUND(M2249,4))</f>
        <v>#DIV/0!</v>
      </c>
      <c r="R2249" s="66" t="e">
        <f>IF(ISBLANK(M2249),0,Q2249*ROUND(N2249,2))</f>
        <v>#DIV/0!</v>
      </c>
      <c r="S2249" s="69" t="e">
        <f>ROUND(P2249,2)*Q2249</f>
        <v>#DIV/0!</v>
      </c>
      <c r="T2249" s="66" t="e">
        <f>Q2249*dagenperjaar1</f>
        <v>#DIV/0!</v>
      </c>
      <c r="U2249" s="70" t="e">
        <f>T2249*ROUND(P2249,2)</f>
        <v>#DIV/0!</v>
      </c>
    </row>
    <row r="2250" spans="1:21" x14ac:dyDescent="0.2">
      <c r="A2250" s="63" t="s">
        <v>2504</v>
      </c>
      <c r="B2250" s="64" t="s">
        <v>324</v>
      </c>
      <c r="C2250" s="64" t="s">
        <v>530</v>
      </c>
      <c r="D2250" s="64" t="s">
        <v>2760</v>
      </c>
      <c r="E2250" s="64" t="s">
        <v>324</v>
      </c>
      <c r="F2250" s="65" t="s">
        <v>2756</v>
      </c>
      <c r="G2250" s="64" t="s">
        <v>328</v>
      </c>
      <c r="H2250" s="64" t="s">
        <v>267</v>
      </c>
      <c r="I2250" s="64" t="s">
        <v>10</v>
      </c>
      <c r="J2250" s="64" t="s">
        <v>201</v>
      </c>
      <c r="K2250" s="66">
        <v>122.05</v>
      </c>
      <c r="L2250" s="66">
        <f>K2250*VLOOKUP(I2250,dagsoorttabel1,2,FALSE)</f>
        <v>122.05</v>
      </c>
      <c r="M2250" s="67">
        <f>prodnorm65</f>
        <v>0</v>
      </c>
      <c r="N2250" s="68">
        <f>dagwerk65</f>
        <v>0</v>
      </c>
      <c r="O2250" s="64" t="s">
        <v>38</v>
      </c>
      <c r="P2250" s="69">
        <f>uurtarief65</f>
        <v>0</v>
      </c>
      <c r="Q2250" s="66" t="e">
        <f>IF(ISBLANK(M2250),0,L2250/ROUND(M2250,4))</f>
        <v>#DIV/0!</v>
      </c>
      <c r="R2250" s="66" t="e">
        <f>IF(ISBLANK(M2250),0,Q2250*ROUND(N2250,2))</f>
        <v>#DIV/0!</v>
      </c>
      <c r="S2250" s="69" t="e">
        <f>ROUND(P2250,2)*Q2250</f>
        <v>#DIV/0!</v>
      </c>
      <c r="T2250" s="66" t="e">
        <f>Q2250*dagenperjaar1</f>
        <v>#DIV/0!</v>
      </c>
      <c r="U2250" s="70" t="e">
        <f>T2250*ROUND(P2250,2)</f>
        <v>#DIV/0!</v>
      </c>
    </row>
    <row r="2251" spans="1:21" x14ac:dyDescent="0.2">
      <c r="A2251" s="63" t="s">
        <v>2504</v>
      </c>
      <c r="B2251" s="64" t="s">
        <v>324</v>
      </c>
      <c r="C2251" s="64" t="s">
        <v>530</v>
      </c>
      <c r="D2251" s="64" t="s">
        <v>2761</v>
      </c>
      <c r="E2251" s="64" t="s">
        <v>324</v>
      </c>
      <c r="F2251" s="65" t="s">
        <v>457</v>
      </c>
      <c r="G2251" s="64" t="s">
        <v>328</v>
      </c>
      <c r="H2251" s="64" t="s">
        <v>229</v>
      </c>
      <c r="I2251" s="64" t="s">
        <v>10</v>
      </c>
      <c r="J2251" s="64" t="s">
        <v>201</v>
      </c>
      <c r="K2251" s="66">
        <v>51.58</v>
      </c>
      <c r="L2251" s="66">
        <f>K2251*VLOOKUP(I2251,dagsoorttabel1,2,FALSE)</f>
        <v>51.58</v>
      </c>
      <c r="M2251" s="67">
        <f>prodnorm43</f>
        <v>0</v>
      </c>
      <c r="N2251" s="68">
        <f>dagwerk43</f>
        <v>0</v>
      </c>
      <c r="O2251" s="64" t="s">
        <v>38</v>
      </c>
      <c r="P2251" s="69">
        <f>uurtarief43</f>
        <v>0</v>
      </c>
      <c r="Q2251" s="66" t="e">
        <f>IF(ISBLANK(M2251),0,L2251/ROUND(M2251,4))</f>
        <v>#DIV/0!</v>
      </c>
      <c r="R2251" s="66" t="e">
        <f>IF(ISBLANK(M2251),0,Q2251*ROUND(N2251,2))</f>
        <v>#DIV/0!</v>
      </c>
      <c r="S2251" s="69" t="e">
        <f>ROUND(P2251,2)*Q2251</f>
        <v>#DIV/0!</v>
      </c>
      <c r="T2251" s="66" t="e">
        <f>Q2251*dagenperjaar1</f>
        <v>#DIV/0!</v>
      </c>
      <c r="U2251" s="70" t="e">
        <f>T2251*ROUND(P2251,2)</f>
        <v>#DIV/0!</v>
      </c>
    </row>
    <row r="2252" spans="1:21" x14ac:dyDescent="0.2">
      <c r="A2252" s="63" t="s">
        <v>2504</v>
      </c>
      <c r="B2252" s="64" t="s">
        <v>324</v>
      </c>
      <c r="C2252" s="64" t="s">
        <v>530</v>
      </c>
      <c r="D2252" s="64" t="s">
        <v>2762</v>
      </c>
      <c r="E2252" s="64" t="s">
        <v>324</v>
      </c>
      <c r="F2252" s="65" t="s">
        <v>457</v>
      </c>
      <c r="G2252" s="64" t="s">
        <v>328</v>
      </c>
      <c r="H2252" s="64" t="s">
        <v>229</v>
      </c>
      <c r="I2252" s="64" t="s">
        <v>10</v>
      </c>
      <c r="J2252" s="64" t="s">
        <v>201</v>
      </c>
      <c r="K2252" s="66">
        <v>46.160000000000004</v>
      </c>
      <c r="L2252" s="66">
        <f>K2252*VLOOKUP(I2252,dagsoorttabel1,2,FALSE)</f>
        <v>46.160000000000004</v>
      </c>
      <c r="M2252" s="67">
        <f>prodnorm43</f>
        <v>0</v>
      </c>
      <c r="N2252" s="68">
        <f>dagwerk43</f>
        <v>0</v>
      </c>
      <c r="O2252" s="64" t="s">
        <v>38</v>
      </c>
      <c r="P2252" s="69">
        <f>uurtarief43</f>
        <v>0</v>
      </c>
      <c r="Q2252" s="66" t="e">
        <f>IF(ISBLANK(M2252),0,L2252/ROUND(M2252,4))</f>
        <v>#DIV/0!</v>
      </c>
      <c r="R2252" s="66" t="e">
        <f>IF(ISBLANK(M2252),0,Q2252*ROUND(N2252,2))</f>
        <v>#DIV/0!</v>
      </c>
      <c r="S2252" s="69" t="e">
        <f>ROUND(P2252,2)*Q2252</f>
        <v>#DIV/0!</v>
      </c>
      <c r="T2252" s="66" t="e">
        <f>Q2252*dagenperjaar1</f>
        <v>#DIV/0!</v>
      </c>
      <c r="U2252" s="70" t="e">
        <f>T2252*ROUND(P2252,2)</f>
        <v>#DIV/0!</v>
      </c>
    </row>
    <row r="2253" spans="1:21" x14ac:dyDescent="0.2">
      <c r="A2253" s="63" t="s">
        <v>2504</v>
      </c>
      <c r="B2253" s="64" t="s">
        <v>324</v>
      </c>
      <c r="C2253" s="64" t="s">
        <v>530</v>
      </c>
      <c r="D2253" s="64" t="s">
        <v>2763</v>
      </c>
      <c r="E2253" s="64" t="s">
        <v>324</v>
      </c>
      <c r="F2253" s="65" t="s">
        <v>457</v>
      </c>
      <c r="G2253" s="64" t="s">
        <v>328</v>
      </c>
      <c r="H2253" s="64" t="s">
        <v>229</v>
      </c>
      <c r="I2253" s="64" t="s">
        <v>10</v>
      </c>
      <c r="J2253" s="64" t="s">
        <v>201</v>
      </c>
      <c r="K2253" s="66">
        <v>57.21</v>
      </c>
      <c r="L2253" s="66">
        <f>K2253*VLOOKUP(I2253,dagsoorttabel1,2,FALSE)</f>
        <v>57.21</v>
      </c>
      <c r="M2253" s="67">
        <f>prodnorm43</f>
        <v>0</v>
      </c>
      <c r="N2253" s="68">
        <f>dagwerk43</f>
        <v>0</v>
      </c>
      <c r="O2253" s="64" t="s">
        <v>38</v>
      </c>
      <c r="P2253" s="69">
        <f>uurtarief43</f>
        <v>0</v>
      </c>
      <c r="Q2253" s="66" t="e">
        <f>IF(ISBLANK(M2253),0,L2253/ROUND(M2253,4))</f>
        <v>#DIV/0!</v>
      </c>
      <c r="R2253" s="66" t="e">
        <f>IF(ISBLANK(M2253),0,Q2253*ROUND(N2253,2))</f>
        <v>#DIV/0!</v>
      </c>
      <c r="S2253" s="69" t="e">
        <f>ROUND(P2253,2)*Q2253</f>
        <v>#DIV/0!</v>
      </c>
      <c r="T2253" s="66" t="e">
        <f>Q2253*dagenperjaar1</f>
        <v>#DIV/0!</v>
      </c>
      <c r="U2253" s="70" t="e">
        <f>T2253*ROUND(P2253,2)</f>
        <v>#DIV/0!</v>
      </c>
    </row>
    <row r="2254" spans="1:21" x14ac:dyDescent="0.2">
      <c r="A2254" s="63" t="s">
        <v>2504</v>
      </c>
      <c r="B2254" s="64" t="s">
        <v>324</v>
      </c>
      <c r="C2254" s="64" t="s">
        <v>530</v>
      </c>
      <c r="D2254" s="64" t="s">
        <v>2764</v>
      </c>
      <c r="E2254" s="64" t="s">
        <v>324</v>
      </c>
      <c r="F2254" s="65" t="s">
        <v>457</v>
      </c>
      <c r="G2254" s="64" t="s">
        <v>328</v>
      </c>
      <c r="H2254" s="64" t="s">
        <v>229</v>
      </c>
      <c r="I2254" s="64" t="s">
        <v>10</v>
      </c>
      <c r="J2254" s="64" t="s">
        <v>201</v>
      </c>
      <c r="K2254" s="66">
        <v>45.230000000000004</v>
      </c>
      <c r="L2254" s="66">
        <f>K2254*VLOOKUP(I2254,dagsoorttabel1,2,FALSE)</f>
        <v>45.230000000000004</v>
      </c>
      <c r="M2254" s="67">
        <f>prodnorm43</f>
        <v>0</v>
      </c>
      <c r="N2254" s="68">
        <f>dagwerk43</f>
        <v>0</v>
      </c>
      <c r="O2254" s="64" t="s">
        <v>38</v>
      </c>
      <c r="P2254" s="69">
        <f>uurtarief43</f>
        <v>0</v>
      </c>
      <c r="Q2254" s="66" t="e">
        <f>IF(ISBLANK(M2254),0,L2254/ROUND(M2254,4))</f>
        <v>#DIV/0!</v>
      </c>
      <c r="R2254" s="66" t="e">
        <f>IF(ISBLANK(M2254),0,Q2254*ROUND(N2254,2))</f>
        <v>#DIV/0!</v>
      </c>
      <c r="S2254" s="69" t="e">
        <f>ROUND(P2254,2)*Q2254</f>
        <v>#DIV/0!</v>
      </c>
      <c r="T2254" s="66" t="e">
        <f>Q2254*dagenperjaar1</f>
        <v>#DIV/0!</v>
      </c>
      <c r="U2254" s="70" t="e">
        <f>T2254*ROUND(P2254,2)</f>
        <v>#DIV/0!</v>
      </c>
    </row>
    <row r="2255" spans="1:21" x14ac:dyDescent="0.2">
      <c r="A2255" s="63" t="s">
        <v>2504</v>
      </c>
      <c r="B2255" s="64" t="s">
        <v>324</v>
      </c>
      <c r="C2255" s="64" t="s">
        <v>530</v>
      </c>
      <c r="D2255" s="64" t="s">
        <v>2765</v>
      </c>
      <c r="E2255" s="64" t="s">
        <v>324</v>
      </c>
      <c r="F2255" s="65" t="s">
        <v>457</v>
      </c>
      <c r="G2255" s="64" t="s">
        <v>328</v>
      </c>
      <c r="H2255" s="64" t="s">
        <v>229</v>
      </c>
      <c r="I2255" s="64" t="s">
        <v>10</v>
      </c>
      <c r="J2255" s="64" t="s">
        <v>201</v>
      </c>
      <c r="K2255" s="66">
        <v>52.6</v>
      </c>
      <c r="L2255" s="66">
        <f>K2255*VLOOKUP(I2255,dagsoorttabel1,2,FALSE)</f>
        <v>52.6</v>
      </c>
      <c r="M2255" s="67">
        <f>prodnorm43</f>
        <v>0</v>
      </c>
      <c r="N2255" s="68">
        <f>dagwerk43</f>
        <v>0</v>
      </c>
      <c r="O2255" s="64" t="s">
        <v>38</v>
      </c>
      <c r="P2255" s="69">
        <f>uurtarief43</f>
        <v>0</v>
      </c>
      <c r="Q2255" s="66" t="e">
        <f>IF(ISBLANK(M2255),0,L2255/ROUND(M2255,4))</f>
        <v>#DIV/0!</v>
      </c>
      <c r="R2255" s="66" t="e">
        <f>IF(ISBLANK(M2255),0,Q2255*ROUND(N2255,2))</f>
        <v>#DIV/0!</v>
      </c>
      <c r="S2255" s="69" t="e">
        <f>ROUND(P2255,2)*Q2255</f>
        <v>#DIV/0!</v>
      </c>
      <c r="T2255" s="66" t="e">
        <f>Q2255*dagenperjaar1</f>
        <v>#DIV/0!</v>
      </c>
      <c r="U2255" s="70" t="e">
        <f>T2255*ROUND(P2255,2)</f>
        <v>#DIV/0!</v>
      </c>
    </row>
    <row r="2256" spans="1:21" x14ac:dyDescent="0.2">
      <c r="A2256" s="63" t="s">
        <v>2504</v>
      </c>
      <c r="B2256" s="64" t="s">
        <v>324</v>
      </c>
      <c r="C2256" s="64" t="s">
        <v>530</v>
      </c>
      <c r="D2256" s="64" t="s">
        <v>2766</v>
      </c>
      <c r="E2256" s="64" t="s">
        <v>324</v>
      </c>
      <c r="F2256" s="65" t="s">
        <v>457</v>
      </c>
      <c r="G2256" s="64" t="s">
        <v>328</v>
      </c>
      <c r="H2256" s="64" t="s">
        <v>229</v>
      </c>
      <c r="I2256" s="64" t="s">
        <v>10</v>
      </c>
      <c r="J2256" s="64" t="s">
        <v>201</v>
      </c>
      <c r="K2256" s="66">
        <v>57.17</v>
      </c>
      <c r="L2256" s="66">
        <f>K2256*VLOOKUP(I2256,dagsoorttabel1,2,FALSE)</f>
        <v>57.17</v>
      </c>
      <c r="M2256" s="67">
        <f>prodnorm43</f>
        <v>0</v>
      </c>
      <c r="N2256" s="68">
        <f>dagwerk43</f>
        <v>0</v>
      </c>
      <c r="O2256" s="64" t="s">
        <v>38</v>
      </c>
      <c r="P2256" s="69">
        <f>uurtarief43</f>
        <v>0</v>
      </c>
      <c r="Q2256" s="66" t="e">
        <f>IF(ISBLANK(M2256),0,L2256/ROUND(M2256,4))</f>
        <v>#DIV/0!</v>
      </c>
      <c r="R2256" s="66" t="e">
        <f>IF(ISBLANK(M2256),0,Q2256*ROUND(N2256,2))</f>
        <v>#DIV/0!</v>
      </c>
      <c r="S2256" s="69" t="e">
        <f>ROUND(P2256,2)*Q2256</f>
        <v>#DIV/0!</v>
      </c>
      <c r="T2256" s="66" t="e">
        <f>Q2256*dagenperjaar1</f>
        <v>#DIV/0!</v>
      </c>
      <c r="U2256" s="70" t="e">
        <f>T2256*ROUND(P2256,2)</f>
        <v>#DIV/0!</v>
      </c>
    </row>
    <row r="2257" spans="1:21" x14ac:dyDescent="0.2">
      <c r="A2257" s="63" t="s">
        <v>2504</v>
      </c>
      <c r="B2257" s="64" t="s">
        <v>324</v>
      </c>
      <c r="C2257" s="64" t="s">
        <v>530</v>
      </c>
      <c r="D2257" s="64" t="s">
        <v>2767</v>
      </c>
      <c r="E2257" s="64" t="s">
        <v>324</v>
      </c>
      <c r="F2257" s="65" t="s">
        <v>595</v>
      </c>
      <c r="G2257" s="64" t="s">
        <v>328</v>
      </c>
      <c r="H2257" s="64" t="s">
        <v>205</v>
      </c>
      <c r="I2257" s="64" t="s">
        <v>10</v>
      </c>
      <c r="J2257" s="64" t="s">
        <v>201</v>
      </c>
      <c r="K2257" s="66">
        <v>11.01</v>
      </c>
      <c r="L2257" s="66">
        <f>K2257*VLOOKUP(I2257,dagsoorttabel1,2,FALSE)</f>
        <v>11.01</v>
      </c>
      <c r="M2257" s="67">
        <f>prodnorm26</f>
        <v>0</v>
      </c>
      <c r="N2257" s="68">
        <f>dagwerk26</f>
        <v>0</v>
      </c>
      <c r="O2257" s="64" t="s">
        <v>38</v>
      </c>
      <c r="P2257" s="69">
        <f>uurtarief26</f>
        <v>0</v>
      </c>
      <c r="Q2257" s="66" t="e">
        <f>IF(ISBLANK(M2257),0,L2257/ROUND(M2257,4))</f>
        <v>#DIV/0!</v>
      </c>
      <c r="R2257" s="66" t="e">
        <f>IF(ISBLANK(M2257),0,Q2257*ROUND(N2257,2))</f>
        <v>#DIV/0!</v>
      </c>
      <c r="S2257" s="69" t="e">
        <f>ROUND(P2257,2)*Q2257</f>
        <v>#DIV/0!</v>
      </c>
      <c r="T2257" s="66" t="e">
        <f>Q2257*dagenperjaar1</f>
        <v>#DIV/0!</v>
      </c>
      <c r="U2257" s="70" t="e">
        <f>T2257*ROUND(P2257,2)</f>
        <v>#DIV/0!</v>
      </c>
    </row>
    <row r="2258" spans="1:21" x14ac:dyDescent="0.2">
      <c r="A2258" s="63" t="s">
        <v>2504</v>
      </c>
      <c r="B2258" s="64" t="s">
        <v>324</v>
      </c>
      <c r="C2258" s="64" t="s">
        <v>530</v>
      </c>
      <c r="D2258" s="64" t="s">
        <v>2768</v>
      </c>
      <c r="E2258" s="64" t="s">
        <v>324</v>
      </c>
      <c r="F2258" s="65" t="s">
        <v>595</v>
      </c>
      <c r="G2258" s="64" t="s">
        <v>328</v>
      </c>
      <c r="H2258" s="64" t="s">
        <v>205</v>
      </c>
      <c r="I2258" s="64" t="s">
        <v>10</v>
      </c>
      <c r="J2258" s="64" t="s">
        <v>201</v>
      </c>
      <c r="K2258" s="66">
        <v>11.01</v>
      </c>
      <c r="L2258" s="66">
        <f>K2258*VLOOKUP(I2258,dagsoorttabel1,2,FALSE)</f>
        <v>11.01</v>
      </c>
      <c r="M2258" s="67">
        <f>prodnorm26</f>
        <v>0</v>
      </c>
      <c r="N2258" s="68">
        <f>dagwerk26</f>
        <v>0</v>
      </c>
      <c r="O2258" s="64" t="s">
        <v>38</v>
      </c>
      <c r="P2258" s="69">
        <f>uurtarief26</f>
        <v>0</v>
      </c>
      <c r="Q2258" s="66" t="e">
        <f>IF(ISBLANK(M2258),0,L2258/ROUND(M2258,4))</f>
        <v>#DIV/0!</v>
      </c>
      <c r="R2258" s="66" t="e">
        <f>IF(ISBLANK(M2258),0,Q2258*ROUND(N2258,2))</f>
        <v>#DIV/0!</v>
      </c>
      <c r="S2258" s="69" t="e">
        <f>ROUND(P2258,2)*Q2258</f>
        <v>#DIV/0!</v>
      </c>
      <c r="T2258" s="66" t="e">
        <f>Q2258*dagenperjaar1</f>
        <v>#DIV/0!</v>
      </c>
      <c r="U2258" s="70" t="e">
        <f>T2258*ROUND(P2258,2)</f>
        <v>#DIV/0!</v>
      </c>
    </row>
    <row r="2259" spans="1:21" x14ac:dyDescent="0.2">
      <c r="A2259" s="63" t="s">
        <v>2504</v>
      </c>
      <c r="B2259" s="64" t="s">
        <v>324</v>
      </c>
      <c r="C2259" s="64" t="s">
        <v>530</v>
      </c>
      <c r="D2259" s="64" t="s">
        <v>2769</v>
      </c>
      <c r="E2259" s="64" t="s">
        <v>324</v>
      </c>
      <c r="F2259" s="65" t="s">
        <v>2677</v>
      </c>
      <c r="G2259" s="64" t="s">
        <v>328</v>
      </c>
      <c r="H2259" s="64" t="s">
        <v>267</v>
      </c>
      <c r="I2259" s="64" t="s">
        <v>10</v>
      </c>
      <c r="J2259" s="64" t="s">
        <v>201</v>
      </c>
      <c r="K2259" s="66">
        <v>93.59</v>
      </c>
      <c r="L2259" s="66">
        <f>K2259*VLOOKUP(I2259,dagsoorttabel1,2,FALSE)</f>
        <v>93.59</v>
      </c>
      <c r="M2259" s="67">
        <f>prodnorm65</f>
        <v>0</v>
      </c>
      <c r="N2259" s="68">
        <f>dagwerk65</f>
        <v>0</v>
      </c>
      <c r="O2259" s="64" t="s">
        <v>38</v>
      </c>
      <c r="P2259" s="69">
        <f>uurtarief65</f>
        <v>0</v>
      </c>
      <c r="Q2259" s="66" t="e">
        <f>IF(ISBLANK(M2259),0,L2259/ROUND(M2259,4))</f>
        <v>#DIV/0!</v>
      </c>
      <c r="R2259" s="66" t="e">
        <f>IF(ISBLANK(M2259),0,Q2259*ROUND(N2259,2))</f>
        <v>#DIV/0!</v>
      </c>
      <c r="S2259" s="69" t="e">
        <f>ROUND(P2259,2)*Q2259</f>
        <v>#DIV/0!</v>
      </c>
      <c r="T2259" s="66" t="e">
        <f>Q2259*dagenperjaar1</f>
        <v>#DIV/0!</v>
      </c>
      <c r="U2259" s="70" t="e">
        <f>T2259*ROUND(P2259,2)</f>
        <v>#DIV/0!</v>
      </c>
    </row>
    <row r="2260" spans="1:21" x14ac:dyDescent="0.2">
      <c r="A2260" s="63" t="s">
        <v>2504</v>
      </c>
      <c r="B2260" s="64" t="s">
        <v>324</v>
      </c>
      <c r="C2260" s="64" t="s">
        <v>530</v>
      </c>
      <c r="D2260" s="64" t="s">
        <v>2770</v>
      </c>
      <c r="E2260" s="64" t="s">
        <v>324</v>
      </c>
      <c r="F2260" s="65" t="s">
        <v>671</v>
      </c>
      <c r="G2260" s="64" t="s">
        <v>365</v>
      </c>
      <c r="H2260" s="64" t="s">
        <v>255</v>
      </c>
      <c r="I2260" s="64" t="s">
        <v>10</v>
      </c>
      <c r="J2260" s="64" t="s">
        <v>201</v>
      </c>
      <c r="K2260" s="66">
        <v>6.78</v>
      </c>
      <c r="L2260" s="66">
        <f>K2260*VLOOKUP(I2260,dagsoorttabel1,2,FALSE)</f>
        <v>6.78</v>
      </c>
      <c r="M2260" s="67">
        <f>prodnorm59</f>
        <v>0</v>
      </c>
      <c r="N2260" s="68">
        <f>dagwerk59</f>
        <v>0</v>
      </c>
      <c r="O2260" s="64" t="s">
        <v>38</v>
      </c>
      <c r="P2260" s="69">
        <f>uurtarief59</f>
        <v>0</v>
      </c>
      <c r="Q2260" s="66" t="e">
        <f>IF(ISBLANK(M2260),0,L2260/ROUND(M2260,4))</f>
        <v>#DIV/0!</v>
      </c>
      <c r="R2260" s="66" t="e">
        <f>IF(ISBLANK(M2260),0,Q2260*ROUND(N2260,2))</f>
        <v>#DIV/0!</v>
      </c>
      <c r="S2260" s="69" t="e">
        <f>ROUND(P2260,2)*Q2260</f>
        <v>#DIV/0!</v>
      </c>
      <c r="T2260" s="66" t="e">
        <f>Q2260*dagenperjaar1</f>
        <v>#DIV/0!</v>
      </c>
      <c r="U2260" s="70" t="e">
        <f>T2260*ROUND(P2260,2)</f>
        <v>#DIV/0!</v>
      </c>
    </row>
    <row r="2261" spans="1:21" x14ac:dyDescent="0.2">
      <c r="A2261" s="63" t="s">
        <v>2504</v>
      </c>
      <c r="B2261" s="64" t="s">
        <v>324</v>
      </c>
      <c r="C2261" s="64" t="s">
        <v>530</v>
      </c>
      <c r="D2261" s="64" t="s">
        <v>2771</v>
      </c>
      <c r="E2261" s="64" t="s">
        <v>324</v>
      </c>
      <c r="F2261" s="65" t="s">
        <v>671</v>
      </c>
      <c r="G2261" s="64" t="s">
        <v>365</v>
      </c>
      <c r="H2261" s="64" t="s">
        <v>255</v>
      </c>
      <c r="I2261" s="64" t="s">
        <v>10</v>
      </c>
      <c r="J2261" s="64" t="s">
        <v>201</v>
      </c>
      <c r="K2261" s="66">
        <v>6.78</v>
      </c>
      <c r="L2261" s="66">
        <f>K2261*VLOOKUP(I2261,dagsoorttabel1,2,FALSE)</f>
        <v>6.78</v>
      </c>
      <c r="M2261" s="67">
        <f>prodnorm59</f>
        <v>0</v>
      </c>
      <c r="N2261" s="68">
        <f>dagwerk59</f>
        <v>0</v>
      </c>
      <c r="O2261" s="64" t="s">
        <v>38</v>
      </c>
      <c r="P2261" s="69">
        <f>uurtarief59</f>
        <v>0</v>
      </c>
      <c r="Q2261" s="66" t="e">
        <f>IF(ISBLANK(M2261),0,L2261/ROUND(M2261,4))</f>
        <v>#DIV/0!</v>
      </c>
      <c r="R2261" s="66" t="e">
        <f>IF(ISBLANK(M2261),0,Q2261*ROUND(N2261,2))</f>
        <v>#DIV/0!</v>
      </c>
      <c r="S2261" s="69" t="e">
        <f>ROUND(P2261,2)*Q2261</f>
        <v>#DIV/0!</v>
      </c>
      <c r="T2261" s="66" t="e">
        <f>Q2261*dagenperjaar1</f>
        <v>#DIV/0!</v>
      </c>
      <c r="U2261" s="70" t="e">
        <f>T2261*ROUND(P2261,2)</f>
        <v>#DIV/0!</v>
      </c>
    </row>
    <row r="2262" spans="1:21" x14ac:dyDescent="0.2">
      <c r="A2262" s="63" t="s">
        <v>2504</v>
      </c>
      <c r="B2262" s="64" t="s">
        <v>324</v>
      </c>
      <c r="C2262" s="64" t="s">
        <v>530</v>
      </c>
      <c r="D2262" s="64" t="s">
        <v>2772</v>
      </c>
      <c r="E2262" s="64" t="s">
        <v>324</v>
      </c>
      <c r="F2262" s="65" t="s">
        <v>1566</v>
      </c>
      <c r="G2262" s="64" t="s">
        <v>328</v>
      </c>
      <c r="H2262" s="64" t="s">
        <v>229</v>
      </c>
      <c r="I2262" s="64" t="s">
        <v>10</v>
      </c>
      <c r="J2262" s="64" t="s">
        <v>201</v>
      </c>
      <c r="K2262" s="66">
        <v>53.36</v>
      </c>
      <c r="L2262" s="66">
        <f>K2262*VLOOKUP(I2262,dagsoorttabel1,2,FALSE)</f>
        <v>53.36</v>
      </c>
      <c r="M2262" s="67">
        <f>prodnorm43</f>
        <v>0</v>
      </c>
      <c r="N2262" s="68">
        <f>dagwerk43</f>
        <v>0</v>
      </c>
      <c r="O2262" s="64" t="s">
        <v>38</v>
      </c>
      <c r="P2262" s="69">
        <f>uurtarief43</f>
        <v>0</v>
      </c>
      <c r="Q2262" s="66" t="e">
        <f>IF(ISBLANK(M2262),0,L2262/ROUND(M2262,4))</f>
        <v>#DIV/0!</v>
      </c>
      <c r="R2262" s="66" t="e">
        <f>IF(ISBLANK(M2262),0,Q2262*ROUND(N2262,2))</f>
        <v>#DIV/0!</v>
      </c>
      <c r="S2262" s="69" t="e">
        <f>ROUND(P2262,2)*Q2262</f>
        <v>#DIV/0!</v>
      </c>
      <c r="T2262" s="66" t="e">
        <f>Q2262*dagenperjaar1</f>
        <v>#DIV/0!</v>
      </c>
      <c r="U2262" s="70" t="e">
        <f>T2262*ROUND(P2262,2)</f>
        <v>#DIV/0!</v>
      </c>
    </row>
    <row r="2263" spans="1:21" x14ac:dyDescent="0.2">
      <c r="A2263" s="63" t="s">
        <v>2504</v>
      </c>
      <c r="B2263" s="64" t="s">
        <v>324</v>
      </c>
      <c r="C2263" s="64" t="s">
        <v>774</v>
      </c>
      <c r="D2263" s="64" t="s">
        <v>2773</v>
      </c>
      <c r="E2263" s="64" t="s">
        <v>324</v>
      </c>
      <c r="F2263" s="65" t="s">
        <v>2774</v>
      </c>
      <c r="G2263" s="64" t="s">
        <v>2508</v>
      </c>
      <c r="H2263" s="64" t="s">
        <v>200</v>
      </c>
      <c r="I2263" s="64" t="s">
        <v>10</v>
      </c>
      <c r="J2263" s="64" t="s">
        <v>201</v>
      </c>
      <c r="K2263" s="66">
        <v>55.06</v>
      </c>
      <c r="L2263" s="66">
        <f>K2263*VLOOKUP(I2263,dagsoorttabel1,2,FALSE)</f>
        <v>55.06</v>
      </c>
      <c r="M2263" s="67">
        <f>prodnorm24</f>
        <v>0</v>
      </c>
      <c r="N2263" s="68">
        <f>dagwerk24</f>
        <v>0</v>
      </c>
      <c r="O2263" s="64" t="s">
        <v>38</v>
      </c>
      <c r="P2263" s="69">
        <f>uurtarief24</f>
        <v>0</v>
      </c>
      <c r="Q2263" s="66" t="e">
        <f>IF(ISBLANK(M2263),0,L2263/ROUND(M2263,4))</f>
        <v>#DIV/0!</v>
      </c>
      <c r="R2263" s="66" t="e">
        <f>IF(ISBLANK(M2263),0,Q2263*ROUND(N2263,2))</f>
        <v>#DIV/0!</v>
      </c>
      <c r="S2263" s="69" t="e">
        <f>ROUND(P2263,2)*Q2263</f>
        <v>#DIV/0!</v>
      </c>
      <c r="T2263" s="66" t="e">
        <f>Q2263*dagenperjaar1</f>
        <v>#DIV/0!</v>
      </c>
      <c r="U2263" s="70" t="e">
        <f>T2263*ROUND(P2263,2)</f>
        <v>#DIV/0!</v>
      </c>
    </row>
    <row r="2264" spans="1:21" x14ac:dyDescent="0.2">
      <c r="A2264" s="63" t="s">
        <v>2504</v>
      </c>
      <c r="B2264" s="64" t="s">
        <v>324</v>
      </c>
      <c r="C2264" s="64" t="s">
        <v>774</v>
      </c>
      <c r="D2264" s="64" t="s">
        <v>2775</v>
      </c>
      <c r="E2264" s="64" t="s">
        <v>324</v>
      </c>
      <c r="F2264" s="65" t="s">
        <v>2776</v>
      </c>
      <c r="G2264" s="64" t="s">
        <v>328</v>
      </c>
      <c r="H2264" s="64" t="s">
        <v>241</v>
      </c>
      <c r="I2264" s="64" t="s">
        <v>10</v>
      </c>
      <c r="J2264" s="64" t="s">
        <v>201</v>
      </c>
      <c r="K2264" s="66">
        <v>17.62</v>
      </c>
      <c r="L2264" s="66">
        <f>K2264*VLOOKUP(I2264,dagsoorttabel1,2,FALSE)</f>
        <v>17.62</v>
      </c>
      <c r="M2264" s="67">
        <f>prodnorm51</f>
        <v>0</v>
      </c>
      <c r="N2264" s="68">
        <f>dagwerk51</f>
        <v>0</v>
      </c>
      <c r="O2264" s="64" t="s">
        <v>38</v>
      </c>
      <c r="P2264" s="69">
        <f>uurtarief51</f>
        <v>0</v>
      </c>
      <c r="Q2264" s="66" t="e">
        <f>IF(ISBLANK(M2264),0,L2264/ROUND(M2264,4))</f>
        <v>#DIV/0!</v>
      </c>
      <c r="R2264" s="66" t="e">
        <f>IF(ISBLANK(M2264),0,Q2264*ROUND(N2264,2))</f>
        <v>#DIV/0!</v>
      </c>
      <c r="S2264" s="69" t="e">
        <f>ROUND(P2264,2)*Q2264</f>
        <v>#DIV/0!</v>
      </c>
      <c r="T2264" s="66" t="e">
        <f>Q2264*dagenperjaar1</f>
        <v>#DIV/0!</v>
      </c>
      <c r="U2264" s="70" t="e">
        <f>T2264*ROUND(P2264,2)</f>
        <v>#DIV/0!</v>
      </c>
    </row>
    <row r="2265" spans="1:21" x14ac:dyDescent="0.2">
      <c r="A2265" s="63" t="s">
        <v>2504</v>
      </c>
      <c r="B2265" s="64" t="s">
        <v>324</v>
      </c>
      <c r="C2265" s="64" t="s">
        <v>774</v>
      </c>
      <c r="D2265" s="64" t="s">
        <v>2777</v>
      </c>
      <c r="E2265" s="64" t="s">
        <v>324</v>
      </c>
      <c r="F2265" s="65" t="s">
        <v>2778</v>
      </c>
      <c r="G2265" s="64" t="s">
        <v>328</v>
      </c>
      <c r="H2265" s="64" t="s">
        <v>205</v>
      </c>
      <c r="I2265" s="64" t="s">
        <v>10</v>
      </c>
      <c r="J2265" s="64" t="s">
        <v>201</v>
      </c>
      <c r="K2265" s="66">
        <v>12.2</v>
      </c>
      <c r="L2265" s="66">
        <f>K2265*VLOOKUP(I2265,dagsoorttabel1,2,FALSE)</f>
        <v>12.2</v>
      </c>
      <c r="M2265" s="67">
        <f>prodnorm26</f>
        <v>0</v>
      </c>
      <c r="N2265" s="68">
        <f>dagwerk26</f>
        <v>0</v>
      </c>
      <c r="O2265" s="64" t="s">
        <v>38</v>
      </c>
      <c r="P2265" s="69">
        <f>uurtarief26</f>
        <v>0</v>
      </c>
      <c r="Q2265" s="66" t="e">
        <f>IF(ISBLANK(M2265),0,L2265/ROUND(M2265,4))</f>
        <v>#DIV/0!</v>
      </c>
      <c r="R2265" s="66" t="e">
        <f>IF(ISBLANK(M2265),0,Q2265*ROUND(N2265,2))</f>
        <v>#DIV/0!</v>
      </c>
      <c r="S2265" s="69" t="e">
        <f>ROUND(P2265,2)*Q2265</f>
        <v>#DIV/0!</v>
      </c>
      <c r="T2265" s="66" t="e">
        <f>Q2265*dagenperjaar1</f>
        <v>#DIV/0!</v>
      </c>
      <c r="U2265" s="70" t="e">
        <f>T2265*ROUND(P2265,2)</f>
        <v>#DIV/0!</v>
      </c>
    </row>
    <row r="2266" spans="1:21" x14ac:dyDescent="0.2">
      <c r="A2266" s="63" t="s">
        <v>2504</v>
      </c>
      <c r="B2266" s="64" t="s">
        <v>324</v>
      </c>
      <c r="C2266" s="64" t="s">
        <v>774</v>
      </c>
      <c r="D2266" s="64" t="s">
        <v>2779</v>
      </c>
      <c r="E2266" s="64" t="s">
        <v>324</v>
      </c>
      <c r="F2266" s="65" t="s">
        <v>2677</v>
      </c>
      <c r="G2266" s="64" t="s">
        <v>328</v>
      </c>
      <c r="H2266" s="64" t="s">
        <v>267</v>
      </c>
      <c r="I2266" s="64" t="s">
        <v>10</v>
      </c>
      <c r="J2266" s="64" t="s">
        <v>201</v>
      </c>
      <c r="K2266" s="66">
        <v>71.149999999999991</v>
      </c>
      <c r="L2266" s="66">
        <f>K2266*VLOOKUP(I2266,dagsoorttabel1,2,FALSE)</f>
        <v>71.149999999999991</v>
      </c>
      <c r="M2266" s="67">
        <f>prodnorm65</f>
        <v>0</v>
      </c>
      <c r="N2266" s="68">
        <f>dagwerk65</f>
        <v>0</v>
      </c>
      <c r="O2266" s="64" t="s">
        <v>38</v>
      </c>
      <c r="P2266" s="69">
        <f>uurtarief65</f>
        <v>0</v>
      </c>
      <c r="Q2266" s="66" t="e">
        <f>IF(ISBLANK(M2266),0,L2266/ROUND(M2266,4))</f>
        <v>#DIV/0!</v>
      </c>
      <c r="R2266" s="66" t="e">
        <f>IF(ISBLANK(M2266),0,Q2266*ROUND(N2266,2))</f>
        <v>#DIV/0!</v>
      </c>
      <c r="S2266" s="69" t="e">
        <f>ROUND(P2266,2)*Q2266</f>
        <v>#DIV/0!</v>
      </c>
      <c r="T2266" s="66" t="e">
        <f>Q2266*dagenperjaar1</f>
        <v>#DIV/0!</v>
      </c>
      <c r="U2266" s="70" t="e">
        <f>T2266*ROUND(P2266,2)</f>
        <v>#DIV/0!</v>
      </c>
    </row>
    <row r="2267" spans="1:21" x14ac:dyDescent="0.2">
      <c r="A2267" s="63" t="s">
        <v>2504</v>
      </c>
      <c r="B2267" s="64" t="s">
        <v>324</v>
      </c>
      <c r="C2267" s="64" t="s">
        <v>774</v>
      </c>
      <c r="D2267" s="64" t="s">
        <v>2780</v>
      </c>
      <c r="E2267" s="64" t="s">
        <v>324</v>
      </c>
      <c r="F2267" s="65" t="s">
        <v>671</v>
      </c>
      <c r="G2267" s="64" t="s">
        <v>365</v>
      </c>
      <c r="H2267" s="64" t="s">
        <v>255</v>
      </c>
      <c r="I2267" s="64" t="s">
        <v>10</v>
      </c>
      <c r="J2267" s="64" t="s">
        <v>201</v>
      </c>
      <c r="K2267" s="66">
        <v>8.129999999999999</v>
      </c>
      <c r="L2267" s="66">
        <f>K2267*VLOOKUP(I2267,dagsoorttabel1,2,FALSE)</f>
        <v>8.129999999999999</v>
      </c>
      <c r="M2267" s="67">
        <f>prodnorm59</f>
        <v>0</v>
      </c>
      <c r="N2267" s="68">
        <f>dagwerk59</f>
        <v>0</v>
      </c>
      <c r="O2267" s="64" t="s">
        <v>38</v>
      </c>
      <c r="P2267" s="69">
        <f>uurtarief59</f>
        <v>0</v>
      </c>
      <c r="Q2267" s="66" t="e">
        <f>IF(ISBLANK(M2267),0,L2267/ROUND(M2267,4))</f>
        <v>#DIV/0!</v>
      </c>
      <c r="R2267" s="66" t="e">
        <f>IF(ISBLANK(M2267),0,Q2267*ROUND(N2267,2))</f>
        <v>#DIV/0!</v>
      </c>
      <c r="S2267" s="69" t="e">
        <f>ROUND(P2267,2)*Q2267</f>
        <v>#DIV/0!</v>
      </c>
      <c r="T2267" s="66" t="e">
        <f>Q2267*dagenperjaar1</f>
        <v>#DIV/0!</v>
      </c>
      <c r="U2267" s="70" t="e">
        <f>T2267*ROUND(P2267,2)</f>
        <v>#DIV/0!</v>
      </c>
    </row>
    <row r="2268" spans="1:21" x14ac:dyDescent="0.2">
      <c r="A2268" s="63" t="s">
        <v>2504</v>
      </c>
      <c r="B2268" s="64" t="s">
        <v>324</v>
      </c>
      <c r="C2268" s="64" t="s">
        <v>774</v>
      </c>
      <c r="D2268" s="64" t="s">
        <v>2781</v>
      </c>
      <c r="E2268" s="64" t="s">
        <v>324</v>
      </c>
      <c r="F2268" s="65" t="s">
        <v>2516</v>
      </c>
      <c r="G2268" s="64" t="s">
        <v>365</v>
      </c>
      <c r="H2268" s="64" t="s">
        <v>255</v>
      </c>
      <c r="I2268" s="64" t="s">
        <v>10</v>
      </c>
      <c r="J2268" s="64" t="s">
        <v>201</v>
      </c>
      <c r="K2268" s="66">
        <v>5.42</v>
      </c>
      <c r="L2268" s="66">
        <f>K2268*VLOOKUP(I2268,dagsoorttabel1,2,FALSE)</f>
        <v>5.42</v>
      </c>
      <c r="M2268" s="67">
        <f>prodnorm59</f>
        <v>0</v>
      </c>
      <c r="N2268" s="68">
        <f>dagwerk59</f>
        <v>0</v>
      </c>
      <c r="O2268" s="64" t="s">
        <v>38</v>
      </c>
      <c r="P2268" s="69">
        <f>uurtarief59</f>
        <v>0</v>
      </c>
      <c r="Q2268" s="66" t="e">
        <f>IF(ISBLANK(M2268),0,L2268/ROUND(M2268,4))</f>
        <v>#DIV/0!</v>
      </c>
      <c r="R2268" s="66" t="e">
        <f>IF(ISBLANK(M2268),0,Q2268*ROUND(N2268,2))</f>
        <v>#DIV/0!</v>
      </c>
      <c r="S2268" s="69" t="e">
        <f>ROUND(P2268,2)*Q2268</f>
        <v>#DIV/0!</v>
      </c>
      <c r="T2268" s="66" t="e">
        <f>Q2268*dagenperjaar1</f>
        <v>#DIV/0!</v>
      </c>
      <c r="U2268" s="70" t="e">
        <f>T2268*ROUND(P2268,2)</f>
        <v>#DIV/0!</v>
      </c>
    </row>
    <row r="2269" spans="1:21" x14ac:dyDescent="0.2">
      <c r="A2269" s="63" t="s">
        <v>2504</v>
      </c>
      <c r="B2269" s="64" t="s">
        <v>324</v>
      </c>
      <c r="C2269" s="64" t="s">
        <v>774</v>
      </c>
      <c r="D2269" s="64" t="s">
        <v>2782</v>
      </c>
      <c r="E2269" s="64" t="s">
        <v>324</v>
      </c>
      <c r="F2269" s="65" t="s">
        <v>335</v>
      </c>
      <c r="G2269" s="64" t="s">
        <v>328</v>
      </c>
      <c r="H2269" s="64" t="s">
        <v>267</v>
      </c>
      <c r="I2269" s="64" t="s">
        <v>10</v>
      </c>
      <c r="J2269" s="64" t="s">
        <v>201</v>
      </c>
      <c r="K2269" s="66">
        <v>7.6199999999999992</v>
      </c>
      <c r="L2269" s="66">
        <f>K2269*VLOOKUP(I2269,dagsoorttabel1,2,FALSE)</f>
        <v>7.6199999999999992</v>
      </c>
      <c r="M2269" s="67">
        <f>prodnorm65</f>
        <v>0</v>
      </c>
      <c r="N2269" s="68">
        <f>dagwerk65</f>
        <v>0</v>
      </c>
      <c r="O2269" s="64" t="s">
        <v>38</v>
      </c>
      <c r="P2269" s="69">
        <f>uurtarief65</f>
        <v>0</v>
      </c>
      <c r="Q2269" s="66" t="e">
        <f>IF(ISBLANK(M2269),0,L2269/ROUND(M2269,4))</f>
        <v>#DIV/0!</v>
      </c>
      <c r="R2269" s="66" t="e">
        <f>IF(ISBLANK(M2269),0,Q2269*ROUND(N2269,2))</f>
        <v>#DIV/0!</v>
      </c>
      <c r="S2269" s="69" t="e">
        <f>ROUND(P2269,2)*Q2269</f>
        <v>#DIV/0!</v>
      </c>
      <c r="T2269" s="66" t="e">
        <f>Q2269*dagenperjaar1</f>
        <v>#DIV/0!</v>
      </c>
      <c r="U2269" s="70" t="e">
        <f>T2269*ROUND(P2269,2)</f>
        <v>#DIV/0!</v>
      </c>
    </row>
    <row r="2270" spans="1:21" x14ac:dyDescent="0.2">
      <c r="A2270" s="63" t="s">
        <v>2504</v>
      </c>
      <c r="B2270" s="64" t="s">
        <v>324</v>
      </c>
      <c r="C2270" s="64" t="s">
        <v>774</v>
      </c>
      <c r="D2270" s="64" t="s">
        <v>2783</v>
      </c>
      <c r="E2270" s="64" t="s">
        <v>324</v>
      </c>
      <c r="F2270" s="65" t="s">
        <v>2727</v>
      </c>
      <c r="G2270" s="64" t="s">
        <v>2508</v>
      </c>
      <c r="H2270" s="64" t="s">
        <v>200</v>
      </c>
      <c r="I2270" s="64" t="s">
        <v>10</v>
      </c>
      <c r="J2270" s="64" t="s">
        <v>201</v>
      </c>
      <c r="K2270" s="66">
        <v>9.57</v>
      </c>
      <c r="L2270" s="66">
        <f>K2270*VLOOKUP(I2270,dagsoorttabel1,2,FALSE)</f>
        <v>9.57</v>
      </c>
      <c r="M2270" s="67">
        <f>prodnorm24</f>
        <v>0</v>
      </c>
      <c r="N2270" s="68">
        <f>dagwerk24</f>
        <v>0</v>
      </c>
      <c r="O2270" s="64" t="s">
        <v>38</v>
      </c>
      <c r="P2270" s="69">
        <f>uurtarief24</f>
        <v>0</v>
      </c>
      <c r="Q2270" s="66" t="e">
        <f>IF(ISBLANK(M2270),0,L2270/ROUND(M2270,4))</f>
        <v>#DIV/0!</v>
      </c>
      <c r="R2270" s="66" t="e">
        <f>IF(ISBLANK(M2270),0,Q2270*ROUND(N2270,2))</f>
        <v>#DIV/0!</v>
      </c>
      <c r="S2270" s="69" t="e">
        <f>ROUND(P2270,2)*Q2270</f>
        <v>#DIV/0!</v>
      </c>
      <c r="T2270" s="66" t="e">
        <f>Q2270*dagenperjaar1</f>
        <v>#DIV/0!</v>
      </c>
      <c r="U2270" s="70" t="e">
        <f>T2270*ROUND(P2270,2)</f>
        <v>#DIV/0!</v>
      </c>
    </row>
    <row r="2271" spans="1:21" x14ac:dyDescent="0.2">
      <c r="A2271" s="63" t="s">
        <v>2504</v>
      </c>
      <c r="B2271" s="64" t="s">
        <v>324</v>
      </c>
      <c r="C2271" s="64" t="s">
        <v>774</v>
      </c>
      <c r="D2271" s="64" t="s">
        <v>2784</v>
      </c>
      <c r="E2271" s="64" t="s">
        <v>324</v>
      </c>
      <c r="F2271" s="65" t="s">
        <v>2727</v>
      </c>
      <c r="G2271" s="64" t="s">
        <v>2508</v>
      </c>
      <c r="H2271" s="64" t="s">
        <v>200</v>
      </c>
      <c r="I2271" s="64" t="s">
        <v>10</v>
      </c>
      <c r="J2271" s="64" t="s">
        <v>201</v>
      </c>
      <c r="K2271" s="66">
        <v>9.57</v>
      </c>
      <c r="L2271" s="66">
        <f>K2271*VLOOKUP(I2271,dagsoorttabel1,2,FALSE)</f>
        <v>9.57</v>
      </c>
      <c r="M2271" s="67">
        <f>prodnorm24</f>
        <v>0</v>
      </c>
      <c r="N2271" s="68">
        <f>dagwerk24</f>
        <v>0</v>
      </c>
      <c r="O2271" s="64" t="s">
        <v>38</v>
      </c>
      <c r="P2271" s="69">
        <f>uurtarief24</f>
        <v>0</v>
      </c>
      <c r="Q2271" s="66" t="e">
        <f>IF(ISBLANK(M2271),0,L2271/ROUND(M2271,4))</f>
        <v>#DIV/0!</v>
      </c>
      <c r="R2271" s="66" t="e">
        <f>IF(ISBLANK(M2271),0,Q2271*ROUND(N2271,2))</f>
        <v>#DIV/0!</v>
      </c>
      <c r="S2271" s="69" t="e">
        <f>ROUND(P2271,2)*Q2271</f>
        <v>#DIV/0!</v>
      </c>
      <c r="T2271" s="66" t="e">
        <f>Q2271*dagenperjaar1</f>
        <v>#DIV/0!</v>
      </c>
      <c r="U2271" s="70" t="e">
        <f>T2271*ROUND(P2271,2)</f>
        <v>#DIV/0!</v>
      </c>
    </row>
    <row r="2272" spans="1:21" x14ac:dyDescent="0.2">
      <c r="A2272" s="63" t="s">
        <v>2504</v>
      </c>
      <c r="B2272" s="64" t="s">
        <v>324</v>
      </c>
      <c r="C2272" s="64" t="s">
        <v>774</v>
      </c>
      <c r="D2272" s="64" t="s">
        <v>2785</v>
      </c>
      <c r="E2272" s="64" t="s">
        <v>324</v>
      </c>
      <c r="F2272" s="65" t="s">
        <v>638</v>
      </c>
      <c r="G2272" s="64" t="s">
        <v>2609</v>
      </c>
      <c r="H2272" s="64" t="s">
        <v>263</v>
      </c>
      <c r="I2272" s="64" t="s">
        <v>10</v>
      </c>
      <c r="J2272" s="64" t="s">
        <v>201</v>
      </c>
      <c r="K2272" s="66">
        <v>8.4700000000000006</v>
      </c>
      <c r="L2272" s="66">
        <f>K2272*VLOOKUP(I2272,dagsoorttabel1,2,FALSE)</f>
        <v>8.4700000000000006</v>
      </c>
      <c r="M2272" s="67">
        <f>prodnorm63</f>
        <v>0</v>
      </c>
      <c r="N2272" s="68">
        <f>dagwerk63</f>
        <v>0</v>
      </c>
      <c r="O2272" s="64" t="s">
        <v>38</v>
      </c>
      <c r="P2272" s="69">
        <f>uurtarief63</f>
        <v>0</v>
      </c>
      <c r="Q2272" s="66" t="e">
        <f>IF(ISBLANK(M2272),0,L2272/ROUND(M2272,4))</f>
        <v>#DIV/0!</v>
      </c>
      <c r="R2272" s="66" t="e">
        <f>IF(ISBLANK(M2272),0,Q2272*ROUND(N2272,2))</f>
        <v>#DIV/0!</v>
      </c>
      <c r="S2272" s="69" t="e">
        <f>ROUND(P2272,2)*Q2272</f>
        <v>#DIV/0!</v>
      </c>
      <c r="T2272" s="66" t="e">
        <f>Q2272*dagenperjaar1</f>
        <v>#DIV/0!</v>
      </c>
      <c r="U2272" s="70" t="e">
        <f>T2272*ROUND(P2272,2)</f>
        <v>#DIV/0!</v>
      </c>
    </row>
    <row r="2273" spans="1:21" x14ac:dyDescent="0.2">
      <c r="A2273" s="63" t="s">
        <v>2504</v>
      </c>
      <c r="B2273" s="64" t="s">
        <v>324</v>
      </c>
      <c r="C2273" s="64" t="s">
        <v>774</v>
      </c>
      <c r="D2273" s="64" t="s">
        <v>2786</v>
      </c>
      <c r="E2273" s="64" t="s">
        <v>324</v>
      </c>
      <c r="F2273" s="65" t="s">
        <v>638</v>
      </c>
      <c r="G2273" s="64" t="s">
        <v>2609</v>
      </c>
      <c r="H2273" s="64" t="s">
        <v>263</v>
      </c>
      <c r="I2273" s="64" t="s">
        <v>10</v>
      </c>
      <c r="J2273" s="64" t="s">
        <v>201</v>
      </c>
      <c r="K2273" s="66">
        <v>8.4700000000000006</v>
      </c>
      <c r="L2273" s="66">
        <f>K2273*VLOOKUP(I2273,dagsoorttabel1,2,FALSE)</f>
        <v>8.4700000000000006</v>
      </c>
      <c r="M2273" s="67">
        <f>prodnorm63</f>
        <v>0</v>
      </c>
      <c r="N2273" s="68">
        <f>dagwerk63</f>
        <v>0</v>
      </c>
      <c r="O2273" s="64" t="s">
        <v>38</v>
      </c>
      <c r="P2273" s="69">
        <f>uurtarief63</f>
        <v>0</v>
      </c>
      <c r="Q2273" s="66" t="e">
        <f>IF(ISBLANK(M2273),0,L2273/ROUND(M2273,4))</f>
        <v>#DIV/0!</v>
      </c>
      <c r="R2273" s="66" t="e">
        <f>IF(ISBLANK(M2273),0,Q2273*ROUND(N2273,2))</f>
        <v>#DIV/0!</v>
      </c>
      <c r="S2273" s="69" t="e">
        <f>ROUND(P2273,2)*Q2273</f>
        <v>#DIV/0!</v>
      </c>
      <c r="T2273" s="66" t="e">
        <f>Q2273*dagenperjaar1</f>
        <v>#DIV/0!</v>
      </c>
      <c r="U2273" s="70" t="e">
        <f>T2273*ROUND(P2273,2)</f>
        <v>#DIV/0!</v>
      </c>
    </row>
    <row r="2274" spans="1:21" x14ac:dyDescent="0.2">
      <c r="A2274" s="63" t="s">
        <v>2504</v>
      </c>
      <c r="B2274" s="64" t="s">
        <v>324</v>
      </c>
      <c r="C2274" s="64" t="s">
        <v>774</v>
      </c>
      <c r="D2274" s="64" t="s">
        <v>2787</v>
      </c>
      <c r="E2274" s="64" t="s">
        <v>324</v>
      </c>
      <c r="F2274" s="65" t="s">
        <v>638</v>
      </c>
      <c r="G2274" s="64" t="s">
        <v>2609</v>
      </c>
      <c r="H2274" s="64" t="s">
        <v>263</v>
      </c>
      <c r="I2274" s="64" t="s">
        <v>10</v>
      </c>
      <c r="J2274" s="64" t="s">
        <v>201</v>
      </c>
      <c r="K2274" s="66">
        <v>8.4700000000000006</v>
      </c>
      <c r="L2274" s="66">
        <f>K2274*VLOOKUP(I2274,dagsoorttabel1,2,FALSE)</f>
        <v>8.4700000000000006</v>
      </c>
      <c r="M2274" s="67">
        <f>prodnorm63</f>
        <v>0</v>
      </c>
      <c r="N2274" s="68">
        <f>dagwerk63</f>
        <v>0</v>
      </c>
      <c r="O2274" s="64" t="s">
        <v>38</v>
      </c>
      <c r="P2274" s="69">
        <f>uurtarief63</f>
        <v>0</v>
      </c>
      <c r="Q2274" s="66" t="e">
        <f>IF(ISBLANK(M2274),0,L2274/ROUND(M2274,4))</f>
        <v>#DIV/0!</v>
      </c>
      <c r="R2274" s="66" t="e">
        <f>IF(ISBLANK(M2274),0,Q2274*ROUND(N2274,2))</f>
        <v>#DIV/0!</v>
      </c>
      <c r="S2274" s="69" t="e">
        <f>ROUND(P2274,2)*Q2274</f>
        <v>#DIV/0!</v>
      </c>
      <c r="T2274" s="66" t="e">
        <f>Q2274*dagenperjaar1</f>
        <v>#DIV/0!</v>
      </c>
      <c r="U2274" s="70" t="e">
        <f>T2274*ROUND(P2274,2)</f>
        <v>#DIV/0!</v>
      </c>
    </row>
    <row r="2275" spans="1:21" x14ac:dyDescent="0.2">
      <c r="A2275" s="63" t="s">
        <v>2504</v>
      </c>
      <c r="B2275" s="64" t="s">
        <v>324</v>
      </c>
      <c r="C2275" s="64" t="s">
        <v>774</v>
      </c>
      <c r="D2275" s="64" t="s">
        <v>2788</v>
      </c>
      <c r="E2275" s="64" t="s">
        <v>324</v>
      </c>
      <c r="F2275" s="65" t="s">
        <v>1566</v>
      </c>
      <c r="G2275" s="64" t="s">
        <v>328</v>
      </c>
      <c r="H2275" s="64" t="s">
        <v>239</v>
      </c>
      <c r="I2275" s="64" t="s">
        <v>10</v>
      </c>
      <c r="J2275" s="64" t="s">
        <v>201</v>
      </c>
      <c r="K2275" s="66">
        <v>85</v>
      </c>
      <c r="L2275" s="66">
        <f>K2275*VLOOKUP(I2275,dagsoorttabel1,2,FALSE)</f>
        <v>85</v>
      </c>
      <c r="M2275" s="67">
        <f>prodnorm50</f>
        <v>0</v>
      </c>
      <c r="N2275" s="68">
        <f>dagwerk50</f>
        <v>0</v>
      </c>
      <c r="O2275" s="64" t="s">
        <v>38</v>
      </c>
      <c r="P2275" s="69">
        <f>uurtarief50</f>
        <v>0</v>
      </c>
      <c r="Q2275" s="66" t="e">
        <f>IF(ISBLANK(M2275),0,L2275/ROUND(M2275,4))</f>
        <v>#DIV/0!</v>
      </c>
      <c r="R2275" s="66" t="e">
        <f>IF(ISBLANK(M2275),0,Q2275*ROUND(N2275,2))</f>
        <v>#DIV/0!</v>
      </c>
      <c r="S2275" s="69" t="e">
        <f>ROUND(P2275,2)*Q2275</f>
        <v>#DIV/0!</v>
      </c>
      <c r="T2275" s="66" t="e">
        <f>Q2275*dagenperjaar1</f>
        <v>#DIV/0!</v>
      </c>
      <c r="U2275" s="70" t="e">
        <f>T2275*ROUND(P2275,2)</f>
        <v>#DIV/0!</v>
      </c>
    </row>
    <row r="2276" spans="1:21" x14ac:dyDescent="0.2">
      <c r="A2276" s="63" t="s">
        <v>2504</v>
      </c>
      <c r="B2276" s="64" t="s">
        <v>324</v>
      </c>
      <c r="C2276" s="64" t="s">
        <v>774</v>
      </c>
      <c r="D2276" s="64" t="s">
        <v>2789</v>
      </c>
      <c r="E2276" s="64" t="s">
        <v>324</v>
      </c>
      <c r="F2276" s="65" t="s">
        <v>595</v>
      </c>
      <c r="G2276" s="64" t="s">
        <v>328</v>
      </c>
      <c r="H2276" s="64" t="s">
        <v>205</v>
      </c>
      <c r="I2276" s="64" t="s">
        <v>10</v>
      </c>
      <c r="J2276" s="64" t="s">
        <v>201</v>
      </c>
      <c r="K2276" s="66">
        <v>6.78</v>
      </c>
      <c r="L2276" s="66">
        <f>K2276*VLOOKUP(I2276,dagsoorttabel1,2,FALSE)</f>
        <v>6.78</v>
      </c>
      <c r="M2276" s="67">
        <f>prodnorm26</f>
        <v>0</v>
      </c>
      <c r="N2276" s="68">
        <f>dagwerk26</f>
        <v>0</v>
      </c>
      <c r="O2276" s="64" t="s">
        <v>38</v>
      </c>
      <c r="P2276" s="69">
        <f>uurtarief26</f>
        <v>0</v>
      </c>
      <c r="Q2276" s="66" t="e">
        <f>IF(ISBLANK(M2276),0,L2276/ROUND(M2276,4))</f>
        <v>#DIV/0!</v>
      </c>
      <c r="R2276" s="66" t="e">
        <f>IF(ISBLANK(M2276),0,Q2276*ROUND(N2276,2))</f>
        <v>#DIV/0!</v>
      </c>
      <c r="S2276" s="69" t="e">
        <f>ROUND(P2276,2)*Q2276</f>
        <v>#DIV/0!</v>
      </c>
      <c r="T2276" s="66" t="e">
        <f>Q2276*dagenperjaar1</f>
        <v>#DIV/0!</v>
      </c>
      <c r="U2276" s="70" t="e">
        <f>T2276*ROUND(P2276,2)</f>
        <v>#DIV/0!</v>
      </c>
    </row>
    <row r="2277" spans="1:21" x14ac:dyDescent="0.2">
      <c r="A2277" s="63" t="s">
        <v>2504</v>
      </c>
      <c r="B2277" s="64" t="s">
        <v>324</v>
      </c>
      <c r="C2277" s="64" t="s">
        <v>774</v>
      </c>
      <c r="D2277" s="64" t="s">
        <v>2790</v>
      </c>
      <c r="E2277" s="64" t="s">
        <v>324</v>
      </c>
      <c r="F2277" s="65" t="s">
        <v>595</v>
      </c>
      <c r="G2277" s="64" t="s">
        <v>328</v>
      </c>
      <c r="H2277" s="64" t="s">
        <v>205</v>
      </c>
      <c r="I2277" s="64" t="s">
        <v>10</v>
      </c>
      <c r="J2277" s="64" t="s">
        <v>201</v>
      </c>
      <c r="K2277" s="66">
        <v>8.129999999999999</v>
      </c>
      <c r="L2277" s="66">
        <f>K2277*VLOOKUP(I2277,dagsoorttabel1,2,FALSE)</f>
        <v>8.129999999999999</v>
      </c>
      <c r="M2277" s="67">
        <f>prodnorm26</f>
        <v>0</v>
      </c>
      <c r="N2277" s="68">
        <f>dagwerk26</f>
        <v>0</v>
      </c>
      <c r="O2277" s="64" t="s">
        <v>38</v>
      </c>
      <c r="P2277" s="69">
        <f>uurtarief26</f>
        <v>0</v>
      </c>
      <c r="Q2277" s="66" t="e">
        <f>IF(ISBLANK(M2277),0,L2277/ROUND(M2277,4))</f>
        <v>#DIV/0!</v>
      </c>
      <c r="R2277" s="66" t="e">
        <f>IF(ISBLANK(M2277),0,Q2277*ROUND(N2277,2))</f>
        <v>#DIV/0!</v>
      </c>
      <c r="S2277" s="69" t="e">
        <f>ROUND(P2277,2)*Q2277</f>
        <v>#DIV/0!</v>
      </c>
      <c r="T2277" s="66" t="e">
        <f>Q2277*dagenperjaar1</f>
        <v>#DIV/0!</v>
      </c>
      <c r="U2277" s="70" t="e">
        <f>T2277*ROUND(P2277,2)</f>
        <v>#DIV/0!</v>
      </c>
    </row>
    <row r="2278" spans="1:21" x14ac:dyDescent="0.2">
      <c r="A2278" s="63" t="s">
        <v>2504</v>
      </c>
      <c r="B2278" s="64" t="s">
        <v>324</v>
      </c>
      <c r="C2278" s="64" t="s">
        <v>774</v>
      </c>
      <c r="D2278" s="64" t="s">
        <v>2791</v>
      </c>
      <c r="E2278" s="64" t="s">
        <v>324</v>
      </c>
      <c r="F2278" s="65" t="s">
        <v>2623</v>
      </c>
      <c r="G2278" s="64" t="s">
        <v>328</v>
      </c>
      <c r="H2278" s="64" t="s">
        <v>229</v>
      </c>
      <c r="I2278" s="64" t="s">
        <v>10</v>
      </c>
      <c r="J2278" s="64" t="s">
        <v>201</v>
      </c>
      <c r="K2278" s="66">
        <v>59.290000000000006</v>
      </c>
      <c r="L2278" s="66">
        <f>K2278*VLOOKUP(I2278,dagsoorttabel1,2,FALSE)</f>
        <v>59.290000000000006</v>
      </c>
      <c r="M2278" s="67">
        <f>prodnorm43</f>
        <v>0</v>
      </c>
      <c r="N2278" s="68">
        <f>dagwerk43</f>
        <v>0</v>
      </c>
      <c r="O2278" s="64" t="s">
        <v>38</v>
      </c>
      <c r="P2278" s="69">
        <f>uurtarief43</f>
        <v>0</v>
      </c>
      <c r="Q2278" s="66" t="e">
        <f>IF(ISBLANK(M2278),0,L2278/ROUND(M2278,4))</f>
        <v>#DIV/0!</v>
      </c>
      <c r="R2278" s="66" t="e">
        <f>IF(ISBLANK(M2278),0,Q2278*ROUND(N2278,2))</f>
        <v>#DIV/0!</v>
      </c>
      <c r="S2278" s="69" t="e">
        <f>ROUND(P2278,2)*Q2278</f>
        <v>#DIV/0!</v>
      </c>
      <c r="T2278" s="66" t="e">
        <f>Q2278*dagenperjaar1</f>
        <v>#DIV/0!</v>
      </c>
      <c r="U2278" s="70" t="e">
        <f>T2278*ROUND(P2278,2)</f>
        <v>#DIV/0!</v>
      </c>
    </row>
    <row r="2279" spans="1:21" x14ac:dyDescent="0.2">
      <c r="A2279" s="63" t="s">
        <v>2504</v>
      </c>
      <c r="B2279" s="64" t="s">
        <v>324</v>
      </c>
      <c r="C2279" s="64" t="s">
        <v>774</v>
      </c>
      <c r="D2279" s="64" t="s">
        <v>2792</v>
      </c>
      <c r="E2279" s="64" t="s">
        <v>324</v>
      </c>
      <c r="F2279" s="65" t="s">
        <v>457</v>
      </c>
      <c r="G2279" s="64" t="s">
        <v>328</v>
      </c>
      <c r="H2279" s="64" t="s">
        <v>229</v>
      </c>
      <c r="I2279" s="64" t="s">
        <v>10</v>
      </c>
      <c r="J2279" s="64" t="s">
        <v>201</v>
      </c>
      <c r="K2279" s="66">
        <v>30.830000000000002</v>
      </c>
      <c r="L2279" s="66">
        <f>K2279*VLOOKUP(I2279,dagsoorttabel1,2,FALSE)</f>
        <v>30.830000000000002</v>
      </c>
      <c r="M2279" s="67">
        <f>prodnorm43</f>
        <v>0</v>
      </c>
      <c r="N2279" s="68">
        <f>dagwerk43</f>
        <v>0</v>
      </c>
      <c r="O2279" s="64" t="s">
        <v>38</v>
      </c>
      <c r="P2279" s="69">
        <f>uurtarief43</f>
        <v>0</v>
      </c>
      <c r="Q2279" s="66" t="e">
        <f>IF(ISBLANK(M2279),0,L2279/ROUND(M2279,4))</f>
        <v>#DIV/0!</v>
      </c>
      <c r="R2279" s="66" t="e">
        <f>IF(ISBLANK(M2279),0,Q2279*ROUND(N2279,2))</f>
        <v>#DIV/0!</v>
      </c>
      <c r="S2279" s="69" t="e">
        <f>ROUND(P2279,2)*Q2279</f>
        <v>#DIV/0!</v>
      </c>
      <c r="T2279" s="66" t="e">
        <f>Q2279*dagenperjaar1</f>
        <v>#DIV/0!</v>
      </c>
      <c r="U2279" s="70" t="e">
        <f>T2279*ROUND(P2279,2)</f>
        <v>#DIV/0!</v>
      </c>
    </row>
    <row r="2280" spans="1:21" x14ac:dyDescent="0.2">
      <c r="A2280" s="63" t="s">
        <v>2504</v>
      </c>
      <c r="B2280" s="64" t="s">
        <v>324</v>
      </c>
      <c r="C2280" s="64" t="s">
        <v>774</v>
      </c>
      <c r="D2280" s="64" t="s">
        <v>2793</v>
      </c>
      <c r="E2280" s="64" t="s">
        <v>324</v>
      </c>
      <c r="F2280" s="65" t="s">
        <v>2623</v>
      </c>
      <c r="G2280" s="64" t="s">
        <v>328</v>
      </c>
      <c r="H2280" s="64" t="s">
        <v>229</v>
      </c>
      <c r="I2280" s="64" t="s">
        <v>10</v>
      </c>
      <c r="J2280" s="64" t="s">
        <v>201</v>
      </c>
      <c r="K2280" s="66">
        <v>55.9</v>
      </c>
      <c r="L2280" s="66">
        <f>K2280*VLOOKUP(I2280,dagsoorttabel1,2,FALSE)</f>
        <v>55.9</v>
      </c>
      <c r="M2280" s="67">
        <f>prodnorm43</f>
        <v>0</v>
      </c>
      <c r="N2280" s="68">
        <f>dagwerk43</f>
        <v>0</v>
      </c>
      <c r="O2280" s="64" t="s">
        <v>38</v>
      </c>
      <c r="P2280" s="69">
        <f>uurtarief43</f>
        <v>0</v>
      </c>
      <c r="Q2280" s="66" t="e">
        <f>IF(ISBLANK(M2280),0,L2280/ROUND(M2280,4))</f>
        <v>#DIV/0!</v>
      </c>
      <c r="R2280" s="66" t="e">
        <f>IF(ISBLANK(M2280),0,Q2280*ROUND(N2280,2))</f>
        <v>#DIV/0!</v>
      </c>
      <c r="S2280" s="69" t="e">
        <f>ROUND(P2280,2)*Q2280</f>
        <v>#DIV/0!</v>
      </c>
      <c r="T2280" s="66" t="e">
        <f>Q2280*dagenperjaar1</f>
        <v>#DIV/0!</v>
      </c>
      <c r="U2280" s="70" t="e">
        <f>T2280*ROUND(P2280,2)</f>
        <v>#DIV/0!</v>
      </c>
    </row>
    <row r="2281" spans="1:21" x14ac:dyDescent="0.2">
      <c r="A2281" s="63" t="s">
        <v>2504</v>
      </c>
      <c r="B2281" s="64" t="s">
        <v>324</v>
      </c>
      <c r="C2281" s="64" t="s">
        <v>774</v>
      </c>
      <c r="D2281" s="64" t="s">
        <v>2794</v>
      </c>
      <c r="E2281" s="64" t="s">
        <v>324</v>
      </c>
      <c r="F2281" s="65" t="s">
        <v>457</v>
      </c>
      <c r="G2281" s="64" t="s">
        <v>328</v>
      </c>
      <c r="H2281" s="64" t="s">
        <v>229</v>
      </c>
      <c r="I2281" s="64" t="s">
        <v>10</v>
      </c>
      <c r="J2281" s="64" t="s">
        <v>201</v>
      </c>
      <c r="K2281" s="66">
        <v>30.830000000000002</v>
      </c>
      <c r="L2281" s="66">
        <f>K2281*VLOOKUP(I2281,dagsoorttabel1,2,FALSE)</f>
        <v>30.830000000000002</v>
      </c>
      <c r="M2281" s="67">
        <f>prodnorm43</f>
        <v>0</v>
      </c>
      <c r="N2281" s="68">
        <f>dagwerk43</f>
        <v>0</v>
      </c>
      <c r="O2281" s="64" t="s">
        <v>38</v>
      </c>
      <c r="P2281" s="69">
        <f>uurtarief43</f>
        <v>0</v>
      </c>
      <c r="Q2281" s="66" t="e">
        <f>IF(ISBLANK(M2281),0,L2281/ROUND(M2281,4))</f>
        <v>#DIV/0!</v>
      </c>
      <c r="R2281" s="66" t="e">
        <f>IF(ISBLANK(M2281),0,Q2281*ROUND(N2281,2))</f>
        <v>#DIV/0!</v>
      </c>
      <c r="S2281" s="69" t="e">
        <f>ROUND(P2281,2)*Q2281</f>
        <v>#DIV/0!</v>
      </c>
      <c r="T2281" s="66" t="e">
        <f>Q2281*dagenperjaar1</f>
        <v>#DIV/0!</v>
      </c>
      <c r="U2281" s="70" t="e">
        <f>T2281*ROUND(P2281,2)</f>
        <v>#DIV/0!</v>
      </c>
    </row>
    <row r="2282" spans="1:21" x14ac:dyDescent="0.2">
      <c r="A2282" s="63" t="s">
        <v>2504</v>
      </c>
      <c r="B2282" s="64" t="s">
        <v>324</v>
      </c>
      <c r="C2282" s="64" t="s">
        <v>774</v>
      </c>
      <c r="D2282" s="64" t="s">
        <v>2795</v>
      </c>
      <c r="E2282" s="64" t="s">
        <v>324</v>
      </c>
      <c r="F2282" s="65" t="s">
        <v>2745</v>
      </c>
      <c r="G2282" s="64" t="s">
        <v>2508</v>
      </c>
      <c r="H2282" s="64" t="s">
        <v>200</v>
      </c>
      <c r="I2282" s="64" t="s">
        <v>10</v>
      </c>
      <c r="J2282" s="64" t="s">
        <v>201</v>
      </c>
      <c r="K2282" s="66">
        <v>143.1</v>
      </c>
      <c r="L2282" s="66">
        <f>K2282*VLOOKUP(I2282,dagsoorttabel1,2,FALSE)</f>
        <v>143.1</v>
      </c>
      <c r="M2282" s="67">
        <f>prodnorm24</f>
        <v>0</v>
      </c>
      <c r="N2282" s="68">
        <f>dagwerk24</f>
        <v>0</v>
      </c>
      <c r="O2282" s="64" t="s">
        <v>38</v>
      </c>
      <c r="P2282" s="69">
        <f>uurtarief24</f>
        <v>0</v>
      </c>
      <c r="Q2282" s="66" t="e">
        <f>IF(ISBLANK(M2282),0,L2282/ROUND(M2282,4))</f>
        <v>#DIV/0!</v>
      </c>
      <c r="R2282" s="66" t="e">
        <f>IF(ISBLANK(M2282),0,Q2282*ROUND(N2282,2))</f>
        <v>#DIV/0!</v>
      </c>
      <c r="S2282" s="69" t="e">
        <f>ROUND(P2282,2)*Q2282</f>
        <v>#DIV/0!</v>
      </c>
      <c r="T2282" s="66" t="e">
        <f>Q2282*dagenperjaar1</f>
        <v>#DIV/0!</v>
      </c>
      <c r="U2282" s="70" t="e">
        <f>T2282*ROUND(P2282,2)</f>
        <v>#DIV/0!</v>
      </c>
    </row>
    <row r="2283" spans="1:21" x14ac:dyDescent="0.2">
      <c r="A2283" s="63" t="s">
        <v>2504</v>
      </c>
      <c r="B2283" s="64" t="s">
        <v>324</v>
      </c>
      <c r="C2283" s="64" t="s">
        <v>774</v>
      </c>
      <c r="D2283" s="64" t="s">
        <v>2796</v>
      </c>
      <c r="E2283" s="64" t="s">
        <v>324</v>
      </c>
      <c r="F2283" s="65" t="s">
        <v>2677</v>
      </c>
      <c r="G2283" s="64" t="s">
        <v>328</v>
      </c>
      <c r="H2283" s="64" t="s">
        <v>267</v>
      </c>
      <c r="I2283" s="64" t="s">
        <v>10</v>
      </c>
      <c r="J2283" s="64" t="s">
        <v>201</v>
      </c>
      <c r="K2283" s="66">
        <v>76.23</v>
      </c>
      <c r="L2283" s="66">
        <f>K2283*VLOOKUP(I2283,dagsoorttabel1,2,FALSE)</f>
        <v>76.23</v>
      </c>
      <c r="M2283" s="67">
        <f>prodnorm65</f>
        <v>0</v>
      </c>
      <c r="N2283" s="68">
        <f>dagwerk65</f>
        <v>0</v>
      </c>
      <c r="O2283" s="64" t="s">
        <v>38</v>
      </c>
      <c r="P2283" s="69">
        <f>uurtarief65</f>
        <v>0</v>
      </c>
      <c r="Q2283" s="66" t="e">
        <f>IF(ISBLANK(M2283),0,L2283/ROUND(M2283,4))</f>
        <v>#DIV/0!</v>
      </c>
      <c r="R2283" s="66" t="e">
        <f>IF(ISBLANK(M2283),0,Q2283*ROUND(N2283,2))</f>
        <v>#DIV/0!</v>
      </c>
      <c r="S2283" s="69" t="e">
        <f>ROUND(P2283,2)*Q2283</f>
        <v>#DIV/0!</v>
      </c>
      <c r="T2283" s="66" t="e">
        <f>Q2283*dagenperjaar1</f>
        <v>#DIV/0!</v>
      </c>
      <c r="U2283" s="70" t="e">
        <f>T2283*ROUND(P2283,2)</f>
        <v>#DIV/0!</v>
      </c>
    </row>
    <row r="2284" spans="1:21" x14ac:dyDescent="0.2">
      <c r="A2284" s="63" t="s">
        <v>2504</v>
      </c>
      <c r="B2284" s="64" t="s">
        <v>324</v>
      </c>
      <c r="C2284" s="64" t="s">
        <v>774</v>
      </c>
      <c r="D2284" s="64" t="s">
        <v>2797</v>
      </c>
      <c r="E2284" s="64" t="s">
        <v>324</v>
      </c>
      <c r="F2284" s="65" t="s">
        <v>2756</v>
      </c>
      <c r="G2284" s="64" t="s">
        <v>328</v>
      </c>
      <c r="H2284" s="64" t="s">
        <v>267</v>
      </c>
      <c r="I2284" s="64" t="s">
        <v>10</v>
      </c>
      <c r="J2284" s="64" t="s">
        <v>201</v>
      </c>
      <c r="K2284" s="66">
        <v>84.19</v>
      </c>
      <c r="L2284" s="66">
        <f>K2284*VLOOKUP(I2284,dagsoorttabel1,2,FALSE)</f>
        <v>84.19</v>
      </c>
      <c r="M2284" s="67">
        <f>prodnorm65</f>
        <v>0</v>
      </c>
      <c r="N2284" s="68">
        <f>dagwerk65</f>
        <v>0</v>
      </c>
      <c r="O2284" s="64" t="s">
        <v>38</v>
      </c>
      <c r="P2284" s="69">
        <f>uurtarief65</f>
        <v>0</v>
      </c>
      <c r="Q2284" s="66" t="e">
        <f>IF(ISBLANK(M2284),0,L2284/ROUND(M2284,4))</f>
        <v>#DIV/0!</v>
      </c>
      <c r="R2284" s="66" t="e">
        <f>IF(ISBLANK(M2284),0,Q2284*ROUND(N2284,2))</f>
        <v>#DIV/0!</v>
      </c>
      <c r="S2284" s="69" t="e">
        <f>ROUND(P2284,2)*Q2284</f>
        <v>#DIV/0!</v>
      </c>
      <c r="T2284" s="66" t="e">
        <f>Q2284*dagenperjaar1</f>
        <v>#DIV/0!</v>
      </c>
      <c r="U2284" s="70" t="e">
        <f>T2284*ROUND(P2284,2)</f>
        <v>#DIV/0!</v>
      </c>
    </row>
    <row r="2285" spans="1:21" x14ac:dyDescent="0.2">
      <c r="A2285" s="63" t="s">
        <v>2504</v>
      </c>
      <c r="B2285" s="64" t="s">
        <v>324</v>
      </c>
      <c r="C2285" s="64" t="s">
        <v>774</v>
      </c>
      <c r="D2285" s="64" t="s">
        <v>2798</v>
      </c>
      <c r="E2285" s="64" t="s">
        <v>324</v>
      </c>
      <c r="F2285" s="65" t="s">
        <v>671</v>
      </c>
      <c r="G2285" s="64" t="s">
        <v>365</v>
      </c>
      <c r="H2285" s="64" t="s">
        <v>255</v>
      </c>
      <c r="I2285" s="64" t="s">
        <v>10</v>
      </c>
      <c r="J2285" s="64" t="s">
        <v>201</v>
      </c>
      <c r="K2285" s="66">
        <v>6.78</v>
      </c>
      <c r="L2285" s="66">
        <f>K2285*VLOOKUP(I2285,dagsoorttabel1,2,FALSE)</f>
        <v>6.78</v>
      </c>
      <c r="M2285" s="67">
        <f>prodnorm59</f>
        <v>0</v>
      </c>
      <c r="N2285" s="68">
        <f>dagwerk59</f>
        <v>0</v>
      </c>
      <c r="O2285" s="64" t="s">
        <v>38</v>
      </c>
      <c r="P2285" s="69">
        <f>uurtarief59</f>
        <v>0</v>
      </c>
      <c r="Q2285" s="66" t="e">
        <f>IF(ISBLANK(M2285),0,L2285/ROUND(M2285,4))</f>
        <v>#DIV/0!</v>
      </c>
      <c r="R2285" s="66" t="e">
        <f>IF(ISBLANK(M2285),0,Q2285*ROUND(N2285,2))</f>
        <v>#DIV/0!</v>
      </c>
      <c r="S2285" s="69" t="e">
        <f>ROUND(P2285,2)*Q2285</f>
        <v>#DIV/0!</v>
      </c>
      <c r="T2285" s="66" t="e">
        <f>Q2285*dagenperjaar1</f>
        <v>#DIV/0!</v>
      </c>
      <c r="U2285" s="70" t="e">
        <f>T2285*ROUND(P2285,2)</f>
        <v>#DIV/0!</v>
      </c>
    </row>
    <row r="2286" spans="1:21" x14ac:dyDescent="0.2">
      <c r="A2286" s="63" t="s">
        <v>2504</v>
      </c>
      <c r="B2286" s="64" t="s">
        <v>324</v>
      </c>
      <c r="C2286" s="64" t="s">
        <v>774</v>
      </c>
      <c r="D2286" s="64" t="s">
        <v>2799</v>
      </c>
      <c r="E2286" s="64" t="s">
        <v>324</v>
      </c>
      <c r="F2286" s="65" t="s">
        <v>671</v>
      </c>
      <c r="G2286" s="64" t="s">
        <v>365</v>
      </c>
      <c r="H2286" s="64" t="s">
        <v>255</v>
      </c>
      <c r="I2286" s="64" t="s">
        <v>10</v>
      </c>
      <c r="J2286" s="64" t="s">
        <v>201</v>
      </c>
      <c r="K2286" s="66">
        <v>6.78</v>
      </c>
      <c r="L2286" s="66">
        <f>K2286*VLOOKUP(I2286,dagsoorttabel1,2,FALSE)</f>
        <v>6.78</v>
      </c>
      <c r="M2286" s="67">
        <f>prodnorm59</f>
        <v>0</v>
      </c>
      <c r="N2286" s="68">
        <f>dagwerk59</f>
        <v>0</v>
      </c>
      <c r="O2286" s="64" t="s">
        <v>38</v>
      </c>
      <c r="P2286" s="69">
        <f>uurtarief59</f>
        <v>0</v>
      </c>
      <c r="Q2286" s="66" t="e">
        <f>IF(ISBLANK(M2286),0,L2286/ROUND(M2286,4))</f>
        <v>#DIV/0!</v>
      </c>
      <c r="R2286" s="66" t="e">
        <f>IF(ISBLANK(M2286),0,Q2286*ROUND(N2286,2))</f>
        <v>#DIV/0!</v>
      </c>
      <c r="S2286" s="69" t="e">
        <f>ROUND(P2286,2)*Q2286</f>
        <v>#DIV/0!</v>
      </c>
      <c r="T2286" s="66" t="e">
        <f>Q2286*dagenperjaar1</f>
        <v>#DIV/0!</v>
      </c>
      <c r="U2286" s="70" t="e">
        <f>T2286*ROUND(P2286,2)</f>
        <v>#DIV/0!</v>
      </c>
    </row>
    <row r="2287" spans="1:21" x14ac:dyDescent="0.2">
      <c r="A2287" s="63" t="s">
        <v>2504</v>
      </c>
      <c r="B2287" s="64" t="s">
        <v>324</v>
      </c>
      <c r="C2287" s="64" t="s">
        <v>774</v>
      </c>
      <c r="D2287" s="64" t="s">
        <v>2800</v>
      </c>
      <c r="E2287" s="64" t="s">
        <v>324</v>
      </c>
      <c r="F2287" s="65" t="s">
        <v>457</v>
      </c>
      <c r="G2287" s="64" t="s">
        <v>328</v>
      </c>
      <c r="H2287" s="64" t="s">
        <v>229</v>
      </c>
      <c r="I2287" s="64" t="s">
        <v>10</v>
      </c>
      <c r="J2287" s="64" t="s">
        <v>201</v>
      </c>
      <c r="K2287" s="66">
        <v>66.7</v>
      </c>
      <c r="L2287" s="66">
        <f>K2287*VLOOKUP(I2287,dagsoorttabel1,2,FALSE)</f>
        <v>66.7</v>
      </c>
      <c r="M2287" s="67">
        <f>prodnorm43</f>
        <v>0</v>
      </c>
      <c r="N2287" s="68">
        <f>dagwerk43</f>
        <v>0</v>
      </c>
      <c r="O2287" s="64" t="s">
        <v>38</v>
      </c>
      <c r="P2287" s="69">
        <f>uurtarief43</f>
        <v>0</v>
      </c>
      <c r="Q2287" s="66" t="e">
        <f>IF(ISBLANK(M2287),0,L2287/ROUND(M2287,4))</f>
        <v>#DIV/0!</v>
      </c>
      <c r="R2287" s="66" t="e">
        <f>IF(ISBLANK(M2287),0,Q2287*ROUND(N2287,2))</f>
        <v>#DIV/0!</v>
      </c>
      <c r="S2287" s="69" t="e">
        <f>ROUND(P2287,2)*Q2287</f>
        <v>#DIV/0!</v>
      </c>
      <c r="T2287" s="66" t="e">
        <f>Q2287*dagenperjaar1</f>
        <v>#DIV/0!</v>
      </c>
      <c r="U2287" s="70" t="e">
        <f>T2287*ROUND(P2287,2)</f>
        <v>#DIV/0!</v>
      </c>
    </row>
    <row r="2288" spans="1:21" x14ac:dyDescent="0.2">
      <c r="A2288" s="63" t="s">
        <v>2504</v>
      </c>
      <c r="B2288" s="64" t="s">
        <v>324</v>
      </c>
      <c r="C2288" s="64" t="s">
        <v>774</v>
      </c>
      <c r="D2288" s="64" t="s">
        <v>2801</v>
      </c>
      <c r="E2288" s="64" t="s">
        <v>324</v>
      </c>
      <c r="F2288" s="65" t="s">
        <v>2626</v>
      </c>
      <c r="G2288" s="64" t="s">
        <v>328</v>
      </c>
      <c r="H2288" s="64" t="s">
        <v>239</v>
      </c>
      <c r="I2288" s="64" t="s">
        <v>10</v>
      </c>
      <c r="J2288" s="64" t="s">
        <v>201</v>
      </c>
      <c r="K2288" s="66">
        <v>87.04</v>
      </c>
      <c r="L2288" s="66">
        <f>K2288*VLOOKUP(I2288,dagsoorttabel1,2,FALSE)</f>
        <v>87.04</v>
      </c>
      <c r="M2288" s="67">
        <f>prodnorm50</f>
        <v>0</v>
      </c>
      <c r="N2288" s="68">
        <f>dagwerk50</f>
        <v>0</v>
      </c>
      <c r="O2288" s="64" t="s">
        <v>38</v>
      </c>
      <c r="P2288" s="69">
        <f>uurtarief50</f>
        <v>0</v>
      </c>
      <c r="Q2288" s="66" t="e">
        <f>IF(ISBLANK(M2288),0,L2288/ROUND(M2288,4))</f>
        <v>#DIV/0!</v>
      </c>
      <c r="R2288" s="66" t="e">
        <f>IF(ISBLANK(M2288),0,Q2288*ROUND(N2288,2))</f>
        <v>#DIV/0!</v>
      </c>
      <c r="S2288" s="69" t="e">
        <f>ROUND(P2288,2)*Q2288</f>
        <v>#DIV/0!</v>
      </c>
      <c r="T2288" s="66" t="e">
        <f>Q2288*dagenperjaar1</f>
        <v>#DIV/0!</v>
      </c>
      <c r="U2288" s="70" t="e">
        <f>T2288*ROUND(P2288,2)</f>
        <v>#DIV/0!</v>
      </c>
    </row>
    <row r="2289" spans="1:21" x14ac:dyDescent="0.2">
      <c r="A2289" s="63" t="s">
        <v>2504</v>
      </c>
      <c r="B2289" s="64" t="s">
        <v>324</v>
      </c>
      <c r="C2289" s="64" t="s">
        <v>774</v>
      </c>
      <c r="D2289" s="64" t="s">
        <v>2802</v>
      </c>
      <c r="E2289" s="64" t="s">
        <v>324</v>
      </c>
      <c r="F2289" s="65" t="s">
        <v>595</v>
      </c>
      <c r="G2289" s="64" t="s">
        <v>328</v>
      </c>
      <c r="H2289" s="64" t="s">
        <v>205</v>
      </c>
      <c r="I2289" s="64" t="s">
        <v>10</v>
      </c>
      <c r="J2289" s="64" t="s">
        <v>201</v>
      </c>
      <c r="K2289" s="66">
        <v>12.709999999999999</v>
      </c>
      <c r="L2289" s="66">
        <f>K2289*VLOOKUP(I2289,dagsoorttabel1,2,FALSE)</f>
        <v>12.709999999999999</v>
      </c>
      <c r="M2289" s="67">
        <f>prodnorm26</f>
        <v>0</v>
      </c>
      <c r="N2289" s="68">
        <f>dagwerk26</f>
        <v>0</v>
      </c>
      <c r="O2289" s="64" t="s">
        <v>38</v>
      </c>
      <c r="P2289" s="69">
        <f>uurtarief26</f>
        <v>0</v>
      </c>
      <c r="Q2289" s="66" t="e">
        <f>IF(ISBLANK(M2289),0,L2289/ROUND(M2289,4))</f>
        <v>#DIV/0!</v>
      </c>
      <c r="R2289" s="66" t="e">
        <f>IF(ISBLANK(M2289),0,Q2289*ROUND(N2289,2))</f>
        <v>#DIV/0!</v>
      </c>
      <c r="S2289" s="69" t="e">
        <f>ROUND(P2289,2)*Q2289</f>
        <v>#DIV/0!</v>
      </c>
      <c r="T2289" s="66" t="e">
        <f>Q2289*dagenperjaar1</f>
        <v>#DIV/0!</v>
      </c>
      <c r="U2289" s="70" t="e">
        <f>T2289*ROUND(P2289,2)</f>
        <v>#DIV/0!</v>
      </c>
    </row>
    <row r="2290" spans="1:21" x14ac:dyDescent="0.2">
      <c r="A2290" s="63" t="s">
        <v>2504</v>
      </c>
      <c r="B2290" s="64" t="s">
        <v>324</v>
      </c>
      <c r="C2290" s="64" t="s">
        <v>774</v>
      </c>
      <c r="D2290" s="64" t="s">
        <v>2802</v>
      </c>
      <c r="E2290" s="64" t="s">
        <v>324</v>
      </c>
      <c r="F2290" s="65" t="s">
        <v>2623</v>
      </c>
      <c r="G2290" s="64" t="s">
        <v>328</v>
      </c>
      <c r="H2290" s="64" t="s">
        <v>229</v>
      </c>
      <c r="I2290" s="64" t="s">
        <v>10</v>
      </c>
      <c r="J2290" s="64" t="s">
        <v>201</v>
      </c>
      <c r="K2290" s="66">
        <v>42.349999999999994</v>
      </c>
      <c r="L2290" s="66">
        <f>K2290*VLOOKUP(I2290,dagsoorttabel1,2,FALSE)</f>
        <v>42.349999999999994</v>
      </c>
      <c r="M2290" s="67">
        <f>prodnorm43</f>
        <v>0</v>
      </c>
      <c r="N2290" s="68">
        <f>dagwerk43</f>
        <v>0</v>
      </c>
      <c r="O2290" s="64" t="s">
        <v>38</v>
      </c>
      <c r="P2290" s="69">
        <f>uurtarief43</f>
        <v>0</v>
      </c>
      <c r="Q2290" s="66" t="e">
        <f>IF(ISBLANK(M2290),0,L2290/ROUND(M2290,4))</f>
        <v>#DIV/0!</v>
      </c>
      <c r="R2290" s="66" t="e">
        <f>IF(ISBLANK(M2290),0,Q2290*ROUND(N2290,2))</f>
        <v>#DIV/0!</v>
      </c>
      <c r="S2290" s="69" t="e">
        <f>ROUND(P2290,2)*Q2290</f>
        <v>#DIV/0!</v>
      </c>
      <c r="T2290" s="66" t="e">
        <f>Q2290*dagenperjaar1</f>
        <v>#DIV/0!</v>
      </c>
      <c r="U2290" s="70" t="e">
        <f>T2290*ROUND(P2290,2)</f>
        <v>#DIV/0!</v>
      </c>
    </row>
    <row r="2291" spans="1:21" x14ac:dyDescent="0.2">
      <c r="A2291" s="63" t="s">
        <v>2504</v>
      </c>
      <c r="B2291" s="64" t="s">
        <v>324</v>
      </c>
      <c r="C2291" s="64" t="s">
        <v>774</v>
      </c>
      <c r="D2291" s="64" t="s">
        <v>2803</v>
      </c>
      <c r="E2291" s="64" t="s">
        <v>324</v>
      </c>
      <c r="F2291" s="65" t="s">
        <v>457</v>
      </c>
      <c r="G2291" s="64" t="s">
        <v>328</v>
      </c>
      <c r="H2291" s="64" t="s">
        <v>229</v>
      </c>
      <c r="I2291" s="64" t="s">
        <v>10</v>
      </c>
      <c r="J2291" s="64" t="s">
        <v>201</v>
      </c>
      <c r="K2291" s="66">
        <v>42.349999999999994</v>
      </c>
      <c r="L2291" s="66">
        <f>K2291*VLOOKUP(I2291,dagsoorttabel1,2,FALSE)</f>
        <v>42.349999999999994</v>
      </c>
      <c r="M2291" s="67">
        <f>prodnorm43</f>
        <v>0</v>
      </c>
      <c r="N2291" s="68">
        <f>dagwerk43</f>
        <v>0</v>
      </c>
      <c r="O2291" s="64" t="s">
        <v>38</v>
      </c>
      <c r="P2291" s="69">
        <f>uurtarief43</f>
        <v>0</v>
      </c>
      <c r="Q2291" s="66" t="e">
        <f>IF(ISBLANK(M2291),0,L2291/ROUND(M2291,4))</f>
        <v>#DIV/0!</v>
      </c>
      <c r="R2291" s="66" t="e">
        <f>IF(ISBLANK(M2291),0,Q2291*ROUND(N2291,2))</f>
        <v>#DIV/0!</v>
      </c>
      <c r="S2291" s="69" t="e">
        <f>ROUND(P2291,2)*Q2291</f>
        <v>#DIV/0!</v>
      </c>
      <c r="T2291" s="66" t="e">
        <f>Q2291*dagenperjaar1</f>
        <v>#DIV/0!</v>
      </c>
      <c r="U2291" s="70" t="e">
        <f>T2291*ROUND(P2291,2)</f>
        <v>#DIV/0!</v>
      </c>
    </row>
    <row r="2292" spans="1:21" x14ac:dyDescent="0.2">
      <c r="A2292" s="63" t="s">
        <v>2504</v>
      </c>
      <c r="B2292" s="64" t="s">
        <v>324</v>
      </c>
      <c r="C2292" s="64" t="s">
        <v>774</v>
      </c>
      <c r="D2292" s="64" t="s">
        <v>2804</v>
      </c>
      <c r="E2292" s="64" t="s">
        <v>324</v>
      </c>
      <c r="F2292" s="65" t="s">
        <v>457</v>
      </c>
      <c r="G2292" s="64" t="s">
        <v>328</v>
      </c>
      <c r="H2292" s="64" t="s">
        <v>229</v>
      </c>
      <c r="I2292" s="64" t="s">
        <v>10</v>
      </c>
      <c r="J2292" s="64" t="s">
        <v>201</v>
      </c>
      <c r="K2292" s="66">
        <v>33.160000000000004</v>
      </c>
      <c r="L2292" s="66">
        <f>K2292*VLOOKUP(I2292,dagsoorttabel1,2,FALSE)</f>
        <v>33.160000000000004</v>
      </c>
      <c r="M2292" s="67">
        <f>prodnorm43</f>
        <v>0</v>
      </c>
      <c r="N2292" s="68">
        <f>dagwerk43</f>
        <v>0</v>
      </c>
      <c r="O2292" s="64" t="s">
        <v>38</v>
      </c>
      <c r="P2292" s="69">
        <f>uurtarief43</f>
        <v>0</v>
      </c>
      <c r="Q2292" s="66" t="e">
        <f>IF(ISBLANK(M2292),0,L2292/ROUND(M2292,4))</f>
        <v>#DIV/0!</v>
      </c>
      <c r="R2292" s="66" t="e">
        <f>IF(ISBLANK(M2292),0,Q2292*ROUND(N2292,2))</f>
        <v>#DIV/0!</v>
      </c>
      <c r="S2292" s="69" t="e">
        <f>ROUND(P2292,2)*Q2292</f>
        <v>#DIV/0!</v>
      </c>
      <c r="T2292" s="66" t="e">
        <f>Q2292*dagenperjaar1</f>
        <v>#DIV/0!</v>
      </c>
      <c r="U2292" s="70" t="e">
        <f>T2292*ROUND(P2292,2)</f>
        <v>#DIV/0!</v>
      </c>
    </row>
    <row r="2293" spans="1:21" x14ac:dyDescent="0.2">
      <c r="A2293" s="63" t="s">
        <v>2504</v>
      </c>
      <c r="B2293" s="64" t="s">
        <v>324</v>
      </c>
      <c r="C2293" s="64" t="s">
        <v>774</v>
      </c>
      <c r="D2293" s="64" t="s">
        <v>2805</v>
      </c>
      <c r="E2293" s="64" t="s">
        <v>324</v>
      </c>
      <c r="F2293" s="65" t="s">
        <v>2745</v>
      </c>
      <c r="G2293" s="64" t="s">
        <v>2508</v>
      </c>
      <c r="H2293" s="64" t="s">
        <v>200</v>
      </c>
      <c r="I2293" s="64" t="s">
        <v>10</v>
      </c>
      <c r="J2293" s="64" t="s">
        <v>201</v>
      </c>
      <c r="K2293" s="66">
        <v>80.47</v>
      </c>
      <c r="L2293" s="66">
        <f>K2293*VLOOKUP(I2293,dagsoorttabel1,2,FALSE)</f>
        <v>80.47</v>
      </c>
      <c r="M2293" s="67">
        <f>prodnorm24</f>
        <v>0</v>
      </c>
      <c r="N2293" s="68">
        <f>dagwerk24</f>
        <v>0</v>
      </c>
      <c r="O2293" s="64" t="s">
        <v>38</v>
      </c>
      <c r="P2293" s="69">
        <f>uurtarief24</f>
        <v>0</v>
      </c>
      <c r="Q2293" s="66" t="e">
        <f>IF(ISBLANK(M2293),0,L2293/ROUND(M2293,4))</f>
        <v>#DIV/0!</v>
      </c>
      <c r="R2293" s="66" t="e">
        <f>IF(ISBLANK(M2293),0,Q2293*ROUND(N2293,2))</f>
        <v>#DIV/0!</v>
      </c>
      <c r="S2293" s="69" t="e">
        <f>ROUND(P2293,2)*Q2293</f>
        <v>#DIV/0!</v>
      </c>
      <c r="T2293" s="66" t="e">
        <f>Q2293*dagenperjaar1</f>
        <v>#DIV/0!</v>
      </c>
      <c r="U2293" s="70" t="e">
        <f>T2293*ROUND(P2293,2)</f>
        <v>#DIV/0!</v>
      </c>
    </row>
    <row r="2294" spans="1:21" x14ac:dyDescent="0.2">
      <c r="A2294" s="63" t="s">
        <v>2504</v>
      </c>
      <c r="B2294" s="64" t="s">
        <v>324</v>
      </c>
      <c r="C2294" s="64" t="s">
        <v>774</v>
      </c>
      <c r="D2294" s="64" t="s">
        <v>2806</v>
      </c>
      <c r="E2294" s="64" t="s">
        <v>324</v>
      </c>
      <c r="F2294" s="65" t="s">
        <v>2756</v>
      </c>
      <c r="G2294" s="64" t="s">
        <v>328</v>
      </c>
      <c r="H2294" s="64" t="s">
        <v>267</v>
      </c>
      <c r="I2294" s="64" t="s">
        <v>10</v>
      </c>
      <c r="J2294" s="64" t="s">
        <v>201</v>
      </c>
      <c r="K2294" s="66">
        <v>56.75</v>
      </c>
      <c r="L2294" s="66">
        <f>K2294*VLOOKUP(I2294,dagsoorttabel1,2,FALSE)</f>
        <v>56.75</v>
      </c>
      <c r="M2294" s="67">
        <f>prodnorm65</f>
        <v>0</v>
      </c>
      <c r="N2294" s="68">
        <f>dagwerk65</f>
        <v>0</v>
      </c>
      <c r="O2294" s="64" t="s">
        <v>38</v>
      </c>
      <c r="P2294" s="69">
        <f>uurtarief65</f>
        <v>0</v>
      </c>
      <c r="Q2294" s="66" t="e">
        <f>IF(ISBLANK(M2294),0,L2294/ROUND(M2294,4))</f>
        <v>#DIV/0!</v>
      </c>
      <c r="R2294" s="66" t="e">
        <f>IF(ISBLANK(M2294),0,Q2294*ROUND(N2294,2))</f>
        <v>#DIV/0!</v>
      </c>
      <c r="S2294" s="69" t="e">
        <f>ROUND(P2294,2)*Q2294</f>
        <v>#DIV/0!</v>
      </c>
      <c r="T2294" s="66" t="e">
        <f>Q2294*dagenperjaar1</f>
        <v>#DIV/0!</v>
      </c>
      <c r="U2294" s="70" t="e">
        <f>T2294*ROUND(P2294,2)</f>
        <v>#DIV/0!</v>
      </c>
    </row>
    <row r="2295" spans="1:21" x14ac:dyDescent="0.2">
      <c r="A2295" s="63" t="s">
        <v>2504</v>
      </c>
      <c r="B2295" s="64" t="s">
        <v>324</v>
      </c>
      <c r="C2295" s="64" t="s">
        <v>774</v>
      </c>
      <c r="D2295" s="64" t="s">
        <v>2807</v>
      </c>
      <c r="E2295" s="64" t="s">
        <v>324</v>
      </c>
      <c r="F2295" s="65" t="s">
        <v>2677</v>
      </c>
      <c r="G2295" s="64" t="s">
        <v>2508</v>
      </c>
      <c r="H2295" s="64" t="s">
        <v>267</v>
      </c>
      <c r="I2295" s="64" t="s">
        <v>10</v>
      </c>
      <c r="J2295" s="64" t="s">
        <v>201</v>
      </c>
      <c r="K2295" s="66">
        <v>76.23</v>
      </c>
      <c r="L2295" s="66">
        <f>K2295*VLOOKUP(I2295,dagsoorttabel1,2,FALSE)</f>
        <v>76.23</v>
      </c>
      <c r="M2295" s="67">
        <f>prodnorm65</f>
        <v>0</v>
      </c>
      <c r="N2295" s="68">
        <f>dagwerk65</f>
        <v>0</v>
      </c>
      <c r="O2295" s="64" t="s">
        <v>38</v>
      </c>
      <c r="P2295" s="69">
        <f>uurtarief65</f>
        <v>0</v>
      </c>
      <c r="Q2295" s="66" t="e">
        <f>IF(ISBLANK(M2295),0,L2295/ROUND(M2295,4))</f>
        <v>#DIV/0!</v>
      </c>
      <c r="R2295" s="66" t="e">
        <f>IF(ISBLANK(M2295),0,Q2295*ROUND(N2295,2))</f>
        <v>#DIV/0!</v>
      </c>
      <c r="S2295" s="69" t="e">
        <f>ROUND(P2295,2)*Q2295</f>
        <v>#DIV/0!</v>
      </c>
      <c r="T2295" s="66" t="e">
        <f>Q2295*dagenperjaar1</f>
        <v>#DIV/0!</v>
      </c>
      <c r="U2295" s="70" t="e">
        <f>T2295*ROUND(P2295,2)</f>
        <v>#DIV/0!</v>
      </c>
    </row>
    <row r="2296" spans="1:21" x14ac:dyDescent="0.2">
      <c r="A2296" s="63" t="s">
        <v>2504</v>
      </c>
      <c r="B2296" s="64" t="s">
        <v>324</v>
      </c>
      <c r="C2296" s="64" t="s">
        <v>774</v>
      </c>
      <c r="D2296" s="64" t="s">
        <v>2808</v>
      </c>
      <c r="E2296" s="64" t="s">
        <v>324</v>
      </c>
      <c r="F2296" s="65" t="s">
        <v>671</v>
      </c>
      <c r="G2296" s="64" t="s">
        <v>365</v>
      </c>
      <c r="H2296" s="64" t="s">
        <v>255</v>
      </c>
      <c r="I2296" s="64" t="s">
        <v>10</v>
      </c>
      <c r="J2296" s="64" t="s">
        <v>201</v>
      </c>
      <c r="K2296" s="66">
        <v>6.78</v>
      </c>
      <c r="L2296" s="66">
        <f>K2296*VLOOKUP(I2296,dagsoorttabel1,2,FALSE)</f>
        <v>6.78</v>
      </c>
      <c r="M2296" s="67">
        <f>prodnorm59</f>
        <v>0</v>
      </c>
      <c r="N2296" s="68">
        <f>dagwerk59</f>
        <v>0</v>
      </c>
      <c r="O2296" s="64" t="s">
        <v>38</v>
      </c>
      <c r="P2296" s="69">
        <f>uurtarief59</f>
        <v>0</v>
      </c>
      <c r="Q2296" s="66" t="e">
        <f>IF(ISBLANK(M2296),0,L2296/ROUND(M2296,4))</f>
        <v>#DIV/0!</v>
      </c>
      <c r="R2296" s="66" t="e">
        <f>IF(ISBLANK(M2296),0,Q2296*ROUND(N2296,2))</f>
        <v>#DIV/0!</v>
      </c>
      <c r="S2296" s="69" t="e">
        <f>ROUND(P2296,2)*Q2296</f>
        <v>#DIV/0!</v>
      </c>
      <c r="T2296" s="66" t="e">
        <f>Q2296*dagenperjaar1</f>
        <v>#DIV/0!</v>
      </c>
      <c r="U2296" s="70" t="e">
        <f>T2296*ROUND(P2296,2)</f>
        <v>#DIV/0!</v>
      </c>
    </row>
    <row r="2297" spans="1:21" x14ac:dyDescent="0.2">
      <c r="A2297" s="71" t="s">
        <v>2504</v>
      </c>
      <c r="B2297" s="72" t="s">
        <v>324</v>
      </c>
      <c r="C2297" s="72" t="s">
        <v>774</v>
      </c>
      <c r="D2297" s="72" t="s">
        <v>2809</v>
      </c>
      <c r="E2297" s="72" t="s">
        <v>324</v>
      </c>
      <c r="F2297" s="73" t="s">
        <v>671</v>
      </c>
      <c r="G2297" s="72" t="s">
        <v>365</v>
      </c>
      <c r="H2297" s="72" t="s">
        <v>255</v>
      </c>
      <c r="I2297" s="72" t="s">
        <v>10</v>
      </c>
      <c r="J2297" s="72" t="s">
        <v>201</v>
      </c>
      <c r="K2297" s="74">
        <v>6.78</v>
      </c>
      <c r="L2297" s="74">
        <f>K2297*VLOOKUP(I2297,dagsoorttabel1,2,FALSE)</f>
        <v>6.78</v>
      </c>
      <c r="M2297" s="75">
        <f>prodnorm59</f>
        <v>0</v>
      </c>
      <c r="N2297" s="76">
        <f>dagwerk59</f>
        <v>0</v>
      </c>
      <c r="O2297" s="72" t="s">
        <v>38</v>
      </c>
      <c r="P2297" s="77">
        <f>uurtarief59</f>
        <v>0</v>
      </c>
      <c r="Q2297" s="74" t="e">
        <f>IF(ISBLANK(M2297),0,L2297/ROUND(M2297,4))</f>
        <v>#DIV/0!</v>
      </c>
      <c r="R2297" s="74" t="e">
        <f>IF(ISBLANK(M2297),0,Q2297*ROUND(N2297,2))</f>
        <v>#DIV/0!</v>
      </c>
      <c r="S2297" s="77" t="e">
        <f>ROUND(P2297,2)*Q2297</f>
        <v>#DIV/0!</v>
      </c>
      <c r="T2297" s="74" t="e">
        <f>Q2297*dagenperjaar1</f>
        <v>#DIV/0!</v>
      </c>
      <c r="U2297" s="78" t="e">
        <f>T2297*ROUND(P2297,2)</f>
        <v>#DIV/0!</v>
      </c>
    </row>
    <row r="2298" spans="1:21" x14ac:dyDescent="0.2">
      <c r="A2298" s="43" t="s">
        <v>602</v>
      </c>
      <c r="B2298" s="44"/>
      <c r="C2298" s="44"/>
      <c r="D2298" s="44"/>
      <c r="E2298" s="44"/>
      <c r="F2298" s="44"/>
      <c r="G2298" s="44"/>
      <c r="H2298" s="44"/>
      <c r="I2298" s="44"/>
      <c r="J2298" s="44"/>
      <c r="K2298" s="44"/>
      <c r="L2298" s="44"/>
      <c r="M2298" s="44"/>
      <c r="N2298" s="44"/>
      <c r="O2298" s="44"/>
      <c r="P2298" s="46" t="e">
        <f>IF(_xlfn.SINGLE(object17_urenjaar1)&gt;0,_xlfn.SINGLE(object17_prijsjaar1)/_xlfn.SINGLE(object17_urenjaar1),0)</f>
        <v>#DIV/0!</v>
      </c>
      <c r="Q2298" s="45" t="e">
        <f>SUM(Q2029:Q2297)</f>
        <v>#DIV/0!</v>
      </c>
      <c r="R2298" s="45" t="e">
        <f>SUM(R2029:R2297)</f>
        <v>#DIV/0!</v>
      </c>
      <c r="S2298" s="46" t="e">
        <f>SUM(S2029:S2297)</f>
        <v>#DIV/0!</v>
      </c>
      <c r="T2298" s="45" t="e">
        <f>SUM(T2029:T2297)</f>
        <v>#DIV/0!</v>
      </c>
      <c r="U2298" s="46" t="e">
        <f>SUM(U2029:U2297)</f>
        <v>#DIV/0!</v>
      </c>
    </row>
  </sheetData>
  <pageMargins left="0.7" right="0.7" top="0.75" bottom="0.75" header="0.3" footer="0.3"/>
  <pageSetup paperSize="9" scale="61" orientation="landscape" r:id="rId1"/>
  <headerFooter>
    <oddFooter>&amp;LNUOVO Scholengroep EA 2023                                  &amp;ROpmaakdatum: 21-07-2023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02B26-F721-42CC-AC8B-6A3492123673}">
  <dimension ref="A1:U110"/>
  <sheetViews>
    <sheetView workbookViewId="0"/>
  </sheetViews>
  <sheetFormatPr defaultRowHeight="12.75" x14ac:dyDescent="0.2"/>
  <cols>
    <col min="1" max="1" width="8.625" customWidth="1"/>
    <col min="2" max="3" width="7.625" customWidth="1"/>
    <col min="4" max="5" width="10.625" customWidth="1"/>
    <col min="6" max="6" width="25.625" customWidth="1"/>
    <col min="7" max="7" width="11.625" customWidth="1"/>
    <col min="8" max="8" width="7.625" customWidth="1"/>
    <col min="9" max="9" width="6.625" customWidth="1"/>
    <col min="10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I.4: ",tabeltype," ruimten werkdag vakantie")</f>
        <v>Bijlage I.4: Invultabel ruimten werkdag vakantie</v>
      </c>
    </row>
    <row r="3" spans="1:21" ht="38.25" x14ac:dyDescent="0.2">
      <c r="A3" s="52" t="s">
        <v>313</v>
      </c>
      <c r="B3" s="8" t="s">
        <v>314</v>
      </c>
      <c r="C3" s="8" t="s">
        <v>315</v>
      </c>
      <c r="D3" s="8" t="s">
        <v>316</v>
      </c>
      <c r="E3" s="8" t="s">
        <v>317</v>
      </c>
      <c r="F3" s="8" t="s">
        <v>318</v>
      </c>
      <c r="G3" s="8" t="s">
        <v>319</v>
      </c>
      <c r="H3" s="8" t="s">
        <v>192</v>
      </c>
      <c r="I3" s="8" t="s">
        <v>7</v>
      </c>
      <c r="J3" s="8" t="s">
        <v>320</v>
      </c>
      <c r="K3" s="8" t="s">
        <v>194</v>
      </c>
      <c r="L3" s="8" t="s">
        <v>195</v>
      </c>
      <c r="M3" s="8" t="s">
        <v>30</v>
      </c>
      <c r="N3" s="8" t="s">
        <v>31</v>
      </c>
      <c r="O3" s="8" t="s">
        <v>32</v>
      </c>
      <c r="P3" s="8" t="s">
        <v>33</v>
      </c>
      <c r="Q3" s="8" t="s">
        <v>196</v>
      </c>
      <c r="R3" s="8" t="s">
        <v>321</v>
      </c>
      <c r="S3" s="8" t="s">
        <v>197</v>
      </c>
      <c r="T3" s="8" t="s">
        <v>198</v>
      </c>
      <c r="U3" s="53" t="s">
        <v>199</v>
      </c>
    </row>
    <row r="4" spans="1:21" x14ac:dyDescent="0.2">
      <c r="A4" s="54" t="s">
        <v>603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2"/>
    </row>
    <row r="5" spans="1:21" x14ac:dyDescent="0.2">
      <c r="A5" s="55" t="s">
        <v>472</v>
      </c>
      <c r="B5" s="56" t="s">
        <v>323</v>
      </c>
      <c r="C5" s="56" t="s">
        <v>345</v>
      </c>
      <c r="D5" s="56" t="s">
        <v>606</v>
      </c>
      <c r="E5" s="56" t="s">
        <v>324</v>
      </c>
      <c r="F5" s="57" t="s">
        <v>607</v>
      </c>
      <c r="G5" s="56" t="s">
        <v>351</v>
      </c>
      <c r="H5" s="56" t="s">
        <v>303</v>
      </c>
      <c r="I5" s="56" t="s">
        <v>21</v>
      </c>
      <c r="J5" s="56" t="s">
        <v>201</v>
      </c>
      <c r="K5" s="58">
        <v>23.7</v>
      </c>
      <c r="L5" s="58">
        <f>K5*VLOOKUP(I5,dagsoorttabel1,2,FALSE)</f>
        <v>0.59250000000000003</v>
      </c>
      <c r="M5" s="59">
        <f>prodnorm71</f>
        <v>0</v>
      </c>
      <c r="N5" s="60">
        <f>dagwerk71</f>
        <v>0</v>
      </c>
      <c r="O5" s="56" t="s">
        <v>38</v>
      </c>
      <c r="P5" s="61">
        <f>uurtarief71</f>
        <v>0</v>
      </c>
      <c r="Q5" s="58" t="e">
        <f>IF(ISBLANK(M5),0,L5/ROUND(M5,4))</f>
        <v>#DIV/0!</v>
      </c>
      <c r="R5" s="58" t="e">
        <f>IF(ISBLANK(M5),0,Q5*ROUND(N5,2))</f>
        <v>#DIV/0!</v>
      </c>
      <c r="S5" s="61" t="e">
        <f>ROUND(P5,2)*Q5</f>
        <v>#DIV/0!</v>
      </c>
      <c r="T5" s="58" t="e">
        <f>Q5*dagenperjaar1</f>
        <v>#DIV/0!</v>
      </c>
      <c r="U5" s="62" t="e">
        <f>T5*ROUND(P5,2)</f>
        <v>#DIV/0!</v>
      </c>
    </row>
    <row r="6" spans="1:21" x14ac:dyDescent="0.2">
      <c r="A6" s="63" t="s">
        <v>472</v>
      </c>
      <c r="B6" s="64" t="s">
        <v>323</v>
      </c>
      <c r="C6" s="64" t="s">
        <v>345</v>
      </c>
      <c r="D6" s="64" t="s">
        <v>608</v>
      </c>
      <c r="E6" s="64" t="s">
        <v>324</v>
      </c>
      <c r="F6" s="65" t="s">
        <v>609</v>
      </c>
      <c r="G6" s="64" t="s">
        <v>351</v>
      </c>
      <c r="H6" s="64" t="s">
        <v>303</v>
      </c>
      <c r="I6" s="64" t="s">
        <v>21</v>
      </c>
      <c r="J6" s="64" t="s">
        <v>201</v>
      </c>
      <c r="K6" s="66">
        <v>38.6</v>
      </c>
      <c r="L6" s="66">
        <f>K6*VLOOKUP(I6,dagsoorttabel1,2,FALSE)</f>
        <v>0.96500000000000008</v>
      </c>
      <c r="M6" s="67">
        <f>prodnorm71</f>
        <v>0</v>
      </c>
      <c r="N6" s="68">
        <f>dagwerk71</f>
        <v>0</v>
      </c>
      <c r="O6" s="64" t="s">
        <v>38</v>
      </c>
      <c r="P6" s="69">
        <f>uurtarief71</f>
        <v>0</v>
      </c>
      <c r="Q6" s="66" t="e">
        <f>IF(ISBLANK(M6),0,L6/ROUND(M6,4))</f>
        <v>#DIV/0!</v>
      </c>
      <c r="R6" s="66" t="e">
        <f>IF(ISBLANK(M6),0,Q6*ROUND(N6,2))</f>
        <v>#DIV/0!</v>
      </c>
      <c r="S6" s="69" t="e">
        <f>ROUND(P6,2)*Q6</f>
        <v>#DIV/0!</v>
      </c>
      <c r="T6" s="66" t="e">
        <f>Q6*dagenperjaar1</f>
        <v>#DIV/0!</v>
      </c>
      <c r="U6" s="70" t="e">
        <f>T6*ROUND(P6,2)</f>
        <v>#DIV/0!</v>
      </c>
    </row>
    <row r="7" spans="1:21" x14ac:dyDescent="0.2">
      <c r="A7" s="63" t="s">
        <v>472</v>
      </c>
      <c r="B7" s="64" t="s">
        <v>323</v>
      </c>
      <c r="C7" s="64" t="s">
        <v>345</v>
      </c>
      <c r="D7" s="64" t="s">
        <v>610</v>
      </c>
      <c r="E7" s="64" t="s">
        <v>324</v>
      </c>
      <c r="F7" s="65" t="s">
        <v>611</v>
      </c>
      <c r="G7" s="64" t="s">
        <v>351</v>
      </c>
      <c r="H7" s="64" t="s">
        <v>303</v>
      </c>
      <c r="I7" s="64" t="s">
        <v>21</v>
      </c>
      <c r="J7" s="64" t="s">
        <v>201</v>
      </c>
      <c r="K7" s="66">
        <v>27.7</v>
      </c>
      <c r="L7" s="66">
        <f>K7*VLOOKUP(I7,dagsoorttabel1,2,FALSE)</f>
        <v>0.6925</v>
      </c>
      <c r="M7" s="67">
        <f>prodnorm71</f>
        <v>0</v>
      </c>
      <c r="N7" s="68">
        <f>dagwerk71</f>
        <v>0</v>
      </c>
      <c r="O7" s="64" t="s">
        <v>38</v>
      </c>
      <c r="P7" s="69">
        <f>uurtarief71</f>
        <v>0</v>
      </c>
      <c r="Q7" s="66" t="e">
        <f>IF(ISBLANK(M7),0,L7/ROUND(M7,4))</f>
        <v>#DIV/0!</v>
      </c>
      <c r="R7" s="66" t="e">
        <f>IF(ISBLANK(M7),0,Q7*ROUND(N7,2))</f>
        <v>#DIV/0!</v>
      </c>
      <c r="S7" s="69" t="e">
        <f>ROUND(P7,2)*Q7</f>
        <v>#DIV/0!</v>
      </c>
      <c r="T7" s="66" t="e">
        <f>Q7*dagenperjaar1</f>
        <v>#DIV/0!</v>
      </c>
      <c r="U7" s="70" t="e">
        <f>T7*ROUND(P7,2)</f>
        <v>#DIV/0!</v>
      </c>
    </row>
    <row r="8" spans="1:21" x14ac:dyDescent="0.2">
      <c r="A8" s="63" t="s">
        <v>472</v>
      </c>
      <c r="B8" s="64" t="s">
        <v>323</v>
      </c>
      <c r="C8" s="64" t="s">
        <v>345</v>
      </c>
      <c r="D8" s="64" t="s">
        <v>612</v>
      </c>
      <c r="E8" s="64" t="s">
        <v>324</v>
      </c>
      <c r="F8" s="65" t="s">
        <v>613</v>
      </c>
      <c r="G8" s="64" t="s">
        <v>351</v>
      </c>
      <c r="H8" s="64" t="s">
        <v>303</v>
      </c>
      <c r="I8" s="64" t="s">
        <v>21</v>
      </c>
      <c r="J8" s="64" t="s">
        <v>201</v>
      </c>
      <c r="K8" s="66">
        <v>23.9</v>
      </c>
      <c r="L8" s="66">
        <f>K8*VLOOKUP(I8,dagsoorttabel1,2,FALSE)</f>
        <v>0.59750000000000003</v>
      </c>
      <c r="M8" s="67">
        <f>prodnorm71</f>
        <v>0</v>
      </c>
      <c r="N8" s="68">
        <f>dagwerk71</f>
        <v>0</v>
      </c>
      <c r="O8" s="64" t="s">
        <v>38</v>
      </c>
      <c r="P8" s="69">
        <f>uurtarief71</f>
        <v>0</v>
      </c>
      <c r="Q8" s="66" t="e">
        <f>IF(ISBLANK(M8),0,L8/ROUND(M8,4))</f>
        <v>#DIV/0!</v>
      </c>
      <c r="R8" s="66" t="e">
        <f>IF(ISBLANK(M8),0,Q8*ROUND(N8,2))</f>
        <v>#DIV/0!</v>
      </c>
      <c r="S8" s="69" t="e">
        <f>ROUND(P8,2)*Q8</f>
        <v>#DIV/0!</v>
      </c>
      <c r="T8" s="66" t="e">
        <f>Q8*dagenperjaar1</f>
        <v>#DIV/0!</v>
      </c>
      <c r="U8" s="70" t="e">
        <f>T8*ROUND(P8,2)</f>
        <v>#DIV/0!</v>
      </c>
    </row>
    <row r="9" spans="1:21" x14ac:dyDescent="0.2">
      <c r="A9" s="63" t="s">
        <v>472</v>
      </c>
      <c r="B9" s="64" t="s">
        <v>323</v>
      </c>
      <c r="C9" s="64" t="s">
        <v>345</v>
      </c>
      <c r="D9" s="64" t="s">
        <v>614</v>
      </c>
      <c r="E9" s="64" t="s">
        <v>324</v>
      </c>
      <c r="F9" s="65" t="s">
        <v>578</v>
      </c>
      <c r="G9" s="64" t="s">
        <v>351</v>
      </c>
      <c r="H9" s="64" t="s">
        <v>309</v>
      </c>
      <c r="I9" s="64" t="s">
        <v>21</v>
      </c>
      <c r="J9" s="64" t="s">
        <v>201</v>
      </c>
      <c r="K9" s="66">
        <v>31.5</v>
      </c>
      <c r="L9" s="66">
        <f>K9*VLOOKUP(I9,dagsoorttabel1,2,FALSE)</f>
        <v>0.78750000000000009</v>
      </c>
      <c r="M9" s="67">
        <f>prodnorm76</f>
        <v>0</v>
      </c>
      <c r="N9" s="68">
        <f>dagwerk76</f>
        <v>0</v>
      </c>
      <c r="O9" s="64" t="s">
        <v>38</v>
      </c>
      <c r="P9" s="69">
        <f>uurtarief76</f>
        <v>0</v>
      </c>
      <c r="Q9" s="66" t="e">
        <f>IF(ISBLANK(M9),0,L9/ROUND(M9,4))</f>
        <v>#DIV/0!</v>
      </c>
      <c r="R9" s="66" t="e">
        <f>IF(ISBLANK(M9),0,Q9*ROUND(N9,2))</f>
        <v>#DIV/0!</v>
      </c>
      <c r="S9" s="69" t="e">
        <f>ROUND(P9,2)*Q9</f>
        <v>#DIV/0!</v>
      </c>
      <c r="T9" s="66" t="e">
        <f>Q9*dagenperjaar1</f>
        <v>#DIV/0!</v>
      </c>
      <c r="U9" s="70" t="e">
        <f>T9*ROUND(P9,2)</f>
        <v>#DIV/0!</v>
      </c>
    </row>
    <row r="10" spans="1:21" x14ac:dyDescent="0.2">
      <c r="A10" s="63" t="s">
        <v>472</v>
      </c>
      <c r="B10" s="64" t="s">
        <v>323</v>
      </c>
      <c r="C10" s="64" t="s">
        <v>345</v>
      </c>
      <c r="D10" s="64" t="s">
        <v>615</v>
      </c>
      <c r="E10" s="64" t="s">
        <v>324</v>
      </c>
      <c r="F10" s="65" t="s">
        <v>616</v>
      </c>
      <c r="G10" s="64" t="s">
        <v>351</v>
      </c>
      <c r="H10" s="64" t="s">
        <v>303</v>
      </c>
      <c r="I10" s="64" t="s">
        <v>21</v>
      </c>
      <c r="J10" s="64" t="s">
        <v>201</v>
      </c>
      <c r="K10" s="66">
        <v>17.100000000000001</v>
      </c>
      <c r="L10" s="66">
        <f>K10*VLOOKUP(I10,dagsoorttabel1,2,FALSE)</f>
        <v>0.42750000000000005</v>
      </c>
      <c r="M10" s="67">
        <f>prodnorm71</f>
        <v>0</v>
      </c>
      <c r="N10" s="68">
        <f>dagwerk71</f>
        <v>0</v>
      </c>
      <c r="O10" s="64" t="s">
        <v>38</v>
      </c>
      <c r="P10" s="69">
        <f>uurtarief71</f>
        <v>0</v>
      </c>
      <c r="Q10" s="66" t="e">
        <f>IF(ISBLANK(M10),0,L10/ROUND(M10,4))</f>
        <v>#DIV/0!</v>
      </c>
      <c r="R10" s="66" t="e">
        <f>IF(ISBLANK(M10),0,Q10*ROUND(N10,2))</f>
        <v>#DIV/0!</v>
      </c>
      <c r="S10" s="69" t="e">
        <f>ROUND(P10,2)*Q10</f>
        <v>#DIV/0!</v>
      </c>
      <c r="T10" s="66" t="e">
        <f>Q10*dagenperjaar1</f>
        <v>#DIV/0!</v>
      </c>
      <c r="U10" s="70" t="e">
        <f>T10*ROUND(P10,2)</f>
        <v>#DIV/0!</v>
      </c>
    </row>
    <row r="11" spans="1:21" x14ac:dyDescent="0.2">
      <c r="A11" s="63" t="s">
        <v>472</v>
      </c>
      <c r="B11" s="64" t="s">
        <v>323</v>
      </c>
      <c r="C11" s="64" t="s">
        <v>345</v>
      </c>
      <c r="D11" s="64" t="s">
        <v>617</v>
      </c>
      <c r="E11" s="64" t="s">
        <v>324</v>
      </c>
      <c r="F11" s="65" t="s">
        <v>618</v>
      </c>
      <c r="G11" s="64" t="s">
        <v>351</v>
      </c>
      <c r="H11" s="64" t="s">
        <v>309</v>
      </c>
      <c r="I11" s="64" t="s">
        <v>21</v>
      </c>
      <c r="J11" s="64" t="s">
        <v>201</v>
      </c>
      <c r="K11" s="66">
        <v>6.5</v>
      </c>
      <c r="L11" s="66">
        <f>K11*VLOOKUP(I11,dagsoorttabel1,2,FALSE)</f>
        <v>0.16250000000000001</v>
      </c>
      <c r="M11" s="67">
        <f>prodnorm76</f>
        <v>0</v>
      </c>
      <c r="N11" s="68">
        <f>dagwerk76</f>
        <v>0</v>
      </c>
      <c r="O11" s="64" t="s">
        <v>38</v>
      </c>
      <c r="P11" s="69">
        <f>uurtarief76</f>
        <v>0</v>
      </c>
      <c r="Q11" s="66" t="e">
        <f>IF(ISBLANK(M11),0,L11/ROUND(M11,4))</f>
        <v>#DIV/0!</v>
      </c>
      <c r="R11" s="66" t="e">
        <f>IF(ISBLANK(M11),0,Q11*ROUND(N11,2))</f>
        <v>#DIV/0!</v>
      </c>
      <c r="S11" s="69" t="e">
        <f>ROUND(P11,2)*Q11</f>
        <v>#DIV/0!</v>
      </c>
      <c r="T11" s="66" t="e">
        <f>Q11*dagenperjaar1</f>
        <v>#DIV/0!</v>
      </c>
      <c r="U11" s="70" t="e">
        <f>T11*ROUND(P11,2)</f>
        <v>#DIV/0!</v>
      </c>
    </row>
    <row r="12" spans="1:21" x14ac:dyDescent="0.2">
      <c r="A12" s="63" t="s">
        <v>472</v>
      </c>
      <c r="B12" s="64" t="s">
        <v>323</v>
      </c>
      <c r="C12" s="64" t="s">
        <v>345</v>
      </c>
      <c r="D12" s="64" t="s">
        <v>619</v>
      </c>
      <c r="E12" s="64" t="s">
        <v>324</v>
      </c>
      <c r="F12" s="65" t="s">
        <v>620</v>
      </c>
      <c r="G12" s="64" t="s">
        <v>351</v>
      </c>
      <c r="H12" s="64" t="s">
        <v>303</v>
      </c>
      <c r="I12" s="64" t="s">
        <v>21</v>
      </c>
      <c r="J12" s="64" t="s">
        <v>201</v>
      </c>
      <c r="K12" s="66">
        <v>18.2</v>
      </c>
      <c r="L12" s="66">
        <f>K12*VLOOKUP(I12,dagsoorttabel1,2,FALSE)</f>
        <v>0.45500000000000002</v>
      </c>
      <c r="M12" s="67">
        <f>prodnorm71</f>
        <v>0</v>
      </c>
      <c r="N12" s="68">
        <f>dagwerk71</f>
        <v>0</v>
      </c>
      <c r="O12" s="64" t="s">
        <v>38</v>
      </c>
      <c r="P12" s="69">
        <f>uurtarief71</f>
        <v>0</v>
      </c>
      <c r="Q12" s="66" t="e">
        <f>IF(ISBLANK(M12),0,L12/ROUND(M12,4))</f>
        <v>#DIV/0!</v>
      </c>
      <c r="R12" s="66" t="e">
        <f>IF(ISBLANK(M12),0,Q12*ROUND(N12,2))</f>
        <v>#DIV/0!</v>
      </c>
      <c r="S12" s="69" t="e">
        <f>ROUND(P12,2)*Q12</f>
        <v>#DIV/0!</v>
      </c>
      <c r="T12" s="66" t="e">
        <f>Q12*dagenperjaar1</f>
        <v>#DIV/0!</v>
      </c>
      <c r="U12" s="70" t="e">
        <f>T12*ROUND(P12,2)</f>
        <v>#DIV/0!</v>
      </c>
    </row>
    <row r="13" spans="1:21" x14ac:dyDescent="0.2">
      <c r="A13" s="63" t="s">
        <v>472</v>
      </c>
      <c r="B13" s="64" t="s">
        <v>323</v>
      </c>
      <c r="C13" s="64" t="s">
        <v>345</v>
      </c>
      <c r="D13" s="64" t="s">
        <v>621</v>
      </c>
      <c r="E13" s="64" t="s">
        <v>324</v>
      </c>
      <c r="F13" s="65" t="s">
        <v>620</v>
      </c>
      <c r="G13" s="64" t="s">
        <v>351</v>
      </c>
      <c r="H13" s="64" t="s">
        <v>303</v>
      </c>
      <c r="I13" s="64" t="s">
        <v>21</v>
      </c>
      <c r="J13" s="64" t="s">
        <v>201</v>
      </c>
      <c r="K13" s="66">
        <v>17</v>
      </c>
      <c r="L13" s="66">
        <f>K13*VLOOKUP(I13,dagsoorttabel1,2,FALSE)</f>
        <v>0.42500000000000004</v>
      </c>
      <c r="M13" s="67">
        <f>prodnorm71</f>
        <v>0</v>
      </c>
      <c r="N13" s="68">
        <f>dagwerk71</f>
        <v>0</v>
      </c>
      <c r="O13" s="64" t="s">
        <v>38</v>
      </c>
      <c r="P13" s="69">
        <f>uurtarief71</f>
        <v>0</v>
      </c>
      <c r="Q13" s="66" t="e">
        <f>IF(ISBLANK(M13),0,L13/ROUND(M13,4))</f>
        <v>#DIV/0!</v>
      </c>
      <c r="R13" s="66" t="e">
        <f>IF(ISBLANK(M13),0,Q13*ROUND(N13,2))</f>
        <v>#DIV/0!</v>
      </c>
      <c r="S13" s="69" t="e">
        <f>ROUND(P13,2)*Q13</f>
        <v>#DIV/0!</v>
      </c>
      <c r="T13" s="66" t="e">
        <f>Q13*dagenperjaar1</f>
        <v>#DIV/0!</v>
      </c>
      <c r="U13" s="70" t="e">
        <f>T13*ROUND(P13,2)</f>
        <v>#DIV/0!</v>
      </c>
    </row>
    <row r="14" spans="1:21" x14ac:dyDescent="0.2">
      <c r="A14" s="63" t="s">
        <v>472</v>
      </c>
      <c r="B14" s="64" t="s">
        <v>323</v>
      </c>
      <c r="C14" s="64" t="s">
        <v>345</v>
      </c>
      <c r="D14" s="64" t="s">
        <v>622</v>
      </c>
      <c r="E14" s="64" t="s">
        <v>324</v>
      </c>
      <c r="F14" s="65" t="s">
        <v>623</v>
      </c>
      <c r="G14" s="64" t="s">
        <v>624</v>
      </c>
      <c r="H14" s="64" t="s">
        <v>302</v>
      </c>
      <c r="I14" s="64" t="s">
        <v>21</v>
      </c>
      <c r="J14" s="64" t="s">
        <v>201</v>
      </c>
      <c r="K14" s="66">
        <v>79.900000000000006</v>
      </c>
      <c r="L14" s="66">
        <f>K14*VLOOKUP(I14,dagsoorttabel1,2,FALSE)</f>
        <v>1.9975000000000003</v>
      </c>
      <c r="M14" s="67">
        <f>prodnorm70</f>
        <v>0</v>
      </c>
      <c r="N14" s="68">
        <f>dagwerk70</f>
        <v>0</v>
      </c>
      <c r="O14" s="64" t="s">
        <v>38</v>
      </c>
      <c r="P14" s="69">
        <f>uurtarief70</f>
        <v>0</v>
      </c>
      <c r="Q14" s="66" t="e">
        <f>IF(ISBLANK(M14),0,L14/ROUND(M14,4))</f>
        <v>#DIV/0!</v>
      </c>
      <c r="R14" s="66" t="e">
        <f>IF(ISBLANK(M14),0,Q14*ROUND(N14,2))</f>
        <v>#DIV/0!</v>
      </c>
      <c r="S14" s="69" t="e">
        <f>ROUND(P14,2)*Q14</f>
        <v>#DIV/0!</v>
      </c>
      <c r="T14" s="66" t="e">
        <f>Q14*dagenperjaar1</f>
        <v>#DIV/0!</v>
      </c>
      <c r="U14" s="70" t="e">
        <f>T14*ROUND(P14,2)</f>
        <v>#DIV/0!</v>
      </c>
    </row>
    <row r="15" spans="1:21" x14ac:dyDescent="0.2">
      <c r="A15" s="63" t="s">
        <v>472</v>
      </c>
      <c r="B15" s="64" t="s">
        <v>323</v>
      </c>
      <c r="C15" s="64" t="s">
        <v>345</v>
      </c>
      <c r="D15" s="64" t="s">
        <v>625</v>
      </c>
      <c r="E15" s="64" t="s">
        <v>324</v>
      </c>
      <c r="F15" s="65" t="s">
        <v>573</v>
      </c>
      <c r="G15" s="64" t="s">
        <v>351</v>
      </c>
      <c r="H15" s="64" t="s">
        <v>309</v>
      </c>
      <c r="I15" s="64" t="s">
        <v>21</v>
      </c>
      <c r="J15" s="64" t="s">
        <v>201</v>
      </c>
      <c r="K15" s="66">
        <v>13.1</v>
      </c>
      <c r="L15" s="66">
        <f>K15*VLOOKUP(I15,dagsoorttabel1,2,FALSE)</f>
        <v>0.32750000000000001</v>
      </c>
      <c r="M15" s="67">
        <f>prodnorm76</f>
        <v>0</v>
      </c>
      <c r="N15" s="68">
        <f>dagwerk76</f>
        <v>0</v>
      </c>
      <c r="O15" s="64" t="s">
        <v>38</v>
      </c>
      <c r="P15" s="69">
        <f>uurtarief76</f>
        <v>0</v>
      </c>
      <c r="Q15" s="66" t="e">
        <f>IF(ISBLANK(M15),0,L15/ROUND(M15,4))</f>
        <v>#DIV/0!</v>
      </c>
      <c r="R15" s="66" t="e">
        <f>IF(ISBLANK(M15),0,Q15*ROUND(N15,2))</f>
        <v>#DIV/0!</v>
      </c>
      <c r="S15" s="69" t="e">
        <f>ROUND(P15,2)*Q15</f>
        <v>#DIV/0!</v>
      </c>
      <c r="T15" s="66" t="e">
        <f>Q15*dagenperjaar1</f>
        <v>#DIV/0!</v>
      </c>
      <c r="U15" s="70" t="e">
        <f>T15*ROUND(P15,2)</f>
        <v>#DIV/0!</v>
      </c>
    </row>
    <row r="16" spans="1:21" x14ac:dyDescent="0.2">
      <c r="A16" s="63" t="s">
        <v>472</v>
      </c>
      <c r="B16" s="64" t="s">
        <v>323</v>
      </c>
      <c r="C16" s="64" t="s">
        <v>345</v>
      </c>
      <c r="D16" s="64" t="s">
        <v>626</v>
      </c>
      <c r="E16" s="64" t="s">
        <v>324</v>
      </c>
      <c r="F16" s="65" t="s">
        <v>627</v>
      </c>
      <c r="G16" s="64" t="s">
        <v>351</v>
      </c>
      <c r="H16" s="64" t="s">
        <v>303</v>
      </c>
      <c r="I16" s="64" t="s">
        <v>21</v>
      </c>
      <c r="J16" s="64" t="s">
        <v>201</v>
      </c>
      <c r="K16" s="66">
        <v>10.5</v>
      </c>
      <c r="L16" s="66">
        <f>K16*VLOOKUP(I16,dagsoorttabel1,2,FALSE)</f>
        <v>0.26250000000000001</v>
      </c>
      <c r="M16" s="67">
        <f>prodnorm71</f>
        <v>0</v>
      </c>
      <c r="N16" s="68">
        <f>dagwerk71</f>
        <v>0</v>
      </c>
      <c r="O16" s="64" t="s">
        <v>38</v>
      </c>
      <c r="P16" s="69">
        <f>uurtarief71</f>
        <v>0</v>
      </c>
      <c r="Q16" s="66" t="e">
        <f>IF(ISBLANK(M16),0,L16/ROUND(M16,4))</f>
        <v>#DIV/0!</v>
      </c>
      <c r="R16" s="66" t="e">
        <f>IF(ISBLANK(M16),0,Q16*ROUND(N16,2))</f>
        <v>#DIV/0!</v>
      </c>
      <c r="S16" s="69" t="e">
        <f>ROUND(P16,2)*Q16</f>
        <v>#DIV/0!</v>
      </c>
      <c r="T16" s="66" t="e">
        <f>Q16*dagenperjaar1</f>
        <v>#DIV/0!</v>
      </c>
      <c r="U16" s="70" t="e">
        <f>T16*ROUND(P16,2)</f>
        <v>#DIV/0!</v>
      </c>
    </row>
    <row r="17" spans="1:21" x14ac:dyDescent="0.2">
      <c r="A17" s="63" t="s">
        <v>472</v>
      </c>
      <c r="B17" s="64" t="s">
        <v>323</v>
      </c>
      <c r="C17" s="64" t="s">
        <v>345</v>
      </c>
      <c r="D17" s="64" t="s">
        <v>628</v>
      </c>
      <c r="E17" s="64" t="s">
        <v>324</v>
      </c>
      <c r="F17" s="65" t="s">
        <v>578</v>
      </c>
      <c r="G17" s="64" t="s">
        <v>351</v>
      </c>
      <c r="H17" s="64" t="s">
        <v>309</v>
      </c>
      <c r="I17" s="64" t="s">
        <v>21</v>
      </c>
      <c r="J17" s="64" t="s">
        <v>201</v>
      </c>
      <c r="K17" s="66">
        <v>52.7</v>
      </c>
      <c r="L17" s="66">
        <f>K17*VLOOKUP(I17,dagsoorttabel1,2,FALSE)</f>
        <v>1.3175000000000001</v>
      </c>
      <c r="M17" s="67">
        <f>prodnorm76</f>
        <v>0</v>
      </c>
      <c r="N17" s="68">
        <f>dagwerk76</f>
        <v>0</v>
      </c>
      <c r="O17" s="64" t="s">
        <v>38</v>
      </c>
      <c r="P17" s="69">
        <f>uurtarief76</f>
        <v>0</v>
      </c>
      <c r="Q17" s="66" t="e">
        <f>IF(ISBLANK(M17),0,L17/ROUND(M17,4))</f>
        <v>#DIV/0!</v>
      </c>
      <c r="R17" s="66" t="e">
        <f>IF(ISBLANK(M17),0,Q17*ROUND(N17,2))</f>
        <v>#DIV/0!</v>
      </c>
      <c r="S17" s="69" t="e">
        <f>ROUND(P17,2)*Q17</f>
        <v>#DIV/0!</v>
      </c>
      <c r="T17" s="66" t="e">
        <f>Q17*dagenperjaar1</f>
        <v>#DIV/0!</v>
      </c>
      <c r="U17" s="70" t="e">
        <f>T17*ROUND(P17,2)</f>
        <v>#DIV/0!</v>
      </c>
    </row>
    <row r="18" spans="1:21" x14ac:dyDescent="0.2">
      <c r="A18" s="63" t="s">
        <v>472</v>
      </c>
      <c r="B18" s="64" t="s">
        <v>323</v>
      </c>
      <c r="C18" s="64" t="s">
        <v>345</v>
      </c>
      <c r="D18" s="64" t="s">
        <v>629</v>
      </c>
      <c r="E18" s="64" t="s">
        <v>324</v>
      </c>
      <c r="F18" s="65" t="s">
        <v>630</v>
      </c>
      <c r="G18" s="64" t="s">
        <v>351</v>
      </c>
      <c r="H18" s="64" t="s">
        <v>303</v>
      </c>
      <c r="I18" s="64" t="s">
        <v>21</v>
      </c>
      <c r="J18" s="64" t="s">
        <v>201</v>
      </c>
      <c r="K18" s="66">
        <v>19</v>
      </c>
      <c r="L18" s="66">
        <f>K18*VLOOKUP(I18,dagsoorttabel1,2,FALSE)</f>
        <v>0.47500000000000003</v>
      </c>
      <c r="M18" s="67">
        <f>prodnorm71</f>
        <v>0</v>
      </c>
      <c r="N18" s="68">
        <f>dagwerk71</f>
        <v>0</v>
      </c>
      <c r="O18" s="64" t="s">
        <v>38</v>
      </c>
      <c r="P18" s="69">
        <f>uurtarief71</f>
        <v>0</v>
      </c>
      <c r="Q18" s="66" t="e">
        <f>IF(ISBLANK(M18),0,L18/ROUND(M18,4))</f>
        <v>#DIV/0!</v>
      </c>
      <c r="R18" s="66" t="e">
        <f>IF(ISBLANK(M18),0,Q18*ROUND(N18,2))</f>
        <v>#DIV/0!</v>
      </c>
      <c r="S18" s="69" t="e">
        <f>ROUND(P18,2)*Q18</f>
        <v>#DIV/0!</v>
      </c>
      <c r="T18" s="66" t="e">
        <f>Q18*dagenperjaar1</f>
        <v>#DIV/0!</v>
      </c>
      <c r="U18" s="70" t="e">
        <f>T18*ROUND(P18,2)</f>
        <v>#DIV/0!</v>
      </c>
    </row>
    <row r="19" spans="1:21" x14ac:dyDescent="0.2">
      <c r="A19" s="63" t="s">
        <v>472</v>
      </c>
      <c r="B19" s="64" t="s">
        <v>323</v>
      </c>
      <c r="C19" s="64" t="s">
        <v>345</v>
      </c>
      <c r="D19" s="64" t="s">
        <v>631</v>
      </c>
      <c r="E19" s="64" t="s">
        <v>324</v>
      </c>
      <c r="F19" s="65" t="s">
        <v>632</v>
      </c>
      <c r="G19" s="64" t="s">
        <v>351</v>
      </c>
      <c r="H19" s="64" t="s">
        <v>303</v>
      </c>
      <c r="I19" s="64" t="s">
        <v>21</v>
      </c>
      <c r="J19" s="64" t="s">
        <v>201</v>
      </c>
      <c r="K19" s="66">
        <v>19.899999999999999</v>
      </c>
      <c r="L19" s="66">
        <f>K19*VLOOKUP(I19,dagsoorttabel1,2,FALSE)</f>
        <v>0.4975</v>
      </c>
      <c r="M19" s="67">
        <f>prodnorm71</f>
        <v>0</v>
      </c>
      <c r="N19" s="68">
        <f>dagwerk71</f>
        <v>0</v>
      </c>
      <c r="O19" s="64" t="s">
        <v>38</v>
      </c>
      <c r="P19" s="69">
        <f>uurtarief71</f>
        <v>0</v>
      </c>
      <c r="Q19" s="66" t="e">
        <f>IF(ISBLANK(M19),0,L19/ROUND(M19,4))</f>
        <v>#DIV/0!</v>
      </c>
      <c r="R19" s="66" t="e">
        <f>IF(ISBLANK(M19),0,Q19*ROUND(N19,2))</f>
        <v>#DIV/0!</v>
      </c>
      <c r="S19" s="69" t="e">
        <f>ROUND(P19,2)*Q19</f>
        <v>#DIV/0!</v>
      </c>
      <c r="T19" s="66" t="e">
        <f>Q19*dagenperjaar1</f>
        <v>#DIV/0!</v>
      </c>
      <c r="U19" s="70" t="e">
        <f>T19*ROUND(P19,2)</f>
        <v>#DIV/0!</v>
      </c>
    </row>
    <row r="20" spans="1:21" x14ac:dyDescent="0.2">
      <c r="A20" s="63" t="s">
        <v>472</v>
      </c>
      <c r="B20" s="64" t="s">
        <v>323</v>
      </c>
      <c r="C20" s="64" t="s">
        <v>345</v>
      </c>
      <c r="D20" s="64" t="s">
        <v>640</v>
      </c>
      <c r="E20" s="64" t="s">
        <v>324</v>
      </c>
      <c r="F20" s="65" t="s">
        <v>641</v>
      </c>
      <c r="G20" s="64" t="s">
        <v>642</v>
      </c>
      <c r="H20" s="64" t="s">
        <v>305</v>
      </c>
      <c r="I20" s="64" t="s">
        <v>21</v>
      </c>
      <c r="J20" s="64" t="s">
        <v>201</v>
      </c>
      <c r="K20" s="66">
        <v>10.9</v>
      </c>
      <c r="L20" s="66">
        <f>K20*VLOOKUP(I20,dagsoorttabel1,2,FALSE)</f>
        <v>0.27250000000000002</v>
      </c>
      <c r="M20" s="67">
        <f>prodnorm73</f>
        <v>0</v>
      </c>
      <c r="N20" s="68">
        <f>dagwerk73</f>
        <v>0</v>
      </c>
      <c r="O20" s="64" t="s">
        <v>38</v>
      </c>
      <c r="P20" s="69">
        <f>uurtarief73</f>
        <v>0</v>
      </c>
      <c r="Q20" s="66" t="e">
        <f>IF(ISBLANK(M20),0,L20/ROUND(M20,4))</f>
        <v>#DIV/0!</v>
      </c>
      <c r="R20" s="66" t="e">
        <f>IF(ISBLANK(M20),0,Q20*ROUND(N20,2))</f>
        <v>#DIV/0!</v>
      </c>
      <c r="S20" s="69" t="e">
        <f>ROUND(P20,2)*Q20</f>
        <v>#DIV/0!</v>
      </c>
      <c r="T20" s="66" t="e">
        <f>Q20*dagenperjaar1</f>
        <v>#DIV/0!</v>
      </c>
      <c r="U20" s="70" t="e">
        <f>T20*ROUND(P20,2)</f>
        <v>#DIV/0!</v>
      </c>
    </row>
    <row r="21" spans="1:21" x14ac:dyDescent="0.2">
      <c r="A21" s="71" t="s">
        <v>472</v>
      </c>
      <c r="B21" s="72" t="s">
        <v>323</v>
      </c>
      <c r="C21" s="72" t="s">
        <v>345</v>
      </c>
      <c r="D21" s="72" t="s">
        <v>643</v>
      </c>
      <c r="E21" s="72" t="s">
        <v>324</v>
      </c>
      <c r="F21" s="73" t="s">
        <v>641</v>
      </c>
      <c r="G21" s="72" t="s">
        <v>642</v>
      </c>
      <c r="H21" s="72" t="s">
        <v>305</v>
      </c>
      <c r="I21" s="72" t="s">
        <v>21</v>
      </c>
      <c r="J21" s="72" t="s">
        <v>201</v>
      </c>
      <c r="K21" s="74">
        <v>12</v>
      </c>
      <c r="L21" s="74">
        <f>K21*VLOOKUP(I21,dagsoorttabel1,2,FALSE)</f>
        <v>0.30000000000000004</v>
      </c>
      <c r="M21" s="75">
        <f>prodnorm73</f>
        <v>0</v>
      </c>
      <c r="N21" s="76">
        <f>dagwerk73</f>
        <v>0</v>
      </c>
      <c r="O21" s="72" t="s">
        <v>38</v>
      </c>
      <c r="P21" s="77">
        <f>uurtarief73</f>
        <v>0</v>
      </c>
      <c r="Q21" s="74" t="e">
        <f>IF(ISBLANK(M21),0,L21/ROUND(M21,4))</f>
        <v>#DIV/0!</v>
      </c>
      <c r="R21" s="74" t="e">
        <f>IF(ISBLANK(M21),0,Q21*ROUND(N21,2))</f>
        <v>#DIV/0!</v>
      </c>
      <c r="S21" s="77" t="e">
        <f>ROUND(P21,2)*Q21</f>
        <v>#DIV/0!</v>
      </c>
      <c r="T21" s="74" t="e">
        <f>Q21*dagenperjaar1</f>
        <v>#DIV/0!</v>
      </c>
      <c r="U21" s="78" t="e">
        <f>T21*ROUND(P21,2)</f>
        <v>#DIV/0!</v>
      </c>
    </row>
    <row r="22" spans="1:21" x14ac:dyDescent="0.2">
      <c r="A22" s="79" t="s">
        <v>2810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6" t="e">
        <f>IF(_xlfn.SINGLE(object2_urenjaar3)&gt;0,_xlfn.SINGLE(object2_prijsjaar3)/_xlfn.SINGLE(object2_urenjaar3),0)</f>
        <v>#DIV/0!</v>
      </c>
      <c r="Q22" s="45" t="e">
        <f>SUM(Q5:Q21)</f>
        <v>#DIV/0!</v>
      </c>
      <c r="R22" s="45" t="e">
        <f>SUM(R5:R21)</f>
        <v>#DIV/0!</v>
      </c>
      <c r="S22" s="46" t="e">
        <f>SUM(S5:S21)</f>
        <v>#DIV/0!</v>
      </c>
      <c r="T22" s="45" t="e">
        <f>SUM(T5:T21)</f>
        <v>#DIV/0!</v>
      </c>
      <c r="U22" s="47" t="e">
        <f>SUM(U5:U21)</f>
        <v>#DIV/0!</v>
      </c>
    </row>
    <row r="23" spans="1:21" x14ac:dyDescent="0.2">
      <c r="A23" s="54" t="s">
        <v>2098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42"/>
    </row>
    <row r="24" spans="1:21" x14ac:dyDescent="0.2">
      <c r="A24" s="55" t="s">
        <v>2099</v>
      </c>
      <c r="B24" s="56" t="s">
        <v>324</v>
      </c>
      <c r="C24" s="56" t="s">
        <v>345</v>
      </c>
      <c r="D24" s="56" t="s">
        <v>2103</v>
      </c>
      <c r="E24" s="56" t="s">
        <v>2104</v>
      </c>
      <c r="F24" s="57" t="s">
        <v>2105</v>
      </c>
      <c r="G24" s="56" t="s">
        <v>328</v>
      </c>
      <c r="H24" s="56" t="s">
        <v>302</v>
      </c>
      <c r="I24" s="56" t="s">
        <v>21</v>
      </c>
      <c r="J24" s="56" t="s">
        <v>201</v>
      </c>
      <c r="K24" s="58">
        <v>16.670000000000002</v>
      </c>
      <c r="L24" s="58">
        <f>K24*VLOOKUP(I24,dagsoorttabel1,2,FALSE)</f>
        <v>0.41675000000000006</v>
      </c>
      <c r="M24" s="59">
        <f>prodnorm70</f>
        <v>0</v>
      </c>
      <c r="N24" s="60">
        <f>dagwerk70</f>
        <v>0</v>
      </c>
      <c r="O24" s="56" t="s">
        <v>38</v>
      </c>
      <c r="P24" s="61">
        <f>uurtarief70</f>
        <v>0</v>
      </c>
      <c r="Q24" s="58" t="e">
        <f>IF(ISBLANK(M24),0,L24/ROUND(M24,4))</f>
        <v>#DIV/0!</v>
      </c>
      <c r="R24" s="58" t="e">
        <f>IF(ISBLANK(M24),0,Q24*ROUND(N24,2))</f>
        <v>#DIV/0!</v>
      </c>
      <c r="S24" s="61" t="e">
        <f>ROUND(P24,2)*Q24</f>
        <v>#DIV/0!</v>
      </c>
      <c r="T24" s="58" t="e">
        <f>Q24*dagenperjaar1</f>
        <v>#DIV/0!</v>
      </c>
      <c r="U24" s="62" t="e">
        <f>T24*ROUND(P24,2)</f>
        <v>#DIV/0!</v>
      </c>
    </row>
    <row r="25" spans="1:21" x14ac:dyDescent="0.2">
      <c r="A25" s="63" t="s">
        <v>2099</v>
      </c>
      <c r="B25" s="64" t="s">
        <v>324</v>
      </c>
      <c r="C25" s="64" t="s">
        <v>345</v>
      </c>
      <c r="D25" s="64" t="s">
        <v>2126</v>
      </c>
      <c r="E25" s="64" t="s">
        <v>2127</v>
      </c>
      <c r="F25" s="65" t="s">
        <v>641</v>
      </c>
      <c r="G25" s="64" t="s">
        <v>2128</v>
      </c>
      <c r="H25" s="64" t="s">
        <v>305</v>
      </c>
      <c r="I25" s="64" t="s">
        <v>21</v>
      </c>
      <c r="J25" s="64" t="s">
        <v>201</v>
      </c>
      <c r="K25" s="66">
        <v>9.7399999999999984</v>
      </c>
      <c r="L25" s="66">
        <f>K25*VLOOKUP(I25,dagsoorttabel1,2,FALSE)</f>
        <v>0.24349999999999997</v>
      </c>
      <c r="M25" s="67">
        <f>prodnorm73</f>
        <v>0</v>
      </c>
      <c r="N25" s="68">
        <f>dagwerk73</f>
        <v>0</v>
      </c>
      <c r="O25" s="64" t="s">
        <v>38</v>
      </c>
      <c r="P25" s="69">
        <f>uurtarief73</f>
        <v>0</v>
      </c>
      <c r="Q25" s="66" t="e">
        <f>IF(ISBLANK(M25),0,L25/ROUND(M25,4))</f>
        <v>#DIV/0!</v>
      </c>
      <c r="R25" s="66" t="e">
        <f>IF(ISBLANK(M25),0,Q25*ROUND(N25,2))</f>
        <v>#DIV/0!</v>
      </c>
      <c r="S25" s="69" t="e">
        <f>ROUND(P25,2)*Q25</f>
        <v>#DIV/0!</v>
      </c>
      <c r="T25" s="66" t="e">
        <f>Q25*dagenperjaar1</f>
        <v>#DIV/0!</v>
      </c>
      <c r="U25" s="70" t="e">
        <f>T25*ROUND(P25,2)</f>
        <v>#DIV/0!</v>
      </c>
    </row>
    <row r="26" spans="1:21" x14ac:dyDescent="0.2">
      <c r="A26" s="63" t="s">
        <v>2099</v>
      </c>
      <c r="B26" s="64" t="s">
        <v>324</v>
      </c>
      <c r="C26" s="64" t="s">
        <v>345</v>
      </c>
      <c r="D26" s="64" t="s">
        <v>2131</v>
      </c>
      <c r="E26" s="64" t="s">
        <v>2132</v>
      </c>
      <c r="F26" s="65" t="s">
        <v>2133</v>
      </c>
      <c r="G26" s="64" t="s">
        <v>328</v>
      </c>
      <c r="H26" s="64" t="s">
        <v>302</v>
      </c>
      <c r="I26" s="64" t="s">
        <v>21</v>
      </c>
      <c r="J26" s="64" t="s">
        <v>201</v>
      </c>
      <c r="K26" s="66">
        <v>16.739999999999998</v>
      </c>
      <c r="L26" s="66">
        <f>K26*VLOOKUP(I26,dagsoorttabel1,2,FALSE)</f>
        <v>0.41849999999999998</v>
      </c>
      <c r="M26" s="67">
        <f>prodnorm70</f>
        <v>0</v>
      </c>
      <c r="N26" s="68">
        <f>dagwerk70</f>
        <v>0</v>
      </c>
      <c r="O26" s="64" t="s">
        <v>38</v>
      </c>
      <c r="P26" s="69">
        <f>uurtarief70</f>
        <v>0</v>
      </c>
      <c r="Q26" s="66" t="e">
        <f>IF(ISBLANK(M26),0,L26/ROUND(M26,4))</f>
        <v>#DIV/0!</v>
      </c>
      <c r="R26" s="66" t="e">
        <f>IF(ISBLANK(M26),0,Q26*ROUND(N26,2))</f>
        <v>#DIV/0!</v>
      </c>
      <c r="S26" s="69" t="e">
        <f>ROUND(P26,2)*Q26</f>
        <v>#DIV/0!</v>
      </c>
      <c r="T26" s="66" t="e">
        <f>Q26*dagenperjaar1</f>
        <v>#DIV/0!</v>
      </c>
      <c r="U26" s="70" t="e">
        <f>T26*ROUND(P26,2)</f>
        <v>#DIV/0!</v>
      </c>
    </row>
    <row r="27" spans="1:21" x14ac:dyDescent="0.2">
      <c r="A27" s="63" t="s">
        <v>2099</v>
      </c>
      <c r="B27" s="64" t="s">
        <v>324</v>
      </c>
      <c r="C27" s="64" t="s">
        <v>345</v>
      </c>
      <c r="D27" s="64" t="s">
        <v>2134</v>
      </c>
      <c r="E27" s="64" t="s">
        <v>2135</v>
      </c>
      <c r="F27" s="65" t="s">
        <v>2136</v>
      </c>
      <c r="G27" s="64" t="s">
        <v>328</v>
      </c>
      <c r="H27" s="64" t="s">
        <v>302</v>
      </c>
      <c r="I27" s="64" t="s">
        <v>21</v>
      </c>
      <c r="J27" s="64" t="s">
        <v>201</v>
      </c>
      <c r="K27" s="66">
        <v>16.670000000000002</v>
      </c>
      <c r="L27" s="66">
        <f>K27*VLOOKUP(I27,dagsoorttabel1,2,FALSE)</f>
        <v>0.41675000000000006</v>
      </c>
      <c r="M27" s="67">
        <f>prodnorm70</f>
        <v>0</v>
      </c>
      <c r="N27" s="68">
        <f>dagwerk70</f>
        <v>0</v>
      </c>
      <c r="O27" s="64" t="s">
        <v>38</v>
      </c>
      <c r="P27" s="69">
        <f>uurtarief70</f>
        <v>0</v>
      </c>
      <c r="Q27" s="66" t="e">
        <f>IF(ISBLANK(M27),0,L27/ROUND(M27,4))</f>
        <v>#DIV/0!</v>
      </c>
      <c r="R27" s="66" t="e">
        <f>IF(ISBLANK(M27),0,Q27*ROUND(N27,2))</f>
        <v>#DIV/0!</v>
      </c>
      <c r="S27" s="69" t="e">
        <f>ROUND(P27,2)*Q27</f>
        <v>#DIV/0!</v>
      </c>
      <c r="T27" s="66" t="e">
        <f>Q27*dagenperjaar1</f>
        <v>#DIV/0!</v>
      </c>
      <c r="U27" s="70" t="e">
        <f>T27*ROUND(P27,2)</f>
        <v>#DIV/0!</v>
      </c>
    </row>
    <row r="28" spans="1:21" x14ac:dyDescent="0.2">
      <c r="A28" s="63" t="s">
        <v>2099</v>
      </c>
      <c r="B28" s="64" t="s">
        <v>324</v>
      </c>
      <c r="C28" s="64" t="s">
        <v>345</v>
      </c>
      <c r="D28" s="64" t="s">
        <v>2137</v>
      </c>
      <c r="E28" s="64" t="s">
        <v>2138</v>
      </c>
      <c r="F28" s="65" t="s">
        <v>2139</v>
      </c>
      <c r="G28" s="64" t="s">
        <v>328</v>
      </c>
      <c r="H28" s="64" t="s">
        <v>302</v>
      </c>
      <c r="I28" s="64" t="s">
        <v>21</v>
      </c>
      <c r="J28" s="64" t="s">
        <v>201</v>
      </c>
      <c r="K28" s="66">
        <v>16.97</v>
      </c>
      <c r="L28" s="66">
        <f>K28*VLOOKUP(I28,dagsoorttabel1,2,FALSE)</f>
        <v>0.42425000000000002</v>
      </c>
      <c r="M28" s="67">
        <f>prodnorm70</f>
        <v>0</v>
      </c>
      <c r="N28" s="68">
        <f>dagwerk70</f>
        <v>0</v>
      </c>
      <c r="O28" s="64" t="s">
        <v>38</v>
      </c>
      <c r="P28" s="69">
        <f>uurtarief70</f>
        <v>0</v>
      </c>
      <c r="Q28" s="66" t="e">
        <f>IF(ISBLANK(M28),0,L28/ROUND(M28,4))</f>
        <v>#DIV/0!</v>
      </c>
      <c r="R28" s="66" t="e">
        <f>IF(ISBLANK(M28),0,Q28*ROUND(N28,2))</f>
        <v>#DIV/0!</v>
      </c>
      <c r="S28" s="69" t="e">
        <f>ROUND(P28,2)*Q28</f>
        <v>#DIV/0!</v>
      </c>
      <c r="T28" s="66" t="e">
        <f>Q28*dagenperjaar1</f>
        <v>#DIV/0!</v>
      </c>
      <c r="U28" s="70" t="e">
        <f>T28*ROUND(P28,2)</f>
        <v>#DIV/0!</v>
      </c>
    </row>
    <row r="29" spans="1:21" x14ac:dyDescent="0.2">
      <c r="A29" s="63" t="s">
        <v>2099</v>
      </c>
      <c r="B29" s="64" t="s">
        <v>324</v>
      </c>
      <c r="C29" s="64" t="s">
        <v>345</v>
      </c>
      <c r="D29" s="64" t="s">
        <v>2140</v>
      </c>
      <c r="E29" s="64" t="s">
        <v>2141</v>
      </c>
      <c r="F29" s="65" t="s">
        <v>2142</v>
      </c>
      <c r="G29" s="64" t="s">
        <v>328</v>
      </c>
      <c r="H29" s="64" t="s">
        <v>302</v>
      </c>
      <c r="I29" s="64" t="s">
        <v>21</v>
      </c>
      <c r="J29" s="64" t="s">
        <v>201</v>
      </c>
      <c r="K29" s="66">
        <v>16.739999999999998</v>
      </c>
      <c r="L29" s="66">
        <f>K29*VLOOKUP(I29,dagsoorttabel1,2,FALSE)</f>
        <v>0.41849999999999998</v>
      </c>
      <c r="M29" s="67">
        <f>prodnorm70</f>
        <v>0</v>
      </c>
      <c r="N29" s="68">
        <f>dagwerk70</f>
        <v>0</v>
      </c>
      <c r="O29" s="64" t="s">
        <v>38</v>
      </c>
      <c r="P29" s="69">
        <f>uurtarief70</f>
        <v>0</v>
      </c>
      <c r="Q29" s="66" t="e">
        <f>IF(ISBLANK(M29),0,L29/ROUND(M29,4))</f>
        <v>#DIV/0!</v>
      </c>
      <c r="R29" s="66" t="e">
        <f>IF(ISBLANK(M29),0,Q29*ROUND(N29,2))</f>
        <v>#DIV/0!</v>
      </c>
      <c r="S29" s="69" t="e">
        <f>ROUND(P29,2)*Q29</f>
        <v>#DIV/0!</v>
      </c>
      <c r="T29" s="66" t="e">
        <f>Q29*dagenperjaar1</f>
        <v>#DIV/0!</v>
      </c>
      <c r="U29" s="70" t="e">
        <f>T29*ROUND(P29,2)</f>
        <v>#DIV/0!</v>
      </c>
    </row>
    <row r="30" spans="1:21" x14ac:dyDescent="0.2">
      <c r="A30" s="63" t="s">
        <v>2099</v>
      </c>
      <c r="B30" s="64" t="s">
        <v>324</v>
      </c>
      <c r="C30" s="64" t="s">
        <v>345</v>
      </c>
      <c r="D30" s="64" t="s">
        <v>2143</v>
      </c>
      <c r="E30" s="64" t="s">
        <v>2144</v>
      </c>
      <c r="F30" s="65" t="s">
        <v>2145</v>
      </c>
      <c r="G30" s="64" t="s">
        <v>328</v>
      </c>
      <c r="H30" s="64" t="s">
        <v>302</v>
      </c>
      <c r="I30" s="64" t="s">
        <v>21</v>
      </c>
      <c r="J30" s="64" t="s">
        <v>201</v>
      </c>
      <c r="K30" s="66">
        <v>16.55</v>
      </c>
      <c r="L30" s="66">
        <f>K30*VLOOKUP(I30,dagsoorttabel1,2,FALSE)</f>
        <v>0.41375000000000006</v>
      </c>
      <c r="M30" s="67">
        <f>prodnorm70</f>
        <v>0</v>
      </c>
      <c r="N30" s="68">
        <f>dagwerk70</f>
        <v>0</v>
      </c>
      <c r="O30" s="64" t="s">
        <v>38</v>
      </c>
      <c r="P30" s="69">
        <f>uurtarief70</f>
        <v>0</v>
      </c>
      <c r="Q30" s="66" t="e">
        <f>IF(ISBLANK(M30),0,L30/ROUND(M30,4))</f>
        <v>#DIV/0!</v>
      </c>
      <c r="R30" s="66" t="e">
        <f>IF(ISBLANK(M30),0,Q30*ROUND(N30,2))</f>
        <v>#DIV/0!</v>
      </c>
      <c r="S30" s="69" t="e">
        <f>ROUND(P30,2)*Q30</f>
        <v>#DIV/0!</v>
      </c>
      <c r="T30" s="66" t="e">
        <f>Q30*dagenperjaar1</f>
        <v>#DIV/0!</v>
      </c>
      <c r="U30" s="70" t="e">
        <f>T30*ROUND(P30,2)</f>
        <v>#DIV/0!</v>
      </c>
    </row>
    <row r="31" spans="1:21" x14ac:dyDescent="0.2">
      <c r="A31" s="63" t="s">
        <v>2099</v>
      </c>
      <c r="B31" s="64" t="s">
        <v>324</v>
      </c>
      <c r="C31" s="64" t="s">
        <v>345</v>
      </c>
      <c r="D31" s="64" t="s">
        <v>2101</v>
      </c>
      <c r="E31" s="64" t="s">
        <v>2146</v>
      </c>
      <c r="F31" s="65" t="s">
        <v>2147</v>
      </c>
      <c r="G31" s="64" t="s">
        <v>328</v>
      </c>
      <c r="H31" s="64" t="s">
        <v>302</v>
      </c>
      <c r="I31" s="64" t="s">
        <v>21</v>
      </c>
      <c r="J31" s="64" t="s">
        <v>201</v>
      </c>
      <c r="K31" s="66">
        <v>17.54</v>
      </c>
      <c r="L31" s="66">
        <f>K31*VLOOKUP(I31,dagsoorttabel1,2,FALSE)</f>
        <v>0.4385</v>
      </c>
      <c r="M31" s="67">
        <f>prodnorm70</f>
        <v>0</v>
      </c>
      <c r="N31" s="68">
        <f>dagwerk70</f>
        <v>0</v>
      </c>
      <c r="O31" s="64" t="s">
        <v>38</v>
      </c>
      <c r="P31" s="69">
        <f>uurtarief70</f>
        <v>0</v>
      </c>
      <c r="Q31" s="66" t="e">
        <f>IF(ISBLANK(M31),0,L31/ROUND(M31,4))</f>
        <v>#DIV/0!</v>
      </c>
      <c r="R31" s="66" t="e">
        <f>IF(ISBLANK(M31),0,Q31*ROUND(N31,2))</f>
        <v>#DIV/0!</v>
      </c>
      <c r="S31" s="69" t="e">
        <f>ROUND(P31,2)*Q31</f>
        <v>#DIV/0!</v>
      </c>
      <c r="T31" s="66" t="e">
        <f>Q31*dagenperjaar1</f>
        <v>#DIV/0!</v>
      </c>
      <c r="U31" s="70" t="e">
        <f>T31*ROUND(P31,2)</f>
        <v>#DIV/0!</v>
      </c>
    </row>
    <row r="32" spans="1:21" x14ac:dyDescent="0.2">
      <c r="A32" s="63" t="s">
        <v>2099</v>
      </c>
      <c r="B32" s="64" t="s">
        <v>324</v>
      </c>
      <c r="C32" s="64" t="s">
        <v>345</v>
      </c>
      <c r="D32" s="64" t="s">
        <v>2173</v>
      </c>
      <c r="E32" s="64" t="s">
        <v>2174</v>
      </c>
      <c r="F32" s="65" t="s">
        <v>354</v>
      </c>
      <c r="G32" s="64" t="s">
        <v>685</v>
      </c>
      <c r="H32" s="64" t="s">
        <v>304</v>
      </c>
      <c r="I32" s="64" t="s">
        <v>21</v>
      </c>
      <c r="J32" s="64" t="s">
        <v>201</v>
      </c>
      <c r="K32" s="66">
        <v>7.74</v>
      </c>
      <c r="L32" s="66">
        <f>K32*VLOOKUP(I32,dagsoorttabel1,2,FALSE)</f>
        <v>0.19350000000000001</v>
      </c>
      <c r="M32" s="67">
        <f>prodnorm72</f>
        <v>0</v>
      </c>
      <c r="N32" s="68">
        <f>dagwerk72</f>
        <v>0</v>
      </c>
      <c r="O32" s="64" t="s">
        <v>38</v>
      </c>
      <c r="P32" s="69">
        <f>uurtarief72</f>
        <v>0</v>
      </c>
      <c r="Q32" s="66" t="e">
        <f>IF(ISBLANK(M32),0,L32/ROUND(M32,4))</f>
        <v>#DIV/0!</v>
      </c>
      <c r="R32" s="66" t="e">
        <f>IF(ISBLANK(M32),0,Q32*ROUND(N32,2))</f>
        <v>#DIV/0!</v>
      </c>
      <c r="S32" s="69" t="e">
        <f>ROUND(P32,2)*Q32</f>
        <v>#DIV/0!</v>
      </c>
      <c r="T32" s="66" t="e">
        <f>Q32*dagenperjaar1</f>
        <v>#DIV/0!</v>
      </c>
      <c r="U32" s="70" t="e">
        <f>T32*ROUND(P32,2)</f>
        <v>#DIV/0!</v>
      </c>
    </row>
    <row r="33" spans="1:21" x14ac:dyDescent="0.2">
      <c r="A33" s="63" t="s">
        <v>2099</v>
      </c>
      <c r="B33" s="64" t="s">
        <v>324</v>
      </c>
      <c r="C33" s="64" t="s">
        <v>345</v>
      </c>
      <c r="D33" s="64" t="s">
        <v>2176</v>
      </c>
      <c r="E33" s="64" t="s">
        <v>2177</v>
      </c>
      <c r="F33" s="65" t="s">
        <v>2178</v>
      </c>
      <c r="G33" s="64" t="s">
        <v>685</v>
      </c>
      <c r="H33" s="64" t="s">
        <v>304</v>
      </c>
      <c r="I33" s="64" t="s">
        <v>21</v>
      </c>
      <c r="J33" s="64" t="s">
        <v>201</v>
      </c>
      <c r="K33" s="66">
        <v>15.93</v>
      </c>
      <c r="L33" s="66">
        <f>K33*VLOOKUP(I33,dagsoorttabel1,2,FALSE)</f>
        <v>0.39824999999999999</v>
      </c>
      <c r="M33" s="67">
        <f>prodnorm72</f>
        <v>0</v>
      </c>
      <c r="N33" s="68">
        <f>dagwerk72</f>
        <v>0</v>
      </c>
      <c r="O33" s="64" t="s">
        <v>38</v>
      </c>
      <c r="P33" s="69">
        <f>uurtarief72</f>
        <v>0</v>
      </c>
      <c r="Q33" s="66" t="e">
        <f>IF(ISBLANK(M33),0,L33/ROUND(M33,4))</f>
        <v>#DIV/0!</v>
      </c>
      <c r="R33" s="66" t="e">
        <f>IF(ISBLANK(M33),0,Q33*ROUND(N33,2))</f>
        <v>#DIV/0!</v>
      </c>
      <c r="S33" s="69" t="e">
        <f>ROUND(P33,2)*Q33</f>
        <v>#DIV/0!</v>
      </c>
      <c r="T33" s="66" t="e">
        <f>Q33*dagenperjaar1</f>
        <v>#DIV/0!</v>
      </c>
      <c r="U33" s="70" t="e">
        <f>T33*ROUND(P33,2)</f>
        <v>#DIV/0!</v>
      </c>
    </row>
    <row r="34" spans="1:21" ht="25.5" x14ac:dyDescent="0.2">
      <c r="A34" s="63" t="s">
        <v>2099</v>
      </c>
      <c r="B34" s="64" t="s">
        <v>324</v>
      </c>
      <c r="C34" s="64" t="s">
        <v>345</v>
      </c>
      <c r="D34" s="64" t="s">
        <v>2183</v>
      </c>
      <c r="E34" s="64" t="s">
        <v>377</v>
      </c>
      <c r="F34" s="65" t="s">
        <v>2184</v>
      </c>
      <c r="G34" s="64" t="s">
        <v>328</v>
      </c>
      <c r="H34" s="64" t="s">
        <v>302</v>
      </c>
      <c r="I34" s="64" t="s">
        <v>21</v>
      </c>
      <c r="J34" s="64" t="s">
        <v>201</v>
      </c>
      <c r="K34" s="66">
        <v>17.510000000000002</v>
      </c>
      <c r="L34" s="66">
        <f>K34*VLOOKUP(I34,dagsoorttabel1,2,FALSE)</f>
        <v>0.43775000000000008</v>
      </c>
      <c r="M34" s="67">
        <f>prodnorm70</f>
        <v>0</v>
      </c>
      <c r="N34" s="68">
        <f>dagwerk70</f>
        <v>0</v>
      </c>
      <c r="O34" s="64" t="s">
        <v>38</v>
      </c>
      <c r="P34" s="69">
        <f>uurtarief70</f>
        <v>0</v>
      </c>
      <c r="Q34" s="66" t="e">
        <f>IF(ISBLANK(M34),0,L34/ROUND(M34,4))</f>
        <v>#DIV/0!</v>
      </c>
      <c r="R34" s="66" t="e">
        <f>IF(ISBLANK(M34),0,Q34*ROUND(N34,2))</f>
        <v>#DIV/0!</v>
      </c>
      <c r="S34" s="69" t="e">
        <f>ROUND(P34,2)*Q34</f>
        <v>#DIV/0!</v>
      </c>
      <c r="T34" s="66" t="e">
        <f>Q34*dagenperjaar1</f>
        <v>#DIV/0!</v>
      </c>
      <c r="U34" s="70" t="e">
        <f>T34*ROUND(P34,2)</f>
        <v>#DIV/0!</v>
      </c>
    </row>
    <row r="35" spans="1:21" x14ac:dyDescent="0.2">
      <c r="A35" s="63" t="s">
        <v>2099</v>
      </c>
      <c r="B35" s="64" t="s">
        <v>324</v>
      </c>
      <c r="C35" s="64" t="s">
        <v>345</v>
      </c>
      <c r="D35" s="64" t="s">
        <v>2124</v>
      </c>
      <c r="E35" s="64" t="s">
        <v>2188</v>
      </c>
      <c r="F35" s="65" t="s">
        <v>834</v>
      </c>
      <c r="G35" s="64" t="s">
        <v>328</v>
      </c>
      <c r="H35" s="64" t="s">
        <v>308</v>
      </c>
      <c r="I35" s="64" t="s">
        <v>21</v>
      </c>
      <c r="J35" s="64" t="s">
        <v>201</v>
      </c>
      <c r="K35" s="66">
        <v>82.53</v>
      </c>
      <c r="L35" s="66">
        <f>K35*VLOOKUP(I35,dagsoorttabel1,2,FALSE)</f>
        <v>2.06325</v>
      </c>
      <c r="M35" s="67">
        <f>prodnorm75</f>
        <v>0</v>
      </c>
      <c r="N35" s="68">
        <f>dagwerk75</f>
        <v>0</v>
      </c>
      <c r="O35" s="64" t="s">
        <v>38</v>
      </c>
      <c r="P35" s="69">
        <f>uurtarief75</f>
        <v>0</v>
      </c>
      <c r="Q35" s="66" t="e">
        <f>IF(ISBLANK(M35),0,L35/ROUND(M35,4))</f>
        <v>#DIV/0!</v>
      </c>
      <c r="R35" s="66" t="e">
        <f>IF(ISBLANK(M35),0,Q35*ROUND(N35,2))</f>
        <v>#DIV/0!</v>
      </c>
      <c r="S35" s="69" t="e">
        <f>ROUND(P35,2)*Q35</f>
        <v>#DIV/0!</v>
      </c>
      <c r="T35" s="66" t="e">
        <f>Q35*dagenperjaar1</f>
        <v>#DIV/0!</v>
      </c>
      <c r="U35" s="70" t="e">
        <f>T35*ROUND(P35,2)</f>
        <v>#DIV/0!</v>
      </c>
    </row>
    <row r="36" spans="1:21" x14ac:dyDescent="0.2">
      <c r="A36" s="63" t="s">
        <v>2099</v>
      </c>
      <c r="B36" s="64" t="s">
        <v>324</v>
      </c>
      <c r="C36" s="64" t="s">
        <v>345</v>
      </c>
      <c r="D36" s="64" t="s">
        <v>2189</v>
      </c>
      <c r="E36" s="64" t="s">
        <v>382</v>
      </c>
      <c r="F36" s="65" t="s">
        <v>2190</v>
      </c>
      <c r="G36" s="64" t="s">
        <v>328</v>
      </c>
      <c r="H36" s="64" t="s">
        <v>302</v>
      </c>
      <c r="I36" s="64" t="s">
        <v>21</v>
      </c>
      <c r="J36" s="64" t="s">
        <v>201</v>
      </c>
      <c r="K36" s="66">
        <v>16.739999999999998</v>
      </c>
      <c r="L36" s="66">
        <f>K36*VLOOKUP(I36,dagsoorttabel1,2,FALSE)</f>
        <v>0.41849999999999998</v>
      </c>
      <c r="M36" s="67">
        <f>prodnorm70</f>
        <v>0</v>
      </c>
      <c r="N36" s="68">
        <f>dagwerk70</f>
        <v>0</v>
      </c>
      <c r="O36" s="64" t="s">
        <v>38</v>
      </c>
      <c r="P36" s="69">
        <f>uurtarief70</f>
        <v>0</v>
      </c>
      <c r="Q36" s="66" t="e">
        <f>IF(ISBLANK(M36),0,L36/ROUND(M36,4))</f>
        <v>#DIV/0!</v>
      </c>
      <c r="R36" s="66" t="e">
        <f>IF(ISBLANK(M36),0,Q36*ROUND(N36,2))</f>
        <v>#DIV/0!</v>
      </c>
      <c r="S36" s="69" t="e">
        <f>ROUND(P36,2)*Q36</f>
        <v>#DIV/0!</v>
      </c>
      <c r="T36" s="66" t="e">
        <f>Q36*dagenperjaar1</f>
        <v>#DIV/0!</v>
      </c>
      <c r="U36" s="70" t="e">
        <f>T36*ROUND(P36,2)</f>
        <v>#DIV/0!</v>
      </c>
    </row>
    <row r="37" spans="1:21" x14ac:dyDescent="0.2">
      <c r="A37" s="63" t="s">
        <v>2099</v>
      </c>
      <c r="B37" s="64" t="s">
        <v>324</v>
      </c>
      <c r="C37" s="64" t="s">
        <v>345</v>
      </c>
      <c r="D37" s="64" t="s">
        <v>2127</v>
      </c>
      <c r="E37" s="64" t="s">
        <v>2191</v>
      </c>
      <c r="F37" s="65" t="s">
        <v>354</v>
      </c>
      <c r="G37" s="64" t="s">
        <v>685</v>
      </c>
      <c r="H37" s="64" t="s">
        <v>304</v>
      </c>
      <c r="I37" s="64" t="s">
        <v>21</v>
      </c>
      <c r="J37" s="64" t="s">
        <v>201</v>
      </c>
      <c r="K37" s="66">
        <v>16.079999999999998</v>
      </c>
      <c r="L37" s="66">
        <f>K37*VLOOKUP(I37,dagsoorttabel1,2,FALSE)</f>
        <v>0.40199999999999997</v>
      </c>
      <c r="M37" s="67">
        <f>prodnorm72</f>
        <v>0</v>
      </c>
      <c r="N37" s="68">
        <f>dagwerk72</f>
        <v>0</v>
      </c>
      <c r="O37" s="64" t="s">
        <v>38</v>
      </c>
      <c r="P37" s="69">
        <f>uurtarief72</f>
        <v>0</v>
      </c>
      <c r="Q37" s="66" t="e">
        <f>IF(ISBLANK(M37),0,L37/ROUND(M37,4))</f>
        <v>#DIV/0!</v>
      </c>
      <c r="R37" s="66" t="e">
        <f>IF(ISBLANK(M37),0,Q37*ROUND(N37,2))</f>
        <v>#DIV/0!</v>
      </c>
      <c r="S37" s="69" t="e">
        <f>ROUND(P37,2)*Q37</f>
        <v>#DIV/0!</v>
      </c>
      <c r="T37" s="66" t="e">
        <f>Q37*dagenperjaar1</f>
        <v>#DIV/0!</v>
      </c>
      <c r="U37" s="70" t="e">
        <f>T37*ROUND(P37,2)</f>
        <v>#DIV/0!</v>
      </c>
    </row>
    <row r="38" spans="1:21" x14ac:dyDescent="0.2">
      <c r="A38" s="63" t="s">
        <v>2099</v>
      </c>
      <c r="B38" s="64" t="s">
        <v>324</v>
      </c>
      <c r="C38" s="64" t="s">
        <v>345</v>
      </c>
      <c r="D38" s="64" t="s">
        <v>2196</v>
      </c>
      <c r="E38" s="64" t="s">
        <v>2197</v>
      </c>
      <c r="F38" s="65" t="s">
        <v>354</v>
      </c>
      <c r="G38" s="64" t="s">
        <v>685</v>
      </c>
      <c r="H38" s="64" t="s">
        <v>304</v>
      </c>
      <c r="I38" s="64" t="s">
        <v>21</v>
      </c>
      <c r="J38" s="64" t="s">
        <v>201</v>
      </c>
      <c r="K38" s="66">
        <v>16.079999999999998</v>
      </c>
      <c r="L38" s="66">
        <f>K38*VLOOKUP(I38,dagsoorttabel1,2,FALSE)</f>
        <v>0.40199999999999997</v>
      </c>
      <c r="M38" s="67">
        <f>prodnorm72</f>
        <v>0</v>
      </c>
      <c r="N38" s="68">
        <f>dagwerk72</f>
        <v>0</v>
      </c>
      <c r="O38" s="64" t="s">
        <v>38</v>
      </c>
      <c r="P38" s="69">
        <f>uurtarief72</f>
        <v>0</v>
      </c>
      <c r="Q38" s="66" t="e">
        <f>IF(ISBLANK(M38),0,L38/ROUND(M38,4))</f>
        <v>#DIV/0!</v>
      </c>
      <c r="R38" s="66" t="e">
        <f>IF(ISBLANK(M38),0,Q38*ROUND(N38,2))</f>
        <v>#DIV/0!</v>
      </c>
      <c r="S38" s="69" t="e">
        <f>ROUND(P38,2)*Q38</f>
        <v>#DIV/0!</v>
      </c>
      <c r="T38" s="66" t="e">
        <f>Q38*dagenperjaar1</f>
        <v>#DIV/0!</v>
      </c>
      <c r="U38" s="70" t="e">
        <f>T38*ROUND(P38,2)</f>
        <v>#DIV/0!</v>
      </c>
    </row>
    <row r="39" spans="1:21" x14ac:dyDescent="0.2">
      <c r="A39" s="63" t="s">
        <v>2099</v>
      </c>
      <c r="B39" s="64" t="s">
        <v>324</v>
      </c>
      <c r="C39" s="64" t="s">
        <v>345</v>
      </c>
      <c r="D39" s="64" t="s">
        <v>2132</v>
      </c>
      <c r="E39" s="64" t="s">
        <v>2199</v>
      </c>
      <c r="F39" s="65" t="s">
        <v>641</v>
      </c>
      <c r="G39" s="64" t="s">
        <v>2128</v>
      </c>
      <c r="H39" s="64" t="s">
        <v>305</v>
      </c>
      <c r="I39" s="64" t="s">
        <v>21</v>
      </c>
      <c r="J39" s="64" t="s">
        <v>201</v>
      </c>
      <c r="K39" s="66">
        <v>7.28</v>
      </c>
      <c r="L39" s="66">
        <f>K39*VLOOKUP(I39,dagsoorttabel1,2,FALSE)</f>
        <v>0.18200000000000002</v>
      </c>
      <c r="M39" s="67">
        <f>prodnorm73</f>
        <v>0</v>
      </c>
      <c r="N39" s="68">
        <f>dagwerk73</f>
        <v>0</v>
      </c>
      <c r="O39" s="64" t="s">
        <v>38</v>
      </c>
      <c r="P39" s="69">
        <f>uurtarief73</f>
        <v>0</v>
      </c>
      <c r="Q39" s="66" t="e">
        <f>IF(ISBLANK(M39),0,L39/ROUND(M39,4))</f>
        <v>#DIV/0!</v>
      </c>
      <c r="R39" s="66" t="e">
        <f>IF(ISBLANK(M39),0,Q39*ROUND(N39,2))</f>
        <v>#DIV/0!</v>
      </c>
      <c r="S39" s="69" t="e">
        <f>ROUND(P39,2)*Q39</f>
        <v>#DIV/0!</v>
      </c>
      <c r="T39" s="66" t="e">
        <f>Q39*dagenperjaar1</f>
        <v>#DIV/0!</v>
      </c>
      <c r="U39" s="70" t="e">
        <f>T39*ROUND(P39,2)</f>
        <v>#DIV/0!</v>
      </c>
    </row>
    <row r="40" spans="1:21" x14ac:dyDescent="0.2">
      <c r="A40" s="63" t="s">
        <v>2099</v>
      </c>
      <c r="B40" s="64" t="s">
        <v>324</v>
      </c>
      <c r="C40" s="64" t="s">
        <v>345</v>
      </c>
      <c r="D40" s="64" t="s">
        <v>2135</v>
      </c>
      <c r="E40" s="64" t="s">
        <v>2200</v>
      </c>
      <c r="F40" s="65" t="s">
        <v>641</v>
      </c>
      <c r="G40" s="64" t="s">
        <v>2128</v>
      </c>
      <c r="H40" s="64" t="s">
        <v>305</v>
      </c>
      <c r="I40" s="64" t="s">
        <v>21</v>
      </c>
      <c r="J40" s="64" t="s">
        <v>201</v>
      </c>
      <c r="K40" s="66">
        <v>7.28</v>
      </c>
      <c r="L40" s="66">
        <f>K40*VLOOKUP(I40,dagsoorttabel1,2,FALSE)</f>
        <v>0.18200000000000002</v>
      </c>
      <c r="M40" s="67">
        <f>prodnorm73</f>
        <v>0</v>
      </c>
      <c r="N40" s="68">
        <f>dagwerk73</f>
        <v>0</v>
      </c>
      <c r="O40" s="64" t="s">
        <v>38</v>
      </c>
      <c r="P40" s="69">
        <f>uurtarief73</f>
        <v>0</v>
      </c>
      <c r="Q40" s="66" t="e">
        <f>IF(ISBLANK(M40),0,L40/ROUND(M40,4))</f>
        <v>#DIV/0!</v>
      </c>
      <c r="R40" s="66" t="e">
        <f>IF(ISBLANK(M40),0,Q40*ROUND(N40,2))</f>
        <v>#DIV/0!</v>
      </c>
      <c r="S40" s="69" t="e">
        <f>ROUND(P40,2)*Q40</f>
        <v>#DIV/0!</v>
      </c>
      <c r="T40" s="66" t="e">
        <f>Q40*dagenperjaar1</f>
        <v>#DIV/0!</v>
      </c>
      <c r="U40" s="70" t="e">
        <f>T40*ROUND(P40,2)</f>
        <v>#DIV/0!</v>
      </c>
    </row>
    <row r="41" spans="1:21" x14ac:dyDescent="0.2">
      <c r="A41" s="63" t="s">
        <v>2099</v>
      </c>
      <c r="B41" s="64" t="s">
        <v>324</v>
      </c>
      <c r="C41" s="64" t="s">
        <v>345</v>
      </c>
      <c r="D41" s="64" t="s">
        <v>2202</v>
      </c>
      <c r="E41" s="64" t="s">
        <v>402</v>
      </c>
      <c r="F41" s="65" t="s">
        <v>2142</v>
      </c>
      <c r="G41" s="64" t="s">
        <v>328</v>
      </c>
      <c r="H41" s="64" t="s">
        <v>302</v>
      </c>
      <c r="I41" s="64" t="s">
        <v>21</v>
      </c>
      <c r="J41" s="64" t="s">
        <v>201</v>
      </c>
      <c r="K41" s="66">
        <v>17</v>
      </c>
      <c r="L41" s="66">
        <f>K41*VLOOKUP(I41,dagsoorttabel1,2,FALSE)</f>
        <v>0.42500000000000004</v>
      </c>
      <c r="M41" s="67">
        <f>prodnorm70</f>
        <v>0</v>
      </c>
      <c r="N41" s="68">
        <f>dagwerk70</f>
        <v>0</v>
      </c>
      <c r="O41" s="64" t="s">
        <v>38</v>
      </c>
      <c r="P41" s="69">
        <f>uurtarief70</f>
        <v>0</v>
      </c>
      <c r="Q41" s="66" t="e">
        <f>IF(ISBLANK(M41),0,L41/ROUND(M41,4))</f>
        <v>#DIV/0!</v>
      </c>
      <c r="R41" s="66" t="e">
        <f>IF(ISBLANK(M41),0,Q41*ROUND(N41,2))</f>
        <v>#DIV/0!</v>
      </c>
      <c r="S41" s="69" t="e">
        <f>ROUND(P41,2)*Q41</f>
        <v>#DIV/0!</v>
      </c>
      <c r="T41" s="66" t="e">
        <f>Q41*dagenperjaar1</f>
        <v>#DIV/0!</v>
      </c>
      <c r="U41" s="70" t="e">
        <f>T41*ROUND(P41,2)</f>
        <v>#DIV/0!</v>
      </c>
    </row>
    <row r="42" spans="1:21" x14ac:dyDescent="0.2">
      <c r="A42" s="63" t="s">
        <v>2099</v>
      </c>
      <c r="B42" s="64" t="s">
        <v>324</v>
      </c>
      <c r="C42" s="64" t="s">
        <v>345</v>
      </c>
      <c r="D42" s="64" t="s">
        <v>2203</v>
      </c>
      <c r="E42" s="64" t="s">
        <v>2204</v>
      </c>
      <c r="F42" s="65" t="s">
        <v>834</v>
      </c>
      <c r="G42" s="64" t="s">
        <v>328</v>
      </c>
      <c r="H42" s="64" t="s">
        <v>308</v>
      </c>
      <c r="I42" s="64" t="s">
        <v>21</v>
      </c>
      <c r="J42" s="64" t="s">
        <v>201</v>
      </c>
      <c r="K42" s="66">
        <v>82.53</v>
      </c>
      <c r="L42" s="66">
        <f>K42*VLOOKUP(I42,dagsoorttabel1,2,FALSE)</f>
        <v>2.06325</v>
      </c>
      <c r="M42" s="67">
        <f>prodnorm75</f>
        <v>0</v>
      </c>
      <c r="N42" s="68">
        <f>dagwerk75</f>
        <v>0</v>
      </c>
      <c r="O42" s="64" t="s">
        <v>38</v>
      </c>
      <c r="P42" s="69">
        <f>uurtarief75</f>
        <v>0</v>
      </c>
      <c r="Q42" s="66" t="e">
        <f>IF(ISBLANK(M42),0,L42/ROUND(M42,4))</f>
        <v>#DIV/0!</v>
      </c>
      <c r="R42" s="66" t="e">
        <f>IF(ISBLANK(M42),0,Q42*ROUND(N42,2))</f>
        <v>#DIV/0!</v>
      </c>
      <c r="S42" s="69" t="e">
        <f>ROUND(P42,2)*Q42</f>
        <v>#DIV/0!</v>
      </c>
      <c r="T42" s="66" t="e">
        <f>Q42*dagenperjaar1</f>
        <v>#DIV/0!</v>
      </c>
      <c r="U42" s="70" t="e">
        <f>T42*ROUND(P42,2)</f>
        <v>#DIV/0!</v>
      </c>
    </row>
    <row r="43" spans="1:21" x14ac:dyDescent="0.2">
      <c r="A43" s="63" t="s">
        <v>2099</v>
      </c>
      <c r="B43" s="64" t="s">
        <v>324</v>
      </c>
      <c r="C43" s="64" t="s">
        <v>345</v>
      </c>
      <c r="D43" s="64" t="s">
        <v>2146</v>
      </c>
      <c r="E43" s="64" t="s">
        <v>423</v>
      </c>
      <c r="F43" s="65" t="s">
        <v>2205</v>
      </c>
      <c r="G43" s="64" t="s">
        <v>328</v>
      </c>
      <c r="H43" s="64" t="s">
        <v>302</v>
      </c>
      <c r="I43" s="64" t="s">
        <v>21</v>
      </c>
      <c r="J43" s="64" t="s">
        <v>201</v>
      </c>
      <c r="K43" s="66">
        <v>6.83</v>
      </c>
      <c r="L43" s="66">
        <f>K43*VLOOKUP(I43,dagsoorttabel1,2,FALSE)</f>
        <v>0.17075000000000001</v>
      </c>
      <c r="M43" s="67">
        <f>prodnorm70</f>
        <v>0</v>
      </c>
      <c r="N43" s="68">
        <f>dagwerk70</f>
        <v>0</v>
      </c>
      <c r="O43" s="64" t="s">
        <v>38</v>
      </c>
      <c r="P43" s="69">
        <f>uurtarief70</f>
        <v>0</v>
      </c>
      <c r="Q43" s="66" t="e">
        <f>IF(ISBLANK(M43),0,L43/ROUND(M43,4))</f>
        <v>#DIV/0!</v>
      </c>
      <c r="R43" s="66" t="e">
        <f>IF(ISBLANK(M43),0,Q43*ROUND(N43,2))</f>
        <v>#DIV/0!</v>
      </c>
      <c r="S43" s="69" t="e">
        <f>ROUND(P43,2)*Q43</f>
        <v>#DIV/0!</v>
      </c>
      <c r="T43" s="66" t="e">
        <f>Q43*dagenperjaar1</f>
        <v>#DIV/0!</v>
      </c>
      <c r="U43" s="70" t="e">
        <f>T43*ROUND(P43,2)</f>
        <v>#DIV/0!</v>
      </c>
    </row>
    <row r="44" spans="1:21" x14ac:dyDescent="0.2">
      <c r="A44" s="63" t="s">
        <v>2099</v>
      </c>
      <c r="B44" s="64" t="s">
        <v>324</v>
      </c>
      <c r="C44" s="64" t="s">
        <v>345</v>
      </c>
      <c r="D44" s="64" t="s">
        <v>2148</v>
      </c>
      <c r="E44" s="64" t="s">
        <v>1594</v>
      </c>
      <c r="F44" s="65" t="s">
        <v>641</v>
      </c>
      <c r="G44" s="64" t="s">
        <v>2128</v>
      </c>
      <c r="H44" s="64" t="s">
        <v>305</v>
      </c>
      <c r="I44" s="64" t="s">
        <v>21</v>
      </c>
      <c r="J44" s="64" t="s">
        <v>201</v>
      </c>
      <c r="K44" s="66">
        <v>8.65</v>
      </c>
      <c r="L44" s="66">
        <f>K44*VLOOKUP(I44,dagsoorttabel1,2,FALSE)</f>
        <v>0.21625000000000003</v>
      </c>
      <c r="M44" s="67">
        <f>prodnorm73</f>
        <v>0</v>
      </c>
      <c r="N44" s="68">
        <f>dagwerk73</f>
        <v>0</v>
      </c>
      <c r="O44" s="64" t="s">
        <v>38</v>
      </c>
      <c r="P44" s="69">
        <f>uurtarief73</f>
        <v>0</v>
      </c>
      <c r="Q44" s="66" t="e">
        <f>IF(ISBLANK(M44),0,L44/ROUND(M44,4))</f>
        <v>#DIV/0!</v>
      </c>
      <c r="R44" s="66" t="e">
        <f>IF(ISBLANK(M44),0,Q44*ROUND(N44,2))</f>
        <v>#DIV/0!</v>
      </c>
      <c r="S44" s="69" t="e">
        <f>ROUND(P44,2)*Q44</f>
        <v>#DIV/0!</v>
      </c>
      <c r="T44" s="66" t="e">
        <f>Q44*dagenperjaar1</f>
        <v>#DIV/0!</v>
      </c>
      <c r="U44" s="70" t="e">
        <f>T44*ROUND(P44,2)</f>
        <v>#DIV/0!</v>
      </c>
    </row>
    <row r="45" spans="1:21" x14ac:dyDescent="0.2">
      <c r="A45" s="63" t="s">
        <v>2099</v>
      </c>
      <c r="B45" s="64" t="s">
        <v>324</v>
      </c>
      <c r="C45" s="64" t="s">
        <v>345</v>
      </c>
      <c r="D45" s="64" t="s">
        <v>2210</v>
      </c>
      <c r="E45" s="64" t="s">
        <v>2211</v>
      </c>
      <c r="F45" s="65" t="s">
        <v>834</v>
      </c>
      <c r="G45" s="64" t="s">
        <v>328</v>
      </c>
      <c r="H45" s="64" t="s">
        <v>308</v>
      </c>
      <c r="I45" s="64" t="s">
        <v>21</v>
      </c>
      <c r="J45" s="64" t="s">
        <v>201</v>
      </c>
      <c r="K45" s="66">
        <v>97.09</v>
      </c>
      <c r="L45" s="66">
        <f>K45*VLOOKUP(I45,dagsoorttabel1,2,FALSE)</f>
        <v>2.4272500000000004</v>
      </c>
      <c r="M45" s="67">
        <f>prodnorm75</f>
        <v>0</v>
      </c>
      <c r="N45" s="68">
        <f>dagwerk75</f>
        <v>0</v>
      </c>
      <c r="O45" s="64" t="s">
        <v>38</v>
      </c>
      <c r="P45" s="69">
        <f>uurtarief75</f>
        <v>0</v>
      </c>
      <c r="Q45" s="66" t="e">
        <f>IF(ISBLANK(M45),0,L45/ROUND(M45,4))</f>
        <v>#DIV/0!</v>
      </c>
      <c r="R45" s="66" t="e">
        <f>IF(ISBLANK(M45),0,Q45*ROUND(N45,2))</f>
        <v>#DIV/0!</v>
      </c>
      <c r="S45" s="69" t="e">
        <f>ROUND(P45,2)*Q45</f>
        <v>#DIV/0!</v>
      </c>
      <c r="T45" s="66" t="e">
        <f>Q45*dagenperjaar1</f>
        <v>#DIV/0!</v>
      </c>
      <c r="U45" s="70" t="e">
        <f>T45*ROUND(P45,2)</f>
        <v>#DIV/0!</v>
      </c>
    </row>
    <row r="46" spans="1:21" ht="25.5" x14ac:dyDescent="0.2">
      <c r="A46" s="63" t="s">
        <v>2099</v>
      </c>
      <c r="B46" s="64" t="s">
        <v>324</v>
      </c>
      <c r="C46" s="64" t="s">
        <v>345</v>
      </c>
      <c r="D46" s="64" t="s">
        <v>2212</v>
      </c>
      <c r="E46" s="64" t="s">
        <v>877</v>
      </c>
      <c r="F46" s="65" t="s">
        <v>2213</v>
      </c>
      <c r="G46" s="64" t="s">
        <v>328</v>
      </c>
      <c r="H46" s="64" t="s">
        <v>302</v>
      </c>
      <c r="I46" s="64" t="s">
        <v>21</v>
      </c>
      <c r="J46" s="64" t="s">
        <v>201</v>
      </c>
      <c r="K46" s="66">
        <v>23.55</v>
      </c>
      <c r="L46" s="66">
        <f>K46*VLOOKUP(I46,dagsoorttabel1,2,FALSE)</f>
        <v>0.58875</v>
      </c>
      <c r="M46" s="67">
        <f>prodnorm70</f>
        <v>0</v>
      </c>
      <c r="N46" s="68">
        <f>dagwerk70</f>
        <v>0</v>
      </c>
      <c r="O46" s="64" t="s">
        <v>38</v>
      </c>
      <c r="P46" s="69">
        <f>uurtarief70</f>
        <v>0</v>
      </c>
      <c r="Q46" s="66" t="e">
        <f>IF(ISBLANK(M46),0,L46/ROUND(M46,4))</f>
        <v>#DIV/0!</v>
      </c>
      <c r="R46" s="66" t="e">
        <f>IF(ISBLANK(M46),0,Q46*ROUND(N46,2))</f>
        <v>#DIV/0!</v>
      </c>
      <c r="S46" s="69" t="e">
        <f>ROUND(P46,2)*Q46</f>
        <v>#DIV/0!</v>
      </c>
      <c r="T46" s="66" t="e">
        <f>Q46*dagenperjaar1</f>
        <v>#DIV/0!</v>
      </c>
      <c r="U46" s="70" t="e">
        <f>T46*ROUND(P46,2)</f>
        <v>#DIV/0!</v>
      </c>
    </row>
    <row r="47" spans="1:21" x14ac:dyDescent="0.2">
      <c r="A47" s="63" t="s">
        <v>2099</v>
      </c>
      <c r="B47" s="64" t="s">
        <v>324</v>
      </c>
      <c r="C47" s="64" t="s">
        <v>345</v>
      </c>
      <c r="D47" s="64" t="s">
        <v>2214</v>
      </c>
      <c r="E47" s="64" t="s">
        <v>2215</v>
      </c>
      <c r="F47" s="65" t="s">
        <v>834</v>
      </c>
      <c r="G47" s="64" t="s">
        <v>328</v>
      </c>
      <c r="H47" s="64" t="s">
        <v>308</v>
      </c>
      <c r="I47" s="64" t="s">
        <v>21</v>
      </c>
      <c r="J47" s="64" t="s">
        <v>201</v>
      </c>
      <c r="K47" s="66">
        <v>112.61999999999999</v>
      </c>
      <c r="L47" s="66">
        <f>K47*VLOOKUP(I47,dagsoorttabel1,2,FALSE)</f>
        <v>2.8155000000000001</v>
      </c>
      <c r="M47" s="67">
        <f>prodnorm75</f>
        <v>0</v>
      </c>
      <c r="N47" s="68">
        <f>dagwerk75</f>
        <v>0</v>
      </c>
      <c r="O47" s="64" t="s">
        <v>38</v>
      </c>
      <c r="P47" s="69">
        <f>uurtarief75</f>
        <v>0</v>
      </c>
      <c r="Q47" s="66" t="e">
        <f>IF(ISBLANK(M47),0,L47/ROUND(M47,4))</f>
        <v>#DIV/0!</v>
      </c>
      <c r="R47" s="66" t="e">
        <f>IF(ISBLANK(M47),0,Q47*ROUND(N47,2))</f>
        <v>#DIV/0!</v>
      </c>
      <c r="S47" s="69" t="e">
        <f>ROUND(P47,2)*Q47</f>
        <v>#DIV/0!</v>
      </c>
      <c r="T47" s="66" t="e">
        <f>Q47*dagenperjaar1</f>
        <v>#DIV/0!</v>
      </c>
      <c r="U47" s="70" t="e">
        <f>T47*ROUND(P47,2)</f>
        <v>#DIV/0!</v>
      </c>
    </row>
    <row r="48" spans="1:21" x14ac:dyDescent="0.2">
      <c r="A48" s="63" t="s">
        <v>2099</v>
      </c>
      <c r="B48" s="64" t="s">
        <v>324</v>
      </c>
      <c r="C48" s="64" t="s">
        <v>345</v>
      </c>
      <c r="D48" s="64" t="s">
        <v>2151</v>
      </c>
      <c r="E48" s="64" t="s">
        <v>885</v>
      </c>
      <c r="F48" s="65" t="s">
        <v>2216</v>
      </c>
      <c r="G48" s="64" t="s">
        <v>328</v>
      </c>
      <c r="H48" s="64" t="s">
        <v>302</v>
      </c>
      <c r="I48" s="64" t="s">
        <v>21</v>
      </c>
      <c r="J48" s="64" t="s">
        <v>201</v>
      </c>
      <c r="K48" s="66">
        <v>11.58</v>
      </c>
      <c r="L48" s="66">
        <f>K48*VLOOKUP(I48,dagsoorttabel1,2,FALSE)</f>
        <v>0.28950000000000004</v>
      </c>
      <c r="M48" s="67">
        <f>prodnorm70</f>
        <v>0</v>
      </c>
      <c r="N48" s="68">
        <f>dagwerk70</f>
        <v>0</v>
      </c>
      <c r="O48" s="64" t="s">
        <v>38</v>
      </c>
      <c r="P48" s="69">
        <f>uurtarief70</f>
        <v>0</v>
      </c>
      <c r="Q48" s="66" t="e">
        <f>IF(ISBLANK(M48),0,L48/ROUND(M48,4))</f>
        <v>#DIV/0!</v>
      </c>
      <c r="R48" s="66" t="e">
        <f>IF(ISBLANK(M48),0,Q48*ROUND(N48,2))</f>
        <v>#DIV/0!</v>
      </c>
      <c r="S48" s="69" t="e">
        <f>ROUND(P48,2)*Q48</f>
        <v>#DIV/0!</v>
      </c>
      <c r="T48" s="66" t="e">
        <f>Q48*dagenperjaar1</f>
        <v>#DIV/0!</v>
      </c>
      <c r="U48" s="70" t="e">
        <f>T48*ROUND(P48,2)</f>
        <v>#DIV/0!</v>
      </c>
    </row>
    <row r="49" spans="1:21" x14ac:dyDescent="0.2">
      <c r="A49" s="63" t="s">
        <v>2099</v>
      </c>
      <c r="B49" s="64" t="s">
        <v>324</v>
      </c>
      <c r="C49" s="64" t="s">
        <v>345</v>
      </c>
      <c r="D49" s="64" t="s">
        <v>2156</v>
      </c>
      <c r="E49" s="64" t="s">
        <v>1340</v>
      </c>
      <c r="F49" s="65" t="s">
        <v>641</v>
      </c>
      <c r="G49" s="64" t="s">
        <v>2128</v>
      </c>
      <c r="H49" s="64" t="s">
        <v>305</v>
      </c>
      <c r="I49" s="64" t="s">
        <v>21</v>
      </c>
      <c r="J49" s="64" t="s">
        <v>201</v>
      </c>
      <c r="K49" s="66">
        <v>3.72</v>
      </c>
      <c r="L49" s="66">
        <f>K49*VLOOKUP(I49,dagsoorttabel1,2,FALSE)</f>
        <v>9.3000000000000013E-2</v>
      </c>
      <c r="M49" s="67">
        <f>prodnorm73</f>
        <v>0</v>
      </c>
      <c r="N49" s="68">
        <f>dagwerk73</f>
        <v>0</v>
      </c>
      <c r="O49" s="64" t="s">
        <v>38</v>
      </c>
      <c r="P49" s="69">
        <f>uurtarief73</f>
        <v>0</v>
      </c>
      <c r="Q49" s="66" t="e">
        <f>IF(ISBLANK(M49),0,L49/ROUND(M49,4))</f>
        <v>#DIV/0!</v>
      </c>
      <c r="R49" s="66" t="e">
        <f>IF(ISBLANK(M49),0,Q49*ROUND(N49,2))</f>
        <v>#DIV/0!</v>
      </c>
      <c r="S49" s="69" t="e">
        <f>ROUND(P49,2)*Q49</f>
        <v>#DIV/0!</v>
      </c>
      <c r="T49" s="66" t="e">
        <f>Q49*dagenperjaar1</f>
        <v>#DIV/0!</v>
      </c>
      <c r="U49" s="70" t="e">
        <f>T49*ROUND(P49,2)</f>
        <v>#DIV/0!</v>
      </c>
    </row>
    <row r="50" spans="1:21" x14ac:dyDescent="0.2">
      <c r="A50" s="63" t="s">
        <v>2099</v>
      </c>
      <c r="B50" s="64" t="s">
        <v>324</v>
      </c>
      <c r="C50" s="64" t="s">
        <v>345</v>
      </c>
      <c r="D50" s="64" t="s">
        <v>2222</v>
      </c>
      <c r="E50" s="64" t="s">
        <v>1889</v>
      </c>
      <c r="F50" s="65" t="s">
        <v>641</v>
      </c>
      <c r="G50" s="64" t="s">
        <v>2128</v>
      </c>
      <c r="H50" s="64" t="s">
        <v>305</v>
      </c>
      <c r="I50" s="64" t="s">
        <v>21</v>
      </c>
      <c r="J50" s="64" t="s">
        <v>201</v>
      </c>
      <c r="K50" s="66">
        <v>3.71</v>
      </c>
      <c r="L50" s="66">
        <f>K50*VLOOKUP(I50,dagsoorttabel1,2,FALSE)</f>
        <v>9.2749999999999999E-2</v>
      </c>
      <c r="M50" s="67">
        <f>prodnorm73</f>
        <v>0</v>
      </c>
      <c r="N50" s="68">
        <f>dagwerk73</f>
        <v>0</v>
      </c>
      <c r="O50" s="64" t="s">
        <v>38</v>
      </c>
      <c r="P50" s="69">
        <f>uurtarief73</f>
        <v>0</v>
      </c>
      <c r="Q50" s="66" t="e">
        <f>IF(ISBLANK(M50),0,L50/ROUND(M50,4))</f>
        <v>#DIV/0!</v>
      </c>
      <c r="R50" s="66" t="e">
        <f>IF(ISBLANK(M50),0,Q50*ROUND(N50,2))</f>
        <v>#DIV/0!</v>
      </c>
      <c r="S50" s="69" t="e">
        <f>ROUND(P50,2)*Q50</f>
        <v>#DIV/0!</v>
      </c>
      <c r="T50" s="66" t="e">
        <f>Q50*dagenperjaar1</f>
        <v>#DIV/0!</v>
      </c>
      <c r="U50" s="70" t="e">
        <f>T50*ROUND(P50,2)</f>
        <v>#DIV/0!</v>
      </c>
    </row>
    <row r="51" spans="1:21" x14ac:dyDescent="0.2">
      <c r="A51" s="63" t="s">
        <v>2099</v>
      </c>
      <c r="B51" s="64" t="s">
        <v>324</v>
      </c>
      <c r="C51" s="64" t="s">
        <v>345</v>
      </c>
      <c r="D51" s="64" t="s">
        <v>2223</v>
      </c>
      <c r="E51" s="64" t="s">
        <v>2224</v>
      </c>
      <c r="F51" s="65" t="s">
        <v>834</v>
      </c>
      <c r="G51" s="64" t="s">
        <v>636</v>
      </c>
      <c r="H51" s="64" t="s">
        <v>308</v>
      </c>
      <c r="I51" s="64" t="s">
        <v>21</v>
      </c>
      <c r="J51" s="64" t="s">
        <v>201</v>
      </c>
      <c r="K51" s="66">
        <v>82.53</v>
      </c>
      <c r="L51" s="66">
        <f>K51*VLOOKUP(I51,dagsoorttabel1,2,FALSE)</f>
        <v>2.06325</v>
      </c>
      <c r="M51" s="67">
        <f>prodnorm75</f>
        <v>0</v>
      </c>
      <c r="N51" s="68">
        <f>dagwerk75</f>
        <v>0</v>
      </c>
      <c r="O51" s="64" t="s">
        <v>38</v>
      </c>
      <c r="P51" s="69">
        <f>uurtarief75</f>
        <v>0</v>
      </c>
      <c r="Q51" s="66" t="e">
        <f>IF(ISBLANK(M51),0,L51/ROUND(M51,4))</f>
        <v>#DIV/0!</v>
      </c>
      <c r="R51" s="66" t="e">
        <f>IF(ISBLANK(M51),0,Q51*ROUND(N51,2))</f>
        <v>#DIV/0!</v>
      </c>
      <c r="S51" s="69" t="e">
        <f>ROUND(P51,2)*Q51</f>
        <v>#DIV/0!</v>
      </c>
      <c r="T51" s="66" t="e">
        <f>Q51*dagenperjaar1</f>
        <v>#DIV/0!</v>
      </c>
      <c r="U51" s="70" t="e">
        <f>T51*ROUND(P51,2)</f>
        <v>#DIV/0!</v>
      </c>
    </row>
    <row r="52" spans="1:21" x14ac:dyDescent="0.2">
      <c r="A52" s="63" t="s">
        <v>2099</v>
      </c>
      <c r="B52" s="64" t="s">
        <v>324</v>
      </c>
      <c r="C52" s="64" t="s">
        <v>345</v>
      </c>
      <c r="D52" s="64" t="s">
        <v>2227</v>
      </c>
      <c r="E52" s="64" t="s">
        <v>892</v>
      </c>
      <c r="F52" s="65" t="s">
        <v>641</v>
      </c>
      <c r="G52" s="64" t="s">
        <v>2128</v>
      </c>
      <c r="H52" s="64" t="s">
        <v>305</v>
      </c>
      <c r="I52" s="64" t="s">
        <v>21</v>
      </c>
      <c r="J52" s="64" t="s">
        <v>201</v>
      </c>
      <c r="K52" s="66">
        <v>14.870000000000001</v>
      </c>
      <c r="L52" s="66">
        <f>K52*VLOOKUP(I52,dagsoorttabel1,2,FALSE)</f>
        <v>0.37175000000000002</v>
      </c>
      <c r="M52" s="67">
        <f>prodnorm73</f>
        <v>0</v>
      </c>
      <c r="N52" s="68">
        <f>dagwerk73</f>
        <v>0</v>
      </c>
      <c r="O52" s="64" t="s">
        <v>38</v>
      </c>
      <c r="P52" s="69">
        <f>uurtarief73</f>
        <v>0</v>
      </c>
      <c r="Q52" s="66" t="e">
        <f>IF(ISBLANK(M52),0,L52/ROUND(M52,4))</f>
        <v>#DIV/0!</v>
      </c>
      <c r="R52" s="66" t="e">
        <f>IF(ISBLANK(M52),0,Q52*ROUND(N52,2))</f>
        <v>#DIV/0!</v>
      </c>
      <c r="S52" s="69" t="e">
        <f>ROUND(P52,2)*Q52</f>
        <v>#DIV/0!</v>
      </c>
      <c r="T52" s="66" t="e">
        <f>Q52*dagenperjaar1</f>
        <v>#DIV/0!</v>
      </c>
      <c r="U52" s="70" t="e">
        <f>T52*ROUND(P52,2)</f>
        <v>#DIV/0!</v>
      </c>
    </row>
    <row r="53" spans="1:21" x14ac:dyDescent="0.2">
      <c r="A53" s="63" t="s">
        <v>2099</v>
      </c>
      <c r="B53" s="64" t="s">
        <v>324</v>
      </c>
      <c r="C53" s="64" t="s">
        <v>345</v>
      </c>
      <c r="D53" s="64" t="s">
        <v>2228</v>
      </c>
      <c r="E53" s="64" t="s">
        <v>893</v>
      </c>
      <c r="F53" s="65" t="s">
        <v>641</v>
      </c>
      <c r="G53" s="64" t="s">
        <v>2128</v>
      </c>
      <c r="H53" s="64" t="s">
        <v>305</v>
      </c>
      <c r="I53" s="64" t="s">
        <v>21</v>
      </c>
      <c r="J53" s="64" t="s">
        <v>201</v>
      </c>
      <c r="K53" s="66">
        <v>14.870000000000001</v>
      </c>
      <c r="L53" s="66">
        <f>K53*VLOOKUP(I53,dagsoorttabel1,2,FALSE)</f>
        <v>0.37175000000000002</v>
      </c>
      <c r="M53" s="67">
        <f>prodnorm73</f>
        <v>0</v>
      </c>
      <c r="N53" s="68">
        <f>dagwerk73</f>
        <v>0</v>
      </c>
      <c r="O53" s="64" t="s">
        <v>38</v>
      </c>
      <c r="P53" s="69">
        <f>uurtarief73</f>
        <v>0</v>
      </c>
      <c r="Q53" s="66" t="e">
        <f>IF(ISBLANK(M53),0,L53/ROUND(M53,4))</f>
        <v>#DIV/0!</v>
      </c>
      <c r="R53" s="66" t="e">
        <f>IF(ISBLANK(M53),0,Q53*ROUND(N53,2))</f>
        <v>#DIV/0!</v>
      </c>
      <c r="S53" s="69" t="e">
        <f>ROUND(P53,2)*Q53</f>
        <v>#DIV/0!</v>
      </c>
      <c r="T53" s="66" t="e">
        <f>Q53*dagenperjaar1</f>
        <v>#DIV/0!</v>
      </c>
      <c r="U53" s="70" t="e">
        <f>T53*ROUND(P53,2)</f>
        <v>#DIV/0!</v>
      </c>
    </row>
    <row r="54" spans="1:21" x14ac:dyDescent="0.2">
      <c r="A54" s="63" t="s">
        <v>2099</v>
      </c>
      <c r="B54" s="64" t="s">
        <v>324</v>
      </c>
      <c r="C54" s="64" t="s">
        <v>345</v>
      </c>
      <c r="D54" s="64" t="s">
        <v>2167</v>
      </c>
      <c r="E54" s="64" t="s">
        <v>895</v>
      </c>
      <c r="F54" s="65" t="s">
        <v>2230</v>
      </c>
      <c r="G54" s="64" t="s">
        <v>328</v>
      </c>
      <c r="H54" s="64" t="s">
        <v>305</v>
      </c>
      <c r="I54" s="64" t="s">
        <v>21</v>
      </c>
      <c r="J54" s="64" t="s">
        <v>201</v>
      </c>
      <c r="K54" s="66">
        <v>1.85</v>
      </c>
      <c r="L54" s="66">
        <f>K54*VLOOKUP(I54,dagsoorttabel1,2,FALSE)</f>
        <v>4.6250000000000006E-2</v>
      </c>
      <c r="M54" s="67">
        <f>prodnorm73</f>
        <v>0</v>
      </c>
      <c r="N54" s="68">
        <f>dagwerk73</f>
        <v>0</v>
      </c>
      <c r="O54" s="64" t="s">
        <v>38</v>
      </c>
      <c r="P54" s="69">
        <f>uurtarief73</f>
        <v>0</v>
      </c>
      <c r="Q54" s="66" t="e">
        <f>IF(ISBLANK(M54),0,L54/ROUND(M54,4))</f>
        <v>#DIV/0!</v>
      </c>
      <c r="R54" s="66" t="e">
        <f>IF(ISBLANK(M54),0,Q54*ROUND(N54,2))</f>
        <v>#DIV/0!</v>
      </c>
      <c r="S54" s="69" t="e">
        <f>ROUND(P54,2)*Q54</f>
        <v>#DIV/0!</v>
      </c>
      <c r="T54" s="66" t="e">
        <f>Q54*dagenperjaar1</f>
        <v>#DIV/0!</v>
      </c>
      <c r="U54" s="70" t="e">
        <f>T54*ROUND(P54,2)</f>
        <v>#DIV/0!</v>
      </c>
    </row>
    <row r="55" spans="1:21" x14ac:dyDescent="0.2">
      <c r="A55" s="63" t="s">
        <v>2099</v>
      </c>
      <c r="B55" s="64" t="s">
        <v>324</v>
      </c>
      <c r="C55" s="64" t="s">
        <v>345</v>
      </c>
      <c r="D55" s="64" t="s">
        <v>2231</v>
      </c>
      <c r="E55" s="64" t="s">
        <v>897</v>
      </c>
      <c r="F55" s="65" t="s">
        <v>354</v>
      </c>
      <c r="G55" s="64" t="s">
        <v>685</v>
      </c>
      <c r="H55" s="64" t="s">
        <v>304</v>
      </c>
      <c r="I55" s="64" t="s">
        <v>21</v>
      </c>
      <c r="J55" s="64" t="s">
        <v>201</v>
      </c>
      <c r="K55" s="66">
        <v>16.079999999999998</v>
      </c>
      <c r="L55" s="66">
        <f>K55*VLOOKUP(I55,dagsoorttabel1,2,FALSE)</f>
        <v>0.40199999999999997</v>
      </c>
      <c r="M55" s="67">
        <f>prodnorm72</f>
        <v>0</v>
      </c>
      <c r="N55" s="68">
        <f>dagwerk72</f>
        <v>0</v>
      </c>
      <c r="O55" s="64" t="s">
        <v>38</v>
      </c>
      <c r="P55" s="69">
        <f>uurtarief72</f>
        <v>0</v>
      </c>
      <c r="Q55" s="66" t="e">
        <f>IF(ISBLANK(M55),0,L55/ROUND(M55,4))</f>
        <v>#DIV/0!</v>
      </c>
      <c r="R55" s="66" t="e">
        <f>IF(ISBLANK(M55),0,Q55*ROUND(N55,2))</f>
        <v>#DIV/0!</v>
      </c>
      <c r="S55" s="69" t="e">
        <f>ROUND(P55,2)*Q55</f>
        <v>#DIV/0!</v>
      </c>
      <c r="T55" s="66" t="e">
        <f>Q55*dagenperjaar1</f>
        <v>#DIV/0!</v>
      </c>
      <c r="U55" s="70" t="e">
        <f>T55*ROUND(P55,2)</f>
        <v>#DIV/0!</v>
      </c>
    </row>
    <row r="56" spans="1:21" x14ac:dyDescent="0.2">
      <c r="A56" s="63" t="s">
        <v>2099</v>
      </c>
      <c r="B56" s="64" t="s">
        <v>324</v>
      </c>
      <c r="C56" s="64" t="s">
        <v>345</v>
      </c>
      <c r="D56" s="64" t="s">
        <v>2236</v>
      </c>
      <c r="E56" s="64" t="s">
        <v>2237</v>
      </c>
      <c r="F56" s="65" t="s">
        <v>834</v>
      </c>
      <c r="G56" s="64" t="s">
        <v>328</v>
      </c>
      <c r="H56" s="64" t="s">
        <v>308</v>
      </c>
      <c r="I56" s="64" t="s">
        <v>21</v>
      </c>
      <c r="J56" s="64" t="s">
        <v>201</v>
      </c>
      <c r="K56" s="66">
        <v>89.33</v>
      </c>
      <c r="L56" s="66">
        <f>K56*VLOOKUP(I56,dagsoorttabel1,2,FALSE)</f>
        <v>2.23325</v>
      </c>
      <c r="M56" s="67">
        <f>prodnorm75</f>
        <v>0</v>
      </c>
      <c r="N56" s="68">
        <f>dagwerk75</f>
        <v>0</v>
      </c>
      <c r="O56" s="64" t="s">
        <v>38</v>
      </c>
      <c r="P56" s="69">
        <f>uurtarief75</f>
        <v>0</v>
      </c>
      <c r="Q56" s="66" t="e">
        <f>IF(ISBLANK(M56),0,L56/ROUND(M56,4))</f>
        <v>#DIV/0!</v>
      </c>
      <c r="R56" s="66" t="e">
        <f>IF(ISBLANK(M56),0,Q56*ROUND(N56,2))</f>
        <v>#DIV/0!</v>
      </c>
      <c r="S56" s="69" t="e">
        <f>ROUND(P56,2)*Q56</f>
        <v>#DIV/0!</v>
      </c>
      <c r="T56" s="66" t="e">
        <f>Q56*dagenperjaar1</f>
        <v>#DIV/0!</v>
      </c>
      <c r="U56" s="70" t="e">
        <f>T56*ROUND(P56,2)</f>
        <v>#DIV/0!</v>
      </c>
    </row>
    <row r="57" spans="1:21" x14ac:dyDescent="0.2">
      <c r="A57" s="63" t="s">
        <v>2099</v>
      </c>
      <c r="B57" s="64" t="s">
        <v>324</v>
      </c>
      <c r="C57" s="64" t="s">
        <v>345</v>
      </c>
      <c r="D57" s="64" t="s">
        <v>2174</v>
      </c>
      <c r="E57" s="64" t="s">
        <v>908</v>
      </c>
      <c r="F57" s="65" t="s">
        <v>2239</v>
      </c>
      <c r="G57" s="64" t="s">
        <v>328</v>
      </c>
      <c r="H57" s="64" t="s">
        <v>302</v>
      </c>
      <c r="I57" s="64" t="s">
        <v>21</v>
      </c>
      <c r="J57" s="64" t="s">
        <v>201</v>
      </c>
      <c r="K57" s="66">
        <v>52.27</v>
      </c>
      <c r="L57" s="66">
        <f>K57*VLOOKUP(I57,dagsoorttabel1,2,FALSE)</f>
        <v>1.3067500000000001</v>
      </c>
      <c r="M57" s="67">
        <f>prodnorm70</f>
        <v>0</v>
      </c>
      <c r="N57" s="68">
        <f>dagwerk70</f>
        <v>0</v>
      </c>
      <c r="O57" s="64" t="s">
        <v>38</v>
      </c>
      <c r="P57" s="69">
        <f>uurtarief70</f>
        <v>0</v>
      </c>
      <c r="Q57" s="66" t="e">
        <f>IF(ISBLANK(M57),0,L57/ROUND(M57,4))</f>
        <v>#DIV/0!</v>
      </c>
      <c r="R57" s="66" t="e">
        <f>IF(ISBLANK(M57),0,Q57*ROUND(N57,2))</f>
        <v>#DIV/0!</v>
      </c>
      <c r="S57" s="69" t="e">
        <f>ROUND(P57,2)*Q57</f>
        <v>#DIV/0!</v>
      </c>
      <c r="T57" s="66" t="e">
        <f>Q57*dagenperjaar1</f>
        <v>#DIV/0!</v>
      </c>
      <c r="U57" s="70" t="e">
        <f>T57*ROUND(P57,2)</f>
        <v>#DIV/0!</v>
      </c>
    </row>
    <row r="58" spans="1:21" x14ac:dyDescent="0.2">
      <c r="A58" s="63" t="s">
        <v>2099</v>
      </c>
      <c r="B58" s="64" t="s">
        <v>324</v>
      </c>
      <c r="C58" s="64" t="s">
        <v>345</v>
      </c>
      <c r="D58" s="64" t="s">
        <v>2244</v>
      </c>
      <c r="E58" s="64" t="s">
        <v>910</v>
      </c>
      <c r="F58" s="65" t="s">
        <v>354</v>
      </c>
      <c r="G58" s="64" t="s">
        <v>685</v>
      </c>
      <c r="H58" s="64" t="s">
        <v>304</v>
      </c>
      <c r="I58" s="64" t="s">
        <v>21</v>
      </c>
      <c r="J58" s="64" t="s">
        <v>201</v>
      </c>
      <c r="K58" s="66">
        <v>10.92</v>
      </c>
      <c r="L58" s="66">
        <f>K58*VLOOKUP(I58,dagsoorttabel1,2,FALSE)</f>
        <v>0.27300000000000002</v>
      </c>
      <c r="M58" s="67">
        <f>prodnorm72</f>
        <v>0</v>
      </c>
      <c r="N58" s="68">
        <f>dagwerk72</f>
        <v>0</v>
      </c>
      <c r="O58" s="64" t="s">
        <v>38</v>
      </c>
      <c r="P58" s="69">
        <f>uurtarief72</f>
        <v>0</v>
      </c>
      <c r="Q58" s="66" t="e">
        <f>IF(ISBLANK(M58),0,L58/ROUND(M58,4))</f>
        <v>#DIV/0!</v>
      </c>
      <c r="R58" s="66" t="e">
        <f>IF(ISBLANK(M58),0,Q58*ROUND(N58,2))</f>
        <v>#DIV/0!</v>
      </c>
      <c r="S58" s="69" t="e">
        <f>ROUND(P58,2)*Q58</f>
        <v>#DIV/0!</v>
      </c>
      <c r="T58" s="66" t="e">
        <f>Q58*dagenperjaar1</f>
        <v>#DIV/0!</v>
      </c>
      <c r="U58" s="70" t="e">
        <f>T58*ROUND(P58,2)</f>
        <v>#DIV/0!</v>
      </c>
    </row>
    <row r="59" spans="1:21" x14ac:dyDescent="0.2">
      <c r="A59" s="63" t="s">
        <v>2099</v>
      </c>
      <c r="B59" s="64" t="s">
        <v>324</v>
      </c>
      <c r="C59" s="64" t="s">
        <v>345</v>
      </c>
      <c r="D59" s="64" t="s">
        <v>2245</v>
      </c>
      <c r="E59" s="64" t="s">
        <v>910</v>
      </c>
      <c r="F59" s="65" t="s">
        <v>2246</v>
      </c>
      <c r="G59" s="64" t="s">
        <v>328</v>
      </c>
      <c r="H59" s="64" t="s">
        <v>302</v>
      </c>
      <c r="I59" s="64" t="s">
        <v>21</v>
      </c>
      <c r="J59" s="64" t="s">
        <v>201</v>
      </c>
      <c r="K59" s="66">
        <v>40.04</v>
      </c>
      <c r="L59" s="66">
        <f>K59*VLOOKUP(I59,dagsoorttabel1,2,FALSE)</f>
        <v>1.0010000000000001</v>
      </c>
      <c r="M59" s="67">
        <f>prodnorm70</f>
        <v>0</v>
      </c>
      <c r="N59" s="68">
        <f>dagwerk70</f>
        <v>0</v>
      </c>
      <c r="O59" s="64" t="s">
        <v>38</v>
      </c>
      <c r="P59" s="69">
        <f>uurtarief70</f>
        <v>0</v>
      </c>
      <c r="Q59" s="66" t="e">
        <f>IF(ISBLANK(M59),0,L59/ROUND(M59,4))</f>
        <v>#DIV/0!</v>
      </c>
      <c r="R59" s="66" t="e">
        <f>IF(ISBLANK(M59),0,Q59*ROUND(N59,2))</f>
        <v>#DIV/0!</v>
      </c>
      <c r="S59" s="69" t="e">
        <f>ROUND(P59,2)*Q59</f>
        <v>#DIV/0!</v>
      </c>
      <c r="T59" s="66" t="e">
        <f>Q59*dagenperjaar1</f>
        <v>#DIV/0!</v>
      </c>
      <c r="U59" s="70" t="e">
        <f>T59*ROUND(P59,2)</f>
        <v>#DIV/0!</v>
      </c>
    </row>
    <row r="60" spans="1:21" x14ac:dyDescent="0.2">
      <c r="A60" s="63" t="s">
        <v>2099</v>
      </c>
      <c r="B60" s="64" t="s">
        <v>324</v>
      </c>
      <c r="C60" s="64" t="s">
        <v>345</v>
      </c>
      <c r="D60" s="64" t="s">
        <v>2247</v>
      </c>
      <c r="E60" s="64" t="s">
        <v>2248</v>
      </c>
      <c r="F60" s="65" t="s">
        <v>2249</v>
      </c>
      <c r="G60" s="64" t="s">
        <v>328</v>
      </c>
      <c r="H60" s="64" t="s">
        <v>302</v>
      </c>
      <c r="I60" s="64" t="s">
        <v>21</v>
      </c>
      <c r="J60" s="64" t="s">
        <v>201</v>
      </c>
      <c r="K60" s="66">
        <v>17.03</v>
      </c>
      <c r="L60" s="66">
        <f>K60*VLOOKUP(I60,dagsoorttabel1,2,FALSE)</f>
        <v>0.42575000000000007</v>
      </c>
      <c r="M60" s="67">
        <f>prodnorm70</f>
        <v>0</v>
      </c>
      <c r="N60" s="68">
        <f>dagwerk70</f>
        <v>0</v>
      </c>
      <c r="O60" s="64" t="s">
        <v>38</v>
      </c>
      <c r="P60" s="69">
        <f>uurtarief70</f>
        <v>0</v>
      </c>
      <c r="Q60" s="66" t="e">
        <f>IF(ISBLANK(M60),0,L60/ROUND(M60,4))</f>
        <v>#DIV/0!</v>
      </c>
      <c r="R60" s="66" t="e">
        <f>IF(ISBLANK(M60),0,Q60*ROUND(N60,2))</f>
        <v>#DIV/0!</v>
      </c>
      <c r="S60" s="69" t="e">
        <f>ROUND(P60,2)*Q60</f>
        <v>#DIV/0!</v>
      </c>
      <c r="T60" s="66" t="e">
        <f>Q60*dagenperjaar1</f>
        <v>#DIV/0!</v>
      </c>
      <c r="U60" s="70" t="e">
        <f>T60*ROUND(P60,2)</f>
        <v>#DIV/0!</v>
      </c>
    </row>
    <row r="61" spans="1:21" x14ac:dyDescent="0.2">
      <c r="A61" s="63" t="s">
        <v>2099</v>
      </c>
      <c r="B61" s="64" t="s">
        <v>324</v>
      </c>
      <c r="C61" s="64" t="s">
        <v>345</v>
      </c>
      <c r="D61" s="64" t="s">
        <v>2177</v>
      </c>
      <c r="E61" s="64" t="s">
        <v>2250</v>
      </c>
      <c r="F61" s="65" t="s">
        <v>834</v>
      </c>
      <c r="G61" s="64" t="s">
        <v>328</v>
      </c>
      <c r="H61" s="64" t="s">
        <v>308</v>
      </c>
      <c r="I61" s="64" t="s">
        <v>21</v>
      </c>
      <c r="J61" s="64" t="s">
        <v>201</v>
      </c>
      <c r="K61" s="66">
        <v>61.15</v>
      </c>
      <c r="L61" s="66">
        <f>K61*VLOOKUP(I61,dagsoorttabel1,2,FALSE)</f>
        <v>1.5287500000000001</v>
      </c>
      <c r="M61" s="67">
        <f>prodnorm75</f>
        <v>0</v>
      </c>
      <c r="N61" s="68">
        <f>dagwerk75</f>
        <v>0</v>
      </c>
      <c r="O61" s="64" t="s">
        <v>38</v>
      </c>
      <c r="P61" s="69">
        <f>uurtarief75</f>
        <v>0</v>
      </c>
      <c r="Q61" s="66" t="e">
        <f>IF(ISBLANK(M61),0,L61/ROUND(M61,4))</f>
        <v>#DIV/0!</v>
      </c>
      <c r="R61" s="66" t="e">
        <f>IF(ISBLANK(M61),0,Q61*ROUND(N61,2))</f>
        <v>#DIV/0!</v>
      </c>
      <c r="S61" s="69" t="e">
        <f>ROUND(P61,2)*Q61</f>
        <v>#DIV/0!</v>
      </c>
      <c r="T61" s="66" t="e">
        <f>Q61*dagenperjaar1</f>
        <v>#DIV/0!</v>
      </c>
      <c r="U61" s="70" t="e">
        <f>T61*ROUND(P61,2)</f>
        <v>#DIV/0!</v>
      </c>
    </row>
    <row r="62" spans="1:21" x14ac:dyDescent="0.2">
      <c r="A62" s="63" t="s">
        <v>2099</v>
      </c>
      <c r="B62" s="64" t="s">
        <v>324</v>
      </c>
      <c r="C62" s="64" t="s">
        <v>345</v>
      </c>
      <c r="D62" s="64" t="s">
        <v>2251</v>
      </c>
      <c r="E62" s="64" t="s">
        <v>1899</v>
      </c>
      <c r="F62" s="65" t="s">
        <v>641</v>
      </c>
      <c r="G62" s="64" t="s">
        <v>2128</v>
      </c>
      <c r="H62" s="64" t="s">
        <v>305</v>
      </c>
      <c r="I62" s="64" t="s">
        <v>21</v>
      </c>
      <c r="J62" s="64" t="s">
        <v>201</v>
      </c>
      <c r="K62" s="66">
        <v>1.6</v>
      </c>
      <c r="L62" s="66">
        <f>K62*VLOOKUP(I62,dagsoorttabel1,2,FALSE)</f>
        <v>4.0000000000000008E-2</v>
      </c>
      <c r="M62" s="67">
        <f>prodnorm73</f>
        <v>0</v>
      </c>
      <c r="N62" s="68">
        <f>dagwerk73</f>
        <v>0</v>
      </c>
      <c r="O62" s="64" t="s">
        <v>38</v>
      </c>
      <c r="P62" s="69">
        <f>uurtarief73</f>
        <v>0</v>
      </c>
      <c r="Q62" s="66" t="e">
        <f>IF(ISBLANK(M62),0,L62/ROUND(M62,4))</f>
        <v>#DIV/0!</v>
      </c>
      <c r="R62" s="66" t="e">
        <f>IF(ISBLANK(M62),0,Q62*ROUND(N62,2))</f>
        <v>#DIV/0!</v>
      </c>
      <c r="S62" s="69" t="e">
        <f>ROUND(P62,2)*Q62</f>
        <v>#DIV/0!</v>
      </c>
      <c r="T62" s="66" t="e">
        <f>Q62*dagenperjaar1</f>
        <v>#DIV/0!</v>
      </c>
      <c r="U62" s="70" t="e">
        <f>T62*ROUND(P62,2)</f>
        <v>#DIV/0!</v>
      </c>
    </row>
    <row r="63" spans="1:21" x14ac:dyDescent="0.2">
      <c r="A63" s="63" t="s">
        <v>2099</v>
      </c>
      <c r="B63" s="64" t="s">
        <v>324</v>
      </c>
      <c r="C63" s="64" t="s">
        <v>345</v>
      </c>
      <c r="D63" s="64" t="s">
        <v>2252</v>
      </c>
      <c r="E63" s="64" t="s">
        <v>1901</v>
      </c>
      <c r="F63" s="65" t="s">
        <v>641</v>
      </c>
      <c r="G63" s="64" t="s">
        <v>2128</v>
      </c>
      <c r="H63" s="64" t="s">
        <v>305</v>
      </c>
      <c r="I63" s="64" t="s">
        <v>21</v>
      </c>
      <c r="J63" s="64" t="s">
        <v>201</v>
      </c>
      <c r="K63" s="66">
        <v>1.6300000000000001</v>
      </c>
      <c r="L63" s="66">
        <f>K63*VLOOKUP(I63,dagsoorttabel1,2,FALSE)</f>
        <v>4.0750000000000008E-2</v>
      </c>
      <c r="M63" s="67">
        <f>prodnorm73</f>
        <v>0</v>
      </c>
      <c r="N63" s="68">
        <f>dagwerk73</f>
        <v>0</v>
      </c>
      <c r="O63" s="64" t="s">
        <v>38</v>
      </c>
      <c r="P63" s="69">
        <f>uurtarief73</f>
        <v>0</v>
      </c>
      <c r="Q63" s="66" t="e">
        <f>IF(ISBLANK(M63),0,L63/ROUND(M63,4))</f>
        <v>#DIV/0!</v>
      </c>
      <c r="R63" s="66" t="e">
        <f>IF(ISBLANK(M63),0,Q63*ROUND(N63,2))</f>
        <v>#DIV/0!</v>
      </c>
      <c r="S63" s="69" t="e">
        <f>ROUND(P63,2)*Q63</f>
        <v>#DIV/0!</v>
      </c>
      <c r="T63" s="66" t="e">
        <f>Q63*dagenperjaar1</f>
        <v>#DIV/0!</v>
      </c>
      <c r="U63" s="70" t="e">
        <f>T63*ROUND(P63,2)</f>
        <v>#DIV/0!</v>
      </c>
    </row>
    <row r="64" spans="1:21" x14ac:dyDescent="0.2">
      <c r="A64" s="63" t="s">
        <v>2099</v>
      </c>
      <c r="B64" s="64" t="s">
        <v>324</v>
      </c>
      <c r="C64" s="64" t="s">
        <v>345</v>
      </c>
      <c r="D64" s="64" t="s">
        <v>2181</v>
      </c>
      <c r="E64" s="64" t="s">
        <v>1902</v>
      </c>
      <c r="F64" s="65" t="s">
        <v>641</v>
      </c>
      <c r="G64" s="64" t="s">
        <v>2128</v>
      </c>
      <c r="H64" s="64" t="s">
        <v>305</v>
      </c>
      <c r="I64" s="64" t="s">
        <v>21</v>
      </c>
      <c r="J64" s="64" t="s">
        <v>201</v>
      </c>
      <c r="K64" s="66">
        <v>4.1499999999999995</v>
      </c>
      <c r="L64" s="66">
        <f>K64*VLOOKUP(I64,dagsoorttabel1,2,FALSE)</f>
        <v>0.10375</v>
      </c>
      <c r="M64" s="67">
        <f>prodnorm73</f>
        <v>0</v>
      </c>
      <c r="N64" s="68">
        <f>dagwerk73</f>
        <v>0</v>
      </c>
      <c r="O64" s="64" t="s">
        <v>38</v>
      </c>
      <c r="P64" s="69">
        <f>uurtarief73</f>
        <v>0</v>
      </c>
      <c r="Q64" s="66" t="e">
        <f>IF(ISBLANK(M64),0,L64/ROUND(M64,4))</f>
        <v>#DIV/0!</v>
      </c>
      <c r="R64" s="66" t="e">
        <f>IF(ISBLANK(M64),0,Q64*ROUND(N64,2))</f>
        <v>#DIV/0!</v>
      </c>
      <c r="S64" s="69" t="e">
        <f>ROUND(P64,2)*Q64</f>
        <v>#DIV/0!</v>
      </c>
      <c r="T64" s="66" t="e">
        <f>Q64*dagenperjaar1</f>
        <v>#DIV/0!</v>
      </c>
      <c r="U64" s="70" t="e">
        <f>T64*ROUND(P64,2)</f>
        <v>#DIV/0!</v>
      </c>
    </row>
    <row r="65" spans="1:21" x14ac:dyDescent="0.2">
      <c r="A65" s="63" t="s">
        <v>2099</v>
      </c>
      <c r="B65" s="64" t="s">
        <v>324</v>
      </c>
      <c r="C65" s="64" t="s">
        <v>345</v>
      </c>
      <c r="D65" s="64" t="s">
        <v>2256</v>
      </c>
      <c r="E65" s="64" t="s">
        <v>2255</v>
      </c>
      <c r="F65" s="65" t="s">
        <v>641</v>
      </c>
      <c r="G65" s="64" t="s">
        <v>2128</v>
      </c>
      <c r="H65" s="64" t="s">
        <v>305</v>
      </c>
      <c r="I65" s="64" t="s">
        <v>21</v>
      </c>
      <c r="J65" s="64" t="s">
        <v>201</v>
      </c>
      <c r="K65" s="66">
        <v>10.67</v>
      </c>
      <c r="L65" s="66">
        <f>K65*VLOOKUP(I65,dagsoorttabel1,2,FALSE)</f>
        <v>0.26674999999999999</v>
      </c>
      <c r="M65" s="67">
        <f>prodnorm73</f>
        <v>0</v>
      </c>
      <c r="N65" s="68">
        <f>dagwerk73</f>
        <v>0</v>
      </c>
      <c r="O65" s="64" t="s">
        <v>38</v>
      </c>
      <c r="P65" s="69">
        <f>uurtarief73</f>
        <v>0</v>
      </c>
      <c r="Q65" s="66" t="e">
        <f>IF(ISBLANK(M65),0,L65/ROUND(M65,4))</f>
        <v>#DIV/0!</v>
      </c>
      <c r="R65" s="66" t="e">
        <f>IF(ISBLANK(M65),0,Q65*ROUND(N65,2))</f>
        <v>#DIV/0!</v>
      </c>
      <c r="S65" s="69" t="e">
        <f>ROUND(P65,2)*Q65</f>
        <v>#DIV/0!</v>
      </c>
      <c r="T65" s="66" t="e">
        <f>Q65*dagenperjaar1</f>
        <v>#DIV/0!</v>
      </c>
      <c r="U65" s="70" t="e">
        <f>T65*ROUND(P65,2)</f>
        <v>#DIV/0!</v>
      </c>
    </row>
    <row r="66" spans="1:21" x14ac:dyDescent="0.2">
      <c r="A66" s="63" t="s">
        <v>2099</v>
      </c>
      <c r="B66" s="64" t="s">
        <v>324</v>
      </c>
      <c r="C66" s="64" t="s">
        <v>345</v>
      </c>
      <c r="D66" s="64" t="s">
        <v>2257</v>
      </c>
      <c r="E66" s="64" t="s">
        <v>2258</v>
      </c>
      <c r="F66" s="65" t="s">
        <v>834</v>
      </c>
      <c r="G66" s="64" t="s">
        <v>328</v>
      </c>
      <c r="H66" s="64" t="s">
        <v>308</v>
      </c>
      <c r="I66" s="64" t="s">
        <v>21</v>
      </c>
      <c r="J66" s="64" t="s">
        <v>201</v>
      </c>
      <c r="K66" s="66">
        <v>89.33</v>
      </c>
      <c r="L66" s="66">
        <f>K66*VLOOKUP(I66,dagsoorttabel1,2,FALSE)</f>
        <v>2.23325</v>
      </c>
      <c r="M66" s="67">
        <f>prodnorm75</f>
        <v>0</v>
      </c>
      <c r="N66" s="68">
        <f>dagwerk75</f>
        <v>0</v>
      </c>
      <c r="O66" s="64" t="s">
        <v>38</v>
      </c>
      <c r="P66" s="69">
        <f>uurtarief75</f>
        <v>0</v>
      </c>
      <c r="Q66" s="66" t="e">
        <f>IF(ISBLANK(M66),0,L66/ROUND(M66,4))</f>
        <v>#DIV/0!</v>
      </c>
      <c r="R66" s="66" t="e">
        <f>IF(ISBLANK(M66),0,Q66*ROUND(N66,2))</f>
        <v>#DIV/0!</v>
      </c>
      <c r="S66" s="69" t="e">
        <f>ROUND(P66,2)*Q66</f>
        <v>#DIV/0!</v>
      </c>
      <c r="T66" s="66" t="e">
        <f>Q66*dagenperjaar1</f>
        <v>#DIV/0!</v>
      </c>
      <c r="U66" s="70" t="e">
        <f>T66*ROUND(P66,2)</f>
        <v>#DIV/0!</v>
      </c>
    </row>
    <row r="67" spans="1:21" x14ac:dyDescent="0.2">
      <c r="A67" s="63" t="s">
        <v>2099</v>
      </c>
      <c r="B67" s="64" t="s">
        <v>324</v>
      </c>
      <c r="C67" s="64" t="s">
        <v>345</v>
      </c>
      <c r="D67" s="64" t="s">
        <v>2272</v>
      </c>
      <c r="E67" s="64" t="s">
        <v>2273</v>
      </c>
      <c r="F67" s="65" t="s">
        <v>834</v>
      </c>
      <c r="G67" s="64" t="s">
        <v>328</v>
      </c>
      <c r="H67" s="64" t="s">
        <v>308</v>
      </c>
      <c r="I67" s="64" t="s">
        <v>21</v>
      </c>
      <c r="J67" s="64" t="s">
        <v>201</v>
      </c>
      <c r="K67" s="66">
        <v>90.3</v>
      </c>
      <c r="L67" s="66">
        <f>K67*VLOOKUP(I67,dagsoorttabel1,2,FALSE)</f>
        <v>2.2574999999999998</v>
      </c>
      <c r="M67" s="67">
        <f>prodnorm75</f>
        <v>0</v>
      </c>
      <c r="N67" s="68">
        <f>dagwerk75</f>
        <v>0</v>
      </c>
      <c r="O67" s="64" t="s">
        <v>38</v>
      </c>
      <c r="P67" s="69">
        <f>uurtarief75</f>
        <v>0</v>
      </c>
      <c r="Q67" s="66" t="e">
        <f>IF(ISBLANK(M67),0,L67/ROUND(M67,4))</f>
        <v>#DIV/0!</v>
      </c>
      <c r="R67" s="66" t="e">
        <f>IF(ISBLANK(M67),0,Q67*ROUND(N67,2))</f>
        <v>#DIV/0!</v>
      </c>
      <c r="S67" s="69" t="e">
        <f>ROUND(P67,2)*Q67</f>
        <v>#DIV/0!</v>
      </c>
      <c r="T67" s="66" t="e">
        <f>Q67*dagenperjaar1</f>
        <v>#DIV/0!</v>
      </c>
      <c r="U67" s="70" t="e">
        <f>T67*ROUND(P67,2)</f>
        <v>#DIV/0!</v>
      </c>
    </row>
    <row r="68" spans="1:21" x14ac:dyDescent="0.2">
      <c r="A68" s="63" t="s">
        <v>2099</v>
      </c>
      <c r="B68" s="64" t="s">
        <v>324</v>
      </c>
      <c r="C68" s="64" t="s">
        <v>345</v>
      </c>
      <c r="D68" s="64" t="s">
        <v>2279</v>
      </c>
      <c r="E68" s="64" t="s">
        <v>2280</v>
      </c>
      <c r="F68" s="65" t="s">
        <v>2281</v>
      </c>
      <c r="G68" s="64" t="s">
        <v>328</v>
      </c>
      <c r="H68" s="64" t="s">
        <v>302</v>
      </c>
      <c r="I68" s="64" t="s">
        <v>21</v>
      </c>
      <c r="J68" s="64" t="s">
        <v>201</v>
      </c>
      <c r="K68" s="66">
        <v>33.97</v>
      </c>
      <c r="L68" s="66">
        <f>K68*VLOOKUP(I68,dagsoorttabel1,2,FALSE)</f>
        <v>0.84925000000000006</v>
      </c>
      <c r="M68" s="67">
        <f>prodnorm70</f>
        <v>0</v>
      </c>
      <c r="N68" s="68">
        <f>dagwerk70</f>
        <v>0</v>
      </c>
      <c r="O68" s="64" t="s">
        <v>38</v>
      </c>
      <c r="P68" s="69">
        <f>uurtarief70</f>
        <v>0</v>
      </c>
      <c r="Q68" s="66" t="e">
        <f>IF(ISBLANK(M68),0,L68/ROUND(M68,4))</f>
        <v>#DIV/0!</v>
      </c>
      <c r="R68" s="66" t="e">
        <f>IF(ISBLANK(M68),0,Q68*ROUND(N68,2))</f>
        <v>#DIV/0!</v>
      </c>
      <c r="S68" s="69" t="e">
        <f>ROUND(P68,2)*Q68</f>
        <v>#DIV/0!</v>
      </c>
      <c r="T68" s="66" t="e">
        <f>Q68*dagenperjaar1</f>
        <v>#DIV/0!</v>
      </c>
      <c r="U68" s="70" t="e">
        <f>T68*ROUND(P68,2)</f>
        <v>#DIV/0!</v>
      </c>
    </row>
    <row r="69" spans="1:21" x14ac:dyDescent="0.2">
      <c r="A69" s="63" t="s">
        <v>2099</v>
      </c>
      <c r="B69" s="64" t="s">
        <v>324</v>
      </c>
      <c r="C69" s="64" t="s">
        <v>345</v>
      </c>
      <c r="D69" s="64" t="s">
        <v>2285</v>
      </c>
      <c r="E69" s="64" t="s">
        <v>2286</v>
      </c>
      <c r="F69" s="65" t="s">
        <v>641</v>
      </c>
      <c r="G69" s="64" t="s">
        <v>2128</v>
      </c>
      <c r="H69" s="64" t="s">
        <v>305</v>
      </c>
      <c r="I69" s="64" t="s">
        <v>21</v>
      </c>
      <c r="J69" s="64" t="s">
        <v>201</v>
      </c>
      <c r="K69" s="66">
        <v>4.8499999999999996</v>
      </c>
      <c r="L69" s="66">
        <f>K69*VLOOKUP(I69,dagsoorttabel1,2,FALSE)</f>
        <v>0.12125</v>
      </c>
      <c r="M69" s="67">
        <f>prodnorm73</f>
        <v>0</v>
      </c>
      <c r="N69" s="68">
        <f>dagwerk73</f>
        <v>0</v>
      </c>
      <c r="O69" s="64" t="s">
        <v>38</v>
      </c>
      <c r="P69" s="69">
        <f>uurtarief73</f>
        <v>0</v>
      </c>
      <c r="Q69" s="66" t="e">
        <f>IF(ISBLANK(M69),0,L69/ROUND(M69,4))</f>
        <v>#DIV/0!</v>
      </c>
      <c r="R69" s="66" t="e">
        <f>IF(ISBLANK(M69),0,Q69*ROUND(N69,2))</f>
        <v>#DIV/0!</v>
      </c>
      <c r="S69" s="69" t="e">
        <f>ROUND(P69,2)*Q69</f>
        <v>#DIV/0!</v>
      </c>
      <c r="T69" s="66" t="e">
        <f>Q69*dagenperjaar1</f>
        <v>#DIV/0!</v>
      </c>
      <c r="U69" s="70" t="e">
        <f>T69*ROUND(P69,2)</f>
        <v>#DIV/0!</v>
      </c>
    </row>
    <row r="70" spans="1:21" x14ac:dyDescent="0.2">
      <c r="A70" s="63" t="s">
        <v>2099</v>
      </c>
      <c r="B70" s="64" t="s">
        <v>324</v>
      </c>
      <c r="C70" s="64" t="s">
        <v>345</v>
      </c>
      <c r="D70" s="64" t="s">
        <v>2287</v>
      </c>
      <c r="E70" s="64" t="s">
        <v>2288</v>
      </c>
      <c r="F70" s="65" t="s">
        <v>641</v>
      </c>
      <c r="G70" s="64" t="s">
        <v>2128</v>
      </c>
      <c r="H70" s="64" t="s">
        <v>305</v>
      </c>
      <c r="I70" s="64" t="s">
        <v>21</v>
      </c>
      <c r="J70" s="64" t="s">
        <v>201</v>
      </c>
      <c r="K70" s="66">
        <v>9.7099999999999991</v>
      </c>
      <c r="L70" s="66">
        <f>K70*VLOOKUP(I70,dagsoorttabel1,2,FALSE)</f>
        <v>0.24274999999999999</v>
      </c>
      <c r="M70" s="67">
        <f>prodnorm73</f>
        <v>0</v>
      </c>
      <c r="N70" s="68">
        <f>dagwerk73</f>
        <v>0</v>
      </c>
      <c r="O70" s="64" t="s">
        <v>38</v>
      </c>
      <c r="P70" s="69">
        <f>uurtarief73</f>
        <v>0</v>
      </c>
      <c r="Q70" s="66" t="e">
        <f>IF(ISBLANK(M70),0,L70/ROUND(M70,4))</f>
        <v>#DIV/0!</v>
      </c>
      <c r="R70" s="66" t="e">
        <f>IF(ISBLANK(M70),0,Q70*ROUND(N70,2))</f>
        <v>#DIV/0!</v>
      </c>
      <c r="S70" s="69" t="e">
        <f>ROUND(P70,2)*Q70</f>
        <v>#DIV/0!</v>
      </c>
      <c r="T70" s="66" t="e">
        <f>Q70*dagenperjaar1</f>
        <v>#DIV/0!</v>
      </c>
      <c r="U70" s="70" t="e">
        <f>T70*ROUND(P70,2)</f>
        <v>#DIV/0!</v>
      </c>
    </row>
    <row r="71" spans="1:21" x14ac:dyDescent="0.2">
      <c r="A71" s="63" t="s">
        <v>2099</v>
      </c>
      <c r="B71" s="64" t="s">
        <v>324</v>
      </c>
      <c r="C71" s="64" t="s">
        <v>345</v>
      </c>
      <c r="D71" s="64" t="s">
        <v>2289</v>
      </c>
      <c r="E71" s="64" t="s">
        <v>2290</v>
      </c>
      <c r="F71" s="65" t="s">
        <v>834</v>
      </c>
      <c r="G71" s="64" t="s">
        <v>328</v>
      </c>
      <c r="H71" s="64" t="s">
        <v>308</v>
      </c>
      <c r="I71" s="64" t="s">
        <v>21</v>
      </c>
      <c r="J71" s="64" t="s">
        <v>201</v>
      </c>
      <c r="K71" s="66">
        <v>67.97</v>
      </c>
      <c r="L71" s="66">
        <f>K71*VLOOKUP(I71,dagsoorttabel1,2,FALSE)</f>
        <v>1.6992500000000001</v>
      </c>
      <c r="M71" s="67">
        <f>prodnorm75</f>
        <v>0</v>
      </c>
      <c r="N71" s="68">
        <f>dagwerk75</f>
        <v>0</v>
      </c>
      <c r="O71" s="64" t="s">
        <v>38</v>
      </c>
      <c r="P71" s="69">
        <f>uurtarief75</f>
        <v>0</v>
      </c>
      <c r="Q71" s="66" t="e">
        <f>IF(ISBLANK(M71),0,L71/ROUND(M71,4))</f>
        <v>#DIV/0!</v>
      </c>
      <c r="R71" s="66" t="e">
        <f>IF(ISBLANK(M71),0,Q71*ROUND(N71,2))</f>
        <v>#DIV/0!</v>
      </c>
      <c r="S71" s="69" t="e">
        <f>ROUND(P71,2)*Q71</f>
        <v>#DIV/0!</v>
      </c>
      <c r="T71" s="66" t="e">
        <f>Q71*dagenperjaar1</f>
        <v>#DIV/0!</v>
      </c>
      <c r="U71" s="70" t="e">
        <f>T71*ROUND(P71,2)</f>
        <v>#DIV/0!</v>
      </c>
    </row>
    <row r="72" spans="1:21" x14ac:dyDescent="0.2">
      <c r="A72" s="63" t="s">
        <v>2099</v>
      </c>
      <c r="B72" s="64" t="s">
        <v>324</v>
      </c>
      <c r="C72" s="64" t="s">
        <v>345</v>
      </c>
      <c r="D72" s="64" t="s">
        <v>2191</v>
      </c>
      <c r="E72" s="64" t="s">
        <v>2293</v>
      </c>
      <c r="F72" s="65" t="s">
        <v>638</v>
      </c>
      <c r="G72" s="64" t="s">
        <v>328</v>
      </c>
      <c r="H72" s="64" t="s">
        <v>306</v>
      </c>
      <c r="I72" s="64" t="s">
        <v>21</v>
      </c>
      <c r="J72" s="64" t="s">
        <v>201</v>
      </c>
      <c r="K72" s="66">
        <v>12.739999999999998</v>
      </c>
      <c r="L72" s="66">
        <f>K72*VLOOKUP(I72,dagsoorttabel1,2,FALSE)</f>
        <v>0.31850000000000001</v>
      </c>
      <c r="M72" s="67">
        <f>prodnorm74</f>
        <v>0</v>
      </c>
      <c r="N72" s="68">
        <f>dagwerk74</f>
        <v>0</v>
      </c>
      <c r="O72" s="64" t="s">
        <v>38</v>
      </c>
      <c r="P72" s="69">
        <f>uurtarief74</f>
        <v>0</v>
      </c>
      <c r="Q72" s="66" t="e">
        <f>IF(ISBLANK(M72),0,L72/ROUND(M72,4))</f>
        <v>#DIV/0!</v>
      </c>
      <c r="R72" s="66" t="e">
        <f>IF(ISBLANK(M72),0,Q72*ROUND(N72,2))</f>
        <v>#DIV/0!</v>
      </c>
      <c r="S72" s="69" t="e">
        <f>ROUND(P72,2)*Q72</f>
        <v>#DIV/0!</v>
      </c>
      <c r="T72" s="66" t="e">
        <f>Q72*dagenperjaar1</f>
        <v>#DIV/0!</v>
      </c>
      <c r="U72" s="70" t="e">
        <f>T72*ROUND(P72,2)</f>
        <v>#DIV/0!</v>
      </c>
    </row>
    <row r="73" spans="1:21" x14ac:dyDescent="0.2">
      <c r="A73" s="63" t="s">
        <v>2099</v>
      </c>
      <c r="B73" s="64" t="s">
        <v>324</v>
      </c>
      <c r="C73" s="64" t="s">
        <v>345</v>
      </c>
      <c r="D73" s="64" t="s">
        <v>2294</v>
      </c>
      <c r="E73" s="64" t="s">
        <v>2295</v>
      </c>
      <c r="F73" s="65" t="s">
        <v>638</v>
      </c>
      <c r="G73" s="64" t="s">
        <v>328</v>
      </c>
      <c r="H73" s="64" t="s">
        <v>306</v>
      </c>
      <c r="I73" s="64" t="s">
        <v>21</v>
      </c>
      <c r="J73" s="64" t="s">
        <v>201</v>
      </c>
      <c r="K73" s="66">
        <v>11.04</v>
      </c>
      <c r="L73" s="66">
        <f>K73*VLOOKUP(I73,dagsoorttabel1,2,FALSE)</f>
        <v>0.27599999999999997</v>
      </c>
      <c r="M73" s="67">
        <f>prodnorm74</f>
        <v>0</v>
      </c>
      <c r="N73" s="68">
        <f>dagwerk74</f>
        <v>0</v>
      </c>
      <c r="O73" s="64" t="s">
        <v>38</v>
      </c>
      <c r="P73" s="69">
        <f>uurtarief74</f>
        <v>0</v>
      </c>
      <c r="Q73" s="66" t="e">
        <f>IF(ISBLANK(M73),0,L73/ROUND(M73,4))</f>
        <v>#DIV/0!</v>
      </c>
      <c r="R73" s="66" t="e">
        <f>IF(ISBLANK(M73),0,Q73*ROUND(N73,2))</f>
        <v>#DIV/0!</v>
      </c>
      <c r="S73" s="69" t="e">
        <f>ROUND(P73,2)*Q73</f>
        <v>#DIV/0!</v>
      </c>
      <c r="T73" s="66" t="e">
        <f>Q73*dagenperjaar1</f>
        <v>#DIV/0!</v>
      </c>
      <c r="U73" s="70" t="e">
        <f>T73*ROUND(P73,2)</f>
        <v>#DIV/0!</v>
      </c>
    </row>
    <row r="74" spans="1:21" x14ac:dyDescent="0.2">
      <c r="A74" s="63" t="s">
        <v>2099</v>
      </c>
      <c r="B74" s="64" t="s">
        <v>324</v>
      </c>
      <c r="C74" s="64" t="s">
        <v>345</v>
      </c>
      <c r="D74" s="64" t="s">
        <v>2296</v>
      </c>
      <c r="E74" s="64" t="s">
        <v>2297</v>
      </c>
      <c r="F74" s="65" t="s">
        <v>638</v>
      </c>
      <c r="G74" s="64" t="s">
        <v>328</v>
      </c>
      <c r="H74" s="64" t="s">
        <v>306</v>
      </c>
      <c r="I74" s="64" t="s">
        <v>21</v>
      </c>
      <c r="J74" s="64" t="s">
        <v>201</v>
      </c>
      <c r="K74" s="66">
        <v>12.739999999999998</v>
      </c>
      <c r="L74" s="66">
        <f>K74*VLOOKUP(I74,dagsoorttabel1,2,FALSE)</f>
        <v>0.31850000000000001</v>
      </c>
      <c r="M74" s="67">
        <f>prodnorm74</f>
        <v>0</v>
      </c>
      <c r="N74" s="68">
        <f>dagwerk74</f>
        <v>0</v>
      </c>
      <c r="O74" s="64" t="s">
        <v>38</v>
      </c>
      <c r="P74" s="69">
        <f>uurtarief74</f>
        <v>0</v>
      </c>
      <c r="Q74" s="66" t="e">
        <f>IF(ISBLANK(M74),0,L74/ROUND(M74,4))</f>
        <v>#DIV/0!</v>
      </c>
      <c r="R74" s="66" t="e">
        <f>IF(ISBLANK(M74),0,Q74*ROUND(N74,2))</f>
        <v>#DIV/0!</v>
      </c>
      <c r="S74" s="69" t="e">
        <f>ROUND(P74,2)*Q74</f>
        <v>#DIV/0!</v>
      </c>
      <c r="T74" s="66" t="e">
        <f>Q74*dagenperjaar1</f>
        <v>#DIV/0!</v>
      </c>
      <c r="U74" s="70" t="e">
        <f>T74*ROUND(P74,2)</f>
        <v>#DIV/0!</v>
      </c>
    </row>
    <row r="75" spans="1:21" x14ac:dyDescent="0.2">
      <c r="A75" s="63" t="s">
        <v>2099</v>
      </c>
      <c r="B75" s="64" t="s">
        <v>324</v>
      </c>
      <c r="C75" s="64" t="s">
        <v>345</v>
      </c>
      <c r="D75" s="64" t="s">
        <v>2298</v>
      </c>
      <c r="E75" s="64" t="s">
        <v>2299</v>
      </c>
      <c r="F75" s="65" t="s">
        <v>638</v>
      </c>
      <c r="G75" s="64" t="s">
        <v>328</v>
      </c>
      <c r="H75" s="64" t="s">
        <v>306</v>
      </c>
      <c r="I75" s="64" t="s">
        <v>21</v>
      </c>
      <c r="J75" s="64" t="s">
        <v>201</v>
      </c>
      <c r="K75" s="66">
        <v>11.04</v>
      </c>
      <c r="L75" s="66">
        <f>K75*VLOOKUP(I75,dagsoorttabel1,2,FALSE)</f>
        <v>0.27599999999999997</v>
      </c>
      <c r="M75" s="67">
        <f>prodnorm74</f>
        <v>0</v>
      </c>
      <c r="N75" s="68">
        <f>dagwerk74</f>
        <v>0</v>
      </c>
      <c r="O75" s="64" t="s">
        <v>38</v>
      </c>
      <c r="P75" s="69">
        <f>uurtarief74</f>
        <v>0</v>
      </c>
      <c r="Q75" s="66" t="e">
        <f>IF(ISBLANK(M75),0,L75/ROUND(M75,4))</f>
        <v>#DIV/0!</v>
      </c>
      <c r="R75" s="66" t="e">
        <f>IF(ISBLANK(M75),0,Q75*ROUND(N75,2))</f>
        <v>#DIV/0!</v>
      </c>
      <c r="S75" s="69" t="e">
        <f>ROUND(P75,2)*Q75</f>
        <v>#DIV/0!</v>
      </c>
      <c r="T75" s="66" t="e">
        <f>Q75*dagenperjaar1</f>
        <v>#DIV/0!</v>
      </c>
      <c r="U75" s="70" t="e">
        <f>T75*ROUND(P75,2)</f>
        <v>#DIV/0!</v>
      </c>
    </row>
    <row r="76" spans="1:21" x14ac:dyDescent="0.2">
      <c r="A76" s="63" t="s">
        <v>2099</v>
      </c>
      <c r="B76" s="64" t="s">
        <v>324</v>
      </c>
      <c r="C76" s="64" t="s">
        <v>345</v>
      </c>
      <c r="D76" s="64" t="s">
        <v>2300</v>
      </c>
      <c r="E76" s="64" t="s">
        <v>2301</v>
      </c>
      <c r="F76" s="65" t="s">
        <v>2302</v>
      </c>
      <c r="G76" s="64" t="s">
        <v>328</v>
      </c>
      <c r="H76" s="64" t="s">
        <v>306</v>
      </c>
      <c r="I76" s="64" t="s">
        <v>21</v>
      </c>
      <c r="J76" s="64" t="s">
        <v>201</v>
      </c>
      <c r="K76" s="66">
        <v>14.56</v>
      </c>
      <c r="L76" s="66">
        <f>K76*VLOOKUP(I76,dagsoorttabel1,2,FALSE)</f>
        <v>0.36400000000000005</v>
      </c>
      <c r="M76" s="67">
        <f>prodnorm74</f>
        <v>0</v>
      </c>
      <c r="N76" s="68">
        <f>dagwerk74</f>
        <v>0</v>
      </c>
      <c r="O76" s="64" t="s">
        <v>38</v>
      </c>
      <c r="P76" s="69">
        <f>uurtarief74</f>
        <v>0</v>
      </c>
      <c r="Q76" s="66" t="e">
        <f>IF(ISBLANK(M76),0,L76/ROUND(M76,4))</f>
        <v>#DIV/0!</v>
      </c>
      <c r="R76" s="66" t="e">
        <f>IF(ISBLANK(M76),0,Q76*ROUND(N76,2))</f>
        <v>#DIV/0!</v>
      </c>
      <c r="S76" s="69" t="e">
        <f>ROUND(P76,2)*Q76</f>
        <v>#DIV/0!</v>
      </c>
      <c r="T76" s="66" t="e">
        <f>Q76*dagenperjaar1</f>
        <v>#DIV/0!</v>
      </c>
      <c r="U76" s="70" t="e">
        <f>T76*ROUND(P76,2)</f>
        <v>#DIV/0!</v>
      </c>
    </row>
    <row r="77" spans="1:21" x14ac:dyDescent="0.2">
      <c r="A77" s="63" t="s">
        <v>2099</v>
      </c>
      <c r="B77" s="64" t="s">
        <v>324</v>
      </c>
      <c r="C77" s="64" t="s">
        <v>345</v>
      </c>
      <c r="D77" s="64" t="s">
        <v>2303</v>
      </c>
      <c r="E77" s="64" t="s">
        <v>2304</v>
      </c>
      <c r="F77" s="65" t="s">
        <v>638</v>
      </c>
      <c r="G77" s="64" t="s">
        <v>328</v>
      </c>
      <c r="H77" s="64" t="s">
        <v>306</v>
      </c>
      <c r="I77" s="64" t="s">
        <v>21</v>
      </c>
      <c r="J77" s="64" t="s">
        <v>201</v>
      </c>
      <c r="K77" s="66">
        <v>11.04</v>
      </c>
      <c r="L77" s="66">
        <f>K77*VLOOKUP(I77,dagsoorttabel1,2,FALSE)</f>
        <v>0.27599999999999997</v>
      </c>
      <c r="M77" s="67">
        <f>prodnorm74</f>
        <v>0</v>
      </c>
      <c r="N77" s="68">
        <f>dagwerk74</f>
        <v>0</v>
      </c>
      <c r="O77" s="64" t="s">
        <v>38</v>
      </c>
      <c r="P77" s="69">
        <f>uurtarief74</f>
        <v>0</v>
      </c>
      <c r="Q77" s="66" t="e">
        <f>IF(ISBLANK(M77),0,L77/ROUND(M77,4))</f>
        <v>#DIV/0!</v>
      </c>
      <c r="R77" s="66" t="e">
        <f>IF(ISBLANK(M77),0,Q77*ROUND(N77,2))</f>
        <v>#DIV/0!</v>
      </c>
      <c r="S77" s="69" t="e">
        <f>ROUND(P77,2)*Q77</f>
        <v>#DIV/0!</v>
      </c>
      <c r="T77" s="66" t="e">
        <f>Q77*dagenperjaar1</f>
        <v>#DIV/0!</v>
      </c>
      <c r="U77" s="70" t="e">
        <f>T77*ROUND(P77,2)</f>
        <v>#DIV/0!</v>
      </c>
    </row>
    <row r="78" spans="1:21" x14ac:dyDescent="0.2">
      <c r="A78" s="63" t="s">
        <v>2099</v>
      </c>
      <c r="B78" s="64" t="s">
        <v>324</v>
      </c>
      <c r="C78" s="64" t="s">
        <v>323</v>
      </c>
      <c r="D78" s="64" t="s">
        <v>2319</v>
      </c>
      <c r="E78" s="64" t="s">
        <v>2320</v>
      </c>
      <c r="F78" s="65" t="s">
        <v>834</v>
      </c>
      <c r="G78" s="64" t="s">
        <v>328</v>
      </c>
      <c r="H78" s="64" t="s">
        <v>308</v>
      </c>
      <c r="I78" s="64" t="s">
        <v>21</v>
      </c>
      <c r="J78" s="64" t="s">
        <v>201</v>
      </c>
      <c r="K78" s="66">
        <v>82.25</v>
      </c>
      <c r="L78" s="66">
        <f>K78*VLOOKUP(I78,dagsoorttabel1,2,FALSE)</f>
        <v>2.0562499999999999</v>
      </c>
      <c r="M78" s="67">
        <f>prodnorm75</f>
        <v>0</v>
      </c>
      <c r="N78" s="68">
        <f>dagwerk75</f>
        <v>0</v>
      </c>
      <c r="O78" s="64" t="s">
        <v>38</v>
      </c>
      <c r="P78" s="69">
        <f>uurtarief75</f>
        <v>0</v>
      </c>
      <c r="Q78" s="66" t="e">
        <f>IF(ISBLANK(M78),0,L78/ROUND(M78,4))</f>
        <v>#DIV/0!</v>
      </c>
      <c r="R78" s="66" t="e">
        <f>IF(ISBLANK(M78),0,Q78*ROUND(N78,2))</f>
        <v>#DIV/0!</v>
      </c>
      <c r="S78" s="69" t="e">
        <f>ROUND(P78,2)*Q78</f>
        <v>#DIV/0!</v>
      </c>
      <c r="T78" s="66" t="e">
        <f>Q78*dagenperjaar1</f>
        <v>#DIV/0!</v>
      </c>
      <c r="U78" s="70" t="e">
        <f>T78*ROUND(P78,2)</f>
        <v>#DIV/0!</v>
      </c>
    </row>
    <row r="79" spans="1:21" x14ac:dyDescent="0.2">
      <c r="A79" s="63" t="s">
        <v>2099</v>
      </c>
      <c r="B79" s="64" t="s">
        <v>324</v>
      </c>
      <c r="C79" s="64" t="s">
        <v>323</v>
      </c>
      <c r="D79" s="64" t="s">
        <v>2329</v>
      </c>
      <c r="E79" s="64" t="s">
        <v>926</v>
      </c>
      <c r="F79" s="65" t="s">
        <v>2142</v>
      </c>
      <c r="G79" s="64" t="s">
        <v>328</v>
      </c>
      <c r="H79" s="64" t="s">
        <v>302</v>
      </c>
      <c r="I79" s="64" t="s">
        <v>21</v>
      </c>
      <c r="J79" s="64" t="s">
        <v>201</v>
      </c>
      <c r="K79" s="66">
        <v>11.719999999999999</v>
      </c>
      <c r="L79" s="66">
        <f>K79*VLOOKUP(I79,dagsoorttabel1,2,FALSE)</f>
        <v>0.29299999999999998</v>
      </c>
      <c r="M79" s="67">
        <f>prodnorm70</f>
        <v>0</v>
      </c>
      <c r="N79" s="68">
        <f>dagwerk70</f>
        <v>0</v>
      </c>
      <c r="O79" s="64" t="s">
        <v>38</v>
      </c>
      <c r="P79" s="69">
        <f>uurtarief70</f>
        <v>0</v>
      </c>
      <c r="Q79" s="66" t="e">
        <f>IF(ISBLANK(M79),0,L79/ROUND(M79,4))</f>
        <v>#DIV/0!</v>
      </c>
      <c r="R79" s="66" t="e">
        <f>IF(ISBLANK(M79),0,Q79*ROUND(N79,2))</f>
        <v>#DIV/0!</v>
      </c>
      <c r="S79" s="69" t="e">
        <f>ROUND(P79,2)*Q79</f>
        <v>#DIV/0!</v>
      </c>
      <c r="T79" s="66" t="e">
        <f>Q79*dagenperjaar1</f>
        <v>#DIV/0!</v>
      </c>
      <c r="U79" s="70" t="e">
        <f>T79*ROUND(P79,2)</f>
        <v>#DIV/0!</v>
      </c>
    </row>
    <row r="80" spans="1:21" x14ac:dyDescent="0.2">
      <c r="A80" s="63" t="s">
        <v>2099</v>
      </c>
      <c r="B80" s="64" t="s">
        <v>324</v>
      </c>
      <c r="C80" s="64" t="s">
        <v>323</v>
      </c>
      <c r="D80" s="64" t="s">
        <v>2332</v>
      </c>
      <c r="E80" s="64" t="s">
        <v>2333</v>
      </c>
      <c r="F80" s="65" t="s">
        <v>834</v>
      </c>
      <c r="G80" s="64" t="s">
        <v>328</v>
      </c>
      <c r="H80" s="64" t="s">
        <v>308</v>
      </c>
      <c r="I80" s="64" t="s">
        <v>21</v>
      </c>
      <c r="J80" s="64" t="s">
        <v>201</v>
      </c>
      <c r="K80" s="66">
        <v>99.240000000000009</v>
      </c>
      <c r="L80" s="66">
        <f>K80*VLOOKUP(I80,dagsoorttabel1,2,FALSE)</f>
        <v>2.4810000000000003</v>
      </c>
      <c r="M80" s="67">
        <f>prodnorm75</f>
        <v>0</v>
      </c>
      <c r="N80" s="68">
        <f>dagwerk75</f>
        <v>0</v>
      </c>
      <c r="O80" s="64" t="s">
        <v>38</v>
      </c>
      <c r="P80" s="69">
        <f>uurtarief75</f>
        <v>0</v>
      </c>
      <c r="Q80" s="66" t="e">
        <f>IF(ISBLANK(M80),0,L80/ROUND(M80,4))</f>
        <v>#DIV/0!</v>
      </c>
      <c r="R80" s="66" t="e">
        <f>IF(ISBLANK(M80),0,Q80*ROUND(N80,2))</f>
        <v>#DIV/0!</v>
      </c>
      <c r="S80" s="69" t="e">
        <f>ROUND(P80,2)*Q80</f>
        <v>#DIV/0!</v>
      </c>
      <c r="T80" s="66" t="e">
        <f>Q80*dagenperjaar1</f>
        <v>#DIV/0!</v>
      </c>
      <c r="U80" s="70" t="e">
        <f>T80*ROUND(P80,2)</f>
        <v>#DIV/0!</v>
      </c>
    </row>
    <row r="81" spans="1:21" x14ac:dyDescent="0.2">
      <c r="A81" s="63" t="s">
        <v>2099</v>
      </c>
      <c r="B81" s="64" t="s">
        <v>324</v>
      </c>
      <c r="C81" s="64" t="s">
        <v>323</v>
      </c>
      <c r="D81" s="64" t="s">
        <v>2334</v>
      </c>
      <c r="E81" s="64" t="s">
        <v>2335</v>
      </c>
      <c r="F81" s="65" t="s">
        <v>641</v>
      </c>
      <c r="G81" s="64" t="s">
        <v>2128</v>
      </c>
      <c r="H81" s="64" t="s">
        <v>305</v>
      </c>
      <c r="I81" s="64" t="s">
        <v>21</v>
      </c>
      <c r="J81" s="64" t="s">
        <v>201</v>
      </c>
      <c r="K81" s="66">
        <v>4.74</v>
      </c>
      <c r="L81" s="66">
        <f>K81*VLOOKUP(I81,dagsoorttabel1,2,FALSE)</f>
        <v>0.11850000000000001</v>
      </c>
      <c r="M81" s="67">
        <f>prodnorm73</f>
        <v>0</v>
      </c>
      <c r="N81" s="68">
        <f>dagwerk73</f>
        <v>0</v>
      </c>
      <c r="O81" s="64" t="s">
        <v>38</v>
      </c>
      <c r="P81" s="69">
        <f>uurtarief73</f>
        <v>0</v>
      </c>
      <c r="Q81" s="66" t="e">
        <f>IF(ISBLANK(M81),0,L81/ROUND(M81,4))</f>
        <v>#DIV/0!</v>
      </c>
      <c r="R81" s="66" t="e">
        <f>IF(ISBLANK(M81),0,Q81*ROUND(N81,2))</f>
        <v>#DIV/0!</v>
      </c>
      <c r="S81" s="69" t="e">
        <f>ROUND(P81,2)*Q81</f>
        <v>#DIV/0!</v>
      </c>
      <c r="T81" s="66" t="e">
        <f>Q81*dagenperjaar1</f>
        <v>#DIV/0!</v>
      </c>
      <c r="U81" s="70" t="e">
        <f>T81*ROUND(P81,2)</f>
        <v>#DIV/0!</v>
      </c>
    </row>
    <row r="82" spans="1:21" x14ac:dyDescent="0.2">
      <c r="A82" s="63" t="s">
        <v>2099</v>
      </c>
      <c r="B82" s="64" t="s">
        <v>324</v>
      </c>
      <c r="C82" s="64" t="s">
        <v>323</v>
      </c>
      <c r="D82" s="64" t="s">
        <v>2336</v>
      </c>
      <c r="E82" s="64" t="s">
        <v>2335</v>
      </c>
      <c r="F82" s="65" t="s">
        <v>641</v>
      </c>
      <c r="G82" s="64" t="s">
        <v>2128</v>
      </c>
      <c r="H82" s="64" t="s">
        <v>305</v>
      </c>
      <c r="I82" s="64" t="s">
        <v>21</v>
      </c>
      <c r="J82" s="64" t="s">
        <v>201</v>
      </c>
      <c r="K82" s="66">
        <v>4.74</v>
      </c>
      <c r="L82" s="66">
        <f>K82*VLOOKUP(I82,dagsoorttabel1,2,FALSE)</f>
        <v>0.11850000000000001</v>
      </c>
      <c r="M82" s="67">
        <f>prodnorm73</f>
        <v>0</v>
      </c>
      <c r="N82" s="68">
        <f>dagwerk73</f>
        <v>0</v>
      </c>
      <c r="O82" s="64" t="s">
        <v>38</v>
      </c>
      <c r="P82" s="69">
        <f>uurtarief73</f>
        <v>0</v>
      </c>
      <c r="Q82" s="66" t="e">
        <f>IF(ISBLANK(M82),0,L82/ROUND(M82,4))</f>
        <v>#DIV/0!</v>
      </c>
      <c r="R82" s="66" t="e">
        <f>IF(ISBLANK(M82),0,Q82*ROUND(N82,2))</f>
        <v>#DIV/0!</v>
      </c>
      <c r="S82" s="69" t="e">
        <f>ROUND(P82,2)*Q82</f>
        <v>#DIV/0!</v>
      </c>
      <c r="T82" s="66" t="e">
        <f>Q82*dagenperjaar1</f>
        <v>#DIV/0!</v>
      </c>
      <c r="U82" s="70" t="e">
        <f>T82*ROUND(P82,2)</f>
        <v>#DIV/0!</v>
      </c>
    </row>
    <row r="83" spans="1:21" x14ac:dyDescent="0.2">
      <c r="A83" s="63" t="s">
        <v>2099</v>
      </c>
      <c r="B83" s="64" t="s">
        <v>324</v>
      </c>
      <c r="C83" s="64" t="s">
        <v>323</v>
      </c>
      <c r="D83" s="64" t="s">
        <v>2340</v>
      </c>
      <c r="E83" s="64" t="s">
        <v>929</v>
      </c>
      <c r="F83" s="65" t="s">
        <v>2341</v>
      </c>
      <c r="G83" s="64" t="s">
        <v>328</v>
      </c>
      <c r="H83" s="64" t="s">
        <v>302</v>
      </c>
      <c r="I83" s="64" t="s">
        <v>21</v>
      </c>
      <c r="J83" s="64" t="s">
        <v>201</v>
      </c>
      <c r="K83" s="66">
        <v>16.739999999999998</v>
      </c>
      <c r="L83" s="66">
        <f>K83*VLOOKUP(I83,dagsoorttabel1,2,FALSE)</f>
        <v>0.41849999999999998</v>
      </c>
      <c r="M83" s="67">
        <f>prodnorm70</f>
        <v>0</v>
      </c>
      <c r="N83" s="68">
        <f>dagwerk70</f>
        <v>0</v>
      </c>
      <c r="O83" s="64" t="s">
        <v>38</v>
      </c>
      <c r="P83" s="69">
        <f>uurtarief70</f>
        <v>0</v>
      </c>
      <c r="Q83" s="66" t="e">
        <f>IF(ISBLANK(M83),0,L83/ROUND(M83,4))</f>
        <v>#DIV/0!</v>
      </c>
      <c r="R83" s="66" t="e">
        <f>IF(ISBLANK(M83),0,Q83*ROUND(N83,2))</f>
        <v>#DIV/0!</v>
      </c>
      <c r="S83" s="69" t="e">
        <f>ROUND(P83,2)*Q83</f>
        <v>#DIV/0!</v>
      </c>
      <c r="T83" s="66" t="e">
        <f>Q83*dagenperjaar1</f>
        <v>#DIV/0!</v>
      </c>
      <c r="U83" s="70" t="e">
        <f>T83*ROUND(P83,2)</f>
        <v>#DIV/0!</v>
      </c>
    </row>
    <row r="84" spans="1:21" x14ac:dyDescent="0.2">
      <c r="A84" s="63" t="s">
        <v>2099</v>
      </c>
      <c r="B84" s="64" t="s">
        <v>324</v>
      </c>
      <c r="C84" s="64" t="s">
        <v>323</v>
      </c>
      <c r="D84" s="64" t="s">
        <v>2353</v>
      </c>
      <c r="E84" s="64" t="s">
        <v>2354</v>
      </c>
      <c r="F84" s="65" t="s">
        <v>834</v>
      </c>
      <c r="G84" s="64" t="s">
        <v>328</v>
      </c>
      <c r="H84" s="64" t="s">
        <v>308</v>
      </c>
      <c r="I84" s="64" t="s">
        <v>21</v>
      </c>
      <c r="J84" s="64" t="s">
        <v>201</v>
      </c>
      <c r="K84" s="66">
        <v>100.21000000000001</v>
      </c>
      <c r="L84" s="66">
        <f>K84*VLOOKUP(I84,dagsoorttabel1,2,FALSE)</f>
        <v>2.5052500000000002</v>
      </c>
      <c r="M84" s="67">
        <f>prodnorm75</f>
        <v>0</v>
      </c>
      <c r="N84" s="68">
        <f>dagwerk75</f>
        <v>0</v>
      </c>
      <c r="O84" s="64" t="s">
        <v>38</v>
      </c>
      <c r="P84" s="69">
        <f>uurtarief75</f>
        <v>0</v>
      </c>
      <c r="Q84" s="66" t="e">
        <f>IF(ISBLANK(M84),0,L84/ROUND(M84,4))</f>
        <v>#DIV/0!</v>
      </c>
      <c r="R84" s="66" t="e">
        <f>IF(ISBLANK(M84),0,Q84*ROUND(N84,2))</f>
        <v>#DIV/0!</v>
      </c>
      <c r="S84" s="69" t="e">
        <f>ROUND(P84,2)*Q84</f>
        <v>#DIV/0!</v>
      </c>
      <c r="T84" s="66" t="e">
        <f>Q84*dagenperjaar1</f>
        <v>#DIV/0!</v>
      </c>
      <c r="U84" s="70" t="e">
        <f>T84*ROUND(P84,2)</f>
        <v>#DIV/0!</v>
      </c>
    </row>
    <row r="85" spans="1:21" x14ac:dyDescent="0.2">
      <c r="A85" s="63" t="s">
        <v>2099</v>
      </c>
      <c r="B85" s="64" t="s">
        <v>324</v>
      </c>
      <c r="C85" s="64" t="s">
        <v>323</v>
      </c>
      <c r="D85" s="64" t="s">
        <v>2355</v>
      </c>
      <c r="E85" s="64" t="s">
        <v>2356</v>
      </c>
      <c r="F85" s="65" t="s">
        <v>641</v>
      </c>
      <c r="G85" s="64" t="s">
        <v>2128</v>
      </c>
      <c r="H85" s="64" t="s">
        <v>305</v>
      </c>
      <c r="I85" s="64" t="s">
        <v>21</v>
      </c>
      <c r="J85" s="64" t="s">
        <v>201</v>
      </c>
      <c r="K85" s="66">
        <v>9.92</v>
      </c>
      <c r="L85" s="66">
        <f>K85*VLOOKUP(I85,dagsoorttabel1,2,FALSE)</f>
        <v>0.248</v>
      </c>
      <c r="M85" s="67">
        <f>prodnorm73</f>
        <v>0</v>
      </c>
      <c r="N85" s="68">
        <f>dagwerk73</f>
        <v>0</v>
      </c>
      <c r="O85" s="64" t="s">
        <v>38</v>
      </c>
      <c r="P85" s="69">
        <f>uurtarief73</f>
        <v>0</v>
      </c>
      <c r="Q85" s="66" t="e">
        <f>IF(ISBLANK(M85),0,L85/ROUND(M85,4))</f>
        <v>#DIV/0!</v>
      </c>
      <c r="R85" s="66" t="e">
        <f>IF(ISBLANK(M85),0,Q85*ROUND(N85,2))</f>
        <v>#DIV/0!</v>
      </c>
      <c r="S85" s="69" t="e">
        <f>ROUND(P85,2)*Q85</f>
        <v>#DIV/0!</v>
      </c>
      <c r="T85" s="66" t="e">
        <f>Q85*dagenperjaar1</f>
        <v>#DIV/0!</v>
      </c>
      <c r="U85" s="70" t="e">
        <f>T85*ROUND(P85,2)</f>
        <v>#DIV/0!</v>
      </c>
    </row>
    <row r="86" spans="1:21" x14ac:dyDescent="0.2">
      <c r="A86" s="63" t="s">
        <v>2099</v>
      </c>
      <c r="B86" s="64" t="s">
        <v>324</v>
      </c>
      <c r="C86" s="64" t="s">
        <v>323</v>
      </c>
      <c r="D86" s="64" t="s">
        <v>2357</v>
      </c>
      <c r="E86" s="64" t="s">
        <v>2356</v>
      </c>
      <c r="F86" s="65" t="s">
        <v>641</v>
      </c>
      <c r="G86" s="64" t="s">
        <v>2128</v>
      </c>
      <c r="H86" s="64" t="s">
        <v>305</v>
      </c>
      <c r="I86" s="64" t="s">
        <v>21</v>
      </c>
      <c r="J86" s="64" t="s">
        <v>201</v>
      </c>
      <c r="K86" s="66">
        <v>9.92</v>
      </c>
      <c r="L86" s="66">
        <f>K86*VLOOKUP(I86,dagsoorttabel1,2,FALSE)</f>
        <v>0.248</v>
      </c>
      <c r="M86" s="67">
        <f>prodnorm73</f>
        <v>0</v>
      </c>
      <c r="N86" s="68">
        <f>dagwerk73</f>
        <v>0</v>
      </c>
      <c r="O86" s="64" t="s">
        <v>38</v>
      </c>
      <c r="P86" s="69">
        <f>uurtarief73</f>
        <v>0</v>
      </c>
      <c r="Q86" s="66" t="e">
        <f>IF(ISBLANK(M86),0,L86/ROUND(M86,4))</f>
        <v>#DIV/0!</v>
      </c>
      <c r="R86" s="66" t="e">
        <f>IF(ISBLANK(M86),0,Q86*ROUND(N86,2))</f>
        <v>#DIV/0!</v>
      </c>
      <c r="S86" s="69" t="e">
        <f>ROUND(P86,2)*Q86</f>
        <v>#DIV/0!</v>
      </c>
      <c r="T86" s="66" t="e">
        <f>Q86*dagenperjaar1</f>
        <v>#DIV/0!</v>
      </c>
      <c r="U86" s="70" t="e">
        <f>T86*ROUND(P86,2)</f>
        <v>#DIV/0!</v>
      </c>
    </row>
    <row r="87" spans="1:21" x14ac:dyDescent="0.2">
      <c r="A87" s="63" t="s">
        <v>2099</v>
      </c>
      <c r="B87" s="64" t="s">
        <v>324</v>
      </c>
      <c r="C87" s="64" t="s">
        <v>323</v>
      </c>
      <c r="D87" s="64" t="s">
        <v>2366</v>
      </c>
      <c r="E87" s="64" t="s">
        <v>1372</v>
      </c>
      <c r="F87" s="65" t="s">
        <v>2142</v>
      </c>
      <c r="G87" s="64" t="s">
        <v>328</v>
      </c>
      <c r="H87" s="64" t="s">
        <v>302</v>
      </c>
      <c r="I87" s="64" t="s">
        <v>21</v>
      </c>
      <c r="J87" s="64" t="s">
        <v>201</v>
      </c>
      <c r="K87" s="66">
        <v>17.510000000000002</v>
      </c>
      <c r="L87" s="66">
        <f>K87*VLOOKUP(I87,dagsoorttabel1,2,FALSE)</f>
        <v>0.43775000000000008</v>
      </c>
      <c r="M87" s="67">
        <f>prodnorm70</f>
        <v>0</v>
      </c>
      <c r="N87" s="68">
        <f>dagwerk70</f>
        <v>0</v>
      </c>
      <c r="O87" s="64" t="s">
        <v>38</v>
      </c>
      <c r="P87" s="69">
        <f>uurtarief70</f>
        <v>0</v>
      </c>
      <c r="Q87" s="66" t="e">
        <f>IF(ISBLANK(M87),0,L87/ROUND(M87,4))</f>
        <v>#DIV/0!</v>
      </c>
      <c r="R87" s="66" t="e">
        <f>IF(ISBLANK(M87),0,Q87*ROUND(N87,2))</f>
        <v>#DIV/0!</v>
      </c>
      <c r="S87" s="69" t="e">
        <f>ROUND(P87,2)*Q87</f>
        <v>#DIV/0!</v>
      </c>
      <c r="T87" s="66" t="e">
        <f>Q87*dagenperjaar1</f>
        <v>#DIV/0!</v>
      </c>
      <c r="U87" s="70" t="e">
        <f>T87*ROUND(P87,2)</f>
        <v>#DIV/0!</v>
      </c>
    </row>
    <row r="88" spans="1:21" x14ac:dyDescent="0.2">
      <c r="A88" s="63" t="s">
        <v>2099</v>
      </c>
      <c r="B88" s="64" t="s">
        <v>324</v>
      </c>
      <c r="C88" s="64" t="s">
        <v>323</v>
      </c>
      <c r="D88" s="64" t="s">
        <v>2367</v>
      </c>
      <c r="E88" s="64" t="s">
        <v>947</v>
      </c>
      <c r="F88" s="65" t="s">
        <v>2142</v>
      </c>
      <c r="G88" s="64" t="s">
        <v>328</v>
      </c>
      <c r="H88" s="64" t="s">
        <v>302</v>
      </c>
      <c r="I88" s="64" t="s">
        <v>21</v>
      </c>
      <c r="J88" s="64" t="s">
        <v>201</v>
      </c>
      <c r="K88" s="66">
        <v>51.28</v>
      </c>
      <c r="L88" s="66">
        <f>K88*VLOOKUP(I88,dagsoorttabel1,2,FALSE)</f>
        <v>1.282</v>
      </c>
      <c r="M88" s="67">
        <f>prodnorm70</f>
        <v>0</v>
      </c>
      <c r="N88" s="68">
        <f>dagwerk70</f>
        <v>0</v>
      </c>
      <c r="O88" s="64" t="s">
        <v>38</v>
      </c>
      <c r="P88" s="69">
        <f>uurtarief70</f>
        <v>0</v>
      </c>
      <c r="Q88" s="66" t="e">
        <f>IF(ISBLANK(M88),0,L88/ROUND(M88,4))</f>
        <v>#DIV/0!</v>
      </c>
      <c r="R88" s="66" t="e">
        <f>IF(ISBLANK(M88),0,Q88*ROUND(N88,2))</f>
        <v>#DIV/0!</v>
      </c>
      <c r="S88" s="69" t="e">
        <f>ROUND(P88,2)*Q88</f>
        <v>#DIV/0!</v>
      </c>
      <c r="T88" s="66" t="e">
        <f>Q88*dagenperjaar1</f>
        <v>#DIV/0!</v>
      </c>
      <c r="U88" s="70" t="e">
        <f>T88*ROUND(P88,2)</f>
        <v>#DIV/0!</v>
      </c>
    </row>
    <row r="89" spans="1:21" x14ac:dyDescent="0.2">
      <c r="A89" s="63" t="s">
        <v>2099</v>
      </c>
      <c r="B89" s="64" t="s">
        <v>324</v>
      </c>
      <c r="C89" s="64" t="s">
        <v>323</v>
      </c>
      <c r="D89" s="64" t="s">
        <v>2370</v>
      </c>
      <c r="E89" s="64" t="s">
        <v>2371</v>
      </c>
      <c r="F89" s="65" t="s">
        <v>834</v>
      </c>
      <c r="G89" s="64" t="s">
        <v>328</v>
      </c>
      <c r="H89" s="64" t="s">
        <v>308</v>
      </c>
      <c r="I89" s="64" t="s">
        <v>21</v>
      </c>
      <c r="J89" s="64" t="s">
        <v>201</v>
      </c>
      <c r="K89" s="66">
        <v>99.240000000000009</v>
      </c>
      <c r="L89" s="66">
        <f>K89*VLOOKUP(I89,dagsoorttabel1,2,FALSE)</f>
        <v>2.4810000000000003</v>
      </c>
      <c r="M89" s="67">
        <f>prodnorm75</f>
        <v>0</v>
      </c>
      <c r="N89" s="68">
        <f>dagwerk75</f>
        <v>0</v>
      </c>
      <c r="O89" s="64" t="s">
        <v>38</v>
      </c>
      <c r="P89" s="69">
        <f>uurtarief75</f>
        <v>0</v>
      </c>
      <c r="Q89" s="66" t="e">
        <f>IF(ISBLANK(M89),0,L89/ROUND(M89,4))</f>
        <v>#DIV/0!</v>
      </c>
      <c r="R89" s="66" t="e">
        <f>IF(ISBLANK(M89),0,Q89*ROUND(N89,2))</f>
        <v>#DIV/0!</v>
      </c>
      <c r="S89" s="69" t="e">
        <f>ROUND(P89,2)*Q89</f>
        <v>#DIV/0!</v>
      </c>
      <c r="T89" s="66" t="e">
        <f>Q89*dagenperjaar1</f>
        <v>#DIV/0!</v>
      </c>
      <c r="U89" s="70" t="e">
        <f>T89*ROUND(P89,2)</f>
        <v>#DIV/0!</v>
      </c>
    </row>
    <row r="90" spans="1:21" x14ac:dyDescent="0.2">
      <c r="A90" s="63" t="s">
        <v>2099</v>
      </c>
      <c r="B90" s="64" t="s">
        <v>324</v>
      </c>
      <c r="C90" s="64" t="s">
        <v>323</v>
      </c>
      <c r="D90" s="64" t="s">
        <v>2372</v>
      </c>
      <c r="E90" s="64" t="s">
        <v>952</v>
      </c>
      <c r="F90" s="65" t="s">
        <v>2373</v>
      </c>
      <c r="G90" s="64" t="s">
        <v>328</v>
      </c>
      <c r="H90" s="64" t="s">
        <v>302</v>
      </c>
      <c r="I90" s="64" t="s">
        <v>21</v>
      </c>
      <c r="J90" s="64" t="s">
        <v>201</v>
      </c>
      <c r="K90" s="66">
        <v>16</v>
      </c>
      <c r="L90" s="66">
        <f>K90*VLOOKUP(I90,dagsoorttabel1,2,FALSE)</f>
        <v>0.4</v>
      </c>
      <c r="M90" s="67">
        <f>prodnorm70</f>
        <v>0</v>
      </c>
      <c r="N90" s="68">
        <f>dagwerk70</f>
        <v>0</v>
      </c>
      <c r="O90" s="64" t="s">
        <v>38</v>
      </c>
      <c r="P90" s="69">
        <f>uurtarief70</f>
        <v>0</v>
      </c>
      <c r="Q90" s="66" t="e">
        <f>IF(ISBLANK(M90),0,L90/ROUND(M90,4))</f>
        <v>#DIV/0!</v>
      </c>
      <c r="R90" s="66" t="e">
        <f>IF(ISBLANK(M90),0,Q90*ROUND(N90,2))</f>
        <v>#DIV/0!</v>
      </c>
      <c r="S90" s="69" t="e">
        <f>ROUND(P90,2)*Q90</f>
        <v>#DIV/0!</v>
      </c>
      <c r="T90" s="66" t="e">
        <f>Q90*dagenperjaar1</f>
        <v>#DIV/0!</v>
      </c>
      <c r="U90" s="70" t="e">
        <f>T90*ROUND(P90,2)</f>
        <v>#DIV/0!</v>
      </c>
    </row>
    <row r="91" spans="1:21" x14ac:dyDescent="0.2">
      <c r="A91" s="63" t="s">
        <v>2099</v>
      </c>
      <c r="B91" s="64" t="s">
        <v>324</v>
      </c>
      <c r="C91" s="64" t="s">
        <v>323</v>
      </c>
      <c r="D91" s="64" t="s">
        <v>2374</v>
      </c>
      <c r="E91" s="64" t="s">
        <v>1810</v>
      </c>
      <c r="F91" s="65" t="s">
        <v>2142</v>
      </c>
      <c r="G91" s="64" t="s">
        <v>328</v>
      </c>
      <c r="H91" s="64" t="s">
        <v>302</v>
      </c>
      <c r="I91" s="64" t="s">
        <v>21</v>
      </c>
      <c r="J91" s="64" t="s">
        <v>201</v>
      </c>
      <c r="K91" s="66">
        <v>33.349999999999994</v>
      </c>
      <c r="L91" s="66">
        <f>K91*VLOOKUP(I91,dagsoorttabel1,2,FALSE)</f>
        <v>0.83374999999999988</v>
      </c>
      <c r="M91" s="67">
        <f>prodnorm70</f>
        <v>0</v>
      </c>
      <c r="N91" s="68">
        <f>dagwerk70</f>
        <v>0</v>
      </c>
      <c r="O91" s="64" t="s">
        <v>38</v>
      </c>
      <c r="P91" s="69">
        <f>uurtarief70</f>
        <v>0</v>
      </c>
      <c r="Q91" s="66" t="e">
        <f>IF(ISBLANK(M91),0,L91/ROUND(M91,4))</f>
        <v>#DIV/0!</v>
      </c>
      <c r="R91" s="66" t="e">
        <f>IF(ISBLANK(M91),0,Q91*ROUND(N91,2))</f>
        <v>#DIV/0!</v>
      </c>
      <c r="S91" s="69" t="e">
        <f>ROUND(P91,2)*Q91</f>
        <v>#DIV/0!</v>
      </c>
      <c r="T91" s="66" t="e">
        <f>Q91*dagenperjaar1</f>
        <v>#DIV/0!</v>
      </c>
      <c r="U91" s="70" t="e">
        <f>T91*ROUND(P91,2)</f>
        <v>#DIV/0!</v>
      </c>
    </row>
    <row r="92" spans="1:21" x14ac:dyDescent="0.2">
      <c r="A92" s="63" t="s">
        <v>2099</v>
      </c>
      <c r="B92" s="64" t="s">
        <v>324</v>
      </c>
      <c r="C92" s="64" t="s">
        <v>323</v>
      </c>
      <c r="D92" s="64" t="s">
        <v>2375</v>
      </c>
      <c r="E92" s="64" t="s">
        <v>1375</v>
      </c>
      <c r="F92" s="65" t="s">
        <v>2142</v>
      </c>
      <c r="G92" s="64" t="s">
        <v>328</v>
      </c>
      <c r="H92" s="64" t="s">
        <v>302</v>
      </c>
      <c r="I92" s="64" t="s">
        <v>21</v>
      </c>
      <c r="J92" s="64" t="s">
        <v>201</v>
      </c>
      <c r="K92" s="66">
        <v>16.670000000000002</v>
      </c>
      <c r="L92" s="66">
        <f>K92*VLOOKUP(I92,dagsoorttabel1,2,FALSE)</f>
        <v>0.41675000000000006</v>
      </c>
      <c r="M92" s="67">
        <f>prodnorm70</f>
        <v>0</v>
      </c>
      <c r="N92" s="68">
        <f>dagwerk70</f>
        <v>0</v>
      </c>
      <c r="O92" s="64" t="s">
        <v>38</v>
      </c>
      <c r="P92" s="69">
        <f>uurtarief70</f>
        <v>0</v>
      </c>
      <c r="Q92" s="66" t="e">
        <f>IF(ISBLANK(M92),0,L92/ROUND(M92,4))</f>
        <v>#DIV/0!</v>
      </c>
      <c r="R92" s="66" t="e">
        <f>IF(ISBLANK(M92),0,Q92*ROUND(N92,2))</f>
        <v>#DIV/0!</v>
      </c>
      <c r="S92" s="69" t="e">
        <f>ROUND(P92,2)*Q92</f>
        <v>#DIV/0!</v>
      </c>
      <c r="T92" s="66" t="e">
        <f>Q92*dagenperjaar1</f>
        <v>#DIV/0!</v>
      </c>
      <c r="U92" s="70" t="e">
        <f>T92*ROUND(P92,2)</f>
        <v>#DIV/0!</v>
      </c>
    </row>
    <row r="93" spans="1:21" x14ac:dyDescent="0.2">
      <c r="A93" s="63" t="s">
        <v>2099</v>
      </c>
      <c r="B93" s="64" t="s">
        <v>324</v>
      </c>
      <c r="C93" s="64" t="s">
        <v>323</v>
      </c>
      <c r="D93" s="64" t="s">
        <v>2390</v>
      </c>
      <c r="E93" s="64" t="s">
        <v>2391</v>
      </c>
      <c r="F93" s="65" t="s">
        <v>834</v>
      </c>
      <c r="G93" s="64" t="s">
        <v>328</v>
      </c>
      <c r="H93" s="64" t="s">
        <v>308</v>
      </c>
      <c r="I93" s="64" t="s">
        <v>21</v>
      </c>
      <c r="J93" s="64" t="s">
        <v>201</v>
      </c>
      <c r="K93" s="66">
        <v>106.52</v>
      </c>
      <c r="L93" s="66">
        <f>K93*VLOOKUP(I93,dagsoorttabel1,2,FALSE)</f>
        <v>2.6630000000000003</v>
      </c>
      <c r="M93" s="67">
        <f>prodnorm75</f>
        <v>0</v>
      </c>
      <c r="N93" s="68">
        <f>dagwerk75</f>
        <v>0</v>
      </c>
      <c r="O93" s="64" t="s">
        <v>38</v>
      </c>
      <c r="P93" s="69">
        <f>uurtarief75</f>
        <v>0</v>
      </c>
      <c r="Q93" s="66" t="e">
        <f>IF(ISBLANK(M93),0,L93/ROUND(M93,4))</f>
        <v>#DIV/0!</v>
      </c>
      <c r="R93" s="66" t="e">
        <f>IF(ISBLANK(M93),0,Q93*ROUND(N93,2))</f>
        <v>#DIV/0!</v>
      </c>
      <c r="S93" s="69" t="e">
        <f>ROUND(P93,2)*Q93</f>
        <v>#DIV/0!</v>
      </c>
      <c r="T93" s="66" t="e">
        <f>Q93*dagenperjaar1</f>
        <v>#DIV/0!</v>
      </c>
      <c r="U93" s="70" t="e">
        <f>T93*ROUND(P93,2)</f>
        <v>#DIV/0!</v>
      </c>
    </row>
    <row r="94" spans="1:21" x14ac:dyDescent="0.2">
      <c r="A94" s="63" t="s">
        <v>2099</v>
      </c>
      <c r="B94" s="64" t="s">
        <v>324</v>
      </c>
      <c r="C94" s="64" t="s">
        <v>323</v>
      </c>
      <c r="D94" s="64" t="s">
        <v>2400</v>
      </c>
      <c r="E94" s="64" t="s">
        <v>2401</v>
      </c>
      <c r="F94" s="65" t="s">
        <v>2402</v>
      </c>
      <c r="G94" s="64" t="s">
        <v>328</v>
      </c>
      <c r="H94" s="64" t="s">
        <v>302</v>
      </c>
      <c r="I94" s="64" t="s">
        <v>21</v>
      </c>
      <c r="J94" s="64" t="s">
        <v>201</v>
      </c>
      <c r="K94" s="66">
        <v>16.919999999999998</v>
      </c>
      <c r="L94" s="66">
        <f>K94*VLOOKUP(I94,dagsoorttabel1,2,FALSE)</f>
        <v>0.42299999999999999</v>
      </c>
      <c r="M94" s="67">
        <f>prodnorm70</f>
        <v>0</v>
      </c>
      <c r="N94" s="68">
        <f>dagwerk70</f>
        <v>0</v>
      </c>
      <c r="O94" s="64" t="s">
        <v>38</v>
      </c>
      <c r="P94" s="69">
        <f>uurtarief70</f>
        <v>0</v>
      </c>
      <c r="Q94" s="66" t="e">
        <f>IF(ISBLANK(M94),0,L94/ROUND(M94,4))</f>
        <v>#DIV/0!</v>
      </c>
      <c r="R94" s="66" t="e">
        <f>IF(ISBLANK(M94),0,Q94*ROUND(N94,2))</f>
        <v>#DIV/0!</v>
      </c>
      <c r="S94" s="69" t="e">
        <f>ROUND(P94,2)*Q94</f>
        <v>#DIV/0!</v>
      </c>
      <c r="T94" s="66" t="e">
        <f>Q94*dagenperjaar1</f>
        <v>#DIV/0!</v>
      </c>
      <c r="U94" s="70" t="e">
        <f>T94*ROUND(P94,2)</f>
        <v>#DIV/0!</v>
      </c>
    </row>
    <row r="95" spans="1:21" x14ac:dyDescent="0.2">
      <c r="A95" s="63" t="s">
        <v>2099</v>
      </c>
      <c r="B95" s="64" t="s">
        <v>324</v>
      </c>
      <c r="C95" s="64" t="s">
        <v>323</v>
      </c>
      <c r="D95" s="64" t="s">
        <v>2403</v>
      </c>
      <c r="E95" s="64" t="s">
        <v>2404</v>
      </c>
      <c r="F95" s="65" t="s">
        <v>2405</v>
      </c>
      <c r="G95" s="64" t="s">
        <v>328</v>
      </c>
      <c r="H95" s="64" t="s">
        <v>302</v>
      </c>
      <c r="I95" s="64" t="s">
        <v>21</v>
      </c>
      <c r="J95" s="64" t="s">
        <v>201</v>
      </c>
      <c r="K95" s="66">
        <v>17.77</v>
      </c>
      <c r="L95" s="66">
        <f>K95*VLOOKUP(I95,dagsoorttabel1,2,FALSE)</f>
        <v>0.44425000000000003</v>
      </c>
      <c r="M95" s="67">
        <f>prodnorm70</f>
        <v>0</v>
      </c>
      <c r="N95" s="68">
        <f>dagwerk70</f>
        <v>0</v>
      </c>
      <c r="O95" s="64" t="s">
        <v>38</v>
      </c>
      <c r="P95" s="69">
        <f>uurtarief70</f>
        <v>0</v>
      </c>
      <c r="Q95" s="66" t="e">
        <f>IF(ISBLANK(M95),0,L95/ROUND(M95,4))</f>
        <v>#DIV/0!</v>
      </c>
      <c r="R95" s="66" t="e">
        <f>IF(ISBLANK(M95),0,Q95*ROUND(N95,2))</f>
        <v>#DIV/0!</v>
      </c>
      <c r="S95" s="69" t="e">
        <f>ROUND(P95,2)*Q95</f>
        <v>#DIV/0!</v>
      </c>
      <c r="T95" s="66" t="e">
        <f>Q95*dagenperjaar1</f>
        <v>#DIV/0!</v>
      </c>
      <c r="U95" s="70" t="e">
        <f>T95*ROUND(P95,2)</f>
        <v>#DIV/0!</v>
      </c>
    </row>
    <row r="96" spans="1:21" x14ac:dyDescent="0.2">
      <c r="A96" s="63" t="s">
        <v>2099</v>
      </c>
      <c r="B96" s="64" t="s">
        <v>324</v>
      </c>
      <c r="C96" s="64" t="s">
        <v>323</v>
      </c>
      <c r="D96" s="64" t="s">
        <v>2416</v>
      </c>
      <c r="E96" s="64" t="s">
        <v>2417</v>
      </c>
      <c r="F96" s="65" t="s">
        <v>834</v>
      </c>
      <c r="G96" s="64" t="s">
        <v>328</v>
      </c>
      <c r="H96" s="64" t="s">
        <v>308</v>
      </c>
      <c r="I96" s="64" t="s">
        <v>21</v>
      </c>
      <c r="J96" s="64" t="s">
        <v>201</v>
      </c>
      <c r="K96" s="66">
        <v>70.11999999999999</v>
      </c>
      <c r="L96" s="66">
        <f>K96*VLOOKUP(I96,dagsoorttabel1,2,FALSE)</f>
        <v>1.7529999999999999</v>
      </c>
      <c r="M96" s="67">
        <f>prodnorm75</f>
        <v>0</v>
      </c>
      <c r="N96" s="68">
        <f>dagwerk75</f>
        <v>0</v>
      </c>
      <c r="O96" s="64" t="s">
        <v>38</v>
      </c>
      <c r="P96" s="69">
        <f>uurtarief75</f>
        <v>0</v>
      </c>
      <c r="Q96" s="66" t="e">
        <f>IF(ISBLANK(M96),0,L96/ROUND(M96,4))</f>
        <v>#DIV/0!</v>
      </c>
      <c r="R96" s="66" t="e">
        <f>IF(ISBLANK(M96),0,Q96*ROUND(N96,2))</f>
        <v>#DIV/0!</v>
      </c>
      <c r="S96" s="69" t="e">
        <f>ROUND(P96,2)*Q96</f>
        <v>#DIV/0!</v>
      </c>
      <c r="T96" s="66" t="e">
        <f>Q96*dagenperjaar1</f>
        <v>#DIV/0!</v>
      </c>
      <c r="U96" s="70" t="e">
        <f>T96*ROUND(P96,2)</f>
        <v>#DIV/0!</v>
      </c>
    </row>
    <row r="97" spans="1:21" x14ac:dyDescent="0.2">
      <c r="A97" s="63" t="s">
        <v>2099</v>
      </c>
      <c r="B97" s="64" t="s">
        <v>324</v>
      </c>
      <c r="C97" s="64" t="s">
        <v>323</v>
      </c>
      <c r="D97" s="64" t="s">
        <v>2418</v>
      </c>
      <c r="E97" s="64" t="s">
        <v>2419</v>
      </c>
      <c r="F97" s="65" t="s">
        <v>641</v>
      </c>
      <c r="G97" s="64" t="s">
        <v>2128</v>
      </c>
      <c r="H97" s="64" t="s">
        <v>305</v>
      </c>
      <c r="I97" s="64" t="s">
        <v>21</v>
      </c>
      <c r="J97" s="64" t="s">
        <v>201</v>
      </c>
      <c r="K97" s="66">
        <v>7.28</v>
      </c>
      <c r="L97" s="66">
        <f>K97*VLOOKUP(I97,dagsoorttabel1,2,FALSE)</f>
        <v>0.18200000000000002</v>
      </c>
      <c r="M97" s="67">
        <f>prodnorm73</f>
        <v>0</v>
      </c>
      <c r="N97" s="68">
        <f>dagwerk73</f>
        <v>0</v>
      </c>
      <c r="O97" s="64" t="s">
        <v>38</v>
      </c>
      <c r="P97" s="69">
        <f>uurtarief73</f>
        <v>0</v>
      </c>
      <c r="Q97" s="66" t="e">
        <f>IF(ISBLANK(M97),0,L97/ROUND(M97,4))</f>
        <v>#DIV/0!</v>
      </c>
      <c r="R97" s="66" t="e">
        <f>IF(ISBLANK(M97),0,Q97*ROUND(N97,2))</f>
        <v>#DIV/0!</v>
      </c>
      <c r="S97" s="69" t="e">
        <f>ROUND(P97,2)*Q97</f>
        <v>#DIV/0!</v>
      </c>
      <c r="T97" s="66" t="e">
        <f>Q97*dagenperjaar1</f>
        <v>#DIV/0!</v>
      </c>
      <c r="U97" s="70" t="e">
        <f>T97*ROUND(P97,2)</f>
        <v>#DIV/0!</v>
      </c>
    </row>
    <row r="98" spans="1:21" x14ac:dyDescent="0.2">
      <c r="A98" s="63" t="s">
        <v>2099</v>
      </c>
      <c r="B98" s="64" t="s">
        <v>324</v>
      </c>
      <c r="C98" s="64" t="s">
        <v>323</v>
      </c>
      <c r="D98" s="64" t="s">
        <v>2433</v>
      </c>
      <c r="E98" s="64" t="s">
        <v>2434</v>
      </c>
      <c r="F98" s="65" t="s">
        <v>834</v>
      </c>
      <c r="G98" s="64" t="s">
        <v>328</v>
      </c>
      <c r="H98" s="64" t="s">
        <v>308</v>
      </c>
      <c r="I98" s="64" t="s">
        <v>21</v>
      </c>
      <c r="J98" s="64" t="s">
        <v>201</v>
      </c>
      <c r="K98" s="66">
        <v>77.400000000000006</v>
      </c>
      <c r="L98" s="66">
        <f>K98*VLOOKUP(I98,dagsoorttabel1,2,FALSE)</f>
        <v>1.9350000000000003</v>
      </c>
      <c r="M98" s="67">
        <f>prodnorm75</f>
        <v>0</v>
      </c>
      <c r="N98" s="68">
        <f>dagwerk75</f>
        <v>0</v>
      </c>
      <c r="O98" s="64" t="s">
        <v>38</v>
      </c>
      <c r="P98" s="69">
        <f>uurtarief75</f>
        <v>0</v>
      </c>
      <c r="Q98" s="66" t="e">
        <f>IF(ISBLANK(M98),0,L98/ROUND(M98,4))</f>
        <v>#DIV/0!</v>
      </c>
      <c r="R98" s="66" t="e">
        <f>IF(ISBLANK(M98),0,Q98*ROUND(N98,2))</f>
        <v>#DIV/0!</v>
      </c>
      <c r="S98" s="69" t="e">
        <f>ROUND(P98,2)*Q98</f>
        <v>#DIV/0!</v>
      </c>
      <c r="T98" s="66" t="e">
        <f>Q98*dagenperjaar1</f>
        <v>#DIV/0!</v>
      </c>
      <c r="U98" s="70" t="e">
        <f>T98*ROUND(P98,2)</f>
        <v>#DIV/0!</v>
      </c>
    </row>
    <row r="99" spans="1:21" x14ac:dyDescent="0.2">
      <c r="A99" s="63" t="s">
        <v>2099</v>
      </c>
      <c r="B99" s="64" t="s">
        <v>324</v>
      </c>
      <c r="C99" s="64" t="s">
        <v>323</v>
      </c>
      <c r="D99" s="64" t="s">
        <v>2448</v>
      </c>
      <c r="E99" s="64" t="s">
        <v>2449</v>
      </c>
      <c r="F99" s="65" t="s">
        <v>834</v>
      </c>
      <c r="G99" s="64" t="s">
        <v>328</v>
      </c>
      <c r="H99" s="64" t="s">
        <v>308</v>
      </c>
      <c r="I99" s="64" t="s">
        <v>21</v>
      </c>
      <c r="J99" s="64" t="s">
        <v>201</v>
      </c>
      <c r="K99" s="66">
        <v>104.09</v>
      </c>
      <c r="L99" s="66">
        <f>K99*VLOOKUP(I99,dagsoorttabel1,2,FALSE)</f>
        <v>2.6022500000000002</v>
      </c>
      <c r="M99" s="67">
        <f>prodnorm75</f>
        <v>0</v>
      </c>
      <c r="N99" s="68">
        <f>dagwerk75</f>
        <v>0</v>
      </c>
      <c r="O99" s="64" t="s">
        <v>38</v>
      </c>
      <c r="P99" s="69">
        <f>uurtarief75</f>
        <v>0</v>
      </c>
      <c r="Q99" s="66" t="e">
        <f>IF(ISBLANK(M99),0,L99/ROUND(M99,4))</f>
        <v>#DIV/0!</v>
      </c>
      <c r="R99" s="66" t="e">
        <f>IF(ISBLANK(M99),0,Q99*ROUND(N99,2))</f>
        <v>#DIV/0!</v>
      </c>
      <c r="S99" s="69" t="e">
        <f>ROUND(P99,2)*Q99</f>
        <v>#DIV/0!</v>
      </c>
      <c r="T99" s="66" t="e">
        <f>Q99*dagenperjaar1</f>
        <v>#DIV/0!</v>
      </c>
      <c r="U99" s="70" t="e">
        <f>T99*ROUND(P99,2)</f>
        <v>#DIV/0!</v>
      </c>
    </row>
    <row r="100" spans="1:21" x14ac:dyDescent="0.2">
      <c r="A100" s="63" t="s">
        <v>2099</v>
      </c>
      <c r="B100" s="64" t="s">
        <v>324</v>
      </c>
      <c r="C100" s="64" t="s">
        <v>323</v>
      </c>
      <c r="D100" s="64" t="s">
        <v>2450</v>
      </c>
      <c r="E100" s="64" t="s">
        <v>2451</v>
      </c>
      <c r="F100" s="65" t="s">
        <v>641</v>
      </c>
      <c r="G100" s="64" t="s">
        <v>2128</v>
      </c>
      <c r="H100" s="64" t="s">
        <v>305</v>
      </c>
      <c r="I100" s="64" t="s">
        <v>21</v>
      </c>
      <c r="J100" s="64" t="s">
        <v>201</v>
      </c>
      <c r="K100" s="66">
        <v>11.1</v>
      </c>
      <c r="L100" s="66">
        <f>K100*VLOOKUP(I100,dagsoorttabel1,2,FALSE)</f>
        <v>0.27750000000000002</v>
      </c>
      <c r="M100" s="67">
        <f>prodnorm73</f>
        <v>0</v>
      </c>
      <c r="N100" s="68">
        <f>dagwerk73</f>
        <v>0</v>
      </c>
      <c r="O100" s="64" t="s">
        <v>38</v>
      </c>
      <c r="P100" s="69">
        <f>uurtarief73</f>
        <v>0</v>
      </c>
      <c r="Q100" s="66" t="e">
        <f>IF(ISBLANK(M100),0,L100/ROUND(M100,4))</f>
        <v>#DIV/0!</v>
      </c>
      <c r="R100" s="66" t="e">
        <f>IF(ISBLANK(M100),0,Q100*ROUND(N100,2))</f>
        <v>#DIV/0!</v>
      </c>
      <c r="S100" s="69" t="e">
        <f>ROUND(P100,2)*Q100</f>
        <v>#DIV/0!</v>
      </c>
      <c r="T100" s="66" t="e">
        <f>Q100*dagenperjaar1</f>
        <v>#DIV/0!</v>
      </c>
      <c r="U100" s="70" t="e">
        <f>T100*ROUND(P100,2)</f>
        <v>#DIV/0!</v>
      </c>
    </row>
    <row r="101" spans="1:21" x14ac:dyDescent="0.2">
      <c r="A101" s="63" t="s">
        <v>2099</v>
      </c>
      <c r="B101" s="64" t="s">
        <v>324</v>
      </c>
      <c r="C101" s="64" t="s">
        <v>323</v>
      </c>
      <c r="D101" s="64" t="s">
        <v>2459</v>
      </c>
      <c r="E101" s="64" t="s">
        <v>1980</v>
      </c>
      <c r="F101" s="65" t="s">
        <v>2281</v>
      </c>
      <c r="G101" s="64" t="s">
        <v>328</v>
      </c>
      <c r="H101" s="64" t="s">
        <v>302</v>
      </c>
      <c r="I101" s="64" t="s">
        <v>21</v>
      </c>
      <c r="J101" s="64" t="s">
        <v>201</v>
      </c>
      <c r="K101" s="66">
        <v>16.989999999999998</v>
      </c>
      <c r="L101" s="66">
        <f>K101*VLOOKUP(I101,dagsoorttabel1,2,FALSE)</f>
        <v>0.42474999999999996</v>
      </c>
      <c r="M101" s="67">
        <f>prodnorm70</f>
        <v>0</v>
      </c>
      <c r="N101" s="68">
        <f>dagwerk70</f>
        <v>0</v>
      </c>
      <c r="O101" s="64" t="s">
        <v>38</v>
      </c>
      <c r="P101" s="69">
        <f>uurtarief70</f>
        <v>0</v>
      </c>
      <c r="Q101" s="66" t="e">
        <f>IF(ISBLANK(M101),0,L101/ROUND(M101,4))</f>
        <v>#DIV/0!</v>
      </c>
      <c r="R101" s="66" t="e">
        <f>IF(ISBLANK(M101),0,Q101*ROUND(N101,2))</f>
        <v>#DIV/0!</v>
      </c>
      <c r="S101" s="69" t="e">
        <f>ROUND(P101,2)*Q101</f>
        <v>#DIV/0!</v>
      </c>
      <c r="T101" s="66" t="e">
        <f>Q101*dagenperjaar1</f>
        <v>#DIV/0!</v>
      </c>
      <c r="U101" s="70" t="e">
        <f>T101*ROUND(P101,2)</f>
        <v>#DIV/0!</v>
      </c>
    </row>
    <row r="102" spans="1:21" x14ac:dyDescent="0.2">
      <c r="A102" s="63" t="s">
        <v>2099</v>
      </c>
      <c r="B102" s="64" t="s">
        <v>324</v>
      </c>
      <c r="C102" s="64" t="s">
        <v>323</v>
      </c>
      <c r="D102" s="64" t="s">
        <v>2460</v>
      </c>
      <c r="E102" s="64" t="s">
        <v>1983</v>
      </c>
      <c r="F102" s="65" t="s">
        <v>2281</v>
      </c>
      <c r="G102" s="64" t="s">
        <v>328</v>
      </c>
      <c r="H102" s="64" t="s">
        <v>302</v>
      </c>
      <c r="I102" s="64" t="s">
        <v>21</v>
      </c>
      <c r="J102" s="64" t="s">
        <v>201</v>
      </c>
      <c r="K102" s="66">
        <v>17.77</v>
      </c>
      <c r="L102" s="66">
        <f>K102*VLOOKUP(I102,dagsoorttabel1,2,FALSE)</f>
        <v>0.44425000000000003</v>
      </c>
      <c r="M102" s="67">
        <f>prodnorm70</f>
        <v>0</v>
      </c>
      <c r="N102" s="68">
        <f>dagwerk70</f>
        <v>0</v>
      </c>
      <c r="O102" s="64" t="s">
        <v>38</v>
      </c>
      <c r="P102" s="69">
        <f>uurtarief70</f>
        <v>0</v>
      </c>
      <c r="Q102" s="66" t="e">
        <f>IF(ISBLANK(M102),0,L102/ROUND(M102,4))</f>
        <v>#DIV/0!</v>
      </c>
      <c r="R102" s="66" t="e">
        <f>IF(ISBLANK(M102),0,Q102*ROUND(N102,2))</f>
        <v>#DIV/0!</v>
      </c>
      <c r="S102" s="69" t="e">
        <f>ROUND(P102,2)*Q102</f>
        <v>#DIV/0!</v>
      </c>
      <c r="T102" s="66" t="e">
        <f>Q102*dagenperjaar1</f>
        <v>#DIV/0!</v>
      </c>
      <c r="U102" s="70" t="e">
        <f>T102*ROUND(P102,2)</f>
        <v>#DIV/0!</v>
      </c>
    </row>
    <row r="103" spans="1:21" x14ac:dyDescent="0.2">
      <c r="A103" s="63" t="s">
        <v>2099</v>
      </c>
      <c r="B103" s="64" t="s">
        <v>324</v>
      </c>
      <c r="C103" s="64" t="s">
        <v>323</v>
      </c>
      <c r="D103" s="64" t="s">
        <v>2461</v>
      </c>
      <c r="E103" s="64" t="s">
        <v>1985</v>
      </c>
      <c r="F103" s="65" t="s">
        <v>2281</v>
      </c>
      <c r="G103" s="64" t="s">
        <v>328</v>
      </c>
      <c r="H103" s="64" t="s">
        <v>302</v>
      </c>
      <c r="I103" s="64" t="s">
        <v>21</v>
      </c>
      <c r="J103" s="64" t="s">
        <v>201</v>
      </c>
      <c r="K103" s="66">
        <v>16.14</v>
      </c>
      <c r="L103" s="66">
        <f>K103*VLOOKUP(I103,dagsoorttabel1,2,FALSE)</f>
        <v>0.40350000000000003</v>
      </c>
      <c r="M103" s="67">
        <f>prodnorm70</f>
        <v>0</v>
      </c>
      <c r="N103" s="68">
        <f>dagwerk70</f>
        <v>0</v>
      </c>
      <c r="O103" s="64" t="s">
        <v>38</v>
      </c>
      <c r="P103" s="69">
        <f>uurtarief70</f>
        <v>0</v>
      </c>
      <c r="Q103" s="66" t="e">
        <f>IF(ISBLANK(M103),0,L103/ROUND(M103,4))</f>
        <v>#DIV/0!</v>
      </c>
      <c r="R103" s="66" t="e">
        <f>IF(ISBLANK(M103),0,Q103*ROUND(N103,2))</f>
        <v>#DIV/0!</v>
      </c>
      <c r="S103" s="69" t="e">
        <f>ROUND(P103,2)*Q103</f>
        <v>#DIV/0!</v>
      </c>
      <c r="T103" s="66" t="e">
        <f>Q103*dagenperjaar1</f>
        <v>#DIV/0!</v>
      </c>
      <c r="U103" s="70" t="e">
        <f>T103*ROUND(P103,2)</f>
        <v>#DIV/0!</v>
      </c>
    </row>
    <row r="104" spans="1:21" x14ac:dyDescent="0.2">
      <c r="A104" s="63" t="s">
        <v>2099</v>
      </c>
      <c r="B104" s="64" t="s">
        <v>324</v>
      </c>
      <c r="C104" s="64" t="s">
        <v>323</v>
      </c>
      <c r="D104" s="64" t="s">
        <v>2462</v>
      </c>
      <c r="E104" s="64" t="s">
        <v>1986</v>
      </c>
      <c r="F104" s="65" t="s">
        <v>2463</v>
      </c>
      <c r="G104" s="64" t="s">
        <v>328</v>
      </c>
      <c r="H104" s="64" t="s">
        <v>302</v>
      </c>
      <c r="I104" s="64" t="s">
        <v>21</v>
      </c>
      <c r="J104" s="64" t="s">
        <v>201</v>
      </c>
      <c r="K104" s="66">
        <v>120.66</v>
      </c>
      <c r="L104" s="66">
        <f>K104*VLOOKUP(I104,dagsoorttabel1,2,FALSE)</f>
        <v>3.0165000000000002</v>
      </c>
      <c r="M104" s="67">
        <f>prodnorm70</f>
        <v>0</v>
      </c>
      <c r="N104" s="68">
        <f>dagwerk70</f>
        <v>0</v>
      </c>
      <c r="O104" s="64" t="s">
        <v>38</v>
      </c>
      <c r="P104" s="69">
        <f>uurtarief70</f>
        <v>0</v>
      </c>
      <c r="Q104" s="66" t="e">
        <f>IF(ISBLANK(M104),0,L104/ROUND(M104,4))</f>
        <v>#DIV/0!</v>
      </c>
      <c r="R104" s="66" t="e">
        <f>IF(ISBLANK(M104),0,Q104*ROUND(N104,2))</f>
        <v>#DIV/0!</v>
      </c>
      <c r="S104" s="69" t="e">
        <f>ROUND(P104,2)*Q104</f>
        <v>#DIV/0!</v>
      </c>
      <c r="T104" s="66" t="e">
        <f>Q104*dagenperjaar1</f>
        <v>#DIV/0!</v>
      </c>
      <c r="U104" s="70" t="e">
        <f>T104*ROUND(P104,2)</f>
        <v>#DIV/0!</v>
      </c>
    </row>
    <row r="105" spans="1:21" x14ac:dyDescent="0.2">
      <c r="A105" s="63" t="s">
        <v>2099</v>
      </c>
      <c r="B105" s="64" t="s">
        <v>324</v>
      </c>
      <c r="C105" s="64" t="s">
        <v>323</v>
      </c>
      <c r="D105" s="64" t="s">
        <v>2467</v>
      </c>
      <c r="E105" s="64" t="s">
        <v>1990</v>
      </c>
      <c r="F105" s="65" t="s">
        <v>641</v>
      </c>
      <c r="G105" s="64" t="s">
        <v>2128</v>
      </c>
      <c r="H105" s="64" t="s">
        <v>305</v>
      </c>
      <c r="I105" s="64" t="s">
        <v>21</v>
      </c>
      <c r="J105" s="64" t="s">
        <v>201</v>
      </c>
      <c r="K105" s="66">
        <v>11.15</v>
      </c>
      <c r="L105" s="66">
        <f>K105*VLOOKUP(I105,dagsoorttabel1,2,FALSE)</f>
        <v>0.27875</v>
      </c>
      <c r="M105" s="67">
        <f>prodnorm73</f>
        <v>0</v>
      </c>
      <c r="N105" s="68">
        <f>dagwerk73</f>
        <v>0</v>
      </c>
      <c r="O105" s="64" t="s">
        <v>38</v>
      </c>
      <c r="P105" s="69">
        <f>uurtarief73</f>
        <v>0</v>
      </c>
      <c r="Q105" s="66" t="e">
        <f>IF(ISBLANK(M105),0,L105/ROUND(M105,4))</f>
        <v>#DIV/0!</v>
      </c>
      <c r="R105" s="66" t="e">
        <f>IF(ISBLANK(M105),0,Q105*ROUND(N105,2))</f>
        <v>#DIV/0!</v>
      </c>
      <c r="S105" s="69" t="e">
        <f>ROUND(P105,2)*Q105</f>
        <v>#DIV/0!</v>
      </c>
      <c r="T105" s="66" t="e">
        <f>Q105*dagenperjaar1</f>
        <v>#DIV/0!</v>
      </c>
      <c r="U105" s="70" t="e">
        <f>T105*ROUND(P105,2)</f>
        <v>#DIV/0!</v>
      </c>
    </row>
    <row r="106" spans="1:21" x14ac:dyDescent="0.2">
      <c r="A106" s="63" t="s">
        <v>2099</v>
      </c>
      <c r="B106" s="64" t="s">
        <v>324</v>
      </c>
      <c r="C106" s="64" t="s">
        <v>323</v>
      </c>
      <c r="D106" s="64" t="s">
        <v>2470</v>
      </c>
      <c r="E106" s="64" t="s">
        <v>2471</v>
      </c>
      <c r="F106" s="65" t="s">
        <v>834</v>
      </c>
      <c r="G106" s="64" t="s">
        <v>328</v>
      </c>
      <c r="H106" s="64" t="s">
        <v>308</v>
      </c>
      <c r="I106" s="64" t="s">
        <v>21</v>
      </c>
      <c r="J106" s="64" t="s">
        <v>201</v>
      </c>
      <c r="K106" s="66">
        <v>96.81</v>
      </c>
      <c r="L106" s="66">
        <f>K106*VLOOKUP(I106,dagsoorttabel1,2,FALSE)</f>
        <v>2.4202500000000002</v>
      </c>
      <c r="M106" s="67">
        <f>prodnorm75</f>
        <v>0</v>
      </c>
      <c r="N106" s="68">
        <f>dagwerk75</f>
        <v>0</v>
      </c>
      <c r="O106" s="64" t="s">
        <v>38</v>
      </c>
      <c r="P106" s="69">
        <f>uurtarief75</f>
        <v>0</v>
      </c>
      <c r="Q106" s="66" t="e">
        <f>IF(ISBLANK(M106),0,L106/ROUND(M106,4))</f>
        <v>#DIV/0!</v>
      </c>
      <c r="R106" s="66" t="e">
        <f>IF(ISBLANK(M106),0,Q106*ROUND(N106,2))</f>
        <v>#DIV/0!</v>
      </c>
      <c r="S106" s="69" t="e">
        <f>ROUND(P106,2)*Q106</f>
        <v>#DIV/0!</v>
      </c>
      <c r="T106" s="66" t="e">
        <f>Q106*dagenperjaar1</f>
        <v>#DIV/0!</v>
      </c>
      <c r="U106" s="70" t="e">
        <f>T106*ROUND(P106,2)</f>
        <v>#DIV/0!</v>
      </c>
    </row>
    <row r="107" spans="1:21" x14ac:dyDescent="0.2">
      <c r="A107" s="63" t="s">
        <v>2099</v>
      </c>
      <c r="B107" s="64" t="s">
        <v>324</v>
      </c>
      <c r="C107" s="64" t="s">
        <v>323</v>
      </c>
      <c r="D107" s="64" t="s">
        <v>2475</v>
      </c>
      <c r="E107" s="64" t="s">
        <v>2476</v>
      </c>
      <c r="F107" s="65" t="s">
        <v>834</v>
      </c>
      <c r="G107" s="64" t="s">
        <v>328</v>
      </c>
      <c r="H107" s="64" t="s">
        <v>308</v>
      </c>
      <c r="I107" s="64" t="s">
        <v>21</v>
      </c>
      <c r="J107" s="64" t="s">
        <v>201</v>
      </c>
      <c r="K107" s="66">
        <v>77.400000000000006</v>
      </c>
      <c r="L107" s="66">
        <f>K107*VLOOKUP(I107,dagsoorttabel1,2,FALSE)</f>
        <v>1.9350000000000003</v>
      </c>
      <c r="M107" s="67">
        <f>prodnorm75</f>
        <v>0</v>
      </c>
      <c r="N107" s="68">
        <f>dagwerk75</f>
        <v>0</v>
      </c>
      <c r="O107" s="64" t="s">
        <v>38</v>
      </c>
      <c r="P107" s="69">
        <f>uurtarief75</f>
        <v>0</v>
      </c>
      <c r="Q107" s="66" t="e">
        <f>IF(ISBLANK(M107),0,L107/ROUND(M107,4))</f>
        <v>#DIV/0!</v>
      </c>
      <c r="R107" s="66" t="e">
        <f>IF(ISBLANK(M107),0,Q107*ROUND(N107,2))</f>
        <v>#DIV/0!</v>
      </c>
      <c r="S107" s="69" t="e">
        <f>ROUND(P107,2)*Q107</f>
        <v>#DIV/0!</v>
      </c>
      <c r="T107" s="66" t="e">
        <f>Q107*dagenperjaar1</f>
        <v>#DIV/0!</v>
      </c>
      <c r="U107" s="70" t="e">
        <f>T107*ROUND(P107,2)</f>
        <v>#DIV/0!</v>
      </c>
    </row>
    <row r="108" spans="1:21" x14ac:dyDescent="0.2">
      <c r="A108" s="63" t="s">
        <v>2099</v>
      </c>
      <c r="B108" s="64" t="s">
        <v>324</v>
      </c>
      <c r="C108" s="64" t="s">
        <v>323</v>
      </c>
      <c r="D108" s="64" t="s">
        <v>2495</v>
      </c>
      <c r="E108" s="64" t="s">
        <v>2496</v>
      </c>
      <c r="F108" s="65" t="s">
        <v>641</v>
      </c>
      <c r="G108" s="64" t="s">
        <v>2128</v>
      </c>
      <c r="H108" s="64" t="s">
        <v>305</v>
      </c>
      <c r="I108" s="64" t="s">
        <v>21</v>
      </c>
      <c r="J108" s="64" t="s">
        <v>201</v>
      </c>
      <c r="K108" s="66">
        <v>3.63</v>
      </c>
      <c r="L108" s="66">
        <f>K108*VLOOKUP(I108,dagsoorttabel1,2,FALSE)</f>
        <v>9.0749999999999997E-2</v>
      </c>
      <c r="M108" s="67">
        <f>prodnorm73</f>
        <v>0</v>
      </c>
      <c r="N108" s="68">
        <f>dagwerk73</f>
        <v>0</v>
      </c>
      <c r="O108" s="64" t="s">
        <v>38</v>
      </c>
      <c r="P108" s="69">
        <f>uurtarief73</f>
        <v>0</v>
      </c>
      <c r="Q108" s="66" t="e">
        <f>IF(ISBLANK(M108),0,L108/ROUND(M108,4))</f>
        <v>#DIV/0!</v>
      </c>
      <c r="R108" s="66" t="e">
        <f>IF(ISBLANK(M108),0,Q108*ROUND(N108,2))</f>
        <v>#DIV/0!</v>
      </c>
      <c r="S108" s="69" t="e">
        <f>ROUND(P108,2)*Q108</f>
        <v>#DIV/0!</v>
      </c>
      <c r="T108" s="66" t="e">
        <f>Q108*dagenperjaar1</f>
        <v>#DIV/0!</v>
      </c>
      <c r="U108" s="70" t="e">
        <f>T108*ROUND(P108,2)</f>
        <v>#DIV/0!</v>
      </c>
    </row>
    <row r="109" spans="1:21" x14ac:dyDescent="0.2">
      <c r="A109" s="71" t="s">
        <v>2099</v>
      </c>
      <c r="B109" s="72" t="s">
        <v>324</v>
      </c>
      <c r="C109" s="72" t="s">
        <v>323</v>
      </c>
      <c r="D109" s="72" t="s">
        <v>2497</v>
      </c>
      <c r="E109" s="72" t="s">
        <v>2498</v>
      </c>
      <c r="F109" s="73" t="s">
        <v>641</v>
      </c>
      <c r="G109" s="72" t="s">
        <v>2128</v>
      </c>
      <c r="H109" s="72" t="s">
        <v>305</v>
      </c>
      <c r="I109" s="72" t="s">
        <v>21</v>
      </c>
      <c r="J109" s="72" t="s">
        <v>201</v>
      </c>
      <c r="K109" s="74">
        <v>4.55</v>
      </c>
      <c r="L109" s="74">
        <f>K109*VLOOKUP(I109,dagsoorttabel1,2,FALSE)</f>
        <v>0.11375</v>
      </c>
      <c r="M109" s="75">
        <f>prodnorm73</f>
        <v>0</v>
      </c>
      <c r="N109" s="76">
        <f>dagwerk73</f>
        <v>0</v>
      </c>
      <c r="O109" s="72" t="s">
        <v>38</v>
      </c>
      <c r="P109" s="77">
        <f>uurtarief73</f>
        <v>0</v>
      </c>
      <c r="Q109" s="74" t="e">
        <f>IF(ISBLANK(M109),0,L109/ROUND(M109,4))</f>
        <v>#DIV/0!</v>
      </c>
      <c r="R109" s="74" t="e">
        <f>IF(ISBLANK(M109),0,Q109*ROUND(N109,2))</f>
        <v>#DIV/0!</v>
      </c>
      <c r="S109" s="77" t="e">
        <f>ROUND(P109,2)*Q109</f>
        <v>#DIV/0!</v>
      </c>
      <c r="T109" s="74" t="e">
        <f>Q109*dagenperjaar1</f>
        <v>#DIV/0!</v>
      </c>
      <c r="U109" s="78" t="e">
        <f>T109*ROUND(P109,2)</f>
        <v>#DIV/0!</v>
      </c>
    </row>
    <row r="110" spans="1:21" x14ac:dyDescent="0.2">
      <c r="A110" s="43" t="s">
        <v>2810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6" t="e">
        <f>IF(_xlfn.SINGLE(object16_urenjaar3)&gt;0,_xlfn.SINGLE(object16_prijsjaar3)/_xlfn.SINGLE(object16_urenjaar3),0)</f>
        <v>#DIV/0!</v>
      </c>
      <c r="Q110" s="45" t="e">
        <f>SUM(Q24:Q109)</f>
        <v>#DIV/0!</v>
      </c>
      <c r="R110" s="45" t="e">
        <f>SUM(R24:R109)</f>
        <v>#DIV/0!</v>
      </c>
      <c r="S110" s="46" t="e">
        <f>SUM(S24:S109)</f>
        <v>#DIV/0!</v>
      </c>
      <c r="T110" s="45" t="e">
        <f>SUM(T24:T109)</f>
        <v>#DIV/0!</v>
      </c>
      <c r="U110" s="46" t="e">
        <f>SUM(U24:U109)</f>
        <v>#DIV/0!</v>
      </c>
    </row>
  </sheetData>
  <pageMargins left="0.7" right="0.7" top="0.75" bottom="0.75" header="0.3" footer="0.3"/>
  <pageSetup paperSize="9" scale="61" orientation="landscape" r:id="rId1"/>
  <headerFooter>
    <oddFooter>&amp;LNUOVO Scholengroep EA 2023                                  &amp;ROpmaakdatum: 21-07-2023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2534-984B-4F2D-B5FC-460613E47854}">
  <dimension ref="A1:Z71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26" width="12.625" customWidth="1"/>
  </cols>
  <sheetData>
    <row r="1" spans="1:26" x14ac:dyDescent="0.2">
      <c r="A1" s="1" t="s">
        <v>2811</v>
      </c>
    </row>
    <row r="3" spans="1:26" x14ac:dyDescent="0.2">
      <c r="A3" s="82" t="s">
        <v>192</v>
      </c>
      <c r="B3" s="82" t="s">
        <v>7</v>
      </c>
      <c r="C3" s="82" t="s">
        <v>2812</v>
      </c>
      <c r="D3" s="82" t="s">
        <v>2813</v>
      </c>
      <c r="E3" s="82" t="s">
        <v>2814</v>
      </c>
      <c r="F3" s="82" t="s">
        <v>2815</v>
      </c>
      <c r="G3" s="82" t="s">
        <v>2816</v>
      </c>
      <c r="H3" s="82" t="s">
        <v>31</v>
      </c>
      <c r="I3" s="82" t="s">
        <v>2817</v>
      </c>
      <c r="J3" s="82" t="s">
        <v>2818</v>
      </c>
      <c r="K3" s="82" t="s">
        <v>2819</v>
      </c>
      <c r="L3" s="82" t="s">
        <v>2820</v>
      </c>
      <c r="M3" s="82" t="s">
        <v>2821</v>
      </c>
      <c r="N3" s="82" t="s">
        <v>2822</v>
      </c>
      <c r="O3" s="82" t="s">
        <v>2823</v>
      </c>
      <c r="P3" s="82" t="s">
        <v>2824</v>
      </c>
      <c r="Q3" s="82" t="s">
        <v>2825</v>
      </c>
      <c r="R3" s="82" t="s">
        <v>2826</v>
      </c>
      <c r="S3" s="82" t="s">
        <v>2827</v>
      </c>
      <c r="T3" s="82" t="s">
        <v>2828</v>
      </c>
      <c r="U3" s="82" t="s">
        <v>2829</v>
      </c>
      <c r="V3" s="82" t="s">
        <v>2830</v>
      </c>
      <c r="W3" s="82" t="s">
        <v>2831</v>
      </c>
      <c r="X3" s="82" t="s">
        <v>2832</v>
      </c>
      <c r="Y3" s="82" t="s">
        <v>2833</v>
      </c>
      <c r="Z3" s="82" t="s">
        <v>2834</v>
      </c>
    </row>
    <row r="4" spans="1:26" x14ac:dyDescent="0.2">
      <c r="A4" s="83"/>
      <c r="B4" s="83"/>
      <c r="C4" s="83"/>
      <c r="D4" s="83"/>
      <c r="E4" s="83"/>
      <c r="F4" s="83"/>
      <c r="G4" s="83"/>
      <c r="H4" s="83"/>
      <c r="I4" s="83"/>
      <c r="J4" s="84" t="s">
        <v>194</v>
      </c>
      <c r="K4" s="84" t="s">
        <v>194</v>
      </c>
      <c r="L4" s="84" t="s">
        <v>194</v>
      </c>
      <c r="M4" s="84" t="s">
        <v>194</v>
      </c>
      <c r="N4" s="84" t="s">
        <v>194</v>
      </c>
      <c r="O4" s="84" t="s">
        <v>194</v>
      </c>
      <c r="P4" s="84" t="s">
        <v>194</v>
      </c>
      <c r="Q4" s="84" t="s">
        <v>194</v>
      </c>
      <c r="R4" s="84" t="s">
        <v>194</v>
      </c>
      <c r="S4" s="84" t="s">
        <v>194</v>
      </c>
      <c r="T4" s="84" t="s">
        <v>194</v>
      </c>
      <c r="U4" s="84" t="s">
        <v>194</v>
      </c>
      <c r="V4" s="84" t="s">
        <v>194</v>
      </c>
      <c r="W4" s="84" t="s">
        <v>194</v>
      </c>
      <c r="X4" s="84" t="s">
        <v>194</v>
      </c>
      <c r="Y4" s="84" t="s">
        <v>194</v>
      </c>
      <c r="Z4" s="84" t="s">
        <v>194</v>
      </c>
    </row>
    <row r="5" spans="1:26" x14ac:dyDescent="0.2">
      <c r="A5" s="15" t="s">
        <v>200</v>
      </c>
      <c r="B5" s="15" t="s">
        <v>10</v>
      </c>
      <c r="C5" s="15" t="s">
        <v>2835</v>
      </c>
      <c r="D5" s="15" t="s">
        <v>201</v>
      </c>
      <c r="E5" s="30">
        <f>IF(B5="","",VLOOKUP(B5,dagsoorttabel1,2,FALSE))</f>
        <v>1</v>
      </c>
      <c r="F5" s="30">
        <v>1</v>
      </c>
      <c r="G5" s="30">
        <f>IF(prodnorm24&gt;0,1/ROUND(prodnorm24,4),0)</f>
        <v>0</v>
      </c>
      <c r="H5" s="32">
        <f>ROUND(dagwerk24,4+2)</f>
        <v>0</v>
      </c>
      <c r="I5" s="33">
        <f>ROUND(uurtarief24,2)</f>
        <v>0</v>
      </c>
      <c r="J5" s="30">
        <v>180.6</v>
      </c>
      <c r="K5" s="30">
        <v>1294.68</v>
      </c>
      <c r="L5" s="30">
        <v>694.1</v>
      </c>
      <c r="M5" s="30">
        <v>834.1</v>
      </c>
      <c r="N5" s="30">
        <v>1371</v>
      </c>
      <c r="O5" s="30">
        <v>628</v>
      </c>
      <c r="P5" s="30">
        <v>275</v>
      </c>
      <c r="Q5" s="30">
        <v>524.20000000000005</v>
      </c>
      <c r="R5" s="30">
        <v>0</v>
      </c>
      <c r="S5" s="30">
        <v>309</v>
      </c>
      <c r="T5" s="30">
        <v>62.8</v>
      </c>
      <c r="U5" s="30">
        <v>1055</v>
      </c>
      <c r="V5" s="30">
        <v>156.98000000000002</v>
      </c>
      <c r="W5" s="30">
        <v>61.3</v>
      </c>
      <c r="X5" s="30">
        <v>0</v>
      </c>
      <c r="Y5" s="30">
        <v>347.98999999999995</v>
      </c>
      <c r="Z5" s="30">
        <v>668.88</v>
      </c>
    </row>
    <row r="6" spans="1:26" x14ac:dyDescent="0.2">
      <c r="A6" s="20" t="s">
        <v>203</v>
      </c>
      <c r="B6" s="20" t="s">
        <v>10</v>
      </c>
      <c r="C6" s="20" t="s">
        <v>2835</v>
      </c>
      <c r="D6" s="20" t="s">
        <v>201</v>
      </c>
      <c r="E6" s="34">
        <f>IF(B6="","",VLOOKUP(B6,dagsoorttabel1,2,FALSE))</f>
        <v>1</v>
      </c>
      <c r="F6" s="34">
        <v>1</v>
      </c>
      <c r="G6" s="34">
        <f>IF(prodnorm25&gt;0,1/ROUND(prodnorm25,4),0)</f>
        <v>0</v>
      </c>
      <c r="H6" s="36">
        <f>ROUND(dagwerk25,4+2)</f>
        <v>0</v>
      </c>
      <c r="I6" s="37">
        <f>ROUND(uurtarief25,2)</f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297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214.8</v>
      </c>
      <c r="Y6" s="34">
        <v>0</v>
      </c>
      <c r="Z6" s="34">
        <v>0</v>
      </c>
    </row>
    <row r="7" spans="1:26" x14ac:dyDescent="0.2">
      <c r="A7" s="20" t="s">
        <v>205</v>
      </c>
      <c r="B7" s="20" t="s">
        <v>10</v>
      </c>
      <c r="C7" s="20" t="s">
        <v>2835</v>
      </c>
      <c r="D7" s="20" t="s">
        <v>201</v>
      </c>
      <c r="E7" s="34">
        <f>IF(B7="","",VLOOKUP(B7,dagsoorttabel1,2,FALSE))</f>
        <v>1</v>
      </c>
      <c r="F7" s="34">
        <v>1</v>
      </c>
      <c r="G7" s="34">
        <f>IF(prodnorm26&gt;0,1/ROUND(prodnorm26,4),0)</f>
        <v>0</v>
      </c>
      <c r="H7" s="36">
        <f>ROUND(dagwerk26,4+2)</f>
        <v>0</v>
      </c>
      <c r="I7" s="37">
        <f>ROUND(uurtarief26,2)</f>
        <v>0</v>
      </c>
      <c r="J7" s="34">
        <v>370</v>
      </c>
      <c r="K7" s="34">
        <v>556.66999999999996</v>
      </c>
      <c r="L7" s="34">
        <v>725.80000000000007</v>
      </c>
      <c r="M7" s="34">
        <v>881.1</v>
      </c>
      <c r="N7" s="34">
        <v>502</v>
      </c>
      <c r="O7" s="34">
        <v>111</v>
      </c>
      <c r="P7" s="34">
        <v>165.5</v>
      </c>
      <c r="Q7" s="34">
        <v>172.6</v>
      </c>
      <c r="R7" s="34">
        <v>128.19999999999999</v>
      </c>
      <c r="S7" s="34">
        <v>209</v>
      </c>
      <c r="T7" s="34">
        <v>75.8</v>
      </c>
      <c r="U7" s="34">
        <v>489.5</v>
      </c>
      <c r="V7" s="34">
        <v>146.34999999999997</v>
      </c>
      <c r="W7" s="34">
        <v>26.4</v>
      </c>
      <c r="X7" s="34">
        <v>10</v>
      </c>
      <c r="Y7" s="34">
        <v>785.63000000000011</v>
      </c>
      <c r="Z7" s="34">
        <v>791.48000000000013</v>
      </c>
    </row>
    <row r="8" spans="1:26" x14ac:dyDescent="0.2">
      <c r="A8" s="20" t="s">
        <v>205</v>
      </c>
      <c r="B8" s="20" t="s">
        <v>16</v>
      </c>
      <c r="C8" s="20" t="s">
        <v>2835</v>
      </c>
      <c r="D8" s="20" t="s">
        <v>201</v>
      </c>
      <c r="E8" s="34">
        <f>IF(B8="","",VLOOKUP(B8,dagsoorttabel1,2,FALSE))</f>
        <v>0.2</v>
      </c>
      <c r="F8" s="34">
        <v>1</v>
      </c>
      <c r="G8" s="34">
        <f>IF(prodnorm27&gt;0,1/ROUND(prodnorm27,4),0)</f>
        <v>0</v>
      </c>
      <c r="H8" s="36">
        <f>ROUND(dagwerk27,4+2)</f>
        <v>0</v>
      </c>
      <c r="I8" s="37">
        <f>ROUND(uurtarief27,2)</f>
        <v>0</v>
      </c>
      <c r="J8" s="34">
        <v>0</v>
      </c>
      <c r="K8" s="34">
        <v>0</v>
      </c>
      <c r="L8" s="34">
        <v>12.3</v>
      </c>
      <c r="M8" s="34">
        <v>0</v>
      </c>
      <c r="N8" s="34">
        <v>0</v>
      </c>
      <c r="O8" s="34">
        <v>14</v>
      </c>
      <c r="P8" s="34">
        <v>122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</row>
    <row r="9" spans="1:26" x14ac:dyDescent="0.2">
      <c r="A9" s="20" t="s">
        <v>207</v>
      </c>
      <c r="B9" s="20" t="s">
        <v>10</v>
      </c>
      <c r="C9" s="20" t="s">
        <v>2835</v>
      </c>
      <c r="D9" s="20" t="s">
        <v>201</v>
      </c>
      <c r="E9" s="34">
        <f>IF(B9="","",VLOOKUP(B9,dagsoorttabel1,2,FALSE))</f>
        <v>1</v>
      </c>
      <c r="F9" s="34">
        <v>1</v>
      </c>
      <c r="G9" s="34">
        <f>IF(prodnorm28&gt;0,1/ROUND(prodnorm28,4),0)</f>
        <v>0</v>
      </c>
      <c r="H9" s="36">
        <f>ROUND(dagwerk28,4+2)</f>
        <v>0</v>
      </c>
      <c r="I9" s="37">
        <f>ROUND(uurtarief28,2)</f>
        <v>0</v>
      </c>
      <c r="J9" s="34">
        <v>68.7</v>
      </c>
      <c r="K9" s="34">
        <v>215.6</v>
      </c>
      <c r="L9" s="34">
        <v>0</v>
      </c>
      <c r="M9" s="34">
        <v>64.900000000000006</v>
      </c>
      <c r="N9" s="34">
        <v>0</v>
      </c>
      <c r="O9" s="34">
        <v>126.42</v>
      </c>
      <c r="P9" s="34">
        <v>0</v>
      </c>
      <c r="Q9" s="34">
        <v>0</v>
      </c>
      <c r="R9" s="34">
        <v>0</v>
      </c>
      <c r="S9" s="34">
        <v>367.5</v>
      </c>
      <c r="T9" s="34">
        <v>0</v>
      </c>
      <c r="U9" s="34">
        <v>417.19</v>
      </c>
      <c r="V9" s="34">
        <v>417.46000000000004</v>
      </c>
      <c r="W9" s="34">
        <v>0</v>
      </c>
      <c r="X9" s="34">
        <v>190.7</v>
      </c>
      <c r="Y9" s="34">
        <v>0</v>
      </c>
      <c r="Z9" s="34">
        <v>0</v>
      </c>
    </row>
    <row r="10" spans="1:26" x14ac:dyDescent="0.2">
      <c r="A10" s="20" t="s">
        <v>207</v>
      </c>
      <c r="B10" s="20" t="s">
        <v>16</v>
      </c>
      <c r="C10" s="20" t="s">
        <v>2835</v>
      </c>
      <c r="D10" s="20" t="s">
        <v>201</v>
      </c>
      <c r="E10" s="34">
        <f>IF(B10="","",VLOOKUP(B10,dagsoorttabel1,2,FALSE))</f>
        <v>0.2</v>
      </c>
      <c r="F10" s="34">
        <v>1</v>
      </c>
      <c r="G10" s="34">
        <f>IF(prodnorm29&gt;0,1/ROUND(prodnorm29,4),0)</f>
        <v>0</v>
      </c>
      <c r="H10" s="36">
        <f>ROUND(dagwerk29,4+2)</f>
        <v>0</v>
      </c>
      <c r="I10" s="37">
        <f>ROUND(uurtarief29,2)</f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287.58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</row>
    <row r="11" spans="1:26" x14ac:dyDescent="0.2">
      <c r="A11" s="20" t="s">
        <v>209</v>
      </c>
      <c r="B11" s="20" t="s">
        <v>10</v>
      </c>
      <c r="C11" s="20" t="s">
        <v>2835</v>
      </c>
      <c r="D11" s="20" t="s">
        <v>201</v>
      </c>
      <c r="E11" s="34">
        <f>IF(B11="","",VLOOKUP(B11,dagsoorttabel1,2,FALSE))</f>
        <v>1</v>
      </c>
      <c r="F11" s="34">
        <v>1</v>
      </c>
      <c r="G11" s="34">
        <f>IF(prodnorm30&gt;0,1/ROUND(prodnorm30,4),0)</f>
        <v>0</v>
      </c>
      <c r="H11" s="36">
        <f>ROUND(dagwerk30,4+2)</f>
        <v>0</v>
      </c>
      <c r="I11" s="37">
        <f>ROUND(uurtarief30,2)</f>
        <v>0</v>
      </c>
      <c r="J11" s="34">
        <v>0</v>
      </c>
      <c r="K11" s="34">
        <v>0</v>
      </c>
      <c r="L11" s="34">
        <v>268.40000000000003</v>
      </c>
      <c r="M11" s="34">
        <v>266</v>
      </c>
      <c r="N11" s="34">
        <v>0</v>
      </c>
      <c r="O11" s="34">
        <v>199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</row>
    <row r="12" spans="1:26" x14ac:dyDescent="0.2">
      <c r="A12" s="20" t="s">
        <v>209</v>
      </c>
      <c r="B12" s="20" t="s">
        <v>16</v>
      </c>
      <c r="C12" s="20" t="s">
        <v>2835</v>
      </c>
      <c r="D12" s="20" t="s">
        <v>201</v>
      </c>
      <c r="E12" s="34">
        <f>IF(B12="","",VLOOKUP(B12,dagsoorttabel1,2,FALSE))</f>
        <v>0.2</v>
      </c>
      <c r="F12" s="34">
        <v>1</v>
      </c>
      <c r="G12" s="34">
        <f>IF(prodnorm31&gt;0,1/ROUND(prodnorm31,4),0)</f>
        <v>0</v>
      </c>
      <c r="H12" s="36">
        <f>ROUND(dagwerk31,4+2)</f>
        <v>0</v>
      </c>
      <c r="I12" s="37">
        <f>ROUND(uurtarief31,2)</f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38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</row>
    <row r="13" spans="1:26" x14ac:dyDescent="0.2">
      <c r="A13" s="20" t="s">
        <v>211</v>
      </c>
      <c r="B13" s="20" t="s">
        <v>10</v>
      </c>
      <c r="C13" s="20" t="s">
        <v>2835</v>
      </c>
      <c r="D13" s="20" t="s">
        <v>201</v>
      </c>
      <c r="E13" s="34">
        <f>IF(B13="","",VLOOKUP(B13,dagsoorttabel1,2,FALSE))</f>
        <v>1</v>
      </c>
      <c r="F13" s="34">
        <v>1</v>
      </c>
      <c r="G13" s="34">
        <f>IF(prodnorm32&gt;0,1/ROUND(prodnorm32,4),0)</f>
        <v>0</v>
      </c>
      <c r="H13" s="36">
        <f>ROUND(dagwerk32,4+2)</f>
        <v>0</v>
      </c>
      <c r="I13" s="37">
        <f>ROUND(uurtarief32,2)</f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87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</row>
    <row r="14" spans="1:26" x14ac:dyDescent="0.2">
      <c r="A14" s="20" t="s">
        <v>213</v>
      </c>
      <c r="B14" s="20" t="s">
        <v>10</v>
      </c>
      <c r="C14" s="20" t="s">
        <v>2835</v>
      </c>
      <c r="D14" s="20" t="s">
        <v>201</v>
      </c>
      <c r="E14" s="34">
        <f>IF(B14="","",VLOOKUP(B14,dagsoorttabel1,2,FALSE))</f>
        <v>1</v>
      </c>
      <c r="F14" s="34">
        <v>1</v>
      </c>
      <c r="G14" s="34">
        <f>IF(prodnorm33&gt;0,1/ROUND(prodnorm33,4),0)</f>
        <v>0</v>
      </c>
      <c r="H14" s="36">
        <f>ROUND(dagwerk33,4+2)</f>
        <v>0</v>
      </c>
      <c r="I14" s="37">
        <f>ROUND(uurtarief33,2)</f>
        <v>0</v>
      </c>
      <c r="J14" s="34">
        <v>0</v>
      </c>
      <c r="K14" s="34">
        <v>40.6</v>
      </c>
      <c r="L14" s="34">
        <v>0</v>
      </c>
      <c r="M14" s="34">
        <v>0</v>
      </c>
      <c r="N14" s="34">
        <v>37</v>
      </c>
      <c r="O14" s="34">
        <v>0</v>
      </c>
      <c r="P14" s="34">
        <v>0</v>
      </c>
      <c r="Q14" s="34">
        <v>26.3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82.9</v>
      </c>
    </row>
    <row r="15" spans="1:26" x14ac:dyDescent="0.2">
      <c r="A15" s="20" t="s">
        <v>215</v>
      </c>
      <c r="B15" s="20" t="s">
        <v>10</v>
      </c>
      <c r="C15" s="20" t="s">
        <v>2835</v>
      </c>
      <c r="D15" s="20" t="s">
        <v>201</v>
      </c>
      <c r="E15" s="34">
        <f>IF(B15="","",VLOOKUP(B15,dagsoorttabel1,2,FALSE))</f>
        <v>1</v>
      </c>
      <c r="F15" s="34">
        <v>1</v>
      </c>
      <c r="G15" s="34">
        <f>IF(prodnorm34&gt;0,1/ROUND(prodnorm34,4),0)</f>
        <v>0</v>
      </c>
      <c r="H15" s="36">
        <f>ROUND(dagwerk34,4+2)</f>
        <v>0</v>
      </c>
      <c r="I15" s="37">
        <f>ROUND(uurtarief34,2)</f>
        <v>0</v>
      </c>
      <c r="J15" s="34">
        <v>47</v>
      </c>
      <c r="K15" s="34">
        <v>165.8</v>
      </c>
      <c r="L15" s="34">
        <v>8.3000000000000007</v>
      </c>
      <c r="M15" s="34">
        <v>0</v>
      </c>
      <c r="N15" s="34">
        <v>0</v>
      </c>
      <c r="O15" s="34">
        <v>5</v>
      </c>
      <c r="P15" s="34">
        <v>0</v>
      </c>
      <c r="Q15" s="34">
        <v>11.99</v>
      </c>
      <c r="R15" s="34">
        <v>36.72</v>
      </c>
      <c r="S15" s="34">
        <v>32</v>
      </c>
      <c r="T15" s="34">
        <v>0</v>
      </c>
      <c r="U15" s="34">
        <v>0</v>
      </c>
      <c r="V15" s="34">
        <v>3.8099999999999996</v>
      </c>
      <c r="W15" s="34">
        <v>0</v>
      </c>
      <c r="X15" s="34">
        <v>0</v>
      </c>
      <c r="Y15" s="34">
        <v>82.83</v>
      </c>
      <c r="Z15" s="34">
        <v>161.76999999999998</v>
      </c>
    </row>
    <row r="16" spans="1:26" x14ac:dyDescent="0.2">
      <c r="A16" s="20" t="s">
        <v>217</v>
      </c>
      <c r="B16" s="20" t="s">
        <v>10</v>
      </c>
      <c r="C16" s="20" t="s">
        <v>2835</v>
      </c>
      <c r="D16" s="20" t="s">
        <v>201</v>
      </c>
      <c r="E16" s="34">
        <f>IF(B16="","",VLOOKUP(B16,dagsoorttabel1,2,FALSE))</f>
        <v>1</v>
      </c>
      <c r="F16" s="34">
        <v>1</v>
      </c>
      <c r="G16" s="34">
        <f>IF(prodnorm35&gt;0,1/ROUND(prodnorm35,4),0)</f>
        <v>0</v>
      </c>
      <c r="H16" s="36">
        <f>ROUND(dagwerk35,4+2)</f>
        <v>0</v>
      </c>
      <c r="I16" s="37">
        <f>ROUND(uurtarief35,2)</f>
        <v>0</v>
      </c>
      <c r="J16" s="34">
        <v>19.399999999999999</v>
      </c>
      <c r="K16" s="34">
        <v>18.399999999999999</v>
      </c>
      <c r="L16" s="34">
        <v>0</v>
      </c>
      <c r="M16" s="34">
        <v>0</v>
      </c>
      <c r="N16" s="34">
        <v>6.5</v>
      </c>
      <c r="O16" s="34">
        <v>40</v>
      </c>
      <c r="P16" s="34">
        <v>10</v>
      </c>
      <c r="Q16" s="34">
        <v>0</v>
      </c>
      <c r="R16" s="34">
        <v>0</v>
      </c>
      <c r="S16" s="34">
        <v>18</v>
      </c>
      <c r="T16" s="34">
        <v>7.4</v>
      </c>
      <c r="U16" s="34">
        <v>4</v>
      </c>
      <c r="V16" s="34">
        <v>10</v>
      </c>
      <c r="W16" s="34">
        <v>2.6</v>
      </c>
      <c r="X16" s="34">
        <v>0</v>
      </c>
      <c r="Y16" s="34">
        <v>0</v>
      </c>
      <c r="Z16" s="34">
        <v>33.19</v>
      </c>
    </row>
    <row r="17" spans="1:26" x14ac:dyDescent="0.2">
      <c r="A17" s="20" t="s">
        <v>219</v>
      </c>
      <c r="B17" s="20" t="s">
        <v>10</v>
      </c>
      <c r="C17" s="20" t="s">
        <v>2835</v>
      </c>
      <c r="D17" s="20" t="s">
        <v>201</v>
      </c>
      <c r="E17" s="34">
        <f>IF(B17="","",VLOOKUP(B17,dagsoorttabel1,2,FALSE))</f>
        <v>1</v>
      </c>
      <c r="F17" s="34">
        <v>1</v>
      </c>
      <c r="G17" s="34">
        <f>IF(prodnorm36&gt;0,1/ROUND(prodnorm36,4),0)</f>
        <v>0</v>
      </c>
      <c r="H17" s="36">
        <f>ROUND(dagwerk36,4+2)</f>
        <v>0</v>
      </c>
      <c r="I17" s="37">
        <f>ROUND(uurtarief36,2)</f>
        <v>0</v>
      </c>
      <c r="J17" s="34">
        <v>0</v>
      </c>
      <c r="K17" s="34">
        <v>576.29999999999995</v>
      </c>
      <c r="L17" s="34">
        <v>0</v>
      </c>
      <c r="M17" s="34">
        <v>0</v>
      </c>
      <c r="N17" s="34">
        <v>504</v>
      </c>
      <c r="O17" s="34">
        <v>765</v>
      </c>
      <c r="P17" s="34">
        <v>0</v>
      </c>
      <c r="Q17" s="34">
        <v>284.44000000000005</v>
      </c>
      <c r="R17" s="34">
        <v>0</v>
      </c>
      <c r="S17" s="34">
        <v>73</v>
      </c>
      <c r="T17" s="34">
        <v>0</v>
      </c>
      <c r="U17" s="34">
        <v>1136</v>
      </c>
      <c r="V17" s="34">
        <v>0</v>
      </c>
      <c r="W17" s="34">
        <v>0</v>
      </c>
      <c r="X17" s="34">
        <v>0</v>
      </c>
      <c r="Y17" s="34">
        <v>59.3</v>
      </c>
      <c r="Z17" s="34">
        <v>1215.6199999999999</v>
      </c>
    </row>
    <row r="18" spans="1:26" x14ac:dyDescent="0.2">
      <c r="A18" s="20" t="s">
        <v>219</v>
      </c>
      <c r="B18" s="20" t="s">
        <v>16</v>
      </c>
      <c r="C18" s="20" t="s">
        <v>2835</v>
      </c>
      <c r="D18" s="20" t="s">
        <v>201</v>
      </c>
      <c r="E18" s="34">
        <f>IF(B18="","",VLOOKUP(B18,dagsoorttabel1,2,FALSE))</f>
        <v>0.2</v>
      </c>
      <c r="F18" s="34">
        <v>1</v>
      </c>
      <c r="G18" s="34">
        <f>IF(prodnorm37&gt;0,1/ROUND(prodnorm37,4),0)</f>
        <v>0</v>
      </c>
      <c r="H18" s="36">
        <f>ROUND(dagwerk37,4+2)</f>
        <v>0</v>
      </c>
      <c r="I18" s="37">
        <f>ROUND(uurtarief37,2)</f>
        <v>0</v>
      </c>
      <c r="J18" s="34">
        <v>0</v>
      </c>
      <c r="K18" s="34">
        <v>68.199999999999989</v>
      </c>
      <c r="L18" s="34">
        <v>0</v>
      </c>
      <c r="M18" s="34">
        <v>0</v>
      </c>
      <c r="N18" s="34">
        <v>88</v>
      </c>
      <c r="O18" s="34">
        <v>107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9.83</v>
      </c>
      <c r="Z18" s="34">
        <v>168.04000000000002</v>
      </c>
    </row>
    <row r="19" spans="1:26" x14ac:dyDescent="0.2">
      <c r="A19" s="20" t="s">
        <v>221</v>
      </c>
      <c r="B19" s="20" t="s">
        <v>10</v>
      </c>
      <c r="C19" s="20" t="s">
        <v>2835</v>
      </c>
      <c r="D19" s="20" t="s">
        <v>201</v>
      </c>
      <c r="E19" s="34">
        <f>IF(B19="","",VLOOKUP(B19,dagsoorttabel1,2,FALSE))</f>
        <v>1</v>
      </c>
      <c r="F19" s="34">
        <v>1</v>
      </c>
      <c r="G19" s="34">
        <f>IF(prodnorm38&gt;0,1/ROUND(prodnorm38,4),0)</f>
        <v>0</v>
      </c>
      <c r="H19" s="36">
        <f>ROUND(dagwerk38,4+2)</f>
        <v>0</v>
      </c>
      <c r="I19" s="37">
        <f>ROUND(uurtarief38,2)</f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188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</row>
    <row r="20" spans="1:26" x14ac:dyDescent="0.2">
      <c r="A20" s="20" t="s">
        <v>223</v>
      </c>
      <c r="B20" s="20" t="s">
        <v>10</v>
      </c>
      <c r="C20" s="20" t="s">
        <v>2835</v>
      </c>
      <c r="D20" s="20" t="s">
        <v>201</v>
      </c>
      <c r="E20" s="34">
        <f>IF(B20="","",VLOOKUP(B20,dagsoorttabel1,2,FALSE))</f>
        <v>1</v>
      </c>
      <c r="F20" s="34">
        <v>1</v>
      </c>
      <c r="G20" s="34">
        <f>IF(prodnorm39&gt;0,1/ROUND(prodnorm39,4),0)</f>
        <v>0</v>
      </c>
      <c r="H20" s="36">
        <f>ROUND(dagwerk39,4+2)</f>
        <v>0</v>
      </c>
      <c r="I20" s="37">
        <f>ROUND(uurtarief39,2)</f>
        <v>0</v>
      </c>
      <c r="J20" s="34">
        <v>2.5</v>
      </c>
      <c r="K20" s="34">
        <v>0</v>
      </c>
      <c r="L20" s="34">
        <v>0</v>
      </c>
      <c r="M20" s="34">
        <v>0</v>
      </c>
      <c r="N20" s="34">
        <v>4</v>
      </c>
      <c r="O20" s="34">
        <v>0</v>
      </c>
      <c r="P20" s="34">
        <v>1</v>
      </c>
      <c r="Q20" s="34">
        <v>3.5</v>
      </c>
      <c r="R20" s="34">
        <v>0</v>
      </c>
      <c r="S20" s="34">
        <v>4</v>
      </c>
      <c r="T20" s="34">
        <v>2.6</v>
      </c>
      <c r="U20" s="34">
        <v>1.3800000000000001</v>
      </c>
      <c r="V20" s="34">
        <v>2.34</v>
      </c>
      <c r="W20" s="34">
        <v>0</v>
      </c>
      <c r="X20" s="34">
        <v>0</v>
      </c>
      <c r="Y20" s="34">
        <v>2.42</v>
      </c>
      <c r="Z20" s="34">
        <v>4.7799999999999994</v>
      </c>
    </row>
    <row r="21" spans="1:26" x14ac:dyDescent="0.2">
      <c r="A21" s="20" t="s">
        <v>223</v>
      </c>
      <c r="B21" s="20" t="s">
        <v>16</v>
      </c>
      <c r="C21" s="20" t="s">
        <v>2835</v>
      </c>
      <c r="D21" s="20" t="s">
        <v>201</v>
      </c>
      <c r="E21" s="34">
        <f>IF(B21="","",VLOOKUP(B21,dagsoorttabel1,2,FALSE))</f>
        <v>0.2</v>
      </c>
      <c r="F21" s="34">
        <v>1</v>
      </c>
      <c r="G21" s="34">
        <f>IF(prodnorm40&gt;0,1/ROUND(prodnorm40,4),0)</f>
        <v>0</v>
      </c>
      <c r="H21" s="36">
        <f>ROUND(dagwerk40,4+2)</f>
        <v>0</v>
      </c>
      <c r="I21" s="37">
        <f>ROUND(uurtarief40,2)</f>
        <v>0</v>
      </c>
      <c r="J21" s="34">
        <v>0</v>
      </c>
      <c r="K21" s="34">
        <v>0</v>
      </c>
      <c r="L21" s="34">
        <v>2.5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</row>
    <row r="22" spans="1:26" x14ac:dyDescent="0.2">
      <c r="A22" s="20" t="s">
        <v>225</v>
      </c>
      <c r="B22" s="20" t="s">
        <v>10</v>
      </c>
      <c r="C22" s="20" t="s">
        <v>2835</v>
      </c>
      <c r="D22" s="20" t="s">
        <v>201</v>
      </c>
      <c r="E22" s="34">
        <f>IF(B22="","",VLOOKUP(B22,dagsoorttabel1,2,FALSE))</f>
        <v>1</v>
      </c>
      <c r="F22" s="34">
        <v>1</v>
      </c>
      <c r="G22" s="34">
        <f>IF(prodnorm41&gt;0,1/ROUND(prodnorm41,4),0)</f>
        <v>0</v>
      </c>
      <c r="H22" s="36">
        <f>ROUND(dagwerk41,4+2)</f>
        <v>0</v>
      </c>
      <c r="I22" s="37">
        <f>ROUND(uurtarief41,2)</f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2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</row>
    <row r="23" spans="1:26" x14ac:dyDescent="0.2">
      <c r="A23" s="20" t="s">
        <v>227</v>
      </c>
      <c r="B23" s="20" t="s">
        <v>10</v>
      </c>
      <c r="C23" s="20" t="s">
        <v>2835</v>
      </c>
      <c r="D23" s="20" t="s">
        <v>201</v>
      </c>
      <c r="E23" s="34">
        <f>IF(B23="","",VLOOKUP(B23,dagsoorttabel1,2,FALSE))</f>
        <v>1</v>
      </c>
      <c r="F23" s="34">
        <v>1</v>
      </c>
      <c r="G23" s="34">
        <f>IF(prodnorm42&gt;0,1/ROUND(prodnorm42,4),0)</f>
        <v>0</v>
      </c>
      <c r="H23" s="36">
        <f>ROUND(dagwerk42,4+2)</f>
        <v>0</v>
      </c>
      <c r="I23" s="37">
        <f>ROUND(uurtarief42,2)</f>
        <v>0</v>
      </c>
      <c r="J23" s="34">
        <v>0</v>
      </c>
      <c r="K23" s="34">
        <v>115</v>
      </c>
      <c r="L23" s="34">
        <v>0</v>
      </c>
      <c r="M23" s="34">
        <v>0</v>
      </c>
      <c r="N23" s="34">
        <v>95</v>
      </c>
      <c r="O23" s="34">
        <v>110</v>
      </c>
      <c r="P23" s="34">
        <v>0</v>
      </c>
      <c r="Q23" s="34">
        <v>51.79</v>
      </c>
      <c r="R23" s="34">
        <v>0</v>
      </c>
      <c r="S23" s="34">
        <v>0</v>
      </c>
      <c r="T23" s="34">
        <v>0</v>
      </c>
      <c r="U23" s="34">
        <v>246</v>
      </c>
      <c r="V23" s="34">
        <v>0</v>
      </c>
      <c r="W23" s="34">
        <v>0</v>
      </c>
      <c r="X23" s="34">
        <v>0</v>
      </c>
      <c r="Y23" s="34">
        <v>0</v>
      </c>
      <c r="Z23" s="34">
        <v>172.35999999999999</v>
      </c>
    </row>
    <row r="24" spans="1:26" x14ac:dyDescent="0.2">
      <c r="A24" s="20" t="s">
        <v>229</v>
      </c>
      <c r="B24" s="20" t="s">
        <v>10</v>
      </c>
      <c r="C24" s="20" t="s">
        <v>2835</v>
      </c>
      <c r="D24" s="20" t="s">
        <v>201</v>
      </c>
      <c r="E24" s="34">
        <f>IF(B24="","",VLOOKUP(B24,dagsoorttabel1,2,FALSE))</f>
        <v>1</v>
      </c>
      <c r="F24" s="34">
        <v>1</v>
      </c>
      <c r="G24" s="34">
        <f>IF(prodnorm43&gt;0,1/ROUND(prodnorm43,4),0)</f>
        <v>0</v>
      </c>
      <c r="H24" s="36">
        <f>ROUND(dagwerk43,4+2)</f>
        <v>0</v>
      </c>
      <c r="I24" s="37">
        <f>ROUND(uurtarief43,2)</f>
        <v>0</v>
      </c>
      <c r="J24" s="34">
        <v>817.8</v>
      </c>
      <c r="K24" s="34">
        <v>2118.9700000000003</v>
      </c>
      <c r="L24" s="34">
        <v>1725.2999999999997</v>
      </c>
      <c r="M24" s="34">
        <v>4375.8</v>
      </c>
      <c r="N24" s="34">
        <v>2443</v>
      </c>
      <c r="O24" s="34">
        <v>735.75</v>
      </c>
      <c r="P24" s="34">
        <v>722</v>
      </c>
      <c r="Q24" s="34">
        <v>1691.9</v>
      </c>
      <c r="R24" s="34">
        <v>925.3</v>
      </c>
      <c r="S24" s="34">
        <v>1722.2</v>
      </c>
      <c r="T24" s="34">
        <v>427</v>
      </c>
      <c r="U24" s="34">
        <v>3007.5</v>
      </c>
      <c r="V24" s="34">
        <v>907.18000000000006</v>
      </c>
      <c r="W24" s="34">
        <v>485.69999999999993</v>
      </c>
      <c r="X24" s="34">
        <v>0</v>
      </c>
      <c r="Y24" s="34">
        <v>3345.1899999999996</v>
      </c>
      <c r="Z24" s="34">
        <v>3314.99</v>
      </c>
    </row>
    <row r="25" spans="1:26" x14ac:dyDescent="0.2">
      <c r="A25" s="20" t="s">
        <v>231</v>
      </c>
      <c r="B25" s="20" t="s">
        <v>10</v>
      </c>
      <c r="C25" s="20" t="s">
        <v>2835</v>
      </c>
      <c r="D25" s="20" t="s">
        <v>201</v>
      </c>
      <c r="E25" s="34">
        <f>IF(B25="","",VLOOKUP(B25,dagsoorttabel1,2,FALSE))</f>
        <v>1</v>
      </c>
      <c r="F25" s="34">
        <v>1</v>
      </c>
      <c r="G25" s="34">
        <f>IF(prodnorm44&gt;0,1/ROUND(prodnorm44,4),0)</f>
        <v>0</v>
      </c>
      <c r="H25" s="36">
        <f>ROUND(dagwerk44,4+2)</f>
        <v>0</v>
      </c>
      <c r="I25" s="37">
        <f>ROUND(uurtarief44,2)</f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861.82999999999993</v>
      </c>
      <c r="P25" s="34">
        <v>0</v>
      </c>
      <c r="Q25" s="34">
        <v>0</v>
      </c>
      <c r="R25" s="34">
        <v>0</v>
      </c>
      <c r="S25" s="34">
        <v>205.5</v>
      </c>
      <c r="T25" s="34">
        <v>0</v>
      </c>
      <c r="U25" s="34">
        <v>175.71</v>
      </c>
      <c r="V25" s="34">
        <v>0</v>
      </c>
      <c r="W25" s="34">
        <v>0</v>
      </c>
      <c r="X25" s="34">
        <v>1189.9000000000001</v>
      </c>
      <c r="Y25" s="34">
        <v>0</v>
      </c>
      <c r="Z25" s="34">
        <v>0</v>
      </c>
    </row>
    <row r="26" spans="1:26" x14ac:dyDescent="0.2">
      <c r="A26" s="20" t="s">
        <v>233</v>
      </c>
      <c r="B26" s="20" t="s">
        <v>10</v>
      </c>
      <c r="C26" s="20" t="s">
        <v>2835</v>
      </c>
      <c r="D26" s="20" t="s">
        <v>201</v>
      </c>
      <c r="E26" s="34">
        <f>IF(B26="","",VLOOKUP(B26,dagsoorttabel1,2,FALSE))</f>
        <v>1</v>
      </c>
      <c r="F26" s="34">
        <v>1</v>
      </c>
      <c r="G26" s="34">
        <f>IF(prodnorm45&gt;0,1/ROUND(prodnorm45,4),0)</f>
        <v>0</v>
      </c>
      <c r="H26" s="36">
        <f>ROUND(dagwerk45,4+2)</f>
        <v>0</v>
      </c>
      <c r="I26" s="37">
        <f>ROUND(uurtarief45,2)</f>
        <v>0</v>
      </c>
      <c r="J26" s="34">
        <v>0</v>
      </c>
      <c r="K26" s="34">
        <v>235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11.4</v>
      </c>
      <c r="R26" s="34">
        <v>8.5</v>
      </c>
      <c r="S26" s="34">
        <v>62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151.28</v>
      </c>
      <c r="Z26" s="34">
        <v>0</v>
      </c>
    </row>
    <row r="27" spans="1:26" x14ac:dyDescent="0.2">
      <c r="A27" s="20" t="s">
        <v>235</v>
      </c>
      <c r="B27" s="20" t="s">
        <v>10</v>
      </c>
      <c r="C27" s="20" t="s">
        <v>2835</v>
      </c>
      <c r="D27" s="20" t="s">
        <v>201</v>
      </c>
      <c r="E27" s="34">
        <f>IF(B27="","",VLOOKUP(B27,dagsoorttabel1,2,FALSE))</f>
        <v>1</v>
      </c>
      <c r="F27" s="34">
        <v>1</v>
      </c>
      <c r="G27" s="34">
        <f>IF(prodnorm46&gt;0,1/ROUND(prodnorm46,4),0)</f>
        <v>0</v>
      </c>
      <c r="H27" s="36">
        <f>ROUND(dagwerk46,4+2)</f>
        <v>0</v>
      </c>
      <c r="I27" s="37">
        <f>ROUND(uurtarief46,2)</f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100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</row>
    <row r="28" spans="1:26" x14ac:dyDescent="0.2">
      <c r="A28" s="20" t="s">
        <v>237</v>
      </c>
      <c r="B28" s="20" t="s">
        <v>19</v>
      </c>
      <c r="C28" s="20" t="s">
        <v>2835</v>
      </c>
      <c r="D28" s="20" t="s">
        <v>201</v>
      </c>
      <c r="E28" s="34">
        <f>IF(B28="","",VLOOKUP(B28,dagsoorttabel1,2,FALSE))</f>
        <v>0.05</v>
      </c>
      <c r="F28" s="34">
        <v>1</v>
      </c>
      <c r="G28" s="34">
        <f>IF(prodnorm47&gt;0,1/ROUND(prodnorm47,4),0)</f>
        <v>0</v>
      </c>
      <c r="H28" s="36">
        <f>ROUND(dagwerk47,4+2)</f>
        <v>0</v>
      </c>
      <c r="I28" s="37">
        <f>ROUND(uurtarief47,2)</f>
        <v>0</v>
      </c>
      <c r="J28" s="34">
        <v>71.600000000000009</v>
      </c>
      <c r="K28" s="34">
        <v>120.49999999999999</v>
      </c>
      <c r="L28" s="34">
        <v>17.5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444.1</v>
      </c>
      <c r="Z28" s="34">
        <v>0</v>
      </c>
    </row>
    <row r="29" spans="1:26" x14ac:dyDescent="0.2">
      <c r="A29" s="20" t="s">
        <v>237</v>
      </c>
      <c r="B29" s="20" t="s">
        <v>10</v>
      </c>
      <c r="C29" s="20" t="s">
        <v>2835</v>
      </c>
      <c r="D29" s="20" t="s">
        <v>201</v>
      </c>
      <c r="E29" s="34">
        <f>IF(B29="","",VLOOKUP(B29,dagsoorttabel1,2,FALSE))</f>
        <v>1</v>
      </c>
      <c r="F29" s="34">
        <v>1</v>
      </c>
      <c r="G29" s="34">
        <f>IF(prodnorm48&gt;0,1/ROUND(prodnorm48,4),0)</f>
        <v>0</v>
      </c>
      <c r="H29" s="36">
        <f>ROUND(dagwerk48,4+2)</f>
        <v>0</v>
      </c>
      <c r="I29" s="37">
        <f>ROUND(uurtarief48,2)</f>
        <v>0</v>
      </c>
      <c r="J29" s="34">
        <v>0</v>
      </c>
      <c r="K29" s="34">
        <v>0</v>
      </c>
      <c r="L29" s="34">
        <v>0</v>
      </c>
      <c r="M29" s="34">
        <v>0</v>
      </c>
      <c r="N29" s="34">
        <v>70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</row>
    <row r="30" spans="1:26" x14ac:dyDescent="0.2">
      <c r="A30" s="20" t="s">
        <v>237</v>
      </c>
      <c r="B30" s="20" t="s">
        <v>16</v>
      </c>
      <c r="C30" s="20" t="s">
        <v>2835</v>
      </c>
      <c r="D30" s="20" t="s">
        <v>201</v>
      </c>
      <c r="E30" s="34">
        <f>IF(B30="","",VLOOKUP(B30,dagsoorttabel1,2,FALSE))</f>
        <v>0.2</v>
      </c>
      <c r="F30" s="34">
        <v>1</v>
      </c>
      <c r="G30" s="34">
        <f>IF(prodnorm49&gt;0,1/ROUND(prodnorm49,4),0)</f>
        <v>0</v>
      </c>
      <c r="H30" s="36">
        <f>ROUND(dagwerk49,4+2)</f>
        <v>0</v>
      </c>
      <c r="I30" s="37">
        <f>ROUND(uurtarief49,2)</f>
        <v>0</v>
      </c>
      <c r="J30" s="34">
        <v>0</v>
      </c>
      <c r="K30" s="34">
        <v>0</v>
      </c>
      <c r="L30" s="34">
        <v>20.2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</row>
    <row r="31" spans="1:26" x14ac:dyDescent="0.2">
      <c r="A31" s="20" t="s">
        <v>239</v>
      </c>
      <c r="B31" s="20" t="s">
        <v>10</v>
      </c>
      <c r="C31" s="20" t="s">
        <v>2835</v>
      </c>
      <c r="D31" s="20" t="s">
        <v>201</v>
      </c>
      <c r="E31" s="34">
        <f>IF(B31="","",VLOOKUP(B31,dagsoorttabel1,2,FALSE))</f>
        <v>1</v>
      </c>
      <c r="F31" s="34">
        <v>1</v>
      </c>
      <c r="G31" s="34">
        <f>IF(prodnorm50&gt;0,1/ROUND(prodnorm50,4),0)</f>
        <v>0</v>
      </c>
      <c r="H31" s="36">
        <f>ROUND(dagwerk50,4+2)</f>
        <v>0</v>
      </c>
      <c r="I31" s="37">
        <f>ROUND(uurtarief50,2)</f>
        <v>0</v>
      </c>
      <c r="J31" s="34">
        <v>1056.4000000000001</v>
      </c>
      <c r="K31" s="34">
        <v>0</v>
      </c>
      <c r="L31" s="34">
        <v>561.70000000000005</v>
      </c>
      <c r="M31" s="34">
        <v>190.2</v>
      </c>
      <c r="N31" s="34">
        <v>0</v>
      </c>
      <c r="O31" s="34">
        <v>131.4</v>
      </c>
      <c r="P31" s="34">
        <v>0</v>
      </c>
      <c r="Q31" s="34">
        <v>38.799999999999997</v>
      </c>
      <c r="R31" s="34">
        <v>0</v>
      </c>
      <c r="S31" s="34">
        <v>0</v>
      </c>
      <c r="T31" s="34">
        <v>0</v>
      </c>
      <c r="U31" s="34">
        <v>123.5</v>
      </c>
      <c r="V31" s="34">
        <v>0</v>
      </c>
      <c r="W31" s="34">
        <v>0</v>
      </c>
      <c r="X31" s="34">
        <v>0</v>
      </c>
      <c r="Y31" s="34">
        <v>59.51</v>
      </c>
      <c r="Z31" s="34">
        <v>1304.54</v>
      </c>
    </row>
    <row r="32" spans="1:26" x14ac:dyDescent="0.2">
      <c r="A32" s="20" t="s">
        <v>241</v>
      </c>
      <c r="B32" s="20" t="s">
        <v>10</v>
      </c>
      <c r="C32" s="20" t="s">
        <v>2835</v>
      </c>
      <c r="D32" s="20" t="s">
        <v>201</v>
      </c>
      <c r="E32" s="34">
        <f>IF(B32="","",VLOOKUP(B32,dagsoorttabel1,2,FALSE))</f>
        <v>1</v>
      </c>
      <c r="F32" s="34">
        <v>1</v>
      </c>
      <c r="G32" s="34">
        <f>IF(prodnorm51&gt;0,1/ROUND(prodnorm51,4),0)</f>
        <v>0</v>
      </c>
      <c r="H32" s="36">
        <f>ROUND(dagwerk51,4+2)</f>
        <v>0</v>
      </c>
      <c r="I32" s="37">
        <f>ROUND(uurtarief51,2)</f>
        <v>0</v>
      </c>
      <c r="J32" s="34">
        <v>15.8</v>
      </c>
      <c r="K32" s="34">
        <v>0</v>
      </c>
      <c r="L32" s="34">
        <v>0</v>
      </c>
      <c r="M32" s="34">
        <v>0</v>
      </c>
      <c r="N32" s="34">
        <v>45</v>
      </c>
      <c r="O32" s="34">
        <v>0</v>
      </c>
      <c r="P32" s="34">
        <v>16.399999999999999</v>
      </c>
      <c r="Q32" s="34">
        <v>0</v>
      </c>
      <c r="R32" s="34">
        <v>10.8</v>
      </c>
      <c r="S32" s="34">
        <v>22</v>
      </c>
      <c r="T32" s="34">
        <v>11</v>
      </c>
      <c r="U32" s="34">
        <v>0</v>
      </c>
      <c r="V32" s="34">
        <v>0</v>
      </c>
      <c r="W32" s="34">
        <v>11.7</v>
      </c>
      <c r="X32" s="34">
        <v>8</v>
      </c>
      <c r="Y32" s="34">
        <v>36.36</v>
      </c>
      <c r="Z32" s="34">
        <v>17.62</v>
      </c>
    </row>
    <row r="33" spans="1:26" x14ac:dyDescent="0.2">
      <c r="A33" s="20" t="s">
        <v>243</v>
      </c>
      <c r="B33" s="20" t="s">
        <v>10</v>
      </c>
      <c r="C33" s="20" t="s">
        <v>2835</v>
      </c>
      <c r="D33" s="20" t="s">
        <v>201</v>
      </c>
      <c r="E33" s="34">
        <f>IF(B33="","",VLOOKUP(B33,dagsoorttabel1,2,FALSE))</f>
        <v>1</v>
      </c>
      <c r="F33" s="34">
        <v>1</v>
      </c>
      <c r="G33" s="34">
        <f>IF(prodnorm52&gt;0,1/ROUND(prodnorm52,4),0)</f>
        <v>0</v>
      </c>
      <c r="H33" s="36">
        <f>ROUND(dagwerk52,4+2)</f>
        <v>0</v>
      </c>
      <c r="I33" s="37">
        <f>ROUND(uurtarief52,2)</f>
        <v>0</v>
      </c>
      <c r="J33" s="34">
        <v>142.9</v>
      </c>
      <c r="K33" s="34">
        <v>295.60000000000002</v>
      </c>
      <c r="L33" s="34">
        <v>0</v>
      </c>
      <c r="M33" s="34">
        <v>0</v>
      </c>
      <c r="N33" s="34">
        <v>345</v>
      </c>
      <c r="O33" s="34">
        <v>725</v>
      </c>
      <c r="P33" s="34">
        <v>186</v>
      </c>
      <c r="Q33" s="34">
        <v>491.56</v>
      </c>
      <c r="R33" s="34">
        <v>0</v>
      </c>
      <c r="S33" s="34">
        <v>225</v>
      </c>
      <c r="T33" s="34">
        <v>80</v>
      </c>
      <c r="U33" s="34">
        <v>0</v>
      </c>
      <c r="V33" s="34">
        <v>0</v>
      </c>
      <c r="W33" s="34">
        <v>0</v>
      </c>
      <c r="X33" s="34">
        <v>0</v>
      </c>
      <c r="Y33" s="34">
        <v>173.61</v>
      </c>
      <c r="Z33" s="34">
        <v>0</v>
      </c>
    </row>
    <row r="34" spans="1:26" x14ac:dyDescent="0.2">
      <c r="A34" s="20" t="s">
        <v>243</v>
      </c>
      <c r="B34" s="20" t="s">
        <v>16</v>
      </c>
      <c r="C34" s="20" t="s">
        <v>2835</v>
      </c>
      <c r="D34" s="20" t="s">
        <v>201</v>
      </c>
      <c r="E34" s="34">
        <f>IF(B34="","",VLOOKUP(B34,dagsoorttabel1,2,FALSE))</f>
        <v>0.2</v>
      </c>
      <c r="F34" s="34">
        <v>1</v>
      </c>
      <c r="G34" s="34">
        <f>IF(prodnorm53&gt;0,1/ROUND(prodnorm53,4),0)</f>
        <v>0</v>
      </c>
      <c r="H34" s="36">
        <f>ROUND(dagwerk53,4+2)</f>
        <v>0</v>
      </c>
      <c r="I34" s="37">
        <f>ROUND(uurtarief53,2)</f>
        <v>0</v>
      </c>
      <c r="J34" s="34">
        <v>0</v>
      </c>
      <c r="K34" s="34">
        <v>0</v>
      </c>
      <c r="L34" s="34">
        <v>73.099999999999994</v>
      </c>
      <c r="M34" s="34">
        <v>43.7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</row>
    <row r="35" spans="1:26" x14ac:dyDescent="0.2">
      <c r="A35" s="20" t="s">
        <v>245</v>
      </c>
      <c r="B35" s="20" t="s">
        <v>10</v>
      </c>
      <c r="C35" s="20" t="s">
        <v>2835</v>
      </c>
      <c r="D35" s="20" t="s">
        <v>201</v>
      </c>
      <c r="E35" s="34">
        <f>IF(B35="","",VLOOKUP(B35,dagsoorttabel1,2,FALSE))</f>
        <v>1</v>
      </c>
      <c r="F35" s="34">
        <v>1</v>
      </c>
      <c r="G35" s="34">
        <f>IF(prodnorm54&gt;0,1/ROUND(prodnorm54,4),0)</f>
        <v>0</v>
      </c>
      <c r="H35" s="36">
        <f>ROUND(dagwerk54,4+2)</f>
        <v>0</v>
      </c>
      <c r="I35" s="37">
        <f>ROUND(uurtarief54,2)</f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73</v>
      </c>
      <c r="U35" s="34">
        <v>0</v>
      </c>
      <c r="V35" s="34">
        <v>0</v>
      </c>
      <c r="W35" s="34">
        <v>0</v>
      </c>
      <c r="X35" s="34">
        <v>281.3</v>
      </c>
      <c r="Y35" s="34">
        <v>137.53000000000003</v>
      </c>
      <c r="Z35" s="34">
        <v>0</v>
      </c>
    </row>
    <row r="36" spans="1:26" x14ac:dyDescent="0.2">
      <c r="A36" s="20" t="s">
        <v>247</v>
      </c>
      <c r="B36" s="20" t="s">
        <v>10</v>
      </c>
      <c r="C36" s="20" t="s">
        <v>2835</v>
      </c>
      <c r="D36" s="20" t="s">
        <v>201</v>
      </c>
      <c r="E36" s="34">
        <f>IF(B36="","",VLOOKUP(B36,dagsoorttabel1,2,FALSE))</f>
        <v>1</v>
      </c>
      <c r="F36" s="34">
        <v>1</v>
      </c>
      <c r="G36" s="34">
        <f>IF(prodnorm55&gt;0,1/ROUND(prodnorm55,4),0)</f>
        <v>0</v>
      </c>
      <c r="H36" s="36">
        <f>ROUND(dagwerk55,4+2)</f>
        <v>0</v>
      </c>
      <c r="I36" s="37">
        <f>ROUND(uurtarief55,2)</f>
        <v>0</v>
      </c>
      <c r="J36" s="34">
        <v>0</v>
      </c>
      <c r="K36" s="34">
        <v>0</v>
      </c>
      <c r="L36" s="34">
        <v>120.5</v>
      </c>
      <c r="M36" s="34">
        <v>0</v>
      </c>
      <c r="N36" s="34">
        <v>386.1</v>
      </c>
      <c r="O36" s="34">
        <v>100</v>
      </c>
      <c r="P36" s="34">
        <v>0</v>
      </c>
      <c r="Q36" s="34">
        <v>87</v>
      </c>
      <c r="R36" s="34">
        <v>0</v>
      </c>
      <c r="S36" s="34">
        <v>50</v>
      </c>
      <c r="T36" s="34">
        <v>60</v>
      </c>
      <c r="U36" s="34">
        <v>127</v>
      </c>
      <c r="V36" s="34">
        <v>0</v>
      </c>
      <c r="W36" s="34">
        <v>0</v>
      </c>
      <c r="X36" s="34">
        <v>0</v>
      </c>
      <c r="Y36" s="34">
        <v>137.93</v>
      </c>
      <c r="Z36" s="34">
        <v>0</v>
      </c>
    </row>
    <row r="37" spans="1:26" x14ac:dyDescent="0.2">
      <c r="A37" s="20" t="s">
        <v>249</v>
      </c>
      <c r="B37" s="20" t="s">
        <v>10</v>
      </c>
      <c r="C37" s="20" t="s">
        <v>2835</v>
      </c>
      <c r="D37" s="20" t="s">
        <v>201</v>
      </c>
      <c r="E37" s="34">
        <f>IF(B37="","",VLOOKUP(B37,dagsoorttabel1,2,FALSE))</f>
        <v>1</v>
      </c>
      <c r="F37" s="34">
        <v>1</v>
      </c>
      <c r="G37" s="34">
        <f>IF(prodnorm56&gt;0,1/ROUND(prodnorm56,4),0)</f>
        <v>0</v>
      </c>
      <c r="H37" s="36">
        <f>ROUND(dagwerk56,4+2)</f>
        <v>0</v>
      </c>
      <c r="I37" s="37">
        <f>ROUND(uurtarief56,2)</f>
        <v>0</v>
      </c>
      <c r="J37" s="34">
        <v>0</v>
      </c>
      <c r="K37" s="34">
        <v>47.68</v>
      </c>
      <c r="L37" s="34">
        <v>491.70000000000005</v>
      </c>
      <c r="M37" s="34">
        <v>25.5</v>
      </c>
      <c r="N37" s="34">
        <v>576</v>
      </c>
      <c r="O37" s="34">
        <v>1829</v>
      </c>
      <c r="P37" s="34">
        <v>0</v>
      </c>
      <c r="Q37" s="34">
        <v>181.7</v>
      </c>
      <c r="R37" s="34">
        <v>0</v>
      </c>
      <c r="S37" s="34">
        <v>53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119.02</v>
      </c>
      <c r="Z37" s="34">
        <v>0</v>
      </c>
    </row>
    <row r="38" spans="1:26" x14ac:dyDescent="0.2">
      <c r="A38" s="20" t="s">
        <v>251</v>
      </c>
      <c r="B38" s="20" t="s">
        <v>10</v>
      </c>
      <c r="C38" s="20" t="s">
        <v>2835</v>
      </c>
      <c r="D38" s="20" t="s">
        <v>201</v>
      </c>
      <c r="E38" s="34">
        <f>IF(B38="","",VLOOKUP(B38,dagsoorttabel1,2,FALSE))</f>
        <v>1</v>
      </c>
      <c r="F38" s="34">
        <v>1</v>
      </c>
      <c r="G38" s="34">
        <f>IF(prodnorm57&gt;0,1/ROUND(prodnorm57,4),0)</f>
        <v>0</v>
      </c>
      <c r="H38" s="36">
        <f>ROUND(dagwerk57,4+2)</f>
        <v>0</v>
      </c>
      <c r="I38" s="37">
        <f>ROUND(uurtarief57,2)</f>
        <v>0</v>
      </c>
      <c r="J38" s="34">
        <v>377.29999999999995</v>
      </c>
      <c r="K38" s="34">
        <v>528</v>
      </c>
      <c r="L38" s="34">
        <v>611.79999999999995</v>
      </c>
      <c r="M38" s="34">
        <v>839.59999999999991</v>
      </c>
      <c r="N38" s="34">
        <v>496</v>
      </c>
      <c r="O38" s="34">
        <v>320</v>
      </c>
      <c r="P38" s="34">
        <v>135.5</v>
      </c>
      <c r="Q38" s="34">
        <v>0</v>
      </c>
      <c r="R38" s="34">
        <v>0</v>
      </c>
      <c r="S38" s="34">
        <v>0</v>
      </c>
      <c r="T38" s="34">
        <v>0</v>
      </c>
      <c r="U38" s="34">
        <v>111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</row>
    <row r="39" spans="1:26" x14ac:dyDescent="0.2">
      <c r="A39" s="20" t="s">
        <v>253</v>
      </c>
      <c r="B39" s="20" t="s">
        <v>10</v>
      </c>
      <c r="C39" s="20" t="s">
        <v>2835</v>
      </c>
      <c r="D39" s="20" t="s">
        <v>201</v>
      </c>
      <c r="E39" s="34">
        <f>IF(B39="","",VLOOKUP(B39,dagsoorttabel1,2,FALSE))</f>
        <v>1</v>
      </c>
      <c r="F39" s="34">
        <v>1</v>
      </c>
      <c r="G39" s="34">
        <f>IF(prodnorm58&gt;0,1/ROUND(prodnorm58,4),0)</f>
        <v>0</v>
      </c>
      <c r="H39" s="36">
        <f>ROUND(dagwerk58,4+2)</f>
        <v>0</v>
      </c>
      <c r="I39" s="37">
        <f>ROUND(uurtarief58,2)</f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8</v>
      </c>
      <c r="W39" s="34">
        <v>0</v>
      </c>
      <c r="X39" s="34">
        <v>0</v>
      </c>
      <c r="Y39" s="34">
        <v>0</v>
      </c>
      <c r="Z39" s="34">
        <v>0</v>
      </c>
    </row>
    <row r="40" spans="1:26" x14ac:dyDescent="0.2">
      <c r="A40" s="20" t="s">
        <v>255</v>
      </c>
      <c r="B40" s="20" t="s">
        <v>10</v>
      </c>
      <c r="C40" s="20" t="s">
        <v>2835</v>
      </c>
      <c r="D40" s="20" t="s">
        <v>201</v>
      </c>
      <c r="E40" s="34">
        <f>IF(B40="","",VLOOKUP(B40,dagsoorttabel1,2,FALSE))</f>
        <v>1</v>
      </c>
      <c r="F40" s="34">
        <v>1</v>
      </c>
      <c r="G40" s="34">
        <f>IF(prodnorm59&gt;0,1/ROUND(prodnorm59,4),0)</f>
        <v>0</v>
      </c>
      <c r="H40" s="36">
        <f>ROUND(dagwerk59,4+2)</f>
        <v>0</v>
      </c>
      <c r="I40" s="37">
        <f>ROUND(uurtarief59,2)</f>
        <v>0</v>
      </c>
      <c r="J40" s="34">
        <v>171.3</v>
      </c>
      <c r="K40" s="34">
        <v>236.02</v>
      </c>
      <c r="L40" s="34">
        <v>182.90000000000003</v>
      </c>
      <c r="M40" s="34">
        <v>384.5</v>
      </c>
      <c r="N40" s="34">
        <v>126.9</v>
      </c>
      <c r="O40" s="34">
        <v>141.21</v>
      </c>
      <c r="P40" s="34">
        <v>46.3</v>
      </c>
      <c r="Q40" s="34">
        <v>100</v>
      </c>
      <c r="R40" s="34">
        <v>57.6</v>
      </c>
      <c r="S40" s="34">
        <v>125</v>
      </c>
      <c r="T40" s="34">
        <v>29</v>
      </c>
      <c r="U40" s="34">
        <v>223.82</v>
      </c>
      <c r="V40" s="34">
        <v>77.069999999999993</v>
      </c>
      <c r="W40" s="34">
        <v>26.200000000000003</v>
      </c>
      <c r="X40" s="34">
        <v>93.6</v>
      </c>
      <c r="Y40" s="34">
        <v>196.73</v>
      </c>
      <c r="Z40" s="34">
        <v>259.14000000000004</v>
      </c>
    </row>
    <row r="41" spans="1:26" x14ac:dyDescent="0.2">
      <c r="A41" s="20" t="s">
        <v>257</v>
      </c>
      <c r="B41" s="20" t="s">
        <v>10</v>
      </c>
      <c r="C41" s="20" t="s">
        <v>2835</v>
      </c>
      <c r="D41" s="20" t="s">
        <v>201</v>
      </c>
      <c r="E41" s="34">
        <f>IF(B41="","",VLOOKUP(B41,dagsoorttabel1,2,FALSE))</f>
        <v>1</v>
      </c>
      <c r="F41" s="34">
        <v>1</v>
      </c>
      <c r="G41" s="34">
        <f>IF(prodnorm60&gt;0,1/ROUND(prodnorm60,4),0)</f>
        <v>0</v>
      </c>
      <c r="H41" s="36">
        <f>ROUND(dagwerk60,4+2)</f>
        <v>0</v>
      </c>
      <c r="I41" s="37">
        <f>ROUND(uurtarief60,2)</f>
        <v>0</v>
      </c>
      <c r="J41" s="34">
        <v>0</v>
      </c>
      <c r="K41" s="34">
        <v>0</v>
      </c>
      <c r="L41" s="34">
        <v>182.90000000000003</v>
      </c>
      <c r="M41" s="34">
        <v>0</v>
      </c>
      <c r="N41" s="34">
        <v>118.9</v>
      </c>
      <c r="O41" s="34">
        <v>0</v>
      </c>
      <c r="P41" s="34">
        <v>0</v>
      </c>
      <c r="Q41" s="34">
        <v>0</v>
      </c>
      <c r="R41" s="34">
        <v>0</v>
      </c>
      <c r="S41" s="34">
        <v>119</v>
      </c>
      <c r="T41" s="34">
        <v>0</v>
      </c>
      <c r="U41" s="34">
        <v>0</v>
      </c>
      <c r="V41" s="34">
        <v>0</v>
      </c>
      <c r="W41" s="34">
        <v>0</v>
      </c>
      <c r="X41" s="34">
        <v>93.6</v>
      </c>
      <c r="Y41" s="34">
        <v>196.73</v>
      </c>
      <c r="Z41" s="34">
        <v>0</v>
      </c>
    </row>
    <row r="42" spans="1:26" x14ac:dyDescent="0.2">
      <c r="A42" s="20" t="s">
        <v>259</v>
      </c>
      <c r="B42" s="20" t="s">
        <v>10</v>
      </c>
      <c r="C42" s="20" t="s">
        <v>2835</v>
      </c>
      <c r="D42" s="20" t="s">
        <v>201</v>
      </c>
      <c r="E42" s="34">
        <f>IF(B42="","",VLOOKUP(B42,dagsoorttabel1,2,FALSE))</f>
        <v>1</v>
      </c>
      <c r="F42" s="34">
        <v>1</v>
      </c>
      <c r="G42" s="34">
        <f>IF(prodnorm61&gt;0,1/ROUND(prodnorm61,4),0)</f>
        <v>0</v>
      </c>
      <c r="H42" s="36">
        <f>ROUND(dagwerk61,4+2)</f>
        <v>0</v>
      </c>
      <c r="I42" s="37">
        <f>ROUND(uurtarief61,2)</f>
        <v>0</v>
      </c>
      <c r="J42" s="34">
        <v>76.5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55</v>
      </c>
      <c r="U42" s="34">
        <v>0</v>
      </c>
      <c r="V42" s="34">
        <v>0</v>
      </c>
      <c r="W42" s="34">
        <v>0</v>
      </c>
      <c r="X42" s="34">
        <v>0</v>
      </c>
      <c r="Y42" s="34">
        <v>0</v>
      </c>
      <c r="Z42" s="34">
        <v>0</v>
      </c>
    </row>
    <row r="43" spans="1:26" x14ac:dyDescent="0.2">
      <c r="A43" s="20" t="s">
        <v>261</v>
      </c>
      <c r="B43" s="20" t="s">
        <v>10</v>
      </c>
      <c r="C43" s="20" t="s">
        <v>2835</v>
      </c>
      <c r="D43" s="20" t="s">
        <v>201</v>
      </c>
      <c r="E43" s="34">
        <f>IF(B43="","",VLOOKUP(B43,dagsoorttabel1,2,FALSE))</f>
        <v>1</v>
      </c>
      <c r="F43" s="34">
        <v>1</v>
      </c>
      <c r="G43" s="34">
        <f>IF(prodnorm62&gt;0,1/ROUND(prodnorm62,4),0)</f>
        <v>0</v>
      </c>
      <c r="H43" s="36">
        <f>ROUND(dagwerk62,4+2)</f>
        <v>0</v>
      </c>
      <c r="I43" s="37">
        <f>ROUND(uurtarief62,2)</f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81.099999999999994</v>
      </c>
      <c r="Y43" s="34">
        <v>0</v>
      </c>
      <c r="Z43" s="34">
        <v>0</v>
      </c>
    </row>
    <row r="44" spans="1:26" x14ac:dyDescent="0.2">
      <c r="A44" s="20" t="s">
        <v>263</v>
      </c>
      <c r="B44" s="20" t="s">
        <v>10</v>
      </c>
      <c r="C44" s="20" t="s">
        <v>2835</v>
      </c>
      <c r="D44" s="20" t="s">
        <v>201</v>
      </c>
      <c r="E44" s="34">
        <f>IF(B44="","",VLOOKUP(B44,dagsoorttabel1,2,FALSE))</f>
        <v>1</v>
      </c>
      <c r="F44" s="34">
        <v>1</v>
      </c>
      <c r="G44" s="34">
        <f>IF(prodnorm63&gt;0,1/ROUND(prodnorm63,4),0)</f>
        <v>0</v>
      </c>
      <c r="H44" s="36">
        <f>ROUND(dagwerk63,4+2)</f>
        <v>0</v>
      </c>
      <c r="I44" s="37">
        <f>ROUND(uurtarief63,2)</f>
        <v>0</v>
      </c>
      <c r="J44" s="34">
        <v>158.69999999999999</v>
      </c>
      <c r="K44" s="34">
        <v>157.85000000000002</v>
      </c>
      <c r="L44" s="34">
        <v>132</v>
      </c>
      <c r="M44" s="34">
        <v>0</v>
      </c>
      <c r="N44" s="34">
        <v>321</v>
      </c>
      <c r="O44" s="34">
        <v>56.359999999999992</v>
      </c>
      <c r="P44" s="34">
        <v>20</v>
      </c>
      <c r="Q44" s="34">
        <v>236.9</v>
      </c>
      <c r="R44" s="34">
        <v>0</v>
      </c>
      <c r="S44" s="34">
        <v>77</v>
      </c>
      <c r="T44" s="34">
        <v>25</v>
      </c>
      <c r="U44" s="34">
        <v>118</v>
      </c>
      <c r="V44" s="34">
        <v>3.79</v>
      </c>
      <c r="W44" s="34">
        <v>9</v>
      </c>
      <c r="X44" s="34">
        <v>0</v>
      </c>
      <c r="Y44" s="34">
        <v>73.16</v>
      </c>
      <c r="Z44" s="34">
        <v>837.7399999999999</v>
      </c>
    </row>
    <row r="45" spans="1:26" x14ac:dyDescent="0.2">
      <c r="A45" s="20" t="s">
        <v>265</v>
      </c>
      <c r="B45" s="20" t="s">
        <v>10</v>
      </c>
      <c r="C45" s="20" t="s">
        <v>2835</v>
      </c>
      <c r="D45" s="20" t="s">
        <v>201</v>
      </c>
      <c r="E45" s="34">
        <f>IF(B45="","",VLOOKUP(B45,dagsoorttabel1,2,FALSE))</f>
        <v>1</v>
      </c>
      <c r="F45" s="34">
        <v>1</v>
      </c>
      <c r="G45" s="34">
        <f>IF(prodnorm64&gt;0,1/ROUND(prodnorm64,4),0)</f>
        <v>0</v>
      </c>
      <c r="H45" s="36">
        <f>ROUND(dagwerk64,4+2)</f>
        <v>0</v>
      </c>
      <c r="I45" s="37">
        <f>ROUND(uurtarief64,2)</f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110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17.22</v>
      </c>
      <c r="W45" s="34">
        <v>6.4</v>
      </c>
      <c r="X45" s="34">
        <v>0</v>
      </c>
      <c r="Y45" s="34">
        <v>0</v>
      </c>
      <c r="Z45" s="34">
        <v>0</v>
      </c>
    </row>
    <row r="46" spans="1:26" x14ac:dyDescent="0.2">
      <c r="A46" s="20" t="s">
        <v>267</v>
      </c>
      <c r="B46" s="20" t="s">
        <v>10</v>
      </c>
      <c r="C46" s="20" t="s">
        <v>2835</v>
      </c>
      <c r="D46" s="20" t="s">
        <v>201</v>
      </c>
      <c r="E46" s="34">
        <f>IF(B46="","",VLOOKUP(B46,dagsoorttabel1,2,FALSE))</f>
        <v>1</v>
      </c>
      <c r="F46" s="34">
        <v>1</v>
      </c>
      <c r="G46" s="34">
        <f>IF(prodnorm65&gt;0,1/ROUND(prodnorm65,4),0)</f>
        <v>0</v>
      </c>
      <c r="H46" s="36">
        <f>ROUND(dagwerk65,4+2)</f>
        <v>0</v>
      </c>
      <c r="I46" s="37">
        <f>ROUND(uurtarief65,2)</f>
        <v>0</v>
      </c>
      <c r="J46" s="34">
        <v>828.6</v>
      </c>
      <c r="K46" s="34">
        <v>922.06999999999994</v>
      </c>
      <c r="L46" s="34">
        <v>1065.5999999999999</v>
      </c>
      <c r="M46" s="34">
        <v>3559.1000000000004</v>
      </c>
      <c r="N46" s="34">
        <v>1555.58</v>
      </c>
      <c r="O46" s="34">
        <v>416.77</v>
      </c>
      <c r="P46" s="34">
        <v>303.60000000000002</v>
      </c>
      <c r="Q46" s="34">
        <v>1106.8000000000002</v>
      </c>
      <c r="R46" s="34">
        <v>526.69999999999993</v>
      </c>
      <c r="S46" s="34">
        <v>451</v>
      </c>
      <c r="T46" s="34">
        <v>116.5</v>
      </c>
      <c r="U46" s="34">
        <v>2403.5500000000002</v>
      </c>
      <c r="V46" s="34">
        <v>192.60000000000002</v>
      </c>
      <c r="W46" s="34">
        <v>207.8</v>
      </c>
      <c r="X46" s="34">
        <v>611.1</v>
      </c>
      <c r="Y46" s="34">
        <v>1782.21</v>
      </c>
      <c r="Z46" s="34">
        <v>1621.96</v>
      </c>
    </row>
    <row r="47" spans="1:26" x14ac:dyDescent="0.2">
      <c r="A47" s="20" t="s">
        <v>267</v>
      </c>
      <c r="B47" s="20" t="s">
        <v>16</v>
      </c>
      <c r="C47" s="20" t="s">
        <v>2835</v>
      </c>
      <c r="D47" s="20" t="s">
        <v>201</v>
      </c>
      <c r="E47" s="34">
        <f>IF(B47="","",VLOOKUP(B47,dagsoorttabel1,2,FALSE))</f>
        <v>0.2</v>
      </c>
      <c r="F47" s="34">
        <v>1</v>
      </c>
      <c r="G47" s="34">
        <f>IF(prodnorm66&gt;0,1/ROUND(prodnorm66,4),0)</f>
        <v>0</v>
      </c>
      <c r="H47" s="36">
        <f>ROUND(dagwerk66,4+2)</f>
        <v>0</v>
      </c>
      <c r="I47" s="37">
        <f>ROUND(uurtarief66,2)</f>
        <v>0</v>
      </c>
      <c r="J47" s="34">
        <v>76</v>
      </c>
      <c r="K47" s="34">
        <v>0</v>
      </c>
      <c r="L47" s="34">
        <v>0</v>
      </c>
      <c r="M47" s="34">
        <v>93.9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34">
        <v>0</v>
      </c>
      <c r="X47" s="34">
        <v>0</v>
      </c>
      <c r="Y47" s="34">
        <v>0</v>
      </c>
      <c r="Z47" s="34">
        <v>0</v>
      </c>
    </row>
    <row r="48" spans="1:26" x14ac:dyDescent="0.2">
      <c r="A48" s="20" t="s">
        <v>269</v>
      </c>
      <c r="B48" s="20" t="s">
        <v>10</v>
      </c>
      <c r="C48" s="20" t="s">
        <v>2835</v>
      </c>
      <c r="D48" s="20" t="s">
        <v>201</v>
      </c>
      <c r="E48" s="34">
        <f>IF(B48="","",VLOOKUP(B48,dagsoorttabel1,2,FALSE))</f>
        <v>1</v>
      </c>
      <c r="F48" s="34">
        <v>1</v>
      </c>
      <c r="G48" s="34">
        <f>IF(prodnorm67&gt;0,1/ROUND(prodnorm67,4),0)</f>
        <v>0</v>
      </c>
      <c r="H48" s="36">
        <f>ROUND(dagwerk67,4+2)</f>
        <v>0</v>
      </c>
      <c r="I48" s="37">
        <f>ROUND(uurtarief67,2)</f>
        <v>0</v>
      </c>
      <c r="J48" s="34">
        <v>10.5</v>
      </c>
      <c r="K48" s="34">
        <v>103.80000000000001</v>
      </c>
      <c r="L48" s="34">
        <v>0</v>
      </c>
      <c r="M48" s="34">
        <v>0</v>
      </c>
      <c r="N48" s="34">
        <v>0</v>
      </c>
      <c r="O48" s="34">
        <v>458.5</v>
      </c>
      <c r="P48" s="34">
        <v>0</v>
      </c>
      <c r="Q48" s="34">
        <v>0</v>
      </c>
      <c r="R48" s="34">
        <v>0</v>
      </c>
      <c r="S48" s="34">
        <v>22.8</v>
      </c>
      <c r="T48" s="34">
        <v>0</v>
      </c>
      <c r="U48" s="34">
        <v>17</v>
      </c>
      <c r="V48" s="34">
        <v>155.06</v>
      </c>
      <c r="W48" s="34">
        <v>11.1</v>
      </c>
      <c r="X48" s="34">
        <v>40.4</v>
      </c>
      <c r="Y48" s="34">
        <v>0</v>
      </c>
      <c r="Z48" s="34">
        <v>0</v>
      </c>
    </row>
    <row r="49" spans="1:26" x14ac:dyDescent="0.2">
      <c r="A49" s="20" t="s">
        <v>271</v>
      </c>
      <c r="B49" s="20" t="s">
        <v>10</v>
      </c>
      <c r="C49" s="20" t="s">
        <v>2835</v>
      </c>
      <c r="D49" s="20" t="s">
        <v>201</v>
      </c>
      <c r="E49" s="34">
        <f>IF(B49="","",VLOOKUP(B49,dagsoorttabel1,2,FALSE))</f>
        <v>1</v>
      </c>
      <c r="F49" s="34">
        <v>1</v>
      </c>
      <c r="G49" s="34">
        <f>IF(prodnorm68&gt;0,1/ROUND(prodnorm68,4),0)</f>
        <v>0</v>
      </c>
      <c r="H49" s="36">
        <f>ROUND(dagwerk68,4+2)</f>
        <v>0</v>
      </c>
      <c r="I49" s="37">
        <f>ROUND(uurtarief68,2)</f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77</v>
      </c>
    </row>
    <row r="50" spans="1:26" x14ac:dyDescent="0.2">
      <c r="A50" s="20" t="s">
        <v>273</v>
      </c>
      <c r="B50" s="20" t="s">
        <v>16</v>
      </c>
      <c r="C50" s="20" t="s">
        <v>2835</v>
      </c>
      <c r="D50" s="20" t="s">
        <v>274</v>
      </c>
      <c r="E50" s="34">
        <f>IF(B50="","",VLOOKUP(B50,dagsoorttabel1,2,FALSE))</f>
        <v>0.2</v>
      </c>
      <c r="F50" s="34">
        <v>1</v>
      </c>
      <c r="G50" s="34">
        <f>IF(prodnorm12&gt;0,1/ROUND(prodnorm12,4),0)</f>
        <v>0</v>
      </c>
      <c r="H50" s="36">
        <f>ROUND(dagwerk12,4+2)</f>
        <v>0</v>
      </c>
      <c r="I50" s="37">
        <f>ROUND(uurtarief12,2)</f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3893.4699999999993</v>
      </c>
      <c r="Z50" s="34">
        <v>0</v>
      </c>
    </row>
    <row r="51" spans="1:26" x14ac:dyDescent="0.2">
      <c r="A51" s="20" t="s">
        <v>276</v>
      </c>
      <c r="B51" s="20" t="s">
        <v>10</v>
      </c>
      <c r="C51" s="20" t="s">
        <v>2835</v>
      </c>
      <c r="D51" s="20" t="s">
        <v>274</v>
      </c>
      <c r="E51" s="34">
        <f>IF(B51="","",VLOOKUP(B51,dagsoorttabel1,2,FALSE))</f>
        <v>1</v>
      </c>
      <c r="F51" s="34">
        <v>1</v>
      </c>
      <c r="G51" s="34">
        <f>ROUND(prodnorm13,4)/60</f>
        <v>0</v>
      </c>
      <c r="H51" s="36">
        <f>ROUND(dagwerk13,4+2)</f>
        <v>0</v>
      </c>
      <c r="I51" s="37">
        <f>ROUND(uurtarief13,2)</f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20</v>
      </c>
      <c r="Z51" s="34">
        <v>0</v>
      </c>
    </row>
    <row r="52" spans="1:26" x14ac:dyDescent="0.2">
      <c r="A52" s="20" t="s">
        <v>279</v>
      </c>
      <c r="B52" s="20" t="s">
        <v>14</v>
      </c>
      <c r="C52" s="20" t="s">
        <v>2835</v>
      </c>
      <c r="D52" s="20" t="s">
        <v>274</v>
      </c>
      <c r="E52" s="34">
        <f>IF(B52="","",VLOOKUP(B52,dagsoorttabel1,2,FALSE))</f>
        <v>0.4</v>
      </c>
      <c r="F52" s="34">
        <v>1</v>
      </c>
      <c r="G52" s="34">
        <f>ROUND(prodnorm14,4)/60</f>
        <v>0</v>
      </c>
      <c r="H52" s="36">
        <f>ROUND(dagwerk14,4+2)</f>
        <v>0</v>
      </c>
      <c r="I52" s="37">
        <f>ROUND(uurtarief14,2)</f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>
        <v>20</v>
      </c>
      <c r="Z52" s="34">
        <v>0</v>
      </c>
    </row>
    <row r="53" spans="1:26" x14ac:dyDescent="0.2">
      <c r="A53" s="20" t="s">
        <v>281</v>
      </c>
      <c r="B53" s="20" t="s">
        <v>10</v>
      </c>
      <c r="C53" s="20" t="s">
        <v>2835</v>
      </c>
      <c r="D53" s="20" t="s">
        <v>274</v>
      </c>
      <c r="E53" s="34">
        <f>IF(B53="","",VLOOKUP(B53,dagsoorttabel1,2,FALSE))</f>
        <v>1</v>
      </c>
      <c r="F53" s="34">
        <v>1</v>
      </c>
      <c r="G53" s="34">
        <f>IF(prodnorm15&gt;0,1/ROUND(prodnorm15,4),0)</f>
        <v>0</v>
      </c>
      <c r="H53" s="36">
        <f>ROUND(dagwerk15,4+2)</f>
        <v>0</v>
      </c>
      <c r="I53" s="37">
        <f>ROUND(uurtarief15,2)</f>
        <v>0</v>
      </c>
      <c r="J53" s="34">
        <v>20</v>
      </c>
      <c r="K53" s="34">
        <v>0</v>
      </c>
      <c r="L53" s="34">
        <v>20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0</v>
      </c>
      <c r="Y53" s="34">
        <v>40</v>
      </c>
      <c r="Z53" s="34">
        <v>0</v>
      </c>
    </row>
    <row r="54" spans="1:26" x14ac:dyDescent="0.2">
      <c r="A54" s="20" t="s">
        <v>283</v>
      </c>
      <c r="B54" s="20" t="s">
        <v>10</v>
      </c>
      <c r="C54" s="20" t="s">
        <v>2835</v>
      </c>
      <c r="D54" s="20" t="s">
        <v>274</v>
      </c>
      <c r="E54" s="34">
        <f>IF(B54="","",VLOOKUP(B54,dagsoorttabel1,2,FALSE))</f>
        <v>1</v>
      </c>
      <c r="F54" s="34">
        <v>1</v>
      </c>
      <c r="G54" s="34">
        <v>1</v>
      </c>
      <c r="H54" s="36">
        <f>ROUND(dagwerk16,4+2)</f>
        <v>0</v>
      </c>
      <c r="I54" s="37">
        <f>ROUND(uurtarief16,2)</f>
        <v>0</v>
      </c>
      <c r="J54" s="34">
        <v>0</v>
      </c>
      <c r="K54" s="34">
        <v>3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>
        <v>0</v>
      </c>
    </row>
    <row r="55" spans="1:26" x14ac:dyDescent="0.2">
      <c r="A55" s="20" t="s">
        <v>286</v>
      </c>
      <c r="B55" s="20" t="s">
        <v>19</v>
      </c>
      <c r="C55" s="20" t="s">
        <v>2835</v>
      </c>
      <c r="D55" s="20" t="s">
        <v>274</v>
      </c>
      <c r="E55" s="34">
        <f>IF(B55="","",VLOOKUP(B55,dagsoorttabel1,2,FALSE))</f>
        <v>0.05</v>
      </c>
      <c r="F55" s="34">
        <v>1</v>
      </c>
      <c r="G55" s="34">
        <f>IF(prodnorm17&gt;0,1/ROUND(prodnorm17,4),0)</f>
        <v>0</v>
      </c>
      <c r="H55" s="36">
        <f>ROUND(dagwerk17,4+2)</f>
        <v>0</v>
      </c>
      <c r="I55" s="37">
        <f>ROUND(uurtarief17,2)</f>
        <v>0</v>
      </c>
      <c r="J55" s="34">
        <v>915.5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</row>
    <row r="56" spans="1:26" x14ac:dyDescent="0.2">
      <c r="A56" s="20" t="s">
        <v>288</v>
      </c>
      <c r="B56" s="20" t="s">
        <v>10</v>
      </c>
      <c r="C56" s="20" t="s">
        <v>2835</v>
      </c>
      <c r="D56" s="20" t="s">
        <v>274</v>
      </c>
      <c r="E56" s="34">
        <f>IF(B56="","",VLOOKUP(B56,dagsoorttabel1,2,FALSE))</f>
        <v>1</v>
      </c>
      <c r="F56" s="34">
        <v>1</v>
      </c>
      <c r="G56" s="34">
        <f>ROUND(prodnorm18,4)/60</f>
        <v>0</v>
      </c>
      <c r="H56" s="36">
        <f>ROUND(dagwerk18,4+2)</f>
        <v>0</v>
      </c>
      <c r="I56" s="37">
        <f>ROUND(uurtarief18,2)</f>
        <v>0</v>
      </c>
      <c r="J56" s="34">
        <v>0</v>
      </c>
      <c r="K56" s="34">
        <v>0</v>
      </c>
      <c r="L56" s="34">
        <v>3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</row>
    <row r="57" spans="1:26" x14ac:dyDescent="0.2">
      <c r="A57" s="20" t="s">
        <v>290</v>
      </c>
      <c r="B57" s="20" t="s">
        <v>25</v>
      </c>
      <c r="C57" s="20" t="s">
        <v>2835</v>
      </c>
      <c r="D57" s="20" t="s">
        <v>274</v>
      </c>
      <c r="E57" s="34">
        <f>IF(B57="","",VLOOKUP(B57,dagsoorttabel1,2,FALSE))</f>
        <v>5.0000000000000001E-3</v>
      </c>
      <c r="F57" s="34">
        <v>1</v>
      </c>
      <c r="G57" s="34">
        <f>ROUND(prodnorm19,4)/60</f>
        <v>0</v>
      </c>
      <c r="H57" s="36">
        <f>ROUND(dagwerk19,4+2)</f>
        <v>0</v>
      </c>
      <c r="I57" s="37">
        <f>ROUND(uurtarief19,2)</f>
        <v>0</v>
      </c>
      <c r="J57" s="34">
        <v>0</v>
      </c>
      <c r="K57" s="34">
        <v>38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</row>
    <row r="58" spans="1:26" x14ac:dyDescent="0.2">
      <c r="A58" s="20" t="s">
        <v>292</v>
      </c>
      <c r="B58" s="20" t="s">
        <v>24</v>
      </c>
      <c r="C58" s="20" t="s">
        <v>2835</v>
      </c>
      <c r="D58" s="20" t="s">
        <v>274</v>
      </c>
      <c r="E58" s="34">
        <f>IF(B58="","",VLOOKUP(B58,dagsoorttabel1,2,FALSE))</f>
        <v>0.01</v>
      </c>
      <c r="F58" s="34">
        <v>1</v>
      </c>
      <c r="G58" s="34">
        <f>ROUND(prodnorm20,4)/60</f>
        <v>0</v>
      </c>
      <c r="H58" s="36">
        <f>ROUND(dagwerk20,4+2)</f>
        <v>0</v>
      </c>
      <c r="I58" s="37">
        <f>ROUND(uurtarief20,2)</f>
        <v>0</v>
      </c>
      <c r="J58" s="34">
        <v>0</v>
      </c>
      <c r="K58" s="34">
        <v>3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</row>
    <row r="59" spans="1:26" x14ac:dyDescent="0.2">
      <c r="A59" s="20" t="s">
        <v>294</v>
      </c>
      <c r="B59" s="20" t="s">
        <v>19</v>
      </c>
      <c r="C59" s="20" t="s">
        <v>2835</v>
      </c>
      <c r="D59" s="20" t="s">
        <v>274</v>
      </c>
      <c r="E59" s="34">
        <f>IF(B59="","",VLOOKUP(B59,dagsoorttabel1,2,FALSE))</f>
        <v>0.05</v>
      </c>
      <c r="F59" s="34">
        <v>1</v>
      </c>
      <c r="G59" s="34">
        <f>IF(prodnorm21&gt;0,1/ROUND(prodnorm21,4),0)</f>
        <v>0</v>
      </c>
      <c r="H59" s="36">
        <f>ROUND(dagwerk21,4+2)</f>
        <v>0</v>
      </c>
      <c r="I59" s="37">
        <f>ROUND(uurtarief21,2)</f>
        <v>0</v>
      </c>
      <c r="J59" s="34">
        <v>0</v>
      </c>
      <c r="K59" s="34">
        <v>0</v>
      </c>
      <c r="L59" s="34">
        <v>0</v>
      </c>
      <c r="M59" s="34">
        <v>70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</row>
    <row r="60" spans="1:26" x14ac:dyDescent="0.2">
      <c r="A60" s="20" t="s">
        <v>296</v>
      </c>
      <c r="B60" s="20" t="s">
        <v>24</v>
      </c>
      <c r="C60" s="20" t="s">
        <v>2835</v>
      </c>
      <c r="D60" s="20" t="s">
        <v>274</v>
      </c>
      <c r="E60" s="34">
        <f>IF(B60="","",VLOOKUP(B60,dagsoorttabel1,2,FALSE))</f>
        <v>0.01</v>
      </c>
      <c r="F60" s="34">
        <v>1</v>
      </c>
      <c r="G60" s="34">
        <f>ROUND(prodnorm22,4)/60</f>
        <v>0</v>
      </c>
      <c r="H60" s="36">
        <f>ROUND(dagwerk22,4+2)</f>
        <v>0</v>
      </c>
      <c r="I60" s="37">
        <f>ROUND(uurtarief22,2)</f>
        <v>0</v>
      </c>
      <c r="J60" s="34">
        <v>0</v>
      </c>
      <c r="K60" s="34">
        <v>1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</row>
    <row r="61" spans="1:26" x14ac:dyDescent="0.2">
      <c r="A61" s="25" t="s">
        <v>298</v>
      </c>
      <c r="B61" s="25" t="s">
        <v>18</v>
      </c>
      <c r="C61" s="25" t="s">
        <v>2835</v>
      </c>
      <c r="D61" s="25" t="s">
        <v>274</v>
      </c>
      <c r="E61" s="39">
        <f>IF(B61="","",VLOOKUP(B61,dagsoorttabel1,2,FALSE))</f>
        <v>0.06</v>
      </c>
      <c r="F61" s="39">
        <v>1</v>
      </c>
      <c r="G61" s="39">
        <f>ROUND(prodnorm23,4)/60</f>
        <v>0</v>
      </c>
      <c r="H61" s="51">
        <f>ROUND(dagwerk23,4+2)</f>
        <v>0</v>
      </c>
      <c r="I61" s="41">
        <f>ROUND(uurtarief23,2)</f>
        <v>0</v>
      </c>
      <c r="J61" s="39">
        <v>1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</row>
    <row r="62" spans="1:26" x14ac:dyDescent="0.2">
      <c r="A62" s="43" t="s">
        <v>300</v>
      </c>
      <c r="B62" s="44"/>
      <c r="C62" s="44"/>
      <c r="D62" s="44"/>
      <c r="E62" s="44"/>
      <c r="F62" s="44"/>
      <c r="G62" s="44"/>
      <c r="H62" s="44"/>
      <c r="I62" s="44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</row>
    <row r="64" spans="1:26" x14ac:dyDescent="0.2">
      <c r="A64" s="15" t="s">
        <v>302</v>
      </c>
      <c r="B64" s="15" t="s">
        <v>21</v>
      </c>
      <c r="C64" s="15" t="s">
        <v>2836</v>
      </c>
      <c r="D64" s="15" t="s">
        <v>201</v>
      </c>
      <c r="E64" s="30">
        <f>IF(B64="","",VLOOKUP(B64,dagsoorttabel1,2,FALSE))</f>
        <v>2.5000000000000001E-2</v>
      </c>
      <c r="F64" s="30">
        <v>1</v>
      </c>
      <c r="G64" s="30">
        <f>IF(prodnorm70&gt;0,1/ROUND(prodnorm70,4),0)</f>
        <v>0</v>
      </c>
      <c r="H64" s="32">
        <f>ROUND(dagwerk70,4+2)</f>
        <v>0</v>
      </c>
      <c r="I64" s="33">
        <f>ROUND(uurtarief70,2)</f>
        <v>0</v>
      </c>
      <c r="J64" s="30">
        <v>0</v>
      </c>
      <c r="K64" s="30">
        <v>79.900000000000006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723.92000000000007</v>
      </c>
      <c r="Z64" s="30">
        <v>0</v>
      </c>
    </row>
    <row r="65" spans="1:26" x14ac:dyDescent="0.2">
      <c r="A65" s="20" t="s">
        <v>303</v>
      </c>
      <c r="B65" s="20" t="s">
        <v>21</v>
      </c>
      <c r="C65" s="20" t="s">
        <v>2836</v>
      </c>
      <c r="D65" s="20" t="s">
        <v>201</v>
      </c>
      <c r="E65" s="34">
        <f>IF(B65="","",VLOOKUP(B65,dagsoorttabel1,2,FALSE))</f>
        <v>2.5000000000000001E-2</v>
      </c>
      <c r="F65" s="34">
        <v>1</v>
      </c>
      <c r="G65" s="34">
        <f>IF(prodnorm71&gt;0,1/ROUND(prodnorm71,4),0)</f>
        <v>0</v>
      </c>
      <c r="H65" s="36">
        <f>ROUND(dagwerk71,4+2)</f>
        <v>0</v>
      </c>
      <c r="I65" s="37">
        <f>ROUND(uurtarief71,2)</f>
        <v>0</v>
      </c>
      <c r="J65" s="34">
        <v>0</v>
      </c>
      <c r="K65" s="34">
        <v>215.6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</row>
    <row r="66" spans="1:26" x14ac:dyDescent="0.2">
      <c r="A66" s="20" t="s">
        <v>304</v>
      </c>
      <c r="B66" s="20" t="s">
        <v>21</v>
      </c>
      <c r="C66" s="20" t="s">
        <v>2836</v>
      </c>
      <c r="D66" s="20" t="s">
        <v>201</v>
      </c>
      <c r="E66" s="34">
        <f>IF(B66="","",VLOOKUP(B66,dagsoorttabel1,2,FALSE))</f>
        <v>2.5000000000000001E-2</v>
      </c>
      <c r="F66" s="34">
        <v>1</v>
      </c>
      <c r="G66" s="34">
        <f>IF(prodnorm72&gt;0,1/ROUND(prodnorm72,4),0)</f>
        <v>0</v>
      </c>
      <c r="H66" s="36">
        <f>ROUND(dagwerk72,4+2)</f>
        <v>0</v>
      </c>
      <c r="I66" s="37">
        <f>ROUND(uurtarief72,2)</f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82.83</v>
      </c>
      <c r="Z66" s="34">
        <v>0</v>
      </c>
    </row>
    <row r="67" spans="1:26" x14ac:dyDescent="0.2">
      <c r="A67" s="20" t="s">
        <v>305</v>
      </c>
      <c r="B67" s="20" t="s">
        <v>21</v>
      </c>
      <c r="C67" s="20" t="s">
        <v>2836</v>
      </c>
      <c r="D67" s="20" t="s">
        <v>201</v>
      </c>
      <c r="E67" s="34">
        <f>IF(B67="","",VLOOKUP(B67,dagsoorttabel1,2,FALSE))</f>
        <v>2.5000000000000001E-2</v>
      </c>
      <c r="F67" s="34">
        <v>1</v>
      </c>
      <c r="G67" s="34">
        <f>IF(prodnorm73&gt;0,1/ROUND(prodnorm73,4),0)</f>
        <v>0</v>
      </c>
      <c r="H67" s="36">
        <f>ROUND(dagwerk73,4+2)</f>
        <v>0</v>
      </c>
      <c r="I67" s="37">
        <f>ROUND(uurtarief73,2)</f>
        <v>0</v>
      </c>
      <c r="J67" s="34">
        <v>0</v>
      </c>
      <c r="K67" s="34">
        <v>22.9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171.60999999999999</v>
      </c>
      <c r="Z67" s="34">
        <v>0</v>
      </c>
    </row>
    <row r="68" spans="1:26" x14ac:dyDescent="0.2">
      <c r="A68" s="20" t="s">
        <v>306</v>
      </c>
      <c r="B68" s="20" t="s">
        <v>21</v>
      </c>
      <c r="C68" s="20" t="s">
        <v>2836</v>
      </c>
      <c r="D68" s="20" t="s">
        <v>201</v>
      </c>
      <c r="E68" s="34">
        <f>IF(B68="","",VLOOKUP(B68,dagsoorttabel1,2,FALSE))</f>
        <v>2.5000000000000001E-2</v>
      </c>
      <c r="F68" s="34">
        <v>1</v>
      </c>
      <c r="G68" s="34">
        <f>IF(prodnorm74&gt;0,1/ROUND(prodnorm74,4),0)</f>
        <v>0</v>
      </c>
      <c r="H68" s="36">
        <f>ROUND(dagwerk74,4+2)</f>
        <v>0</v>
      </c>
      <c r="I68" s="37">
        <f>ROUND(uurtarief74,2)</f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73.16</v>
      </c>
      <c r="Z68" s="34">
        <v>0</v>
      </c>
    </row>
    <row r="69" spans="1:26" x14ac:dyDescent="0.2">
      <c r="A69" s="20" t="s">
        <v>308</v>
      </c>
      <c r="B69" s="20" t="s">
        <v>21</v>
      </c>
      <c r="C69" s="20" t="s">
        <v>2836</v>
      </c>
      <c r="D69" s="20" t="s">
        <v>201</v>
      </c>
      <c r="E69" s="34">
        <f>IF(B69="","",VLOOKUP(B69,dagsoorttabel1,2,FALSE))</f>
        <v>2.5000000000000001E-2</v>
      </c>
      <c r="F69" s="34">
        <v>1</v>
      </c>
      <c r="G69" s="34">
        <f>IF(prodnorm75&gt;0,1/ROUND(prodnorm75,4),0)</f>
        <v>0</v>
      </c>
      <c r="H69" s="36">
        <f>ROUND(dagwerk75,4+2)</f>
        <v>0</v>
      </c>
      <c r="I69" s="37">
        <f>ROUND(uurtarief75,2)</f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1768.66</v>
      </c>
      <c r="Z69" s="34">
        <v>0</v>
      </c>
    </row>
    <row r="70" spans="1:26" x14ac:dyDescent="0.2">
      <c r="A70" s="25" t="s">
        <v>309</v>
      </c>
      <c r="B70" s="25" t="s">
        <v>21</v>
      </c>
      <c r="C70" s="25" t="s">
        <v>2836</v>
      </c>
      <c r="D70" s="25" t="s">
        <v>201</v>
      </c>
      <c r="E70" s="39">
        <f>IF(B70="","",VLOOKUP(B70,dagsoorttabel1,2,FALSE))</f>
        <v>2.5000000000000001E-2</v>
      </c>
      <c r="F70" s="39">
        <v>1</v>
      </c>
      <c r="G70" s="39">
        <f>IF(prodnorm76&gt;0,1/ROUND(prodnorm76,4),0)</f>
        <v>0</v>
      </c>
      <c r="H70" s="51">
        <f>ROUND(dagwerk76,4+2)</f>
        <v>0</v>
      </c>
      <c r="I70" s="41">
        <f>ROUND(uurtarief76,2)</f>
        <v>0</v>
      </c>
      <c r="J70" s="39">
        <v>0</v>
      </c>
      <c r="K70" s="39">
        <v>103.80000000000001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</row>
    <row r="71" spans="1:26" x14ac:dyDescent="0.2">
      <c r="A71" s="43" t="s">
        <v>310</v>
      </c>
      <c r="B71" s="44"/>
      <c r="C71" s="44"/>
      <c r="D71" s="44"/>
      <c r="E71" s="44"/>
      <c r="F71" s="44"/>
      <c r="G71" s="44"/>
      <c r="H71" s="44"/>
      <c r="I71" s="44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</sheetData>
  <pageMargins left="0.7" right="0.7" top="0.75" bottom="0.75" header="0.3" footer="0.3"/>
  <pageSetup paperSize="9" scale="70" orientation="landscape" r:id="rId1"/>
  <headerFooter>
    <oddFooter>&amp;LNUOVO Scholengroep EA 2023                                  &amp;ROpmaakdatum: 21-07-2023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D5F60-E511-4B11-889C-0365EB458A1B}">
  <dimension ref="A1:R35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8" width="13.625" customWidth="1"/>
  </cols>
  <sheetData>
    <row r="1" spans="1:18" x14ac:dyDescent="0.2">
      <c r="A1" s="1" t="str">
        <f>CONCATENATE("Bijlage I.5: ",tabeltype," objecten")</f>
        <v>Bijlage I.5: Invultabel objecten</v>
      </c>
    </row>
    <row r="3" spans="1:18" ht="51" x14ac:dyDescent="0.2">
      <c r="A3" s="8" t="s">
        <v>313</v>
      </c>
      <c r="B3" s="8" t="s">
        <v>2837</v>
      </c>
      <c r="C3" s="8" t="s">
        <v>2838</v>
      </c>
      <c r="D3" s="8" t="s">
        <v>2839</v>
      </c>
      <c r="E3" s="8" t="s">
        <v>7</v>
      </c>
      <c r="F3" s="8" t="s">
        <v>2840</v>
      </c>
      <c r="G3" s="8" t="s">
        <v>2841</v>
      </c>
      <c r="H3" s="8" t="s">
        <v>2842</v>
      </c>
      <c r="I3" s="8" t="s">
        <v>2843</v>
      </c>
      <c r="J3" s="8" t="s">
        <v>2844</v>
      </c>
      <c r="K3" s="8" t="s">
        <v>2845</v>
      </c>
      <c r="L3" s="8" t="s">
        <v>2846</v>
      </c>
      <c r="M3" s="8" t="s">
        <v>2847</v>
      </c>
      <c r="N3" s="8" t="s">
        <v>2848</v>
      </c>
      <c r="O3" s="8" t="s">
        <v>2849</v>
      </c>
      <c r="P3" s="8" t="s">
        <v>198</v>
      </c>
      <c r="Q3" s="8" t="s">
        <v>2850</v>
      </c>
      <c r="R3" s="8" t="s">
        <v>2851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34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15" t="s">
        <v>323</v>
      </c>
      <c r="B6" s="15" t="s">
        <v>2852</v>
      </c>
      <c r="C6" s="15" t="s">
        <v>2853</v>
      </c>
      <c r="D6" s="15" t="s">
        <v>2854</v>
      </c>
      <c r="E6" s="86" t="s">
        <v>10</v>
      </c>
      <c r="F6" s="87">
        <f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88"/>
      <c r="J6" s="30">
        <f>H6+I6</f>
        <v>0</v>
      </c>
      <c r="K6" s="30">
        <f>G6+I6</f>
        <v>0</v>
      </c>
      <c r="L6" s="33">
        <f>SUMPRODUCT(taakfreqtabel1,kengetaltabel1,tarieftabel1,object1_opptabel1)*(1/VLOOKUP(E6,dagsoorttabel1,2,FALSE))</f>
        <v>0</v>
      </c>
      <c r="M6" s="33">
        <f>F6*I6</f>
        <v>0</v>
      </c>
      <c r="N6" s="33">
        <f>SUM(L6:M6)</f>
        <v>0</v>
      </c>
      <c r="O6" s="30">
        <f>J6*dagenperjaar1*VLOOKUP(E6,dagsoorttabel1,2,FALSE)</f>
        <v>0</v>
      </c>
      <c r="P6" s="30">
        <f>K6*dagenperjaar1*VLOOKUP(E6,dagsoorttabel1,2,FALSE)</f>
        <v>0</v>
      </c>
      <c r="Q6" s="33">
        <f>N6*dagenperjaar1*VLOOKUP(E6,dagsoorttabel1,2,FALSE)</f>
        <v>0</v>
      </c>
      <c r="R6" s="33">
        <f>Q6/12</f>
        <v>0</v>
      </c>
    </row>
    <row r="7" spans="1:18" x14ac:dyDescent="0.2">
      <c r="A7" s="20" t="s">
        <v>472</v>
      </c>
      <c r="B7" s="20" t="s">
        <v>2855</v>
      </c>
      <c r="C7" s="20" t="s">
        <v>2856</v>
      </c>
      <c r="D7" s="20" t="s">
        <v>2854</v>
      </c>
      <c r="E7" s="89" t="s">
        <v>10</v>
      </c>
      <c r="F7" s="90">
        <f>gemuurtarief1</f>
        <v>0</v>
      </c>
      <c r="G7" s="34">
        <f>SUMPRODUCT(taakfreqtabel1,uurfactortabel1,kengetaltabel1,object2_opptabel1)*(1/VLOOKUP(E7,dagsoorttabel1,2,FALSE))</f>
        <v>3</v>
      </c>
      <c r="H7" s="34">
        <f>SUMPRODUCT(dagwerktabel1,taakfreqtabel1,uurfactortabel1,kengetaltabel1,object2_opptabel1)*(1/VLOOKUP(E7,dagsoorttabel1,2,FALSE))</f>
        <v>0</v>
      </c>
      <c r="I7" s="91"/>
      <c r="J7" s="34">
        <f>H7+I7</f>
        <v>0</v>
      </c>
      <c r="K7" s="34">
        <f>G7+I7</f>
        <v>3</v>
      </c>
      <c r="L7" s="37">
        <f>SUMPRODUCT(taakfreqtabel1,kengetaltabel1,tarieftabel1,object2_opptabel1)*(1/VLOOKUP(E7,dagsoorttabel1,2,FALSE))</f>
        <v>0</v>
      </c>
      <c r="M7" s="37">
        <f>F7*I7</f>
        <v>0</v>
      </c>
      <c r="N7" s="37">
        <f>SUM(L7:M7)</f>
        <v>0</v>
      </c>
      <c r="O7" s="34">
        <f>J7*dagenperjaar1*VLOOKUP(E7,dagsoorttabel1,2,FALSE)</f>
        <v>0</v>
      </c>
      <c r="P7" s="34">
        <f>K7*dagenperjaar1*VLOOKUP(E7,dagsoorttabel1,2,FALSE)</f>
        <v>600</v>
      </c>
      <c r="Q7" s="37">
        <f>N7*dagenperjaar1*VLOOKUP(E7,dagsoorttabel1,2,FALSE)</f>
        <v>0</v>
      </c>
      <c r="R7" s="37">
        <f>Q7/12</f>
        <v>0</v>
      </c>
    </row>
    <row r="8" spans="1:18" x14ac:dyDescent="0.2">
      <c r="A8" s="20" t="s">
        <v>530</v>
      </c>
      <c r="B8" s="20" t="s">
        <v>2857</v>
      </c>
      <c r="C8" s="20" t="s">
        <v>2858</v>
      </c>
      <c r="D8" s="20" t="s">
        <v>2854</v>
      </c>
      <c r="E8" s="89" t="s">
        <v>10</v>
      </c>
      <c r="F8" s="90">
        <f>gemuurtarief1</f>
        <v>0</v>
      </c>
      <c r="G8" s="34">
        <f>SUMPRODUCT(taakfreqtabel1,uurfactortabel1,kengetaltabel1,object3_opptabel1)*(1/VLOOKUP(E8,dagsoorttabel1,2,FALSE))</f>
        <v>0</v>
      </c>
      <c r="H8" s="34">
        <f>SUMPRODUCT(dagwerktabel1,taakfreqtabel1,uurfactortabel1,kengetaltabel1,object3_opptabel1)*(1/VLOOKUP(E8,dagsoorttabel1,2,FALSE))</f>
        <v>0</v>
      </c>
      <c r="I8" s="91"/>
      <c r="J8" s="34">
        <f>H8+I8</f>
        <v>0</v>
      </c>
      <c r="K8" s="34">
        <f>G8+I8</f>
        <v>0</v>
      </c>
      <c r="L8" s="37">
        <f>SUMPRODUCT(taakfreqtabel1,kengetaltabel1,tarieftabel1,object3_opptabel1)*(1/VLOOKUP(E8,dagsoorttabel1,2,FALSE))</f>
        <v>0</v>
      </c>
      <c r="M8" s="37">
        <f>F8*I8</f>
        <v>0</v>
      </c>
      <c r="N8" s="37">
        <f>SUM(L8:M8)</f>
        <v>0</v>
      </c>
      <c r="O8" s="34">
        <f>J8*dagenperjaar1*VLOOKUP(E8,dagsoorttabel1,2,FALSE)</f>
        <v>0</v>
      </c>
      <c r="P8" s="34">
        <f>K8*dagenperjaar1*VLOOKUP(E8,dagsoorttabel1,2,FALSE)</f>
        <v>0</v>
      </c>
      <c r="Q8" s="37">
        <f>N8*dagenperjaar1*VLOOKUP(E8,dagsoorttabel1,2,FALSE)</f>
        <v>0</v>
      </c>
      <c r="R8" s="37">
        <f>Q8/12</f>
        <v>0</v>
      </c>
    </row>
    <row r="9" spans="1:18" x14ac:dyDescent="0.2">
      <c r="A9" s="20" t="s">
        <v>774</v>
      </c>
      <c r="B9" s="20" t="s">
        <v>2859</v>
      </c>
      <c r="C9" s="20" t="s">
        <v>2860</v>
      </c>
      <c r="D9" s="20" t="s">
        <v>2854</v>
      </c>
      <c r="E9" s="89" t="s">
        <v>10</v>
      </c>
      <c r="F9" s="90">
        <f>gemuurtarief1</f>
        <v>0</v>
      </c>
      <c r="G9" s="34">
        <f>SUMPRODUCT(taakfreqtabel1,uurfactortabel1,kengetaltabel1,object4_opptabel1)*(1/VLOOKUP(E9,dagsoorttabel1,2,FALSE))</f>
        <v>0</v>
      </c>
      <c r="H9" s="34">
        <f>SUMPRODUCT(dagwerktabel1,taakfreqtabel1,uurfactortabel1,kengetaltabel1,object4_opptabel1)*(1/VLOOKUP(E9,dagsoorttabel1,2,FALSE))</f>
        <v>0</v>
      </c>
      <c r="I9" s="91"/>
      <c r="J9" s="34">
        <f>H9+I9</f>
        <v>0</v>
      </c>
      <c r="K9" s="34">
        <f>G9+I9</f>
        <v>0</v>
      </c>
      <c r="L9" s="37">
        <f>SUMPRODUCT(taakfreqtabel1,kengetaltabel1,tarieftabel1,object4_opptabel1)*(1/VLOOKUP(E9,dagsoorttabel1,2,FALSE))</f>
        <v>0</v>
      </c>
      <c r="M9" s="37">
        <f>F9*I9</f>
        <v>0</v>
      </c>
      <c r="N9" s="37">
        <f>SUM(L9:M9)</f>
        <v>0</v>
      </c>
      <c r="O9" s="34">
        <f>J9*dagenperjaar1*VLOOKUP(E9,dagsoorttabel1,2,FALSE)</f>
        <v>0</v>
      </c>
      <c r="P9" s="34">
        <f>K9*dagenperjaar1*VLOOKUP(E9,dagsoorttabel1,2,FALSE)</f>
        <v>0</v>
      </c>
      <c r="Q9" s="37">
        <f>N9*dagenperjaar1*VLOOKUP(E9,dagsoorttabel1,2,FALSE)</f>
        <v>0</v>
      </c>
      <c r="R9" s="37">
        <f>Q9/12</f>
        <v>0</v>
      </c>
    </row>
    <row r="10" spans="1:18" x14ac:dyDescent="0.2">
      <c r="A10" s="20" t="s">
        <v>1299</v>
      </c>
      <c r="B10" s="20" t="s">
        <v>2861</v>
      </c>
      <c r="C10" s="20" t="s">
        <v>2862</v>
      </c>
      <c r="D10" s="20" t="s">
        <v>2863</v>
      </c>
      <c r="E10" s="89" t="s">
        <v>10</v>
      </c>
      <c r="F10" s="90">
        <f>gemuurtarief1</f>
        <v>0</v>
      </c>
      <c r="G10" s="34">
        <f>SUMPRODUCT(taakfreqtabel1,uurfactortabel1,kengetaltabel1,object5_opptabel1)*(1/VLOOKUP(E10,dagsoorttabel1,2,FALSE))</f>
        <v>0</v>
      </c>
      <c r="H10" s="34">
        <f>SUMPRODUCT(dagwerktabel1,taakfreqtabel1,uurfactortabel1,kengetaltabel1,object5_opptabel1)*(1/VLOOKUP(E10,dagsoorttabel1,2,FALSE))</f>
        <v>0</v>
      </c>
      <c r="I10" s="91"/>
      <c r="J10" s="34">
        <f>H10+I10</f>
        <v>0</v>
      </c>
      <c r="K10" s="34">
        <f>G10+I10</f>
        <v>0</v>
      </c>
      <c r="L10" s="37">
        <f>SUMPRODUCT(taakfreqtabel1,kengetaltabel1,tarieftabel1,object5_opptabel1)*(1/VLOOKUP(E10,dagsoorttabel1,2,FALSE))</f>
        <v>0</v>
      </c>
      <c r="M10" s="37">
        <f>F10*I10</f>
        <v>0</v>
      </c>
      <c r="N10" s="37">
        <f>SUM(L10:M10)</f>
        <v>0</v>
      </c>
      <c r="O10" s="34">
        <f>J10*dagenperjaar1*VLOOKUP(E10,dagsoorttabel1,2,FALSE)</f>
        <v>0</v>
      </c>
      <c r="P10" s="34">
        <f>K10*dagenperjaar1*VLOOKUP(E10,dagsoorttabel1,2,FALSE)</f>
        <v>0</v>
      </c>
      <c r="Q10" s="37">
        <f>N10*dagenperjaar1*VLOOKUP(E10,dagsoorttabel1,2,FALSE)</f>
        <v>0</v>
      </c>
      <c r="R10" s="37">
        <f>Q10/12</f>
        <v>0</v>
      </c>
    </row>
    <row r="11" spans="1:18" x14ac:dyDescent="0.2">
      <c r="A11" s="20" t="s">
        <v>1414</v>
      </c>
      <c r="B11" s="20" t="s">
        <v>2864</v>
      </c>
      <c r="C11" s="20" t="s">
        <v>2865</v>
      </c>
      <c r="D11" s="20" t="s">
        <v>2866</v>
      </c>
      <c r="E11" s="89" t="s">
        <v>10</v>
      </c>
      <c r="F11" s="90">
        <f>gemuurtarief1</f>
        <v>0</v>
      </c>
      <c r="G11" s="34">
        <f>SUMPRODUCT(taakfreqtabel1,uurfactortabel1,kengetaltabel1,object6_opptabel1)*(1/VLOOKUP(E11,dagsoorttabel1,2,FALSE))</f>
        <v>0</v>
      </c>
      <c r="H11" s="34">
        <f>SUMPRODUCT(dagwerktabel1,taakfreqtabel1,uurfactortabel1,kengetaltabel1,object6_opptabel1)*(1/VLOOKUP(E11,dagsoorttabel1,2,FALSE))</f>
        <v>0</v>
      </c>
      <c r="I11" s="91"/>
      <c r="J11" s="34">
        <f>H11+I11</f>
        <v>0</v>
      </c>
      <c r="K11" s="34">
        <f>G11+I11</f>
        <v>0</v>
      </c>
      <c r="L11" s="37">
        <f>SUMPRODUCT(taakfreqtabel1,kengetaltabel1,tarieftabel1,object6_opptabel1)*(1/VLOOKUP(E11,dagsoorttabel1,2,FALSE))</f>
        <v>0</v>
      </c>
      <c r="M11" s="37">
        <f>F11*I11</f>
        <v>0</v>
      </c>
      <c r="N11" s="37">
        <f>SUM(L11:M11)</f>
        <v>0</v>
      </c>
      <c r="O11" s="34">
        <f>J11*dagenperjaar1*VLOOKUP(E11,dagsoorttabel1,2,FALSE)</f>
        <v>0</v>
      </c>
      <c r="P11" s="34">
        <f>K11*dagenperjaar1*VLOOKUP(E11,dagsoorttabel1,2,FALSE)</f>
        <v>0</v>
      </c>
      <c r="Q11" s="37">
        <f>N11*dagenperjaar1*VLOOKUP(E11,dagsoorttabel1,2,FALSE)</f>
        <v>0</v>
      </c>
      <c r="R11" s="37">
        <f>Q11/12</f>
        <v>0</v>
      </c>
    </row>
    <row r="12" spans="1:18" x14ac:dyDescent="0.2">
      <c r="A12" s="20" t="s">
        <v>1578</v>
      </c>
      <c r="B12" s="20" t="s">
        <v>2867</v>
      </c>
      <c r="C12" s="20" t="s">
        <v>2868</v>
      </c>
      <c r="D12" s="20" t="s">
        <v>2869</v>
      </c>
      <c r="E12" s="89" t="s">
        <v>10</v>
      </c>
      <c r="F12" s="90">
        <f>gemuurtarief1</f>
        <v>0</v>
      </c>
      <c r="G12" s="34">
        <f>SUMPRODUCT(taakfreqtabel1,uurfactortabel1,kengetaltabel1,object7_opptabel1)*(1/VLOOKUP(E12,dagsoorttabel1,2,FALSE))</f>
        <v>0</v>
      </c>
      <c r="H12" s="34">
        <f>SUMPRODUCT(dagwerktabel1,taakfreqtabel1,uurfactortabel1,kengetaltabel1,object7_opptabel1)*(1/VLOOKUP(E12,dagsoorttabel1,2,FALSE))</f>
        <v>0</v>
      </c>
      <c r="I12" s="91"/>
      <c r="J12" s="34">
        <f>H12+I12</f>
        <v>0</v>
      </c>
      <c r="K12" s="34">
        <f>G12+I12</f>
        <v>0</v>
      </c>
      <c r="L12" s="37">
        <f>SUMPRODUCT(taakfreqtabel1,kengetaltabel1,tarieftabel1,object7_opptabel1)*(1/VLOOKUP(E12,dagsoorttabel1,2,FALSE))</f>
        <v>0</v>
      </c>
      <c r="M12" s="37">
        <f>F12*I12</f>
        <v>0</v>
      </c>
      <c r="N12" s="37">
        <f>SUM(L12:M12)</f>
        <v>0</v>
      </c>
      <c r="O12" s="34">
        <f>J12*dagenperjaar1*VLOOKUP(E12,dagsoorttabel1,2,FALSE)</f>
        <v>0</v>
      </c>
      <c r="P12" s="34">
        <f>K12*dagenperjaar1*VLOOKUP(E12,dagsoorttabel1,2,FALSE)</f>
        <v>0</v>
      </c>
      <c r="Q12" s="37">
        <f>N12*dagenperjaar1*VLOOKUP(E12,dagsoorttabel1,2,FALSE)</f>
        <v>0</v>
      </c>
      <c r="R12" s="37">
        <f>Q12/12</f>
        <v>0</v>
      </c>
    </row>
    <row r="13" spans="1:18" x14ac:dyDescent="0.2">
      <c r="A13" s="20" t="s">
        <v>1613</v>
      </c>
      <c r="B13" s="20" t="s">
        <v>2870</v>
      </c>
      <c r="C13" s="20" t="s">
        <v>2871</v>
      </c>
      <c r="D13" s="20" t="s">
        <v>2854</v>
      </c>
      <c r="E13" s="89" t="s">
        <v>10</v>
      </c>
      <c r="F13" s="90">
        <f>gemuurtarief1</f>
        <v>0</v>
      </c>
      <c r="G13" s="34">
        <f>SUMPRODUCT(taakfreqtabel1,uurfactortabel1,kengetaltabel1,object8_opptabel1)*(1/VLOOKUP(E13,dagsoorttabel1,2,FALSE))</f>
        <v>0</v>
      </c>
      <c r="H13" s="34">
        <f>SUMPRODUCT(dagwerktabel1,taakfreqtabel1,uurfactortabel1,kengetaltabel1,object8_opptabel1)*(1/VLOOKUP(E13,dagsoorttabel1,2,FALSE))</f>
        <v>0</v>
      </c>
      <c r="I13" s="91"/>
      <c r="J13" s="34">
        <f>H13+I13</f>
        <v>0</v>
      </c>
      <c r="K13" s="34">
        <f>G13+I13</f>
        <v>0</v>
      </c>
      <c r="L13" s="37">
        <f>SUMPRODUCT(taakfreqtabel1,kengetaltabel1,tarieftabel1,object8_opptabel1)*(1/VLOOKUP(E13,dagsoorttabel1,2,FALSE))</f>
        <v>0</v>
      </c>
      <c r="M13" s="37">
        <f>F13*I13</f>
        <v>0</v>
      </c>
      <c r="N13" s="37">
        <f>SUM(L13:M13)</f>
        <v>0</v>
      </c>
      <c r="O13" s="34">
        <f>J13*dagenperjaar1*VLOOKUP(E13,dagsoorttabel1,2,FALSE)</f>
        <v>0</v>
      </c>
      <c r="P13" s="34">
        <f>K13*dagenperjaar1*VLOOKUP(E13,dagsoorttabel1,2,FALSE)</f>
        <v>0</v>
      </c>
      <c r="Q13" s="37">
        <f>N13*dagenperjaar1*VLOOKUP(E13,dagsoorttabel1,2,FALSE)</f>
        <v>0</v>
      </c>
      <c r="R13" s="37">
        <f>Q13/12</f>
        <v>0</v>
      </c>
    </row>
    <row r="14" spans="1:18" x14ac:dyDescent="0.2">
      <c r="A14" s="20" t="s">
        <v>1750</v>
      </c>
      <c r="B14" s="20" t="s">
        <v>2872</v>
      </c>
      <c r="C14" s="20" t="s">
        <v>2873</v>
      </c>
      <c r="D14" s="20" t="s">
        <v>2854</v>
      </c>
      <c r="E14" s="89" t="s">
        <v>10</v>
      </c>
      <c r="F14" s="90">
        <f>gemuurtarief1</f>
        <v>0</v>
      </c>
      <c r="G14" s="34">
        <f>SUMPRODUCT(taakfreqtabel1,uurfactortabel1,kengetaltabel1,object9_opptabel1)*(1/VLOOKUP(E14,dagsoorttabel1,2,FALSE))</f>
        <v>0</v>
      </c>
      <c r="H14" s="34">
        <f>SUMPRODUCT(dagwerktabel1,taakfreqtabel1,uurfactortabel1,kengetaltabel1,object9_opptabel1)*(1/VLOOKUP(E14,dagsoorttabel1,2,FALSE))</f>
        <v>0</v>
      </c>
      <c r="I14" s="91"/>
      <c r="J14" s="34">
        <f>H14+I14</f>
        <v>0</v>
      </c>
      <c r="K14" s="34">
        <f>G14+I14</f>
        <v>0</v>
      </c>
      <c r="L14" s="37">
        <f>SUMPRODUCT(taakfreqtabel1,kengetaltabel1,tarieftabel1,object9_opptabel1)*(1/VLOOKUP(E14,dagsoorttabel1,2,FALSE))</f>
        <v>0</v>
      </c>
      <c r="M14" s="37">
        <f>F14*I14</f>
        <v>0</v>
      </c>
      <c r="N14" s="37">
        <f>SUM(L14:M14)</f>
        <v>0</v>
      </c>
      <c r="O14" s="34">
        <f>J14*dagenperjaar1*VLOOKUP(E14,dagsoorttabel1,2,FALSE)</f>
        <v>0</v>
      </c>
      <c r="P14" s="34">
        <f>K14*dagenperjaar1*VLOOKUP(E14,dagsoorttabel1,2,FALSE)</f>
        <v>0</v>
      </c>
      <c r="Q14" s="37">
        <f>N14*dagenperjaar1*VLOOKUP(E14,dagsoorttabel1,2,FALSE)</f>
        <v>0</v>
      </c>
      <c r="R14" s="37">
        <f>Q14/12</f>
        <v>0</v>
      </c>
    </row>
    <row r="15" spans="1:18" x14ac:dyDescent="0.2">
      <c r="A15" s="20" t="s">
        <v>1784</v>
      </c>
      <c r="B15" s="20" t="s">
        <v>2874</v>
      </c>
      <c r="C15" s="20" t="s">
        <v>2875</v>
      </c>
      <c r="D15" s="20" t="s">
        <v>2854</v>
      </c>
      <c r="E15" s="89" t="s">
        <v>10</v>
      </c>
      <c r="F15" s="90">
        <f>gemuurtarief1</f>
        <v>0</v>
      </c>
      <c r="G15" s="34">
        <f>SUMPRODUCT(taakfreqtabel1,uurfactortabel1,kengetaltabel1,object10_opptabel1)*(1/VLOOKUP(E15,dagsoorttabel1,2,FALSE))</f>
        <v>0</v>
      </c>
      <c r="H15" s="34">
        <f>SUMPRODUCT(dagwerktabel1,taakfreqtabel1,uurfactortabel1,kengetaltabel1,object10_opptabel1)*(1/VLOOKUP(E15,dagsoorttabel1,2,FALSE))</f>
        <v>0</v>
      </c>
      <c r="I15" s="91"/>
      <c r="J15" s="34">
        <f>H15+I15</f>
        <v>0</v>
      </c>
      <c r="K15" s="34">
        <f>G15+I15</f>
        <v>0</v>
      </c>
      <c r="L15" s="37">
        <f>SUMPRODUCT(taakfreqtabel1,kengetaltabel1,tarieftabel1,object10_opptabel1)*(1/VLOOKUP(E15,dagsoorttabel1,2,FALSE))</f>
        <v>0</v>
      </c>
      <c r="M15" s="37">
        <f>F15*I15</f>
        <v>0</v>
      </c>
      <c r="N15" s="37">
        <f>SUM(L15:M15)</f>
        <v>0</v>
      </c>
      <c r="O15" s="34">
        <f>J15*dagenperjaar1*VLOOKUP(E15,dagsoorttabel1,2,FALSE)</f>
        <v>0</v>
      </c>
      <c r="P15" s="34">
        <f>K15*dagenperjaar1*VLOOKUP(E15,dagsoorttabel1,2,FALSE)</f>
        <v>0</v>
      </c>
      <c r="Q15" s="37">
        <f>N15*dagenperjaar1*VLOOKUP(E15,dagsoorttabel1,2,FALSE)</f>
        <v>0</v>
      </c>
      <c r="R15" s="37">
        <f>Q15/12</f>
        <v>0</v>
      </c>
    </row>
    <row r="16" spans="1:18" x14ac:dyDescent="0.2">
      <c r="A16" s="20" t="s">
        <v>1840</v>
      </c>
      <c r="B16" s="20" t="s">
        <v>2876</v>
      </c>
      <c r="C16" s="20" t="s">
        <v>2877</v>
      </c>
      <c r="D16" s="20" t="s">
        <v>2854</v>
      </c>
      <c r="E16" s="89" t="s">
        <v>10</v>
      </c>
      <c r="F16" s="90">
        <f>gemuurtarief1</f>
        <v>0</v>
      </c>
      <c r="G16" s="34">
        <f>SUMPRODUCT(taakfreqtabel1,uurfactortabel1,kengetaltabel1,object11_opptabel1)*(1/VLOOKUP(E16,dagsoorttabel1,2,FALSE))</f>
        <v>0</v>
      </c>
      <c r="H16" s="34">
        <f>SUMPRODUCT(dagwerktabel1,taakfreqtabel1,uurfactortabel1,kengetaltabel1,object11_opptabel1)*(1/VLOOKUP(E16,dagsoorttabel1,2,FALSE))</f>
        <v>0</v>
      </c>
      <c r="I16" s="91"/>
      <c r="J16" s="34">
        <f>H16+I16</f>
        <v>0</v>
      </c>
      <c r="K16" s="34">
        <f>G16+I16</f>
        <v>0</v>
      </c>
      <c r="L16" s="37">
        <f>SUMPRODUCT(taakfreqtabel1,kengetaltabel1,tarieftabel1,object11_opptabel1)*(1/VLOOKUP(E16,dagsoorttabel1,2,FALSE))</f>
        <v>0</v>
      </c>
      <c r="M16" s="37">
        <f>F16*I16</f>
        <v>0</v>
      </c>
      <c r="N16" s="37">
        <f>SUM(L16:M16)</f>
        <v>0</v>
      </c>
      <c r="O16" s="34">
        <f>J16*dagenperjaar1*VLOOKUP(E16,dagsoorttabel1,2,FALSE)</f>
        <v>0</v>
      </c>
      <c r="P16" s="34">
        <f>K16*dagenperjaar1*VLOOKUP(E16,dagsoorttabel1,2,FALSE)</f>
        <v>0</v>
      </c>
      <c r="Q16" s="37">
        <f>N16*dagenperjaar1*VLOOKUP(E16,dagsoorttabel1,2,FALSE)</f>
        <v>0</v>
      </c>
      <c r="R16" s="37">
        <f>Q16/12</f>
        <v>0</v>
      </c>
    </row>
    <row r="17" spans="1:18" x14ac:dyDescent="0.2">
      <c r="A17" s="20" t="s">
        <v>1850</v>
      </c>
      <c r="B17" s="20" t="s">
        <v>2878</v>
      </c>
      <c r="C17" s="20" t="s">
        <v>2879</v>
      </c>
      <c r="D17" s="20" t="s">
        <v>2880</v>
      </c>
      <c r="E17" s="89" t="s">
        <v>10</v>
      </c>
      <c r="F17" s="90">
        <f>gemuurtarief1</f>
        <v>0</v>
      </c>
      <c r="G17" s="34">
        <f>SUMPRODUCT(taakfreqtabel1,uurfactortabel1,kengetaltabel1,object12_opptabel1)*(1/VLOOKUP(E17,dagsoorttabel1,2,FALSE))</f>
        <v>0</v>
      </c>
      <c r="H17" s="34">
        <f>SUMPRODUCT(dagwerktabel1,taakfreqtabel1,uurfactortabel1,kengetaltabel1,object12_opptabel1)*(1/VLOOKUP(E17,dagsoorttabel1,2,FALSE))</f>
        <v>0</v>
      </c>
      <c r="I17" s="91"/>
      <c r="J17" s="34">
        <f>H17+I17</f>
        <v>0</v>
      </c>
      <c r="K17" s="34">
        <f>G17+I17</f>
        <v>0</v>
      </c>
      <c r="L17" s="37">
        <f>SUMPRODUCT(taakfreqtabel1,kengetaltabel1,tarieftabel1,object12_opptabel1)*(1/VLOOKUP(E17,dagsoorttabel1,2,FALSE))</f>
        <v>0</v>
      </c>
      <c r="M17" s="37">
        <f>F17*I17</f>
        <v>0</v>
      </c>
      <c r="N17" s="37">
        <f>SUM(L17:M17)</f>
        <v>0</v>
      </c>
      <c r="O17" s="34">
        <f>J17*dagenperjaar1*VLOOKUP(E17,dagsoorttabel1,2,FALSE)</f>
        <v>0</v>
      </c>
      <c r="P17" s="34">
        <f>K17*dagenperjaar1*VLOOKUP(E17,dagsoorttabel1,2,FALSE)</f>
        <v>0</v>
      </c>
      <c r="Q17" s="37">
        <f>N17*dagenperjaar1*VLOOKUP(E17,dagsoorttabel1,2,FALSE)</f>
        <v>0</v>
      </c>
      <c r="R17" s="37">
        <f>Q17/12</f>
        <v>0</v>
      </c>
    </row>
    <row r="18" spans="1:18" x14ac:dyDescent="0.2">
      <c r="A18" s="20" t="s">
        <v>2001</v>
      </c>
      <c r="B18" s="20" t="s">
        <v>2881</v>
      </c>
      <c r="C18" s="20" t="s">
        <v>2882</v>
      </c>
      <c r="D18" s="20" t="s">
        <v>2854</v>
      </c>
      <c r="E18" s="89" t="s">
        <v>10</v>
      </c>
      <c r="F18" s="90">
        <f>gemuurtarief1</f>
        <v>0</v>
      </c>
      <c r="G18" s="34">
        <f>SUMPRODUCT(taakfreqtabel1,uurfactortabel1,kengetaltabel1,object13_opptabel1)*(1/VLOOKUP(E18,dagsoorttabel1,2,FALSE))</f>
        <v>0</v>
      </c>
      <c r="H18" s="34">
        <f>SUMPRODUCT(dagwerktabel1,taakfreqtabel1,uurfactortabel1,kengetaltabel1,object13_opptabel1)*(1/VLOOKUP(E18,dagsoorttabel1,2,FALSE))</f>
        <v>0</v>
      </c>
      <c r="I18" s="91"/>
      <c r="J18" s="34">
        <f>H18+I18</f>
        <v>0</v>
      </c>
      <c r="K18" s="34">
        <f>G18+I18</f>
        <v>0</v>
      </c>
      <c r="L18" s="37">
        <f>SUMPRODUCT(taakfreqtabel1,kengetaltabel1,tarieftabel1,object13_opptabel1)*(1/VLOOKUP(E18,dagsoorttabel1,2,FALSE))</f>
        <v>0</v>
      </c>
      <c r="M18" s="37">
        <f>F18*I18</f>
        <v>0</v>
      </c>
      <c r="N18" s="37">
        <f>SUM(L18:M18)</f>
        <v>0</v>
      </c>
      <c r="O18" s="34">
        <f>J18*dagenperjaar1*VLOOKUP(E18,dagsoorttabel1,2,FALSE)</f>
        <v>0</v>
      </c>
      <c r="P18" s="34">
        <f>K18*dagenperjaar1*VLOOKUP(E18,dagsoorttabel1,2,FALSE)</f>
        <v>0</v>
      </c>
      <c r="Q18" s="37">
        <f>N18*dagenperjaar1*VLOOKUP(E18,dagsoorttabel1,2,FALSE)</f>
        <v>0</v>
      </c>
      <c r="R18" s="37">
        <f>Q18/12</f>
        <v>0</v>
      </c>
    </row>
    <row r="19" spans="1:18" x14ac:dyDescent="0.2">
      <c r="A19" s="20" t="s">
        <v>2007</v>
      </c>
      <c r="B19" s="20" t="s">
        <v>2883</v>
      </c>
      <c r="C19" s="20" t="s">
        <v>2884</v>
      </c>
      <c r="D19" s="20" t="s">
        <v>2854</v>
      </c>
      <c r="E19" s="89" t="s">
        <v>10</v>
      </c>
      <c r="F19" s="90">
        <f>gemuurtarief1</f>
        <v>0</v>
      </c>
      <c r="G19" s="34">
        <f>SUMPRODUCT(taakfreqtabel1,uurfactortabel1,kengetaltabel1,object14_opptabel1)*(1/VLOOKUP(E19,dagsoorttabel1,2,FALSE))</f>
        <v>0</v>
      </c>
      <c r="H19" s="34">
        <f>SUMPRODUCT(dagwerktabel1,taakfreqtabel1,uurfactortabel1,kengetaltabel1,object14_opptabel1)*(1/VLOOKUP(E19,dagsoorttabel1,2,FALSE))</f>
        <v>0</v>
      </c>
      <c r="I19" s="91"/>
      <c r="J19" s="34">
        <f>H19+I19</f>
        <v>0</v>
      </c>
      <c r="K19" s="34">
        <f>G19+I19</f>
        <v>0</v>
      </c>
      <c r="L19" s="37">
        <f>SUMPRODUCT(taakfreqtabel1,kengetaltabel1,tarieftabel1,object14_opptabel1)*(1/VLOOKUP(E19,dagsoorttabel1,2,FALSE))</f>
        <v>0</v>
      </c>
      <c r="M19" s="37">
        <f>F19*I19</f>
        <v>0</v>
      </c>
      <c r="N19" s="37">
        <f>SUM(L19:M19)</f>
        <v>0</v>
      </c>
      <c r="O19" s="34">
        <f>J19*dagenperjaar1*VLOOKUP(E19,dagsoorttabel1,2,FALSE)</f>
        <v>0</v>
      </c>
      <c r="P19" s="34">
        <f>K19*dagenperjaar1*VLOOKUP(E19,dagsoorttabel1,2,FALSE)</f>
        <v>0</v>
      </c>
      <c r="Q19" s="37">
        <f>N19*dagenperjaar1*VLOOKUP(E19,dagsoorttabel1,2,FALSE)</f>
        <v>0</v>
      </c>
      <c r="R19" s="37">
        <f>Q19/12</f>
        <v>0</v>
      </c>
    </row>
    <row r="20" spans="1:18" x14ac:dyDescent="0.2">
      <c r="A20" s="20" t="s">
        <v>2059</v>
      </c>
      <c r="B20" s="20" t="s">
        <v>2885</v>
      </c>
      <c r="C20" s="20" t="s">
        <v>2886</v>
      </c>
      <c r="D20" s="20" t="s">
        <v>2854</v>
      </c>
      <c r="E20" s="89" t="s">
        <v>10</v>
      </c>
      <c r="F20" s="90">
        <f>gemuurtarief1</f>
        <v>0</v>
      </c>
      <c r="G20" s="34">
        <f>SUMPRODUCT(taakfreqtabel1,uurfactortabel1,kengetaltabel1,object15_opptabel1)*(1/VLOOKUP(E20,dagsoorttabel1,2,FALSE))</f>
        <v>0</v>
      </c>
      <c r="H20" s="34">
        <f>SUMPRODUCT(dagwerktabel1,taakfreqtabel1,uurfactortabel1,kengetaltabel1,object15_opptabel1)*(1/VLOOKUP(E20,dagsoorttabel1,2,FALSE))</f>
        <v>0</v>
      </c>
      <c r="I20" s="91"/>
      <c r="J20" s="34">
        <f>H20+I20</f>
        <v>0</v>
      </c>
      <c r="K20" s="34">
        <f>G20+I20</f>
        <v>0</v>
      </c>
      <c r="L20" s="37">
        <f>SUMPRODUCT(taakfreqtabel1,kengetaltabel1,tarieftabel1,object15_opptabel1)*(1/VLOOKUP(E20,dagsoorttabel1,2,FALSE))</f>
        <v>0</v>
      </c>
      <c r="M20" s="37">
        <f>F20*I20</f>
        <v>0</v>
      </c>
      <c r="N20" s="37">
        <f>SUM(L20:M20)</f>
        <v>0</v>
      </c>
      <c r="O20" s="34">
        <f>J20*dagenperjaar1*VLOOKUP(E20,dagsoorttabel1,2,FALSE)</f>
        <v>0</v>
      </c>
      <c r="P20" s="34">
        <f>K20*dagenperjaar1*VLOOKUP(E20,dagsoorttabel1,2,FALSE)</f>
        <v>0</v>
      </c>
      <c r="Q20" s="37">
        <f>N20*dagenperjaar1*VLOOKUP(E20,dagsoorttabel1,2,FALSE)</f>
        <v>0</v>
      </c>
      <c r="R20" s="37">
        <f>Q20/12</f>
        <v>0</v>
      </c>
    </row>
    <row r="21" spans="1:18" x14ac:dyDescent="0.2">
      <c r="A21" s="20" t="s">
        <v>2099</v>
      </c>
      <c r="B21" s="20" t="s">
        <v>2887</v>
      </c>
      <c r="C21" s="20" t="s">
        <v>2888</v>
      </c>
      <c r="D21" s="20" t="s">
        <v>2854</v>
      </c>
      <c r="E21" s="89" t="s">
        <v>10</v>
      </c>
      <c r="F21" s="90">
        <f>gemuurtarief1</f>
        <v>0</v>
      </c>
      <c r="G21" s="34">
        <f>SUMPRODUCT(taakfreqtabel1,uurfactortabel1,kengetaltabel1,object16_opptabel1)*(1/VLOOKUP(E21,dagsoorttabel1,2,FALSE))</f>
        <v>0</v>
      </c>
      <c r="H21" s="34">
        <f>SUMPRODUCT(dagwerktabel1,taakfreqtabel1,uurfactortabel1,kengetaltabel1,object16_opptabel1)*(1/VLOOKUP(E21,dagsoorttabel1,2,FALSE))</f>
        <v>0</v>
      </c>
      <c r="I21" s="91"/>
      <c r="J21" s="34">
        <f>H21+I21</f>
        <v>0</v>
      </c>
      <c r="K21" s="34">
        <f>G21+I21</f>
        <v>0</v>
      </c>
      <c r="L21" s="37">
        <f>SUMPRODUCT(taakfreqtabel1,kengetaltabel1,tarieftabel1,object16_opptabel1)*(1/VLOOKUP(E21,dagsoorttabel1,2,FALSE))</f>
        <v>0</v>
      </c>
      <c r="M21" s="37">
        <f>F21*I21</f>
        <v>0</v>
      </c>
      <c r="N21" s="37">
        <f>SUM(L21:M21)</f>
        <v>0</v>
      </c>
      <c r="O21" s="34">
        <f>J21*dagenperjaar1*VLOOKUP(E21,dagsoorttabel1,2,FALSE)</f>
        <v>0</v>
      </c>
      <c r="P21" s="34">
        <f>K21*dagenperjaar1*VLOOKUP(E21,dagsoorttabel1,2,FALSE)</f>
        <v>0</v>
      </c>
      <c r="Q21" s="37">
        <f>N21*dagenperjaar1*VLOOKUP(E21,dagsoorttabel1,2,FALSE)</f>
        <v>0</v>
      </c>
      <c r="R21" s="37">
        <f>Q21/12</f>
        <v>0</v>
      </c>
    </row>
    <row r="22" spans="1:18" x14ac:dyDescent="0.2">
      <c r="A22" s="25" t="s">
        <v>2504</v>
      </c>
      <c r="B22" s="25" t="s">
        <v>2889</v>
      </c>
      <c r="C22" s="25" t="s">
        <v>2890</v>
      </c>
      <c r="D22" s="25" t="s">
        <v>2854</v>
      </c>
      <c r="E22" s="92" t="s">
        <v>10</v>
      </c>
      <c r="F22" s="93">
        <f>gemuurtarief1</f>
        <v>0</v>
      </c>
      <c r="G22" s="39">
        <f>SUMPRODUCT(taakfreqtabel1,uurfactortabel1,kengetaltabel1,object17_opptabel1)*(1/VLOOKUP(E22,dagsoorttabel1,2,FALSE))</f>
        <v>0</v>
      </c>
      <c r="H22" s="39">
        <f>SUMPRODUCT(dagwerktabel1,taakfreqtabel1,uurfactortabel1,kengetaltabel1,object17_opptabel1)*(1/VLOOKUP(E22,dagsoorttabel1,2,FALSE))</f>
        <v>0</v>
      </c>
      <c r="I22" s="94"/>
      <c r="J22" s="39">
        <f>H22+I22</f>
        <v>0</v>
      </c>
      <c r="K22" s="39">
        <f>G22+I22</f>
        <v>0</v>
      </c>
      <c r="L22" s="41">
        <f>SUMPRODUCT(taakfreqtabel1,kengetaltabel1,tarieftabel1,object17_opptabel1)*(1/VLOOKUP(E22,dagsoorttabel1,2,FALSE))</f>
        <v>0</v>
      </c>
      <c r="M22" s="41">
        <f>F22*I22</f>
        <v>0</v>
      </c>
      <c r="N22" s="41">
        <f>SUM(L22:M22)</f>
        <v>0</v>
      </c>
      <c r="O22" s="39">
        <f>J22*dagenperjaar1*VLOOKUP(E22,dagsoorttabel1,2,FALSE)</f>
        <v>0</v>
      </c>
      <c r="P22" s="39">
        <f>K22*dagenperjaar1*VLOOKUP(E22,dagsoorttabel1,2,FALSE)</f>
        <v>0</v>
      </c>
      <c r="Q22" s="41">
        <f>N22*dagenperjaar1*VLOOKUP(E22,dagsoorttabel1,2,FALSE)</f>
        <v>0</v>
      </c>
      <c r="R22" s="41">
        <f>Q22/12</f>
        <v>0</v>
      </c>
    </row>
    <row r="23" spans="1:18" x14ac:dyDescent="0.2">
      <c r="A23" s="43" t="s">
        <v>300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5">
        <f>SUM(O6:O22)</f>
        <v>0</v>
      </c>
      <c r="P23" s="45">
        <f>SUM(P6:P22)</f>
        <v>600</v>
      </c>
      <c r="Q23" s="46">
        <f>SUM(Q6:Q22)</f>
        <v>0</v>
      </c>
      <c r="R23" s="47">
        <f>SUM(R6:R22)</f>
        <v>0</v>
      </c>
    </row>
    <row r="24" spans="1:18" x14ac:dyDescent="0.2">
      <c r="A24" s="48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9"/>
    </row>
    <row r="25" spans="1:18" x14ac:dyDescent="0.2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1"/>
    </row>
    <row r="26" spans="1:18" x14ac:dyDescent="0.2">
      <c r="A26" s="12" t="s">
        <v>183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4"/>
    </row>
    <row r="27" spans="1:18" x14ac:dyDescent="0.2">
      <c r="A27" s="15" t="s">
        <v>472</v>
      </c>
      <c r="B27" s="15" t="s">
        <v>2855</v>
      </c>
      <c r="C27" s="15" t="s">
        <v>2856</v>
      </c>
      <c r="D27" s="15" t="s">
        <v>2854</v>
      </c>
      <c r="E27" s="86" t="s">
        <v>21</v>
      </c>
      <c r="F27" s="87">
        <f>gemuurtarief3</f>
        <v>0</v>
      </c>
      <c r="G27" s="30">
        <f>SUMPRODUCT(taakfreqtabel3,uurfactortabel3,kengetaltabel3,object2_opptabel3)*(1/VLOOKUP(E27,dagsoorttabel1,2,FALSE))</f>
        <v>0</v>
      </c>
      <c r="H27" s="30">
        <f>SUMPRODUCT(dagwerktabel3,taakfreqtabel3,uurfactortabel3,kengetaltabel3,object2_opptabel3)*(1/VLOOKUP(E27,dagsoorttabel1,2,FALSE))</f>
        <v>0</v>
      </c>
      <c r="I27" s="88"/>
      <c r="J27" s="30">
        <f>H27+I27</f>
        <v>0</v>
      </c>
      <c r="K27" s="30">
        <f>G27+I27</f>
        <v>0</v>
      </c>
      <c r="L27" s="33">
        <f>SUMPRODUCT(taakfreqtabel3,kengetaltabel3,tarieftabel3,object2_opptabel3)*(1/VLOOKUP(E27,dagsoorttabel1,2,FALSE))</f>
        <v>0</v>
      </c>
      <c r="M27" s="33">
        <f>F27*I27</f>
        <v>0</v>
      </c>
      <c r="N27" s="33">
        <f>SUM(L27:M27)</f>
        <v>0</v>
      </c>
      <c r="O27" s="30">
        <f>J27*dagenperjaar1*VLOOKUP(E27,dagsoorttabel1,2,FALSE)</f>
        <v>0</v>
      </c>
      <c r="P27" s="30">
        <f>K27*dagenperjaar1*VLOOKUP(E27,dagsoorttabel1,2,FALSE)</f>
        <v>0</v>
      </c>
      <c r="Q27" s="33">
        <f>N27*dagenperjaar1*VLOOKUP(E27,dagsoorttabel1,2,FALSE)</f>
        <v>0</v>
      </c>
      <c r="R27" s="33">
        <f>Q27/12</f>
        <v>0</v>
      </c>
    </row>
    <row r="28" spans="1:18" x14ac:dyDescent="0.2">
      <c r="A28" s="20" t="s">
        <v>774</v>
      </c>
      <c r="B28" s="20" t="s">
        <v>2859</v>
      </c>
      <c r="C28" s="20" t="s">
        <v>2860</v>
      </c>
      <c r="D28" s="20" t="s">
        <v>2854</v>
      </c>
      <c r="E28" s="89" t="s">
        <v>9</v>
      </c>
      <c r="F28" s="90">
        <f>gemuurtarief3</f>
        <v>0</v>
      </c>
      <c r="G28" s="34">
        <f>SUMPRODUCT(taakfreqtabel3,uurfactortabel3,kengetaltabel3,object4_opptabel3)*(1/VLOOKUP(E28,dagsoorttabel1,2,FALSE))</f>
        <v>0</v>
      </c>
      <c r="H28" s="34">
        <f>SUMPRODUCT(dagwerktabel3,taakfreqtabel3,uurfactortabel3,kengetaltabel3,object4_opptabel3)*(1/VLOOKUP(E28,dagsoorttabel1,2,FALSE))</f>
        <v>0</v>
      </c>
      <c r="I28" s="91"/>
      <c r="J28" s="34">
        <f>H28+I28</f>
        <v>0</v>
      </c>
      <c r="K28" s="34">
        <f>G28+I28</f>
        <v>0</v>
      </c>
      <c r="L28" s="37">
        <f>SUMPRODUCT(taakfreqtabel3,kengetaltabel3,tarieftabel3,object4_opptabel3)*(1/VLOOKUP(E28,dagsoorttabel1,2,FALSE))</f>
        <v>0</v>
      </c>
      <c r="M28" s="37">
        <f>F28*I28</f>
        <v>0</v>
      </c>
      <c r="N28" s="37">
        <f>SUM(L28:M28)</f>
        <v>0</v>
      </c>
      <c r="O28" s="34">
        <f>J28*dagenperjaar1*VLOOKUP(E28,dagsoorttabel1,2,FALSE)</f>
        <v>0</v>
      </c>
      <c r="P28" s="34">
        <f>K28*dagenperjaar1*VLOOKUP(E28,dagsoorttabel1,2,FALSE)</f>
        <v>0</v>
      </c>
      <c r="Q28" s="37">
        <f>N28*dagenperjaar1*VLOOKUP(E28,dagsoorttabel1,2,FALSE)</f>
        <v>0</v>
      </c>
      <c r="R28" s="37">
        <f>Q28/12</f>
        <v>0</v>
      </c>
    </row>
    <row r="29" spans="1:18" x14ac:dyDescent="0.2">
      <c r="A29" s="25" t="s">
        <v>2099</v>
      </c>
      <c r="B29" s="25" t="s">
        <v>2887</v>
      </c>
      <c r="C29" s="25" t="s">
        <v>2888</v>
      </c>
      <c r="D29" s="25" t="s">
        <v>2854</v>
      </c>
      <c r="E29" s="92" t="s">
        <v>21</v>
      </c>
      <c r="F29" s="93">
        <f>gemuurtarief3</f>
        <v>0</v>
      </c>
      <c r="G29" s="39">
        <f>SUMPRODUCT(taakfreqtabel3,uurfactortabel3,kengetaltabel3,object16_opptabel3)*(1/VLOOKUP(E29,dagsoorttabel1,2,FALSE))</f>
        <v>0</v>
      </c>
      <c r="H29" s="39">
        <f>SUMPRODUCT(dagwerktabel3,taakfreqtabel3,uurfactortabel3,kengetaltabel3,object16_opptabel3)*(1/VLOOKUP(E29,dagsoorttabel1,2,FALSE))</f>
        <v>0</v>
      </c>
      <c r="I29" s="94"/>
      <c r="J29" s="39">
        <f>H29+I29</f>
        <v>0</v>
      </c>
      <c r="K29" s="39">
        <f>G29+I29</f>
        <v>0</v>
      </c>
      <c r="L29" s="41">
        <f>SUMPRODUCT(taakfreqtabel3,kengetaltabel3,tarieftabel3,object16_opptabel3)*(1/VLOOKUP(E29,dagsoorttabel1,2,FALSE))</f>
        <v>0</v>
      </c>
      <c r="M29" s="41">
        <f>F29*I29</f>
        <v>0</v>
      </c>
      <c r="N29" s="41">
        <f>SUM(L29:M29)</f>
        <v>0</v>
      </c>
      <c r="O29" s="39">
        <f>J29*dagenperjaar1*VLOOKUP(E29,dagsoorttabel1,2,FALSE)</f>
        <v>0</v>
      </c>
      <c r="P29" s="39">
        <f>K29*dagenperjaar1*VLOOKUP(E29,dagsoorttabel1,2,FALSE)</f>
        <v>0</v>
      </c>
      <c r="Q29" s="41">
        <f>N29*dagenperjaar1*VLOOKUP(E29,dagsoorttabel1,2,FALSE)</f>
        <v>0</v>
      </c>
      <c r="R29" s="41">
        <f>Q29/12</f>
        <v>0</v>
      </c>
    </row>
    <row r="30" spans="1:18" x14ac:dyDescent="0.2">
      <c r="A30" s="43" t="s">
        <v>310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5">
        <f>SUM(O27:O29)</f>
        <v>0</v>
      </c>
      <c r="P30" s="45">
        <f>SUM(P27:P29)</f>
        <v>0</v>
      </c>
      <c r="Q30" s="46">
        <f>SUM(Q27:Q29)</f>
        <v>0</v>
      </c>
      <c r="R30" s="47">
        <f>SUM(R27:R29)</f>
        <v>0</v>
      </c>
    </row>
    <row r="31" spans="1:18" x14ac:dyDescent="0.2">
      <c r="A31" s="48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9"/>
    </row>
    <row r="33" spans="1:18" x14ac:dyDescent="0.2">
      <c r="A33" s="43" t="s">
        <v>2891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5">
        <f>urenjaartotaalhf1+urenjaartotaalhf3</f>
        <v>0</v>
      </c>
      <c r="P33" s="45">
        <f>urenjaartotaal1+urenjaartotaal3</f>
        <v>600</v>
      </c>
      <c r="Q33" s="46">
        <f>prijsjaartotaal1+prijsjaartotaal3</f>
        <v>0</v>
      </c>
      <c r="R33" s="46">
        <f>prijsmaandtotaal1+prijsmaandtotaal3</f>
        <v>0</v>
      </c>
    </row>
    <row r="35" spans="1:18" x14ac:dyDescent="0.2">
      <c r="A35" s="43" t="s">
        <v>2892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6">
        <f>Q33*1.21</f>
        <v>0</v>
      </c>
      <c r="R35" s="46">
        <f>R33*1.21</f>
        <v>0</v>
      </c>
    </row>
  </sheetData>
  <pageMargins left="0.7" right="0.7" top="0.75" bottom="0.75" header="0.3" footer="0.3"/>
  <pageSetup paperSize="9" scale="65" orientation="landscape" r:id="rId1"/>
  <headerFooter>
    <oddFooter>&amp;LNUOVO Scholengroep EA 2023                                  &amp;ROpmaakdatum: 21-07-2023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FA93C-C17F-4390-9C6C-9F0CC19C8857}">
  <dimension ref="A1:K19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I.6: ",tabeltype," niet-meewerkende objectleiding")</f>
        <v>Bijlage I.6: Invultabel niet-meewerkende objectleiding</v>
      </c>
    </row>
    <row r="3" spans="1:11" ht="38.25" x14ac:dyDescent="0.2">
      <c r="A3" s="8" t="s">
        <v>2893</v>
      </c>
      <c r="B3" s="8" t="s">
        <v>7</v>
      </c>
      <c r="C3" s="8" t="s">
        <v>2894</v>
      </c>
      <c r="D3" s="8" t="s">
        <v>2895</v>
      </c>
      <c r="E3" s="8" t="s">
        <v>2896</v>
      </c>
      <c r="F3" s="8" t="s">
        <v>2897</v>
      </c>
      <c r="G3" s="8" t="s">
        <v>2898</v>
      </c>
      <c r="H3" s="8" t="s">
        <v>198</v>
      </c>
      <c r="I3" s="8" t="s">
        <v>2899</v>
      </c>
      <c r="J3" s="8" t="s">
        <v>2900</v>
      </c>
      <c r="K3" s="8" t="s">
        <v>2901</v>
      </c>
    </row>
    <row r="4" spans="1:11" x14ac:dyDescent="0.2">
      <c r="A4" s="95"/>
      <c r="B4" s="96"/>
      <c r="C4" s="96"/>
      <c r="D4" s="96"/>
      <c r="E4" s="96"/>
      <c r="F4" s="96"/>
      <c r="G4" s="96"/>
      <c r="H4" s="96"/>
      <c r="I4" s="96"/>
      <c r="J4" s="96"/>
      <c r="K4" s="97"/>
    </row>
    <row r="5" spans="1:11" x14ac:dyDescent="0.2">
      <c r="A5" s="12" t="s">
        <v>34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98" t="s">
        <v>322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2902</v>
      </c>
      <c r="B8" s="15" t="s">
        <v>10</v>
      </c>
      <c r="C8" s="16">
        <f>IF(ISBLANK(B8),0,IF(ISERROR(VALUE(B8)),VLOOKUP(B8,dagsoorttabel1,2,FALSE)*dagenperjaar1,VALUE(B8)))</f>
        <v>200</v>
      </c>
      <c r="D8" s="15" t="s">
        <v>2903</v>
      </c>
      <c r="E8" s="19"/>
      <c r="F8" s="18"/>
      <c r="G8" s="99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2">
      <c r="A9" s="20"/>
      <c r="B9" s="20"/>
      <c r="C9" s="100">
        <f>dagenperjaar1</f>
        <v>200</v>
      </c>
      <c r="D9" s="101" t="s">
        <v>2904</v>
      </c>
      <c r="E9" s="24"/>
      <c r="F9" s="23"/>
      <c r="G9" s="102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100">
        <f>dagenperjaar1</f>
        <v>200</v>
      </c>
      <c r="D10" s="101" t="s">
        <v>2904</v>
      </c>
      <c r="E10" s="24"/>
      <c r="F10" s="23"/>
      <c r="G10" s="102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0"/>
      <c r="B11" s="20"/>
      <c r="C11" s="100">
        <f>dagenperjaar1</f>
        <v>200</v>
      </c>
      <c r="D11" s="101" t="s">
        <v>2905</v>
      </c>
      <c r="E11" s="24"/>
      <c r="F11" s="103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IF(ISBLANK(E11),0,ROUND(E11,2)*H11)</f>
        <v>0</v>
      </c>
      <c r="K11" s="37">
        <f>J11/12</f>
        <v>0</v>
      </c>
    </row>
    <row r="12" spans="1:11" x14ac:dyDescent="0.2">
      <c r="A12" s="25"/>
      <c r="B12" s="25"/>
      <c r="C12" s="104">
        <f>dagenperjaar1</f>
        <v>200</v>
      </c>
      <c r="D12" s="105" t="s">
        <v>2905</v>
      </c>
      <c r="E12" s="29"/>
      <c r="F12" s="106"/>
      <c r="G12" s="27"/>
      <c r="H12" s="39">
        <f>IF(ISBLANK(G12),0,G12*C12)+IF(ISBLANK(F12),0,F12*objecturen1_1)</f>
        <v>0</v>
      </c>
      <c r="I12" s="39">
        <f>IF(C12=0,0,H12/C12)</f>
        <v>0</v>
      </c>
      <c r="J12" s="41">
        <f>IF(ISBLANK(E12),0,ROUND(E12,2)*H12)</f>
        <v>0</v>
      </c>
      <c r="K12" s="41">
        <f>J12/12</f>
        <v>0</v>
      </c>
    </row>
    <row r="13" spans="1:11" x14ac:dyDescent="0.2">
      <c r="A13" s="107" t="s">
        <v>2906</v>
      </c>
      <c r="B13" s="44"/>
      <c r="C13" s="44"/>
      <c r="D13" s="44"/>
      <c r="E13" s="44"/>
      <c r="F13" s="44"/>
      <c r="G13" s="44"/>
      <c r="H13" s="45">
        <f>SUM(H8:H12)</f>
        <v>0</v>
      </c>
      <c r="I13" s="44"/>
      <c r="J13" s="46">
        <f>SUM(J8:J12)</f>
        <v>0</v>
      </c>
      <c r="K13" s="47">
        <f>SUM(K8:K12)</f>
        <v>0</v>
      </c>
    </row>
    <row r="14" spans="1:11" x14ac:dyDescent="0.2">
      <c r="A14" s="48"/>
      <c r="B14" s="44"/>
      <c r="C14" s="44"/>
      <c r="D14" s="44"/>
      <c r="E14" s="44"/>
      <c r="F14" s="44"/>
      <c r="G14" s="44"/>
      <c r="H14" s="44"/>
      <c r="I14" s="44"/>
      <c r="J14" s="44"/>
      <c r="K14" s="49"/>
    </row>
    <row r="15" spans="1:11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x14ac:dyDescent="0.2">
      <c r="A16" s="98" t="s">
        <v>603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2">
      <c r="A17" s="15" t="s">
        <v>2902</v>
      </c>
      <c r="B17" s="15" t="s">
        <v>10</v>
      </c>
      <c r="C17" s="16">
        <f>IF(ISBLANK(B17),0,IF(ISERROR(VALUE(B17)),VLOOKUP(B17,dagsoorttabel1,2,FALSE)*dagenperjaar1,VALUE(B17)))</f>
        <v>200</v>
      </c>
      <c r="D17" s="15" t="s">
        <v>2903</v>
      </c>
      <c r="E17" s="19"/>
      <c r="F17" s="18"/>
      <c r="G17" s="99"/>
      <c r="H17" s="30">
        <f>IF(ISBLANK(G17),0,G17*C17)+IF(ISBLANK(F17),0,F17*objecturen2_1)</f>
        <v>0</v>
      </c>
      <c r="I17" s="30">
        <f>IF(C17=0,0,H17/C17)</f>
        <v>0</v>
      </c>
      <c r="J17" s="33">
        <f>IF(ISBLANK(E17),0,ROUND(E17,2)*H17)</f>
        <v>0</v>
      </c>
      <c r="K17" s="33">
        <f>J17/12</f>
        <v>0</v>
      </c>
    </row>
    <row r="18" spans="1:11" x14ac:dyDescent="0.2">
      <c r="A18" s="20"/>
      <c r="B18" s="20"/>
      <c r="C18" s="100">
        <f>dagenperjaar1</f>
        <v>200</v>
      </c>
      <c r="D18" s="101" t="s">
        <v>2904</v>
      </c>
      <c r="E18" s="24"/>
      <c r="F18" s="23"/>
      <c r="G18" s="102"/>
      <c r="H18" s="34">
        <f>IF(ISBLANK(G18),0,G18*C18)+IF(ISBLANK(F18),0,F18*objecturen2_1)</f>
        <v>0</v>
      </c>
      <c r="I18" s="34">
        <f>IF(C18=0,0,H18/C18)</f>
        <v>0</v>
      </c>
      <c r="J18" s="37">
        <f>IF(ISBLANK(E18),0,ROUND(E18,2)*H18)</f>
        <v>0</v>
      </c>
      <c r="K18" s="37">
        <f>J18/12</f>
        <v>0</v>
      </c>
    </row>
    <row r="19" spans="1:11" x14ac:dyDescent="0.2">
      <c r="A19" s="20"/>
      <c r="B19" s="20"/>
      <c r="C19" s="100">
        <f>dagenperjaar1</f>
        <v>200</v>
      </c>
      <c r="D19" s="101" t="s">
        <v>2904</v>
      </c>
      <c r="E19" s="24"/>
      <c r="F19" s="23"/>
      <c r="G19" s="102"/>
      <c r="H19" s="34">
        <f>IF(ISBLANK(G19),0,G19*C19)+IF(ISBLANK(F19),0,F19*objecturen2_1)</f>
        <v>0</v>
      </c>
      <c r="I19" s="34">
        <f>IF(C19=0,0,H19/C19)</f>
        <v>0</v>
      </c>
      <c r="J19" s="37">
        <f>IF(ISBLANK(E19),0,ROUND(E19,2)*H19)</f>
        <v>0</v>
      </c>
      <c r="K19" s="37">
        <f>J19/12</f>
        <v>0</v>
      </c>
    </row>
    <row r="20" spans="1:11" x14ac:dyDescent="0.2">
      <c r="A20" s="20"/>
      <c r="B20" s="20"/>
      <c r="C20" s="100">
        <f>dagenperjaar1</f>
        <v>200</v>
      </c>
      <c r="D20" s="101" t="s">
        <v>2905</v>
      </c>
      <c r="E20" s="24"/>
      <c r="F20" s="103"/>
      <c r="G20" s="22"/>
      <c r="H20" s="34">
        <f>IF(ISBLANK(G20),0,G20*C20)+IF(ISBLANK(F20),0,F20*objecturen2_1)</f>
        <v>0</v>
      </c>
      <c r="I20" s="34">
        <f>IF(C20=0,0,H20/C20)</f>
        <v>0</v>
      </c>
      <c r="J20" s="37">
        <f>IF(ISBLANK(E20),0,ROUND(E20,2)*H20)</f>
        <v>0</v>
      </c>
      <c r="K20" s="37">
        <f>J20/12</f>
        <v>0</v>
      </c>
    </row>
    <row r="21" spans="1:11" x14ac:dyDescent="0.2">
      <c r="A21" s="25"/>
      <c r="B21" s="25"/>
      <c r="C21" s="104">
        <f>dagenperjaar1</f>
        <v>200</v>
      </c>
      <c r="D21" s="105" t="s">
        <v>2905</v>
      </c>
      <c r="E21" s="29"/>
      <c r="F21" s="106"/>
      <c r="G21" s="27"/>
      <c r="H21" s="39">
        <f>IF(ISBLANK(G21),0,G21*C21)+IF(ISBLANK(F21),0,F21*objecturen2_1)</f>
        <v>0</v>
      </c>
      <c r="I21" s="39">
        <f>IF(C21=0,0,H21/C21)</f>
        <v>0</v>
      </c>
      <c r="J21" s="41">
        <f>IF(ISBLANK(E21),0,ROUND(E21,2)*H21)</f>
        <v>0</v>
      </c>
      <c r="K21" s="41">
        <f>J21/12</f>
        <v>0</v>
      </c>
    </row>
    <row r="22" spans="1:11" x14ac:dyDescent="0.2">
      <c r="A22" s="107" t="s">
        <v>2907</v>
      </c>
      <c r="B22" s="44"/>
      <c r="C22" s="44"/>
      <c r="D22" s="44"/>
      <c r="E22" s="44"/>
      <c r="F22" s="44"/>
      <c r="G22" s="44"/>
      <c r="H22" s="45">
        <f>SUM(H17:H21)</f>
        <v>0</v>
      </c>
      <c r="I22" s="44"/>
      <c r="J22" s="46">
        <f>SUM(J17:J21)</f>
        <v>0</v>
      </c>
      <c r="K22" s="47">
        <f>SUM(K17:K21)</f>
        <v>0</v>
      </c>
    </row>
    <row r="23" spans="1:11" x14ac:dyDescent="0.2">
      <c r="A23" s="48"/>
      <c r="B23" s="44"/>
      <c r="C23" s="44"/>
      <c r="D23" s="44"/>
      <c r="E23" s="44"/>
      <c r="F23" s="44"/>
      <c r="G23" s="44"/>
      <c r="H23" s="44"/>
      <c r="I23" s="44"/>
      <c r="J23" s="44"/>
      <c r="K23" s="49"/>
    </row>
    <row r="24" spans="1:11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1"/>
    </row>
    <row r="25" spans="1:11" x14ac:dyDescent="0.2">
      <c r="A25" s="98" t="s">
        <v>849</v>
      </c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1" x14ac:dyDescent="0.2">
      <c r="A26" s="15" t="s">
        <v>2902</v>
      </c>
      <c r="B26" s="15" t="s">
        <v>10</v>
      </c>
      <c r="C26" s="16">
        <f>IF(ISBLANK(B26),0,IF(ISERROR(VALUE(B26)),VLOOKUP(B26,dagsoorttabel1,2,FALSE)*dagenperjaar1,VALUE(B26)))</f>
        <v>200</v>
      </c>
      <c r="D26" s="15" t="s">
        <v>2903</v>
      </c>
      <c r="E26" s="19"/>
      <c r="F26" s="18"/>
      <c r="G26" s="99"/>
      <c r="H26" s="30">
        <f>IF(ISBLANK(G26),0,G26*C26)+IF(ISBLANK(F26),0,F26*objecturen3_1)</f>
        <v>0</v>
      </c>
      <c r="I26" s="30">
        <f>IF(C26=0,0,H26/C26)</f>
        <v>0</v>
      </c>
      <c r="J26" s="33">
        <f>IF(ISBLANK(E26),0,ROUND(E26,2)*H26)</f>
        <v>0</v>
      </c>
      <c r="K26" s="33">
        <f>J26/12</f>
        <v>0</v>
      </c>
    </row>
    <row r="27" spans="1:11" x14ac:dyDescent="0.2">
      <c r="A27" s="20"/>
      <c r="B27" s="20"/>
      <c r="C27" s="100">
        <f>dagenperjaar1</f>
        <v>200</v>
      </c>
      <c r="D27" s="101" t="s">
        <v>2904</v>
      </c>
      <c r="E27" s="24"/>
      <c r="F27" s="23"/>
      <c r="G27" s="102"/>
      <c r="H27" s="34">
        <f>IF(ISBLANK(G27),0,G27*C27)+IF(ISBLANK(F27),0,F27*objecturen3_1)</f>
        <v>0</v>
      </c>
      <c r="I27" s="34">
        <f>IF(C27=0,0,H27/C27)</f>
        <v>0</v>
      </c>
      <c r="J27" s="37">
        <f>IF(ISBLANK(E27),0,ROUND(E27,2)*H27)</f>
        <v>0</v>
      </c>
      <c r="K27" s="37">
        <f>J27/12</f>
        <v>0</v>
      </c>
    </row>
    <row r="28" spans="1:11" x14ac:dyDescent="0.2">
      <c r="A28" s="20"/>
      <c r="B28" s="20"/>
      <c r="C28" s="100">
        <f>dagenperjaar1</f>
        <v>200</v>
      </c>
      <c r="D28" s="101" t="s">
        <v>2904</v>
      </c>
      <c r="E28" s="24"/>
      <c r="F28" s="23"/>
      <c r="G28" s="102"/>
      <c r="H28" s="34">
        <f>IF(ISBLANK(G28),0,G28*C28)+IF(ISBLANK(F28),0,F28*objecturen3_1)</f>
        <v>0</v>
      </c>
      <c r="I28" s="34">
        <f>IF(C28=0,0,H28/C28)</f>
        <v>0</v>
      </c>
      <c r="J28" s="37">
        <f>IF(ISBLANK(E28),0,ROUND(E28,2)*H28)</f>
        <v>0</v>
      </c>
      <c r="K28" s="37">
        <f>J28/12</f>
        <v>0</v>
      </c>
    </row>
    <row r="29" spans="1:11" x14ac:dyDescent="0.2">
      <c r="A29" s="20"/>
      <c r="B29" s="20"/>
      <c r="C29" s="100">
        <f>dagenperjaar1</f>
        <v>200</v>
      </c>
      <c r="D29" s="101" t="s">
        <v>2905</v>
      </c>
      <c r="E29" s="24"/>
      <c r="F29" s="103"/>
      <c r="G29" s="22"/>
      <c r="H29" s="34">
        <f>IF(ISBLANK(G29),0,G29*C29)+IF(ISBLANK(F29),0,F29*objecturen3_1)</f>
        <v>0</v>
      </c>
      <c r="I29" s="34">
        <f>IF(C29=0,0,H29/C29)</f>
        <v>0</v>
      </c>
      <c r="J29" s="37">
        <f>IF(ISBLANK(E29),0,ROUND(E29,2)*H29)</f>
        <v>0</v>
      </c>
      <c r="K29" s="37">
        <f>J29/12</f>
        <v>0</v>
      </c>
    </row>
    <row r="30" spans="1:11" x14ac:dyDescent="0.2">
      <c r="A30" s="25"/>
      <c r="B30" s="25"/>
      <c r="C30" s="104">
        <f>dagenperjaar1</f>
        <v>200</v>
      </c>
      <c r="D30" s="105" t="s">
        <v>2905</v>
      </c>
      <c r="E30" s="29"/>
      <c r="F30" s="106"/>
      <c r="G30" s="27"/>
      <c r="H30" s="39">
        <f>IF(ISBLANK(G30),0,G30*C30)+IF(ISBLANK(F30),0,F30*objecturen3_1)</f>
        <v>0</v>
      </c>
      <c r="I30" s="39">
        <f>IF(C30=0,0,H30/C30)</f>
        <v>0</v>
      </c>
      <c r="J30" s="41">
        <f>IF(ISBLANK(E30),0,ROUND(E30,2)*H30)</f>
        <v>0</v>
      </c>
      <c r="K30" s="41">
        <f>J30/12</f>
        <v>0</v>
      </c>
    </row>
    <row r="31" spans="1:11" x14ac:dyDescent="0.2">
      <c r="A31" s="107" t="s">
        <v>2908</v>
      </c>
      <c r="B31" s="44"/>
      <c r="C31" s="44"/>
      <c r="D31" s="44"/>
      <c r="E31" s="44"/>
      <c r="F31" s="44"/>
      <c r="G31" s="44"/>
      <c r="H31" s="45">
        <f>SUM(H26:H30)</f>
        <v>0</v>
      </c>
      <c r="I31" s="44"/>
      <c r="J31" s="46">
        <f>SUM(J26:J30)</f>
        <v>0</v>
      </c>
      <c r="K31" s="47">
        <f>SUM(K26:K30)</f>
        <v>0</v>
      </c>
    </row>
    <row r="32" spans="1:11" x14ac:dyDescent="0.2">
      <c r="A32" s="48"/>
      <c r="B32" s="44"/>
      <c r="C32" s="44"/>
      <c r="D32" s="44"/>
      <c r="E32" s="44"/>
      <c r="F32" s="44"/>
      <c r="G32" s="44"/>
      <c r="H32" s="44"/>
      <c r="I32" s="44"/>
      <c r="J32" s="44"/>
      <c r="K32" s="49"/>
    </row>
    <row r="33" spans="1:11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1:11" x14ac:dyDescent="0.2">
      <c r="A34" s="98" t="s">
        <v>990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1" x14ac:dyDescent="0.2">
      <c r="A35" s="15" t="s">
        <v>2902</v>
      </c>
      <c r="B35" s="15" t="s">
        <v>10</v>
      </c>
      <c r="C35" s="16">
        <f>IF(ISBLANK(B35),0,IF(ISERROR(VALUE(B35)),VLOOKUP(B35,dagsoorttabel1,2,FALSE)*dagenperjaar1,VALUE(B35)))</f>
        <v>200</v>
      </c>
      <c r="D35" s="15" t="s">
        <v>2903</v>
      </c>
      <c r="E35" s="19"/>
      <c r="F35" s="18"/>
      <c r="G35" s="99"/>
      <c r="H35" s="30">
        <f>IF(ISBLANK(G35),0,G35*C35)+IF(ISBLANK(F35),0,F35*objecturen4_1)</f>
        <v>0</v>
      </c>
      <c r="I35" s="30">
        <f>IF(C35=0,0,H35/C35)</f>
        <v>0</v>
      </c>
      <c r="J35" s="33">
        <f>IF(ISBLANK(E35),0,ROUND(E35,2)*H35)</f>
        <v>0</v>
      </c>
      <c r="K35" s="33">
        <f>J35/12</f>
        <v>0</v>
      </c>
    </row>
    <row r="36" spans="1:11" x14ac:dyDescent="0.2">
      <c r="A36" s="20"/>
      <c r="B36" s="20"/>
      <c r="C36" s="100">
        <f>dagenperjaar1</f>
        <v>200</v>
      </c>
      <c r="D36" s="101" t="s">
        <v>2904</v>
      </c>
      <c r="E36" s="24"/>
      <c r="F36" s="23"/>
      <c r="G36" s="102"/>
      <c r="H36" s="34">
        <f>IF(ISBLANK(G36),0,G36*C36)+IF(ISBLANK(F36),0,F36*objecturen4_1)</f>
        <v>0</v>
      </c>
      <c r="I36" s="34">
        <f>IF(C36=0,0,H36/C36)</f>
        <v>0</v>
      </c>
      <c r="J36" s="37">
        <f>IF(ISBLANK(E36),0,ROUND(E36,2)*H36)</f>
        <v>0</v>
      </c>
      <c r="K36" s="37">
        <f>J36/12</f>
        <v>0</v>
      </c>
    </row>
    <row r="37" spans="1:11" x14ac:dyDescent="0.2">
      <c r="A37" s="20"/>
      <c r="B37" s="20"/>
      <c r="C37" s="100">
        <f>dagenperjaar1</f>
        <v>200</v>
      </c>
      <c r="D37" s="101" t="s">
        <v>2904</v>
      </c>
      <c r="E37" s="24"/>
      <c r="F37" s="23"/>
      <c r="G37" s="102"/>
      <c r="H37" s="34">
        <f>IF(ISBLANK(G37),0,G37*C37)+IF(ISBLANK(F37),0,F37*objecturen4_1)</f>
        <v>0</v>
      </c>
      <c r="I37" s="34">
        <f>IF(C37=0,0,H37/C37)</f>
        <v>0</v>
      </c>
      <c r="J37" s="37">
        <f>IF(ISBLANK(E37),0,ROUND(E37,2)*H37)</f>
        <v>0</v>
      </c>
      <c r="K37" s="37">
        <f>J37/12</f>
        <v>0</v>
      </c>
    </row>
    <row r="38" spans="1:11" x14ac:dyDescent="0.2">
      <c r="A38" s="20"/>
      <c r="B38" s="20"/>
      <c r="C38" s="100">
        <f>dagenperjaar1</f>
        <v>200</v>
      </c>
      <c r="D38" s="101" t="s">
        <v>2905</v>
      </c>
      <c r="E38" s="24"/>
      <c r="F38" s="103"/>
      <c r="G38" s="22"/>
      <c r="H38" s="34">
        <f>IF(ISBLANK(G38),0,G38*C38)+IF(ISBLANK(F38),0,F38*objecturen4_1)</f>
        <v>0</v>
      </c>
      <c r="I38" s="34">
        <f>IF(C38=0,0,H38/C38)</f>
        <v>0</v>
      </c>
      <c r="J38" s="37">
        <f>IF(ISBLANK(E38),0,ROUND(E38,2)*H38)</f>
        <v>0</v>
      </c>
      <c r="K38" s="37">
        <f>J38/12</f>
        <v>0</v>
      </c>
    </row>
    <row r="39" spans="1:11" x14ac:dyDescent="0.2">
      <c r="A39" s="25"/>
      <c r="B39" s="25"/>
      <c r="C39" s="104">
        <f>dagenperjaar1</f>
        <v>200</v>
      </c>
      <c r="D39" s="105" t="s">
        <v>2905</v>
      </c>
      <c r="E39" s="29"/>
      <c r="F39" s="106"/>
      <c r="G39" s="27"/>
      <c r="H39" s="39">
        <f>IF(ISBLANK(G39),0,G39*C39)+IF(ISBLANK(F39),0,F39*objecturen4_1)</f>
        <v>0</v>
      </c>
      <c r="I39" s="39">
        <f>IF(C39=0,0,H39/C39)</f>
        <v>0</v>
      </c>
      <c r="J39" s="41">
        <f>IF(ISBLANK(E39),0,ROUND(E39,2)*H39)</f>
        <v>0</v>
      </c>
      <c r="K39" s="41">
        <f>J39/12</f>
        <v>0</v>
      </c>
    </row>
    <row r="40" spans="1:11" x14ac:dyDescent="0.2">
      <c r="A40" s="107" t="s">
        <v>2909</v>
      </c>
      <c r="B40" s="44"/>
      <c r="C40" s="44"/>
      <c r="D40" s="44"/>
      <c r="E40" s="44"/>
      <c r="F40" s="44"/>
      <c r="G40" s="44"/>
      <c r="H40" s="45">
        <f>SUM(H35:H39)</f>
        <v>0</v>
      </c>
      <c r="I40" s="44"/>
      <c r="J40" s="46">
        <f>SUM(J35:J39)</f>
        <v>0</v>
      </c>
      <c r="K40" s="47">
        <f>SUM(K35:K39)</f>
        <v>0</v>
      </c>
    </row>
    <row r="41" spans="1:11" x14ac:dyDescent="0.2">
      <c r="A41" s="48"/>
      <c r="B41" s="44"/>
      <c r="C41" s="44"/>
      <c r="D41" s="44"/>
      <c r="E41" s="44"/>
      <c r="F41" s="44"/>
      <c r="G41" s="44"/>
      <c r="H41" s="44"/>
      <c r="I41" s="44"/>
      <c r="J41" s="44"/>
      <c r="K41" s="49"/>
    </row>
    <row r="42" spans="1:11" x14ac:dyDescent="0.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1"/>
    </row>
    <row r="43" spans="1:11" x14ac:dyDescent="0.2">
      <c r="A43" s="98" t="s">
        <v>1298</v>
      </c>
      <c r="B43" s="13"/>
      <c r="C43" s="13"/>
      <c r="D43" s="13"/>
      <c r="E43" s="13"/>
      <c r="F43" s="13"/>
      <c r="G43" s="13"/>
      <c r="H43" s="13"/>
      <c r="I43" s="13"/>
      <c r="J43" s="13"/>
      <c r="K43" s="14"/>
    </row>
    <row r="44" spans="1:11" x14ac:dyDescent="0.2">
      <c r="A44" s="15" t="s">
        <v>2902</v>
      </c>
      <c r="B44" s="15" t="s">
        <v>10</v>
      </c>
      <c r="C44" s="16">
        <f>IF(ISBLANK(B44),0,IF(ISERROR(VALUE(B44)),VLOOKUP(B44,dagsoorttabel1,2,FALSE)*dagenperjaar1,VALUE(B44)))</f>
        <v>200</v>
      </c>
      <c r="D44" s="15" t="s">
        <v>2903</v>
      </c>
      <c r="E44" s="19"/>
      <c r="F44" s="18"/>
      <c r="G44" s="99"/>
      <c r="H44" s="30">
        <f>IF(ISBLANK(G44),0,G44*C44)+IF(ISBLANK(F44),0,F44*objecturen5_1)</f>
        <v>0</v>
      </c>
      <c r="I44" s="30">
        <f>IF(C44=0,0,H44/C44)</f>
        <v>0</v>
      </c>
      <c r="J44" s="33">
        <f>IF(ISBLANK(E44),0,ROUND(E44,2)*H44)</f>
        <v>0</v>
      </c>
      <c r="K44" s="33">
        <f>J44/12</f>
        <v>0</v>
      </c>
    </row>
    <row r="45" spans="1:11" x14ac:dyDescent="0.2">
      <c r="A45" s="20"/>
      <c r="B45" s="20"/>
      <c r="C45" s="100">
        <f>dagenperjaar1</f>
        <v>200</v>
      </c>
      <c r="D45" s="101" t="s">
        <v>2904</v>
      </c>
      <c r="E45" s="24"/>
      <c r="F45" s="23"/>
      <c r="G45" s="102"/>
      <c r="H45" s="34">
        <f>IF(ISBLANK(G45),0,G45*C45)+IF(ISBLANK(F45),0,F45*objecturen5_1)</f>
        <v>0</v>
      </c>
      <c r="I45" s="34">
        <f>IF(C45=0,0,H45/C45)</f>
        <v>0</v>
      </c>
      <c r="J45" s="37">
        <f>IF(ISBLANK(E45),0,ROUND(E45,2)*H45)</f>
        <v>0</v>
      </c>
      <c r="K45" s="37">
        <f>J45/12</f>
        <v>0</v>
      </c>
    </row>
    <row r="46" spans="1:11" x14ac:dyDescent="0.2">
      <c r="A46" s="20"/>
      <c r="B46" s="20"/>
      <c r="C46" s="100">
        <f>dagenperjaar1</f>
        <v>200</v>
      </c>
      <c r="D46" s="101" t="s">
        <v>2904</v>
      </c>
      <c r="E46" s="24"/>
      <c r="F46" s="23"/>
      <c r="G46" s="102"/>
      <c r="H46" s="34">
        <f>IF(ISBLANK(G46),0,G46*C46)+IF(ISBLANK(F46),0,F46*objecturen5_1)</f>
        <v>0</v>
      </c>
      <c r="I46" s="34">
        <f>IF(C46=0,0,H46/C46)</f>
        <v>0</v>
      </c>
      <c r="J46" s="37">
        <f>IF(ISBLANK(E46),0,ROUND(E46,2)*H46)</f>
        <v>0</v>
      </c>
      <c r="K46" s="37">
        <f>J46/12</f>
        <v>0</v>
      </c>
    </row>
    <row r="47" spans="1:11" x14ac:dyDescent="0.2">
      <c r="A47" s="20"/>
      <c r="B47" s="20"/>
      <c r="C47" s="100">
        <f>dagenperjaar1</f>
        <v>200</v>
      </c>
      <c r="D47" s="101" t="s">
        <v>2905</v>
      </c>
      <c r="E47" s="24"/>
      <c r="F47" s="103"/>
      <c r="G47" s="22"/>
      <c r="H47" s="34">
        <f>IF(ISBLANK(G47),0,G47*C47)+IF(ISBLANK(F47),0,F47*objecturen5_1)</f>
        <v>0</v>
      </c>
      <c r="I47" s="34">
        <f>IF(C47=0,0,H47/C47)</f>
        <v>0</v>
      </c>
      <c r="J47" s="37">
        <f>IF(ISBLANK(E47),0,ROUND(E47,2)*H47)</f>
        <v>0</v>
      </c>
      <c r="K47" s="37">
        <f>J47/12</f>
        <v>0</v>
      </c>
    </row>
    <row r="48" spans="1:11" x14ac:dyDescent="0.2">
      <c r="A48" s="25"/>
      <c r="B48" s="25"/>
      <c r="C48" s="104">
        <f>dagenperjaar1</f>
        <v>200</v>
      </c>
      <c r="D48" s="105" t="s">
        <v>2905</v>
      </c>
      <c r="E48" s="29"/>
      <c r="F48" s="106"/>
      <c r="G48" s="27"/>
      <c r="H48" s="39">
        <f>IF(ISBLANK(G48),0,G48*C48)+IF(ISBLANK(F48),0,F48*objecturen5_1)</f>
        <v>0</v>
      </c>
      <c r="I48" s="39">
        <f>IF(C48=0,0,H48/C48)</f>
        <v>0</v>
      </c>
      <c r="J48" s="41">
        <f>IF(ISBLANK(E48),0,ROUND(E48,2)*H48)</f>
        <v>0</v>
      </c>
      <c r="K48" s="41">
        <f>J48/12</f>
        <v>0</v>
      </c>
    </row>
    <row r="49" spans="1:11" x14ac:dyDescent="0.2">
      <c r="A49" s="107" t="s">
        <v>2910</v>
      </c>
      <c r="B49" s="44"/>
      <c r="C49" s="44"/>
      <c r="D49" s="44"/>
      <c r="E49" s="44"/>
      <c r="F49" s="44"/>
      <c r="G49" s="44"/>
      <c r="H49" s="45">
        <f>SUM(H44:H48)</f>
        <v>0</v>
      </c>
      <c r="I49" s="44"/>
      <c r="J49" s="46">
        <f>SUM(J44:J48)</f>
        <v>0</v>
      </c>
      <c r="K49" s="47">
        <f>SUM(K44:K48)</f>
        <v>0</v>
      </c>
    </row>
    <row r="50" spans="1:11" x14ac:dyDescent="0.2">
      <c r="A50" s="48"/>
      <c r="B50" s="44"/>
      <c r="C50" s="44"/>
      <c r="D50" s="44"/>
      <c r="E50" s="44"/>
      <c r="F50" s="44"/>
      <c r="G50" s="44"/>
      <c r="H50" s="44"/>
      <c r="I50" s="44"/>
      <c r="J50" s="44"/>
      <c r="K50" s="49"/>
    </row>
    <row r="51" spans="1:11" x14ac:dyDescent="0.2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1"/>
    </row>
    <row r="52" spans="1:11" x14ac:dyDescent="0.2">
      <c r="A52" s="98" t="s">
        <v>1413</v>
      </c>
      <c r="B52" s="13"/>
      <c r="C52" s="13"/>
      <c r="D52" s="13"/>
      <c r="E52" s="13"/>
      <c r="F52" s="13"/>
      <c r="G52" s="13"/>
      <c r="H52" s="13"/>
      <c r="I52" s="13"/>
      <c r="J52" s="13"/>
      <c r="K52" s="14"/>
    </row>
    <row r="53" spans="1:11" x14ac:dyDescent="0.2">
      <c r="A53" s="15" t="s">
        <v>2902</v>
      </c>
      <c r="B53" s="15" t="s">
        <v>10</v>
      </c>
      <c r="C53" s="16">
        <f>IF(ISBLANK(B53),0,IF(ISERROR(VALUE(B53)),VLOOKUP(B53,dagsoorttabel1,2,FALSE)*dagenperjaar1,VALUE(B53)))</f>
        <v>200</v>
      </c>
      <c r="D53" s="15" t="s">
        <v>2903</v>
      </c>
      <c r="E53" s="19"/>
      <c r="F53" s="18"/>
      <c r="G53" s="99"/>
      <c r="H53" s="30">
        <f>IF(ISBLANK(G53),0,G53*C53)+IF(ISBLANK(F53),0,F53*objecturen6_1)</f>
        <v>0</v>
      </c>
      <c r="I53" s="30">
        <f>IF(C53=0,0,H53/C53)</f>
        <v>0</v>
      </c>
      <c r="J53" s="33">
        <f>IF(ISBLANK(E53),0,ROUND(E53,2)*H53)</f>
        <v>0</v>
      </c>
      <c r="K53" s="33">
        <f>J53/12</f>
        <v>0</v>
      </c>
    </row>
    <row r="54" spans="1:11" x14ac:dyDescent="0.2">
      <c r="A54" s="20"/>
      <c r="B54" s="20"/>
      <c r="C54" s="100">
        <f>dagenperjaar1</f>
        <v>200</v>
      </c>
      <c r="D54" s="101" t="s">
        <v>2904</v>
      </c>
      <c r="E54" s="24"/>
      <c r="F54" s="23"/>
      <c r="G54" s="102"/>
      <c r="H54" s="34">
        <f>IF(ISBLANK(G54),0,G54*C54)+IF(ISBLANK(F54),0,F54*objecturen6_1)</f>
        <v>0</v>
      </c>
      <c r="I54" s="34">
        <f>IF(C54=0,0,H54/C54)</f>
        <v>0</v>
      </c>
      <c r="J54" s="37">
        <f>IF(ISBLANK(E54),0,ROUND(E54,2)*H54)</f>
        <v>0</v>
      </c>
      <c r="K54" s="37">
        <f>J54/12</f>
        <v>0</v>
      </c>
    </row>
    <row r="55" spans="1:11" x14ac:dyDescent="0.2">
      <c r="A55" s="20"/>
      <c r="B55" s="20"/>
      <c r="C55" s="100">
        <f>dagenperjaar1</f>
        <v>200</v>
      </c>
      <c r="D55" s="101" t="s">
        <v>2904</v>
      </c>
      <c r="E55" s="24"/>
      <c r="F55" s="23"/>
      <c r="G55" s="102"/>
      <c r="H55" s="34">
        <f>IF(ISBLANK(G55),0,G55*C55)+IF(ISBLANK(F55),0,F55*objecturen6_1)</f>
        <v>0</v>
      </c>
      <c r="I55" s="34">
        <f>IF(C55=0,0,H55/C55)</f>
        <v>0</v>
      </c>
      <c r="J55" s="37">
        <f>IF(ISBLANK(E55),0,ROUND(E55,2)*H55)</f>
        <v>0</v>
      </c>
      <c r="K55" s="37">
        <f>J55/12</f>
        <v>0</v>
      </c>
    </row>
    <row r="56" spans="1:11" x14ac:dyDescent="0.2">
      <c r="A56" s="20"/>
      <c r="B56" s="20"/>
      <c r="C56" s="100">
        <f>dagenperjaar1</f>
        <v>200</v>
      </c>
      <c r="D56" s="101" t="s">
        <v>2905</v>
      </c>
      <c r="E56" s="24"/>
      <c r="F56" s="103"/>
      <c r="G56" s="22"/>
      <c r="H56" s="34">
        <f>IF(ISBLANK(G56),0,G56*C56)+IF(ISBLANK(F56),0,F56*objecturen6_1)</f>
        <v>0</v>
      </c>
      <c r="I56" s="34">
        <f>IF(C56=0,0,H56/C56)</f>
        <v>0</v>
      </c>
      <c r="J56" s="37">
        <f>IF(ISBLANK(E56),0,ROUND(E56,2)*H56)</f>
        <v>0</v>
      </c>
      <c r="K56" s="37">
        <f>J56/12</f>
        <v>0</v>
      </c>
    </row>
    <row r="57" spans="1:11" x14ac:dyDescent="0.2">
      <c r="A57" s="25"/>
      <c r="B57" s="25"/>
      <c r="C57" s="104">
        <f>dagenperjaar1</f>
        <v>200</v>
      </c>
      <c r="D57" s="105" t="s">
        <v>2905</v>
      </c>
      <c r="E57" s="29"/>
      <c r="F57" s="106"/>
      <c r="G57" s="27"/>
      <c r="H57" s="39">
        <f>IF(ISBLANK(G57),0,G57*C57)+IF(ISBLANK(F57),0,F57*objecturen6_1)</f>
        <v>0</v>
      </c>
      <c r="I57" s="39">
        <f>IF(C57=0,0,H57/C57)</f>
        <v>0</v>
      </c>
      <c r="J57" s="41">
        <f>IF(ISBLANK(E57),0,ROUND(E57,2)*H57)</f>
        <v>0</v>
      </c>
      <c r="K57" s="41">
        <f>J57/12</f>
        <v>0</v>
      </c>
    </row>
    <row r="58" spans="1:11" x14ac:dyDescent="0.2">
      <c r="A58" s="107" t="s">
        <v>2911</v>
      </c>
      <c r="B58" s="44"/>
      <c r="C58" s="44"/>
      <c r="D58" s="44"/>
      <c r="E58" s="44"/>
      <c r="F58" s="44"/>
      <c r="G58" s="44"/>
      <c r="H58" s="45">
        <f>SUM(H53:H57)</f>
        <v>0</v>
      </c>
      <c r="I58" s="44"/>
      <c r="J58" s="46">
        <f>SUM(J53:J57)</f>
        <v>0</v>
      </c>
      <c r="K58" s="47">
        <f>SUM(K53:K57)</f>
        <v>0</v>
      </c>
    </row>
    <row r="59" spans="1:11" x14ac:dyDescent="0.2">
      <c r="A59" s="48"/>
      <c r="B59" s="44"/>
      <c r="C59" s="44"/>
      <c r="D59" s="44"/>
      <c r="E59" s="44"/>
      <c r="F59" s="44"/>
      <c r="G59" s="44"/>
      <c r="H59" s="44"/>
      <c r="I59" s="44"/>
      <c r="J59" s="44"/>
      <c r="K59" s="49"/>
    </row>
    <row r="60" spans="1:11" x14ac:dyDescent="0.2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1"/>
    </row>
    <row r="61" spans="1:11" x14ac:dyDescent="0.2">
      <c r="A61" s="98" t="s">
        <v>1577</v>
      </c>
      <c r="B61" s="13"/>
      <c r="C61" s="13"/>
      <c r="D61" s="13"/>
      <c r="E61" s="13"/>
      <c r="F61" s="13"/>
      <c r="G61" s="13"/>
      <c r="H61" s="13"/>
      <c r="I61" s="13"/>
      <c r="J61" s="13"/>
      <c r="K61" s="14"/>
    </row>
    <row r="62" spans="1:11" x14ac:dyDescent="0.2">
      <c r="A62" s="15" t="s">
        <v>2902</v>
      </c>
      <c r="B62" s="15" t="s">
        <v>10</v>
      </c>
      <c r="C62" s="16">
        <f>IF(ISBLANK(B62),0,IF(ISERROR(VALUE(B62)),VLOOKUP(B62,dagsoorttabel1,2,FALSE)*dagenperjaar1,VALUE(B62)))</f>
        <v>200</v>
      </c>
      <c r="D62" s="15" t="s">
        <v>2903</v>
      </c>
      <c r="E62" s="19"/>
      <c r="F62" s="18"/>
      <c r="G62" s="99"/>
      <c r="H62" s="30">
        <f>IF(ISBLANK(G62),0,G62*C62)+IF(ISBLANK(F62),0,F62*objecturen7_1)</f>
        <v>0</v>
      </c>
      <c r="I62" s="30">
        <f>IF(C62=0,0,H62/C62)</f>
        <v>0</v>
      </c>
      <c r="J62" s="33">
        <f>IF(ISBLANK(E62),0,ROUND(E62,2)*H62)</f>
        <v>0</v>
      </c>
      <c r="K62" s="33">
        <f>J62/12</f>
        <v>0</v>
      </c>
    </row>
    <row r="63" spans="1:11" x14ac:dyDescent="0.2">
      <c r="A63" s="20"/>
      <c r="B63" s="20"/>
      <c r="C63" s="100">
        <f>dagenperjaar1</f>
        <v>200</v>
      </c>
      <c r="D63" s="101" t="s">
        <v>2904</v>
      </c>
      <c r="E63" s="24"/>
      <c r="F63" s="23"/>
      <c r="G63" s="102"/>
      <c r="H63" s="34">
        <f>IF(ISBLANK(G63),0,G63*C63)+IF(ISBLANK(F63),0,F63*objecturen7_1)</f>
        <v>0</v>
      </c>
      <c r="I63" s="34">
        <f>IF(C63=0,0,H63/C63)</f>
        <v>0</v>
      </c>
      <c r="J63" s="37">
        <f>IF(ISBLANK(E63),0,ROUND(E63,2)*H63)</f>
        <v>0</v>
      </c>
      <c r="K63" s="37">
        <f>J63/12</f>
        <v>0</v>
      </c>
    </row>
    <row r="64" spans="1:11" x14ac:dyDescent="0.2">
      <c r="A64" s="20"/>
      <c r="B64" s="20"/>
      <c r="C64" s="100">
        <f>dagenperjaar1</f>
        <v>200</v>
      </c>
      <c r="D64" s="101" t="s">
        <v>2904</v>
      </c>
      <c r="E64" s="24"/>
      <c r="F64" s="23"/>
      <c r="G64" s="102"/>
      <c r="H64" s="34">
        <f>IF(ISBLANK(G64),0,G64*C64)+IF(ISBLANK(F64),0,F64*objecturen7_1)</f>
        <v>0</v>
      </c>
      <c r="I64" s="34">
        <f>IF(C64=0,0,H64/C64)</f>
        <v>0</v>
      </c>
      <c r="J64" s="37">
        <f>IF(ISBLANK(E64),0,ROUND(E64,2)*H64)</f>
        <v>0</v>
      </c>
      <c r="K64" s="37">
        <f>J64/12</f>
        <v>0</v>
      </c>
    </row>
    <row r="65" spans="1:11" x14ac:dyDescent="0.2">
      <c r="A65" s="20"/>
      <c r="B65" s="20"/>
      <c r="C65" s="100">
        <f>dagenperjaar1</f>
        <v>200</v>
      </c>
      <c r="D65" s="101" t="s">
        <v>2905</v>
      </c>
      <c r="E65" s="24"/>
      <c r="F65" s="103"/>
      <c r="G65" s="22"/>
      <c r="H65" s="34">
        <f>IF(ISBLANK(G65),0,G65*C65)+IF(ISBLANK(F65),0,F65*objecturen7_1)</f>
        <v>0</v>
      </c>
      <c r="I65" s="34">
        <f>IF(C65=0,0,H65/C65)</f>
        <v>0</v>
      </c>
      <c r="J65" s="37">
        <f>IF(ISBLANK(E65),0,ROUND(E65,2)*H65)</f>
        <v>0</v>
      </c>
      <c r="K65" s="37">
        <f>J65/12</f>
        <v>0</v>
      </c>
    </row>
    <row r="66" spans="1:11" x14ac:dyDescent="0.2">
      <c r="A66" s="25"/>
      <c r="B66" s="25"/>
      <c r="C66" s="104">
        <f>dagenperjaar1</f>
        <v>200</v>
      </c>
      <c r="D66" s="105" t="s">
        <v>2905</v>
      </c>
      <c r="E66" s="29"/>
      <c r="F66" s="106"/>
      <c r="G66" s="27"/>
      <c r="H66" s="39">
        <f>IF(ISBLANK(G66),0,G66*C66)+IF(ISBLANK(F66),0,F66*objecturen7_1)</f>
        <v>0</v>
      </c>
      <c r="I66" s="39">
        <f>IF(C66=0,0,H66/C66)</f>
        <v>0</v>
      </c>
      <c r="J66" s="41">
        <f>IF(ISBLANK(E66),0,ROUND(E66,2)*H66)</f>
        <v>0</v>
      </c>
      <c r="K66" s="41">
        <f>J66/12</f>
        <v>0</v>
      </c>
    </row>
    <row r="67" spans="1:11" x14ac:dyDescent="0.2">
      <c r="A67" s="107" t="s">
        <v>2912</v>
      </c>
      <c r="B67" s="44"/>
      <c r="C67" s="44"/>
      <c r="D67" s="44"/>
      <c r="E67" s="44"/>
      <c r="F67" s="44"/>
      <c r="G67" s="44"/>
      <c r="H67" s="45">
        <f>SUM(H62:H66)</f>
        <v>0</v>
      </c>
      <c r="I67" s="44"/>
      <c r="J67" s="46">
        <f>SUM(J62:J66)</f>
        <v>0</v>
      </c>
      <c r="K67" s="47">
        <f>SUM(K62:K66)</f>
        <v>0</v>
      </c>
    </row>
    <row r="68" spans="1:11" x14ac:dyDescent="0.2">
      <c r="A68" s="48"/>
      <c r="B68" s="44"/>
      <c r="C68" s="44"/>
      <c r="D68" s="44"/>
      <c r="E68" s="44"/>
      <c r="F68" s="44"/>
      <c r="G68" s="44"/>
      <c r="H68" s="44"/>
      <c r="I68" s="44"/>
      <c r="J68" s="44"/>
      <c r="K68" s="49"/>
    </row>
    <row r="69" spans="1:11" x14ac:dyDescent="0.2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1"/>
    </row>
    <row r="70" spans="1:11" x14ac:dyDescent="0.2">
      <c r="A70" s="98" t="s">
        <v>1612</v>
      </c>
      <c r="B70" s="13"/>
      <c r="C70" s="13"/>
      <c r="D70" s="13"/>
      <c r="E70" s="13"/>
      <c r="F70" s="13"/>
      <c r="G70" s="13"/>
      <c r="H70" s="13"/>
      <c r="I70" s="13"/>
      <c r="J70" s="13"/>
      <c r="K70" s="14"/>
    </row>
    <row r="71" spans="1:11" x14ac:dyDescent="0.2">
      <c r="A71" s="15" t="s">
        <v>2902</v>
      </c>
      <c r="B71" s="15" t="s">
        <v>10</v>
      </c>
      <c r="C71" s="16">
        <f>IF(ISBLANK(B71),0,IF(ISERROR(VALUE(B71)),VLOOKUP(B71,dagsoorttabel1,2,FALSE)*dagenperjaar1,VALUE(B71)))</f>
        <v>200</v>
      </c>
      <c r="D71" s="15" t="s">
        <v>2903</v>
      </c>
      <c r="E71" s="19"/>
      <c r="F71" s="18"/>
      <c r="G71" s="99"/>
      <c r="H71" s="30">
        <f>IF(ISBLANK(G71),0,G71*C71)+IF(ISBLANK(F71),0,F71*objecturen8_1)</f>
        <v>0</v>
      </c>
      <c r="I71" s="30">
        <f>IF(C71=0,0,H71/C71)</f>
        <v>0</v>
      </c>
      <c r="J71" s="33">
        <f>IF(ISBLANK(E71),0,ROUND(E71,2)*H71)</f>
        <v>0</v>
      </c>
      <c r="K71" s="33">
        <f>J71/12</f>
        <v>0</v>
      </c>
    </row>
    <row r="72" spans="1:11" x14ac:dyDescent="0.2">
      <c r="A72" s="20"/>
      <c r="B72" s="20"/>
      <c r="C72" s="100">
        <f>dagenperjaar1</f>
        <v>200</v>
      </c>
      <c r="D72" s="101" t="s">
        <v>2904</v>
      </c>
      <c r="E72" s="24"/>
      <c r="F72" s="23"/>
      <c r="G72" s="102"/>
      <c r="H72" s="34">
        <f>IF(ISBLANK(G72),0,G72*C72)+IF(ISBLANK(F72),0,F72*objecturen8_1)</f>
        <v>0</v>
      </c>
      <c r="I72" s="34">
        <f>IF(C72=0,0,H72/C72)</f>
        <v>0</v>
      </c>
      <c r="J72" s="37">
        <f>IF(ISBLANK(E72),0,ROUND(E72,2)*H72)</f>
        <v>0</v>
      </c>
      <c r="K72" s="37">
        <f>J72/12</f>
        <v>0</v>
      </c>
    </row>
    <row r="73" spans="1:11" x14ac:dyDescent="0.2">
      <c r="A73" s="20"/>
      <c r="B73" s="20"/>
      <c r="C73" s="100">
        <f>dagenperjaar1</f>
        <v>200</v>
      </c>
      <c r="D73" s="101" t="s">
        <v>2904</v>
      </c>
      <c r="E73" s="24"/>
      <c r="F73" s="23"/>
      <c r="G73" s="102"/>
      <c r="H73" s="34">
        <f>IF(ISBLANK(G73),0,G73*C73)+IF(ISBLANK(F73),0,F73*objecturen8_1)</f>
        <v>0</v>
      </c>
      <c r="I73" s="34">
        <f>IF(C73=0,0,H73/C73)</f>
        <v>0</v>
      </c>
      <c r="J73" s="37">
        <f>IF(ISBLANK(E73),0,ROUND(E73,2)*H73)</f>
        <v>0</v>
      </c>
      <c r="K73" s="37">
        <f>J73/12</f>
        <v>0</v>
      </c>
    </row>
    <row r="74" spans="1:11" x14ac:dyDescent="0.2">
      <c r="A74" s="20"/>
      <c r="B74" s="20"/>
      <c r="C74" s="100">
        <f>dagenperjaar1</f>
        <v>200</v>
      </c>
      <c r="D74" s="101" t="s">
        <v>2905</v>
      </c>
      <c r="E74" s="24"/>
      <c r="F74" s="103"/>
      <c r="G74" s="22"/>
      <c r="H74" s="34">
        <f>IF(ISBLANK(G74),0,G74*C74)+IF(ISBLANK(F74),0,F74*objecturen8_1)</f>
        <v>0</v>
      </c>
      <c r="I74" s="34">
        <f>IF(C74=0,0,H74/C74)</f>
        <v>0</v>
      </c>
      <c r="J74" s="37">
        <f>IF(ISBLANK(E74),0,ROUND(E74,2)*H74)</f>
        <v>0</v>
      </c>
      <c r="K74" s="37">
        <f>J74/12</f>
        <v>0</v>
      </c>
    </row>
    <row r="75" spans="1:11" x14ac:dyDescent="0.2">
      <c r="A75" s="25"/>
      <c r="B75" s="25"/>
      <c r="C75" s="104">
        <f>dagenperjaar1</f>
        <v>200</v>
      </c>
      <c r="D75" s="105" t="s">
        <v>2905</v>
      </c>
      <c r="E75" s="29"/>
      <c r="F75" s="106"/>
      <c r="G75" s="27"/>
      <c r="H75" s="39">
        <f>IF(ISBLANK(G75),0,G75*C75)+IF(ISBLANK(F75),0,F75*objecturen8_1)</f>
        <v>0</v>
      </c>
      <c r="I75" s="39">
        <f>IF(C75=0,0,H75/C75)</f>
        <v>0</v>
      </c>
      <c r="J75" s="41">
        <f>IF(ISBLANK(E75),0,ROUND(E75,2)*H75)</f>
        <v>0</v>
      </c>
      <c r="K75" s="41">
        <f>J75/12</f>
        <v>0</v>
      </c>
    </row>
    <row r="76" spans="1:11" x14ac:dyDescent="0.2">
      <c r="A76" s="107" t="s">
        <v>2913</v>
      </c>
      <c r="B76" s="44"/>
      <c r="C76" s="44"/>
      <c r="D76" s="44"/>
      <c r="E76" s="44"/>
      <c r="F76" s="44"/>
      <c r="G76" s="44"/>
      <c r="H76" s="45">
        <f>SUM(H71:H75)</f>
        <v>0</v>
      </c>
      <c r="I76" s="44"/>
      <c r="J76" s="46">
        <f>SUM(J71:J75)</f>
        <v>0</v>
      </c>
      <c r="K76" s="47">
        <f>SUM(K71:K75)</f>
        <v>0</v>
      </c>
    </row>
    <row r="77" spans="1:11" x14ac:dyDescent="0.2">
      <c r="A77" s="48"/>
      <c r="B77" s="44"/>
      <c r="C77" s="44"/>
      <c r="D77" s="44"/>
      <c r="E77" s="44"/>
      <c r="F77" s="44"/>
      <c r="G77" s="44"/>
      <c r="H77" s="44"/>
      <c r="I77" s="44"/>
      <c r="J77" s="44"/>
      <c r="K77" s="49"/>
    </row>
    <row r="78" spans="1:11" x14ac:dyDescent="0.2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1"/>
    </row>
    <row r="79" spans="1:11" x14ac:dyDescent="0.2">
      <c r="A79" s="98" t="s">
        <v>1749</v>
      </c>
      <c r="B79" s="13"/>
      <c r="C79" s="13"/>
      <c r="D79" s="13"/>
      <c r="E79" s="13"/>
      <c r="F79" s="13"/>
      <c r="G79" s="13"/>
      <c r="H79" s="13"/>
      <c r="I79" s="13"/>
      <c r="J79" s="13"/>
      <c r="K79" s="14"/>
    </row>
    <row r="80" spans="1:11" x14ac:dyDescent="0.2">
      <c r="A80" s="15" t="s">
        <v>2902</v>
      </c>
      <c r="B80" s="15" t="s">
        <v>10</v>
      </c>
      <c r="C80" s="16">
        <f>IF(ISBLANK(B80),0,IF(ISERROR(VALUE(B80)),VLOOKUP(B80,dagsoorttabel1,2,FALSE)*dagenperjaar1,VALUE(B80)))</f>
        <v>200</v>
      </c>
      <c r="D80" s="15" t="s">
        <v>2903</v>
      </c>
      <c r="E80" s="19"/>
      <c r="F80" s="18"/>
      <c r="G80" s="99"/>
      <c r="H80" s="30">
        <f>IF(ISBLANK(G80),0,G80*C80)+IF(ISBLANK(F80),0,F80*objecturen9_1)</f>
        <v>0</v>
      </c>
      <c r="I80" s="30">
        <f>IF(C80=0,0,H80/C80)</f>
        <v>0</v>
      </c>
      <c r="J80" s="33">
        <f>IF(ISBLANK(E80),0,ROUND(E80,2)*H80)</f>
        <v>0</v>
      </c>
      <c r="K80" s="33">
        <f>J80/12</f>
        <v>0</v>
      </c>
    </row>
    <row r="81" spans="1:11" x14ac:dyDescent="0.2">
      <c r="A81" s="20"/>
      <c r="B81" s="20"/>
      <c r="C81" s="100">
        <f>dagenperjaar1</f>
        <v>200</v>
      </c>
      <c r="D81" s="101" t="s">
        <v>2904</v>
      </c>
      <c r="E81" s="24"/>
      <c r="F81" s="23"/>
      <c r="G81" s="102"/>
      <c r="H81" s="34">
        <f>IF(ISBLANK(G81),0,G81*C81)+IF(ISBLANK(F81),0,F81*objecturen9_1)</f>
        <v>0</v>
      </c>
      <c r="I81" s="34">
        <f>IF(C81=0,0,H81/C81)</f>
        <v>0</v>
      </c>
      <c r="J81" s="37">
        <f>IF(ISBLANK(E81),0,ROUND(E81,2)*H81)</f>
        <v>0</v>
      </c>
      <c r="K81" s="37">
        <f>J81/12</f>
        <v>0</v>
      </c>
    </row>
    <row r="82" spans="1:11" x14ac:dyDescent="0.2">
      <c r="A82" s="20"/>
      <c r="B82" s="20"/>
      <c r="C82" s="100">
        <f>dagenperjaar1</f>
        <v>200</v>
      </c>
      <c r="D82" s="101" t="s">
        <v>2904</v>
      </c>
      <c r="E82" s="24"/>
      <c r="F82" s="23"/>
      <c r="G82" s="102"/>
      <c r="H82" s="34">
        <f>IF(ISBLANK(G82),0,G82*C82)+IF(ISBLANK(F82),0,F82*objecturen9_1)</f>
        <v>0</v>
      </c>
      <c r="I82" s="34">
        <f>IF(C82=0,0,H82/C82)</f>
        <v>0</v>
      </c>
      <c r="J82" s="37">
        <f>IF(ISBLANK(E82),0,ROUND(E82,2)*H82)</f>
        <v>0</v>
      </c>
      <c r="K82" s="37">
        <f>J82/12</f>
        <v>0</v>
      </c>
    </row>
    <row r="83" spans="1:11" x14ac:dyDescent="0.2">
      <c r="A83" s="20"/>
      <c r="B83" s="20"/>
      <c r="C83" s="100">
        <f>dagenperjaar1</f>
        <v>200</v>
      </c>
      <c r="D83" s="101" t="s">
        <v>2905</v>
      </c>
      <c r="E83" s="24"/>
      <c r="F83" s="103"/>
      <c r="G83" s="22"/>
      <c r="H83" s="34">
        <f>IF(ISBLANK(G83),0,G83*C83)+IF(ISBLANK(F83),0,F83*objecturen9_1)</f>
        <v>0</v>
      </c>
      <c r="I83" s="34">
        <f>IF(C83=0,0,H83/C83)</f>
        <v>0</v>
      </c>
      <c r="J83" s="37">
        <f>IF(ISBLANK(E83),0,ROUND(E83,2)*H83)</f>
        <v>0</v>
      </c>
      <c r="K83" s="37">
        <f>J83/12</f>
        <v>0</v>
      </c>
    </row>
    <row r="84" spans="1:11" x14ac:dyDescent="0.2">
      <c r="A84" s="25"/>
      <c r="B84" s="25"/>
      <c r="C84" s="104">
        <f>dagenperjaar1</f>
        <v>200</v>
      </c>
      <c r="D84" s="105" t="s">
        <v>2905</v>
      </c>
      <c r="E84" s="29"/>
      <c r="F84" s="106"/>
      <c r="G84" s="27"/>
      <c r="H84" s="39">
        <f>IF(ISBLANK(G84),0,G84*C84)+IF(ISBLANK(F84),0,F84*objecturen9_1)</f>
        <v>0</v>
      </c>
      <c r="I84" s="39">
        <f>IF(C84=0,0,H84/C84)</f>
        <v>0</v>
      </c>
      <c r="J84" s="41">
        <f>IF(ISBLANK(E84),0,ROUND(E84,2)*H84)</f>
        <v>0</v>
      </c>
      <c r="K84" s="41">
        <f>J84/12</f>
        <v>0</v>
      </c>
    </row>
    <row r="85" spans="1:11" x14ac:dyDescent="0.2">
      <c r="A85" s="107" t="s">
        <v>2914</v>
      </c>
      <c r="B85" s="44"/>
      <c r="C85" s="44"/>
      <c r="D85" s="44"/>
      <c r="E85" s="44"/>
      <c r="F85" s="44"/>
      <c r="G85" s="44"/>
      <c r="H85" s="45">
        <f>SUM(H80:H84)</f>
        <v>0</v>
      </c>
      <c r="I85" s="44"/>
      <c r="J85" s="46">
        <f>SUM(J80:J84)</f>
        <v>0</v>
      </c>
      <c r="K85" s="47">
        <f>SUM(K80:K84)</f>
        <v>0</v>
      </c>
    </row>
    <row r="86" spans="1:11" x14ac:dyDescent="0.2">
      <c r="A86" s="48"/>
      <c r="B86" s="44"/>
      <c r="C86" s="44"/>
      <c r="D86" s="44"/>
      <c r="E86" s="44"/>
      <c r="F86" s="44"/>
      <c r="G86" s="44"/>
      <c r="H86" s="44"/>
      <c r="I86" s="44"/>
      <c r="J86" s="44"/>
      <c r="K86" s="49"/>
    </row>
    <row r="87" spans="1:11" x14ac:dyDescent="0.2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1"/>
    </row>
    <row r="88" spans="1:11" x14ac:dyDescent="0.2">
      <c r="A88" s="98" t="s">
        <v>1783</v>
      </c>
      <c r="B88" s="13"/>
      <c r="C88" s="13"/>
      <c r="D88" s="13"/>
      <c r="E88" s="13"/>
      <c r="F88" s="13"/>
      <c r="G88" s="13"/>
      <c r="H88" s="13"/>
      <c r="I88" s="13"/>
      <c r="J88" s="13"/>
      <c r="K88" s="14"/>
    </row>
    <row r="89" spans="1:11" x14ac:dyDescent="0.2">
      <c r="A89" s="15" t="s">
        <v>2902</v>
      </c>
      <c r="B89" s="15" t="s">
        <v>10</v>
      </c>
      <c r="C89" s="16">
        <f>IF(ISBLANK(B89),0,IF(ISERROR(VALUE(B89)),VLOOKUP(B89,dagsoorttabel1,2,FALSE)*dagenperjaar1,VALUE(B89)))</f>
        <v>200</v>
      </c>
      <c r="D89" s="15" t="s">
        <v>2903</v>
      </c>
      <c r="E89" s="19"/>
      <c r="F89" s="18"/>
      <c r="G89" s="99"/>
      <c r="H89" s="30">
        <f>IF(ISBLANK(G89),0,G89*C89)+IF(ISBLANK(F89),0,F89*objecturen10_1)</f>
        <v>0</v>
      </c>
      <c r="I89" s="30">
        <f>IF(C89=0,0,H89/C89)</f>
        <v>0</v>
      </c>
      <c r="J89" s="33">
        <f>IF(ISBLANK(E89),0,ROUND(E89,2)*H89)</f>
        <v>0</v>
      </c>
      <c r="K89" s="33">
        <f>J89/12</f>
        <v>0</v>
      </c>
    </row>
    <row r="90" spans="1:11" x14ac:dyDescent="0.2">
      <c r="A90" s="20"/>
      <c r="B90" s="20"/>
      <c r="C90" s="100">
        <f>dagenperjaar1</f>
        <v>200</v>
      </c>
      <c r="D90" s="101" t="s">
        <v>2904</v>
      </c>
      <c r="E90" s="24"/>
      <c r="F90" s="23"/>
      <c r="G90" s="102"/>
      <c r="H90" s="34">
        <f>IF(ISBLANK(G90),0,G90*C90)+IF(ISBLANK(F90),0,F90*objecturen10_1)</f>
        <v>0</v>
      </c>
      <c r="I90" s="34">
        <f>IF(C90=0,0,H90/C90)</f>
        <v>0</v>
      </c>
      <c r="J90" s="37">
        <f>IF(ISBLANK(E90),0,ROUND(E90,2)*H90)</f>
        <v>0</v>
      </c>
      <c r="K90" s="37">
        <f>J90/12</f>
        <v>0</v>
      </c>
    </row>
    <row r="91" spans="1:11" x14ac:dyDescent="0.2">
      <c r="A91" s="20"/>
      <c r="B91" s="20"/>
      <c r="C91" s="100">
        <f>dagenperjaar1</f>
        <v>200</v>
      </c>
      <c r="D91" s="101" t="s">
        <v>2904</v>
      </c>
      <c r="E91" s="24"/>
      <c r="F91" s="23"/>
      <c r="G91" s="102"/>
      <c r="H91" s="34">
        <f>IF(ISBLANK(G91),0,G91*C91)+IF(ISBLANK(F91),0,F91*objecturen10_1)</f>
        <v>0</v>
      </c>
      <c r="I91" s="34">
        <f>IF(C91=0,0,H91/C91)</f>
        <v>0</v>
      </c>
      <c r="J91" s="37">
        <f>IF(ISBLANK(E91),0,ROUND(E91,2)*H91)</f>
        <v>0</v>
      </c>
      <c r="K91" s="37">
        <f>J91/12</f>
        <v>0</v>
      </c>
    </row>
    <row r="92" spans="1:11" x14ac:dyDescent="0.2">
      <c r="A92" s="20"/>
      <c r="B92" s="20"/>
      <c r="C92" s="100">
        <f>dagenperjaar1</f>
        <v>200</v>
      </c>
      <c r="D92" s="101" t="s">
        <v>2905</v>
      </c>
      <c r="E92" s="24"/>
      <c r="F92" s="103"/>
      <c r="G92" s="22"/>
      <c r="H92" s="34">
        <f>IF(ISBLANK(G92),0,G92*C92)+IF(ISBLANK(F92),0,F92*objecturen10_1)</f>
        <v>0</v>
      </c>
      <c r="I92" s="34">
        <f>IF(C92=0,0,H92/C92)</f>
        <v>0</v>
      </c>
      <c r="J92" s="37">
        <f>IF(ISBLANK(E92),0,ROUND(E92,2)*H92)</f>
        <v>0</v>
      </c>
      <c r="K92" s="37">
        <f>J92/12</f>
        <v>0</v>
      </c>
    </row>
    <row r="93" spans="1:11" x14ac:dyDescent="0.2">
      <c r="A93" s="25"/>
      <c r="B93" s="25"/>
      <c r="C93" s="104">
        <f>dagenperjaar1</f>
        <v>200</v>
      </c>
      <c r="D93" s="105" t="s">
        <v>2905</v>
      </c>
      <c r="E93" s="29"/>
      <c r="F93" s="106"/>
      <c r="G93" s="27"/>
      <c r="H93" s="39">
        <f>IF(ISBLANK(G93),0,G93*C93)+IF(ISBLANK(F93),0,F93*objecturen10_1)</f>
        <v>0</v>
      </c>
      <c r="I93" s="39">
        <f>IF(C93=0,0,H93/C93)</f>
        <v>0</v>
      </c>
      <c r="J93" s="41">
        <f>IF(ISBLANK(E93),0,ROUND(E93,2)*H93)</f>
        <v>0</v>
      </c>
      <c r="K93" s="41">
        <f>J93/12</f>
        <v>0</v>
      </c>
    </row>
    <row r="94" spans="1:11" x14ac:dyDescent="0.2">
      <c r="A94" s="107" t="s">
        <v>2915</v>
      </c>
      <c r="B94" s="44"/>
      <c r="C94" s="44"/>
      <c r="D94" s="44"/>
      <c r="E94" s="44"/>
      <c r="F94" s="44"/>
      <c r="G94" s="44"/>
      <c r="H94" s="45">
        <f>SUM(H89:H93)</f>
        <v>0</v>
      </c>
      <c r="I94" s="44"/>
      <c r="J94" s="46">
        <f>SUM(J89:J93)</f>
        <v>0</v>
      </c>
      <c r="K94" s="47">
        <f>SUM(K89:K93)</f>
        <v>0</v>
      </c>
    </row>
    <row r="95" spans="1:11" x14ac:dyDescent="0.2">
      <c r="A95" s="48"/>
      <c r="B95" s="44"/>
      <c r="C95" s="44"/>
      <c r="D95" s="44"/>
      <c r="E95" s="44"/>
      <c r="F95" s="44"/>
      <c r="G95" s="44"/>
      <c r="H95" s="44"/>
      <c r="I95" s="44"/>
      <c r="J95" s="44"/>
      <c r="K95" s="49"/>
    </row>
    <row r="96" spans="1:11" x14ac:dyDescent="0.2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1"/>
    </row>
    <row r="97" spans="1:11" x14ac:dyDescent="0.2">
      <c r="A97" s="98" t="s">
        <v>1839</v>
      </c>
      <c r="B97" s="13"/>
      <c r="C97" s="13"/>
      <c r="D97" s="13"/>
      <c r="E97" s="13"/>
      <c r="F97" s="13"/>
      <c r="G97" s="13"/>
      <c r="H97" s="13"/>
      <c r="I97" s="13"/>
      <c r="J97" s="13"/>
      <c r="K97" s="14"/>
    </row>
    <row r="98" spans="1:11" x14ac:dyDescent="0.2">
      <c r="A98" s="15" t="s">
        <v>2902</v>
      </c>
      <c r="B98" s="15" t="s">
        <v>10</v>
      </c>
      <c r="C98" s="16">
        <f>IF(ISBLANK(B98),0,IF(ISERROR(VALUE(B98)),VLOOKUP(B98,dagsoorttabel1,2,FALSE)*dagenperjaar1,VALUE(B98)))</f>
        <v>200</v>
      </c>
      <c r="D98" s="15" t="s">
        <v>2903</v>
      </c>
      <c r="E98" s="19"/>
      <c r="F98" s="18"/>
      <c r="G98" s="99"/>
      <c r="H98" s="30">
        <f>IF(ISBLANK(G98),0,G98*C98)+IF(ISBLANK(F98),0,F98*objecturen11_1)</f>
        <v>0</v>
      </c>
      <c r="I98" s="30">
        <f>IF(C98=0,0,H98/C98)</f>
        <v>0</v>
      </c>
      <c r="J98" s="33">
        <f>IF(ISBLANK(E98),0,ROUND(E98,2)*H98)</f>
        <v>0</v>
      </c>
      <c r="K98" s="33">
        <f>J98/12</f>
        <v>0</v>
      </c>
    </row>
    <row r="99" spans="1:11" x14ac:dyDescent="0.2">
      <c r="A99" s="20"/>
      <c r="B99" s="20"/>
      <c r="C99" s="100">
        <f>dagenperjaar1</f>
        <v>200</v>
      </c>
      <c r="D99" s="101" t="s">
        <v>2904</v>
      </c>
      <c r="E99" s="24"/>
      <c r="F99" s="23"/>
      <c r="G99" s="102"/>
      <c r="H99" s="34">
        <f>IF(ISBLANK(G99),0,G99*C99)+IF(ISBLANK(F99),0,F99*objecturen11_1)</f>
        <v>0</v>
      </c>
      <c r="I99" s="34">
        <f>IF(C99=0,0,H99/C99)</f>
        <v>0</v>
      </c>
      <c r="J99" s="37">
        <f>IF(ISBLANK(E99),0,ROUND(E99,2)*H99)</f>
        <v>0</v>
      </c>
      <c r="K99" s="37">
        <f>J99/12</f>
        <v>0</v>
      </c>
    </row>
    <row r="100" spans="1:11" x14ac:dyDescent="0.2">
      <c r="A100" s="20"/>
      <c r="B100" s="20"/>
      <c r="C100" s="100">
        <f>dagenperjaar1</f>
        <v>200</v>
      </c>
      <c r="D100" s="101" t="s">
        <v>2904</v>
      </c>
      <c r="E100" s="24"/>
      <c r="F100" s="23"/>
      <c r="G100" s="102"/>
      <c r="H100" s="34">
        <f>IF(ISBLANK(G100),0,G100*C100)+IF(ISBLANK(F100),0,F100*objecturen11_1)</f>
        <v>0</v>
      </c>
      <c r="I100" s="34">
        <f>IF(C100=0,0,H100/C100)</f>
        <v>0</v>
      </c>
      <c r="J100" s="37">
        <f>IF(ISBLANK(E100),0,ROUND(E100,2)*H100)</f>
        <v>0</v>
      </c>
      <c r="K100" s="37">
        <f>J100/12</f>
        <v>0</v>
      </c>
    </row>
    <row r="101" spans="1:11" x14ac:dyDescent="0.2">
      <c r="A101" s="20"/>
      <c r="B101" s="20"/>
      <c r="C101" s="100">
        <f>dagenperjaar1</f>
        <v>200</v>
      </c>
      <c r="D101" s="101" t="s">
        <v>2905</v>
      </c>
      <c r="E101" s="24"/>
      <c r="F101" s="103"/>
      <c r="G101" s="22"/>
      <c r="H101" s="34">
        <f>IF(ISBLANK(G101),0,G101*C101)+IF(ISBLANK(F101),0,F101*objecturen11_1)</f>
        <v>0</v>
      </c>
      <c r="I101" s="34">
        <f>IF(C101=0,0,H101/C101)</f>
        <v>0</v>
      </c>
      <c r="J101" s="37">
        <f>IF(ISBLANK(E101),0,ROUND(E101,2)*H101)</f>
        <v>0</v>
      </c>
      <c r="K101" s="37">
        <f>J101/12</f>
        <v>0</v>
      </c>
    </row>
    <row r="102" spans="1:11" x14ac:dyDescent="0.2">
      <c r="A102" s="25"/>
      <c r="B102" s="25"/>
      <c r="C102" s="104">
        <f>dagenperjaar1</f>
        <v>200</v>
      </c>
      <c r="D102" s="105" t="s">
        <v>2905</v>
      </c>
      <c r="E102" s="29"/>
      <c r="F102" s="106"/>
      <c r="G102" s="27"/>
      <c r="H102" s="39">
        <f>IF(ISBLANK(G102),0,G102*C102)+IF(ISBLANK(F102),0,F102*objecturen11_1)</f>
        <v>0</v>
      </c>
      <c r="I102" s="39">
        <f>IF(C102=0,0,H102/C102)</f>
        <v>0</v>
      </c>
      <c r="J102" s="41">
        <f>IF(ISBLANK(E102),0,ROUND(E102,2)*H102)</f>
        <v>0</v>
      </c>
      <c r="K102" s="41">
        <f>J102/12</f>
        <v>0</v>
      </c>
    </row>
    <row r="103" spans="1:11" x14ac:dyDescent="0.2">
      <c r="A103" s="107" t="s">
        <v>2916</v>
      </c>
      <c r="B103" s="44"/>
      <c r="C103" s="44"/>
      <c r="D103" s="44"/>
      <c r="E103" s="44"/>
      <c r="F103" s="44"/>
      <c r="G103" s="44"/>
      <c r="H103" s="45">
        <f>SUM(H98:H102)</f>
        <v>0</v>
      </c>
      <c r="I103" s="44"/>
      <c r="J103" s="46">
        <f>SUM(J98:J102)</f>
        <v>0</v>
      </c>
      <c r="K103" s="47">
        <f>SUM(K98:K102)</f>
        <v>0</v>
      </c>
    </row>
    <row r="104" spans="1:11" x14ac:dyDescent="0.2">
      <c r="A104" s="48"/>
      <c r="B104" s="44"/>
      <c r="C104" s="44"/>
      <c r="D104" s="44"/>
      <c r="E104" s="44"/>
      <c r="F104" s="44"/>
      <c r="G104" s="44"/>
      <c r="H104" s="44"/>
      <c r="I104" s="44"/>
      <c r="J104" s="44"/>
      <c r="K104" s="49"/>
    </row>
    <row r="105" spans="1:11" x14ac:dyDescent="0.2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1"/>
    </row>
    <row r="106" spans="1:11" x14ac:dyDescent="0.2">
      <c r="A106" s="98" t="s">
        <v>1849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4"/>
    </row>
    <row r="107" spans="1:11" x14ac:dyDescent="0.2">
      <c r="A107" s="15" t="s">
        <v>2902</v>
      </c>
      <c r="B107" s="15" t="s">
        <v>10</v>
      </c>
      <c r="C107" s="16">
        <f>IF(ISBLANK(B107),0,IF(ISERROR(VALUE(B107)),VLOOKUP(B107,dagsoorttabel1,2,FALSE)*dagenperjaar1,VALUE(B107)))</f>
        <v>200</v>
      </c>
      <c r="D107" s="15" t="s">
        <v>2903</v>
      </c>
      <c r="E107" s="19"/>
      <c r="F107" s="18"/>
      <c r="G107" s="99"/>
      <c r="H107" s="30">
        <f>IF(ISBLANK(G107),0,G107*C107)+IF(ISBLANK(F107),0,F107*objecturen12_1)</f>
        <v>0</v>
      </c>
      <c r="I107" s="30">
        <f>IF(C107=0,0,H107/C107)</f>
        <v>0</v>
      </c>
      <c r="J107" s="33">
        <f>IF(ISBLANK(E107),0,ROUND(E107,2)*H107)</f>
        <v>0</v>
      </c>
      <c r="K107" s="33">
        <f>J107/12</f>
        <v>0</v>
      </c>
    </row>
    <row r="108" spans="1:11" x14ac:dyDescent="0.2">
      <c r="A108" s="20"/>
      <c r="B108" s="20"/>
      <c r="C108" s="100">
        <f>dagenperjaar1</f>
        <v>200</v>
      </c>
      <c r="D108" s="101" t="s">
        <v>2904</v>
      </c>
      <c r="E108" s="24"/>
      <c r="F108" s="23"/>
      <c r="G108" s="102"/>
      <c r="H108" s="34">
        <f>IF(ISBLANK(G108),0,G108*C108)+IF(ISBLANK(F108),0,F108*objecturen12_1)</f>
        <v>0</v>
      </c>
      <c r="I108" s="34">
        <f>IF(C108=0,0,H108/C108)</f>
        <v>0</v>
      </c>
      <c r="J108" s="37">
        <f>IF(ISBLANK(E108),0,ROUND(E108,2)*H108)</f>
        <v>0</v>
      </c>
      <c r="K108" s="37">
        <f>J108/12</f>
        <v>0</v>
      </c>
    </row>
    <row r="109" spans="1:11" x14ac:dyDescent="0.2">
      <c r="A109" s="20"/>
      <c r="B109" s="20"/>
      <c r="C109" s="100">
        <f>dagenperjaar1</f>
        <v>200</v>
      </c>
      <c r="D109" s="101" t="s">
        <v>2904</v>
      </c>
      <c r="E109" s="24"/>
      <c r="F109" s="23"/>
      <c r="G109" s="102"/>
      <c r="H109" s="34">
        <f>IF(ISBLANK(G109),0,G109*C109)+IF(ISBLANK(F109),0,F109*objecturen12_1)</f>
        <v>0</v>
      </c>
      <c r="I109" s="34">
        <f>IF(C109=0,0,H109/C109)</f>
        <v>0</v>
      </c>
      <c r="J109" s="37">
        <f>IF(ISBLANK(E109),0,ROUND(E109,2)*H109)</f>
        <v>0</v>
      </c>
      <c r="K109" s="37">
        <f>J109/12</f>
        <v>0</v>
      </c>
    </row>
    <row r="110" spans="1:11" x14ac:dyDescent="0.2">
      <c r="A110" s="20"/>
      <c r="B110" s="20"/>
      <c r="C110" s="100">
        <f>dagenperjaar1</f>
        <v>200</v>
      </c>
      <c r="D110" s="101" t="s">
        <v>2905</v>
      </c>
      <c r="E110" s="24"/>
      <c r="F110" s="103"/>
      <c r="G110" s="22"/>
      <c r="H110" s="34">
        <f>IF(ISBLANK(G110),0,G110*C110)+IF(ISBLANK(F110),0,F110*objecturen12_1)</f>
        <v>0</v>
      </c>
      <c r="I110" s="34">
        <f>IF(C110=0,0,H110/C110)</f>
        <v>0</v>
      </c>
      <c r="J110" s="37">
        <f>IF(ISBLANK(E110),0,ROUND(E110,2)*H110)</f>
        <v>0</v>
      </c>
      <c r="K110" s="37">
        <f>J110/12</f>
        <v>0</v>
      </c>
    </row>
    <row r="111" spans="1:11" x14ac:dyDescent="0.2">
      <c r="A111" s="25"/>
      <c r="B111" s="25"/>
      <c r="C111" s="104">
        <f>dagenperjaar1</f>
        <v>200</v>
      </c>
      <c r="D111" s="105" t="s">
        <v>2905</v>
      </c>
      <c r="E111" s="29"/>
      <c r="F111" s="106"/>
      <c r="G111" s="27"/>
      <c r="H111" s="39">
        <f>IF(ISBLANK(G111),0,G111*C111)+IF(ISBLANK(F111),0,F111*objecturen12_1)</f>
        <v>0</v>
      </c>
      <c r="I111" s="39">
        <f>IF(C111=0,0,H111/C111)</f>
        <v>0</v>
      </c>
      <c r="J111" s="41">
        <f>IF(ISBLANK(E111),0,ROUND(E111,2)*H111)</f>
        <v>0</v>
      </c>
      <c r="K111" s="41">
        <f>J111/12</f>
        <v>0</v>
      </c>
    </row>
    <row r="112" spans="1:11" x14ac:dyDescent="0.2">
      <c r="A112" s="107" t="s">
        <v>2917</v>
      </c>
      <c r="B112" s="44"/>
      <c r="C112" s="44"/>
      <c r="D112" s="44"/>
      <c r="E112" s="44"/>
      <c r="F112" s="44"/>
      <c r="G112" s="44"/>
      <c r="H112" s="45">
        <f>SUM(H107:H111)</f>
        <v>0</v>
      </c>
      <c r="I112" s="44"/>
      <c r="J112" s="46">
        <f>SUM(J107:J111)</f>
        <v>0</v>
      </c>
      <c r="K112" s="47">
        <f>SUM(K107:K111)</f>
        <v>0</v>
      </c>
    </row>
    <row r="113" spans="1:11" x14ac:dyDescent="0.2">
      <c r="A113" s="48"/>
      <c r="B113" s="44"/>
      <c r="C113" s="44"/>
      <c r="D113" s="44"/>
      <c r="E113" s="44"/>
      <c r="F113" s="44"/>
      <c r="G113" s="44"/>
      <c r="H113" s="44"/>
      <c r="I113" s="44"/>
      <c r="J113" s="44"/>
      <c r="K113" s="49"/>
    </row>
    <row r="114" spans="1:11" x14ac:dyDescent="0.2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1"/>
    </row>
    <row r="115" spans="1:11" x14ac:dyDescent="0.2">
      <c r="A115" s="98" t="s">
        <v>2000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4"/>
    </row>
    <row r="116" spans="1:11" x14ac:dyDescent="0.2">
      <c r="A116" s="15" t="s">
        <v>2902</v>
      </c>
      <c r="B116" s="15" t="s">
        <v>10</v>
      </c>
      <c r="C116" s="16">
        <f>IF(ISBLANK(B116),0,IF(ISERROR(VALUE(B116)),VLOOKUP(B116,dagsoorttabel1,2,FALSE)*dagenperjaar1,VALUE(B116)))</f>
        <v>200</v>
      </c>
      <c r="D116" s="15" t="s">
        <v>2903</v>
      </c>
      <c r="E116" s="19"/>
      <c r="F116" s="18"/>
      <c r="G116" s="99"/>
      <c r="H116" s="30">
        <f>IF(ISBLANK(G116),0,G116*C116)+IF(ISBLANK(F116),0,F116*objecturen13_1)</f>
        <v>0</v>
      </c>
      <c r="I116" s="30">
        <f>IF(C116=0,0,H116/C116)</f>
        <v>0</v>
      </c>
      <c r="J116" s="33">
        <f>IF(ISBLANK(E116),0,ROUND(E116,2)*H116)</f>
        <v>0</v>
      </c>
      <c r="K116" s="33">
        <f>J116/12</f>
        <v>0</v>
      </c>
    </row>
    <row r="117" spans="1:11" x14ac:dyDescent="0.2">
      <c r="A117" s="20"/>
      <c r="B117" s="20"/>
      <c r="C117" s="100">
        <f>dagenperjaar1</f>
        <v>200</v>
      </c>
      <c r="D117" s="101" t="s">
        <v>2904</v>
      </c>
      <c r="E117" s="24"/>
      <c r="F117" s="23"/>
      <c r="G117" s="102"/>
      <c r="H117" s="34">
        <f>IF(ISBLANK(G117),0,G117*C117)+IF(ISBLANK(F117),0,F117*objecturen13_1)</f>
        <v>0</v>
      </c>
      <c r="I117" s="34">
        <f>IF(C117=0,0,H117/C117)</f>
        <v>0</v>
      </c>
      <c r="J117" s="37">
        <f>IF(ISBLANK(E117),0,ROUND(E117,2)*H117)</f>
        <v>0</v>
      </c>
      <c r="K117" s="37">
        <f>J117/12</f>
        <v>0</v>
      </c>
    </row>
    <row r="118" spans="1:11" x14ac:dyDescent="0.2">
      <c r="A118" s="20"/>
      <c r="B118" s="20"/>
      <c r="C118" s="100">
        <f>dagenperjaar1</f>
        <v>200</v>
      </c>
      <c r="D118" s="101" t="s">
        <v>2904</v>
      </c>
      <c r="E118" s="24"/>
      <c r="F118" s="23"/>
      <c r="G118" s="102"/>
      <c r="H118" s="34">
        <f>IF(ISBLANK(G118),0,G118*C118)+IF(ISBLANK(F118),0,F118*objecturen13_1)</f>
        <v>0</v>
      </c>
      <c r="I118" s="34">
        <f>IF(C118=0,0,H118/C118)</f>
        <v>0</v>
      </c>
      <c r="J118" s="37">
        <f>IF(ISBLANK(E118),0,ROUND(E118,2)*H118)</f>
        <v>0</v>
      </c>
      <c r="K118" s="37">
        <f>J118/12</f>
        <v>0</v>
      </c>
    </row>
    <row r="119" spans="1:11" x14ac:dyDescent="0.2">
      <c r="A119" s="20"/>
      <c r="B119" s="20"/>
      <c r="C119" s="100">
        <f>dagenperjaar1</f>
        <v>200</v>
      </c>
      <c r="D119" s="101" t="s">
        <v>2905</v>
      </c>
      <c r="E119" s="24"/>
      <c r="F119" s="103"/>
      <c r="G119" s="22"/>
      <c r="H119" s="34">
        <f>IF(ISBLANK(G119),0,G119*C119)+IF(ISBLANK(F119),0,F119*objecturen13_1)</f>
        <v>0</v>
      </c>
      <c r="I119" s="34">
        <f>IF(C119=0,0,H119/C119)</f>
        <v>0</v>
      </c>
      <c r="J119" s="37">
        <f>IF(ISBLANK(E119),0,ROUND(E119,2)*H119)</f>
        <v>0</v>
      </c>
      <c r="K119" s="37">
        <f>J119/12</f>
        <v>0</v>
      </c>
    </row>
    <row r="120" spans="1:11" x14ac:dyDescent="0.2">
      <c r="A120" s="25"/>
      <c r="B120" s="25"/>
      <c r="C120" s="104">
        <f>dagenperjaar1</f>
        <v>200</v>
      </c>
      <c r="D120" s="105" t="s">
        <v>2905</v>
      </c>
      <c r="E120" s="29"/>
      <c r="F120" s="106"/>
      <c r="G120" s="27"/>
      <c r="H120" s="39">
        <f>IF(ISBLANK(G120),0,G120*C120)+IF(ISBLANK(F120),0,F120*objecturen13_1)</f>
        <v>0</v>
      </c>
      <c r="I120" s="39">
        <f>IF(C120=0,0,H120/C120)</f>
        <v>0</v>
      </c>
      <c r="J120" s="41">
        <f>IF(ISBLANK(E120),0,ROUND(E120,2)*H120)</f>
        <v>0</v>
      </c>
      <c r="K120" s="41">
        <f>J120/12</f>
        <v>0</v>
      </c>
    </row>
    <row r="121" spans="1:11" x14ac:dyDescent="0.2">
      <c r="A121" s="107" t="s">
        <v>2918</v>
      </c>
      <c r="B121" s="44"/>
      <c r="C121" s="44"/>
      <c r="D121" s="44"/>
      <c r="E121" s="44"/>
      <c r="F121" s="44"/>
      <c r="G121" s="44"/>
      <c r="H121" s="45">
        <f>SUM(H116:H120)</f>
        <v>0</v>
      </c>
      <c r="I121" s="44"/>
      <c r="J121" s="46">
        <f>SUM(J116:J120)</f>
        <v>0</v>
      </c>
      <c r="K121" s="47">
        <f>SUM(K116:K120)</f>
        <v>0</v>
      </c>
    </row>
    <row r="122" spans="1:11" x14ac:dyDescent="0.2">
      <c r="A122" s="48"/>
      <c r="B122" s="44"/>
      <c r="C122" s="44"/>
      <c r="D122" s="44"/>
      <c r="E122" s="44"/>
      <c r="F122" s="44"/>
      <c r="G122" s="44"/>
      <c r="H122" s="44"/>
      <c r="I122" s="44"/>
      <c r="J122" s="44"/>
      <c r="K122" s="49"/>
    </row>
    <row r="123" spans="1:11" x14ac:dyDescent="0.2">
      <c r="A123" s="9"/>
      <c r="B123" s="10"/>
      <c r="C123" s="10"/>
      <c r="D123" s="10"/>
      <c r="E123" s="10"/>
      <c r="F123" s="10"/>
      <c r="G123" s="10"/>
      <c r="H123" s="10"/>
      <c r="I123" s="10"/>
      <c r="J123" s="10"/>
      <c r="K123" s="11"/>
    </row>
    <row r="124" spans="1:11" x14ac:dyDescent="0.2">
      <c r="A124" s="98" t="s">
        <v>2006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4"/>
    </row>
    <row r="125" spans="1:11" x14ac:dyDescent="0.2">
      <c r="A125" s="15" t="s">
        <v>2902</v>
      </c>
      <c r="B125" s="15" t="s">
        <v>10</v>
      </c>
      <c r="C125" s="16">
        <f>IF(ISBLANK(B125),0,IF(ISERROR(VALUE(B125)),VLOOKUP(B125,dagsoorttabel1,2,FALSE)*dagenperjaar1,VALUE(B125)))</f>
        <v>200</v>
      </c>
      <c r="D125" s="15" t="s">
        <v>2903</v>
      </c>
      <c r="E125" s="19"/>
      <c r="F125" s="18"/>
      <c r="G125" s="99"/>
      <c r="H125" s="30">
        <f>IF(ISBLANK(G125),0,G125*C125)+IF(ISBLANK(F125),0,F125*objecturen14_1)</f>
        <v>0</v>
      </c>
      <c r="I125" s="30">
        <f>IF(C125=0,0,H125/C125)</f>
        <v>0</v>
      </c>
      <c r="J125" s="33">
        <f>IF(ISBLANK(E125),0,ROUND(E125,2)*H125)</f>
        <v>0</v>
      </c>
      <c r="K125" s="33">
        <f>J125/12</f>
        <v>0</v>
      </c>
    </row>
    <row r="126" spans="1:11" x14ac:dyDescent="0.2">
      <c r="A126" s="20"/>
      <c r="B126" s="20"/>
      <c r="C126" s="100">
        <f>dagenperjaar1</f>
        <v>200</v>
      </c>
      <c r="D126" s="101" t="s">
        <v>2904</v>
      </c>
      <c r="E126" s="24"/>
      <c r="F126" s="23"/>
      <c r="G126" s="102"/>
      <c r="H126" s="34">
        <f>IF(ISBLANK(G126),0,G126*C126)+IF(ISBLANK(F126),0,F126*objecturen14_1)</f>
        <v>0</v>
      </c>
      <c r="I126" s="34">
        <f>IF(C126=0,0,H126/C126)</f>
        <v>0</v>
      </c>
      <c r="J126" s="37">
        <f>IF(ISBLANK(E126),0,ROUND(E126,2)*H126)</f>
        <v>0</v>
      </c>
      <c r="K126" s="37">
        <f>J126/12</f>
        <v>0</v>
      </c>
    </row>
    <row r="127" spans="1:11" x14ac:dyDescent="0.2">
      <c r="A127" s="20"/>
      <c r="B127" s="20"/>
      <c r="C127" s="100">
        <f>dagenperjaar1</f>
        <v>200</v>
      </c>
      <c r="D127" s="101" t="s">
        <v>2904</v>
      </c>
      <c r="E127" s="24"/>
      <c r="F127" s="23"/>
      <c r="G127" s="102"/>
      <c r="H127" s="34">
        <f>IF(ISBLANK(G127),0,G127*C127)+IF(ISBLANK(F127),0,F127*objecturen14_1)</f>
        <v>0</v>
      </c>
      <c r="I127" s="34">
        <f>IF(C127=0,0,H127/C127)</f>
        <v>0</v>
      </c>
      <c r="J127" s="37">
        <f>IF(ISBLANK(E127),0,ROUND(E127,2)*H127)</f>
        <v>0</v>
      </c>
      <c r="K127" s="37">
        <f>J127/12</f>
        <v>0</v>
      </c>
    </row>
    <row r="128" spans="1:11" x14ac:dyDescent="0.2">
      <c r="A128" s="20"/>
      <c r="B128" s="20"/>
      <c r="C128" s="100">
        <f>dagenperjaar1</f>
        <v>200</v>
      </c>
      <c r="D128" s="101" t="s">
        <v>2905</v>
      </c>
      <c r="E128" s="24"/>
      <c r="F128" s="103"/>
      <c r="G128" s="22"/>
      <c r="H128" s="34">
        <f>IF(ISBLANK(G128),0,G128*C128)+IF(ISBLANK(F128),0,F128*objecturen14_1)</f>
        <v>0</v>
      </c>
      <c r="I128" s="34">
        <f>IF(C128=0,0,H128/C128)</f>
        <v>0</v>
      </c>
      <c r="J128" s="37">
        <f>IF(ISBLANK(E128),0,ROUND(E128,2)*H128)</f>
        <v>0</v>
      </c>
      <c r="K128" s="37">
        <f>J128/12</f>
        <v>0</v>
      </c>
    </row>
    <row r="129" spans="1:11" x14ac:dyDescent="0.2">
      <c r="A129" s="25"/>
      <c r="B129" s="25"/>
      <c r="C129" s="104">
        <f>dagenperjaar1</f>
        <v>200</v>
      </c>
      <c r="D129" s="105" t="s">
        <v>2905</v>
      </c>
      <c r="E129" s="29"/>
      <c r="F129" s="106"/>
      <c r="G129" s="27"/>
      <c r="H129" s="39">
        <f>IF(ISBLANK(G129),0,G129*C129)+IF(ISBLANK(F129),0,F129*objecturen14_1)</f>
        <v>0</v>
      </c>
      <c r="I129" s="39">
        <f>IF(C129=0,0,H129/C129)</f>
        <v>0</v>
      </c>
      <c r="J129" s="41">
        <f>IF(ISBLANK(E129),0,ROUND(E129,2)*H129)</f>
        <v>0</v>
      </c>
      <c r="K129" s="41">
        <f>J129/12</f>
        <v>0</v>
      </c>
    </row>
    <row r="130" spans="1:11" x14ac:dyDescent="0.2">
      <c r="A130" s="107" t="s">
        <v>2919</v>
      </c>
      <c r="B130" s="44"/>
      <c r="C130" s="44"/>
      <c r="D130" s="44"/>
      <c r="E130" s="44"/>
      <c r="F130" s="44"/>
      <c r="G130" s="44"/>
      <c r="H130" s="45">
        <f>SUM(H125:H129)</f>
        <v>0</v>
      </c>
      <c r="I130" s="44"/>
      <c r="J130" s="46">
        <f>SUM(J125:J129)</f>
        <v>0</v>
      </c>
      <c r="K130" s="47">
        <f>SUM(K125:K129)</f>
        <v>0</v>
      </c>
    </row>
    <row r="131" spans="1:11" x14ac:dyDescent="0.2">
      <c r="A131" s="48"/>
      <c r="B131" s="44"/>
      <c r="C131" s="44"/>
      <c r="D131" s="44"/>
      <c r="E131" s="44"/>
      <c r="F131" s="44"/>
      <c r="G131" s="44"/>
      <c r="H131" s="44"/>
      <c r="I131" s="44"/>
      <c r="J131" s="44"/>
      <c r="K131" s="49"/>
    </row>
    <row r="132" spans="1:11" x14ac:dyDescent="0.2">
      <c r="A132" s="9"/>
      <c r="B132" s="10"/>
      <c r="C132" s="10"/>
      <c r="D132" s="10"/>
      <c r="E132" s="10"/>
      <c r="F132" s="10"/>
      <c r="G132" s="10"/>
      <c r="H132" s="10"/>
      <c r="I132" s="10"/>
      <c r="J132" s="10"/>
      <c r="K132" s="11"/>
    </row>
    <row r="133" spans="1:11" x14ac:dyDescent="0.2">
      <c r="A133" s="98" t="s">
        <v>2058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4"/>
    </row>
    <row r="134" spans="1:11" x14ac:dyDescent="0.2">
      <c r="A134" s="15" t="s">
        <v>2902</v>
      </c>
      <c r="B134" s="15" t="s">
        <v>10</v>
      </c>
      <c r="C134" s="16">
        <f>IF(ISBLANK(B134),0,IF(ISERROR(VALUE(B134)),VLOOKUP(B134,dagsoorttabel1,2,FALSE)*dagenperjaar1,VALUE(B134)))</f>
        <v>200</v>
      </c>
      <c r="D134" s="15" t="s">
        <v>2903</v>
      </c>
      <c r="E134" s="19"/>
      <c r="F134" s="18"/>
      <c r="G134" s="99"/>
      <c r="H134" s="30">
        <f>IF(ISBLANK(G134),0,G134*C134)+IF(ISBLANK(F134),0,F134*objecturen15_1)</f>
        <v>0</v>
      </c>
      <c r="I134" s="30">
        <f>IF(C134=0,0,H134/C134)</f>
        <v>0</v>
      </c>
      <c r="J134" s="33">
        <f>IF(ISBLANK(E134),0,ROUND(E134,2)*H134)</f>
        <v>0</v>
      </c>
      <c r="K134" s="33">
        <f>J134/12</f>
        <v>0</v>
      </c>
    </row>
    <row r="135" spans="1:11" x14ac:dyDescent="0.2">
      <c r="A135" s="20"/>
      <c r="B135" s="20"/>
      <c r="C135" s="100">
        <f>dagenperjaar1</f>
        <v>200</v>
      </c>
      <c r="D135" s="101" t="s">
        <v>2904</v>
      </c>
      <c r="E135" s="24"/>
      <c r="F135" s="23"/>
      <c r="G135" s="102"/>
      <c r="H135" s="34">
        <f>IF(ISBLANK(G135),0,G135*C135)+IF(ISBLANK(F135),0,F135*objecturen15_1)</f>
        <v>0</v>
      </c>
      <c r="I135" s="34">
        <f>IF(C135=0,0,H135/C135)</f>
        <v>0</v>
      </c>
      <c r="J135" s="37">
        <f>IF(ISBLANK(E135),0,ROUND(E135,2)*H135)</f>
        <v>0</v>
      </c>
      <c r="K135" s="37">
        <f>J135/12</f>
        <v>0</v>
      </c>
    </row>
    <row r="136" spans="1:11" x14ac:dyDescent="0.2">
      <c r="A136" s="20"/>
      <c r="B136" s="20"/>
      <c r="C136" s="100">
        <f>dagenperjaar1</f>
        <v>200</v>
      </c>
      <c r="D136" s="101" t="s">
        <v>2904</v>
      </c>
      <c r="E136" s="24"/>
      <c r="F136" s="23"/>
      <c r="G136" s="102"/>
      <c r="H136" s="34">
        <f>IF(ISBLANK(G136),0,G136*C136)+IF(ISBLANK(F136),0,F136*objecturen15_1)</f>
        <v>0</v>
      </c>
      <c r="I136" s="34">
        <f>IF(C136=0,0,H136/C136)</f>
        <v>0</v>
      </c>
      <c r="J136" s="37">
        <f>IF(ISBLANK(E136),0,ROUND(E136,2)*H136)</f>
        <v>0</v>
      </c>
      <c r="K136" s="37">
        <f>J136/12</f>
        <v>0</v>
      </c>
    </row>
    <row r="137" spans="1:11" x14ac:dyDescent="0.2">
      <c r="A137" s="20"/>
      <c r="B137" s="20"/>
      <c r="C137" s="100">
        <f>dagenperjaar1</f>
        <v>200</v>
      </c>
      <c r="D137" s="101" t="s">
        <v>2905</v>
      </c>
      <c r="E137" s="24"/>
      <c r="F137" s="103"/>
      <c r="G137" s="22"/>
      <c r="H137" s="34">
        <f>IF(ISBLANK(G137),0,G137*C137)+IF(ISBLANK(F137),0,F137*objecturen15_1)</f>
        <v>0</v>
      </c>
      <c r="I137" s="34">
        <f>IF(C137=0,0,H137/C137)</f>
        <v>0</v>
      </c>
      <c r="J137" s="37">
        <f>IF(ISBLANK(E137),0,ROUND(E137,2)*H137)</f>
        <v>0</v>
      </c>
      <c r="K137" s="37">
        <f>J137/12</f>
        <v>0</v>
      </c>
    </row>
    <row r="138" spans="1:11" x14ac:dyDescent="0.2">
      <c r="A138" s="25"/>
      <c r="B138" s="25"/>
      <c r="C138" s="104">
        <f>dagenperjaar1</f>
        <v>200</v>
      </c>
      <c r="D138" s="105" t="s">
        <v>2905</v>
      </c>
      <c r="E138" s="29"/>
      <c r="F138" s="106"/>
      <c r="G138" s="27"/>
      <c r="H138" s="39">
        <f>IF(ISBLANK(G138),0,G138*C138)+IF(ISBLANK(F138),0,F138*objecturen15_1)</f>
        <v>0</v>
      </c>
      <c r="I138" s="39">
        <f>IF(C138=0,0,H138/C138)</f>
        <v>0</v>
      </c>
      <c r="J138" s="41">
        <f>IF(ISBLANK(E138),0,ROUND(E138,2)*H138)</f>
        <v>0</v>
      </c>
      <c r="K138" s="41">
        <f>J138/12</f>
        <v>0</v>
      </c>
    </row>
    <row r="139" spans="1:11" x14ac:dyDescent="0.2">
      <c r="A139" s="107" t="s">
        <v>2920</v>
      </c>
      <c r="B139" s="44"/>
      <c r="C139" s="44"/>
      <c r="D139" s="44"/>
      <c r="E139" s="44"/>
      <c r="F139" s="44"/>
      <c r="G139" s="44"/>
      <c r="H139" s="45">
        <f>SUM(H134:H138)</f>
        <v>0</v>
      </c>
      <c r="I139" s="44"/>
      <c r="J139" s="46">
        <f>SUM(J134:J138)</f>
        <v>0</v>
      </c>
      <c r="K139" s="47">
        <f>SUM(K134:K138)</f>
        <v>0</v>
      </c>
    </row>
    <row r="140" spans="1:11" x14ac:dyDescent="0.2">
      <c r="A140" s="48"/>
      <c r="B140" s="44"/>
      <c r="C140" s="44"/>
      <c r="D140" s="44"/>
      <c r="E140" s="44"/>
      <c r="F140" s="44"/>
      <c r="G140" s="44"/>
      <c r="H140" s="44"/>
      <c r="I140" s="44"/>
      <c r="J140" s="44"/>
      <c r="K140" s="49"/>
    </row>
    <row r="141" spans="1:11" x14ac:dyDescent="0.2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1"/>
    </row>
    <row r="142" spans="1:11" x14ac:dyDescent="0.2">
      <c r="A142" s="98" t="s">
        <v>2098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4"/>
    </row>
    <row r="143" spans="1:11" x14ac:dyDescent="0.2">
      <c r="A143" s="15" t="s">
        <v>2902</v>
      </c>
      <c r="B143" s="15" t="s">
        <v>10</v>
      </c>
      <c r="C143" s="16">
        <f>IF(ISBLANK(B143),0,IF(ISERROR(VALUE(B143)),VLOOKUP(B143,dagsoorttabel1,2,FALSE)*dagenperjaar1,VALUE(B143)))</f>
        <v>200</v>
      </c>
      <c r="D143" s="15" t="s">
        <v>2903</v>
      </c>
      <c r="E143" s="19"/>
      <c r="F143" s="18"/>
      <c r="G143" s="99"/>
      <c r="H143" s="30">
        <f>IF(ISBLANK(G143),0,G143*C143)+IF(ISBLANK(F143),0,F143*objecturen16_1)</f>
        <v>0</v>
      </c>
      <c r="I143" s="30">
        <f>IF(C143=0,0,H143/C143)</f>
        <v>0</v>
      </c>
      <c r="J143" s="33">
        <f>IF(ISBLANK(E143),0,ROUND(E143,2)*H143)</f>
        <v>0</v>
      </c>
      <c r="K143" s="33">
        <f>J143/12</f>
        <v>0</v>
      </c>
    </row>
    <row r="144" spans="1:11" x14ac:dyDescent="0.2">
      <c r="A144" s="20"/>
      <c r="B144" s="20"/>
      <c r="C144" s="100">
        <f>dagenperjaar1</f>
        <v>200</v>
      </c>
      <c r="D144" s="101" t="s">
        <v>2904</v>
      </c>
      <c r="E144" s="24"/>
      <c r="F144" s="23"/>
      <c r="G144" s="102"/>
      <c r="H144" s="34">
        <f>IF(ISBLANK(G144),0,G144*C144)+IF(ISBLANK(F144),0,F144*objecturen16_1)</f>
        <v>0</v>
      </c>
      <c r="I144" s="34">
        <f>IF(C144=0,0,H144/C144)</f>
        <v>0</v>
      </c>
      <c r="J144" s="37">
        <f>IF(ISBLANK(E144),0,ROUND(E144,2)*H144)</f>
        <v>0</v>
      </c>
      <c r="K144" s="37">
        <f>J144/12</f>
        <v>0</v>
      </c>
    </row>
    <row r="145" spans="1:11" x14ac:dyDescent="0.2">
      <c r="A145" s="20"/>
      <c r="B145" s="20"/>
      <c r="C145" s="100">
        <f>dagenperjaar1</f>
        <v>200</v>
      </c>
      <c r="D145" s="101" t="s">
        <v>2904</v>
      </c>
      <c r="E145" s="24"/>
      <c r="F145" s="23"/>
      <c r="G145" s="102"/>
      <c r="H145" s="34">
        <f>IF(ISBLANK(G145),0,G145*C145)+IF(ISBLANK(F145),0,F145*objecturen16_1)</f>
        <v>0</v>
      </c>
      <c r="I145" s="34">
        <f>IF(C145=0,0,H145/C145)</f>
        <v>0</v>
      </c>
      <c r="J145" s="37">
        <f>IF(ISBLANK(E145),0,ROUND(E145,2)*H145)</f>
        <v>0</v>
      </c>
      <c r="K145" s="37">
        <f>J145/12</f>
        <v>0</v>
      </c>
    </row>
    <row r="146" spans="1:11" x14ac:dyDescent="0.2">
      <c r="A146" s="20"/>
      <c r="B146" s="20"/>
      <c r="C146" s="100">
        <f>dagenperjaar1</f>
        <v>200</v>
      </c>
      <c r="D146" s="101" t="s">
        <v>2905</v>
      </c>
      <c r="E146" s="24"/>
      <c r="F146" s="103"/>
      <c r="G146" s="22"/>
      <c r="H146" s="34">
        <f>IF(ISBLANK(G146),0,G146*C146)+IF(ISBLANK(F146),0,F146*objecturen16_1)</f>
        <v>0</v>
      </c>
      <c r="I146" s="34">
        <f>IF(C146=0,0,H146/C146)</f>
        <v>0</v>
      </c>
      <c r="J146" s="37">
        <f>IF(ISBLANK(E146),0,ROUND(E146,2)*H146)</f>
        <v>0</v>
      </c>
      <c r="K146" s="37">
        <f>J146/12</f>
        <v>0</v>
      </c>
    </row>
    <row r="147" spans="1:11" x14ac:dyDescent="0.2">
      <c r="A147" s="25"/>
      <c r="B147" s="25"/>
      <c r="C147" s="104">
        <f>dagenperjaar1</f>
        <v>200</v>
      </c>
      <c r="D147" s="105" t="s">
        <v>2905</v>
      </c>
      <c r="E147" s="29"/>
      <c r="F147" s="106"/>
      <c r="G147" s="27"/>
      <c r="H147" s="39">
        <f>IF(ISBLANK(G147),0,G147*C147)+IF(ISBLANK(F147),0,F147*objecturen16_1)</f>
        <v>0</v>
      </c>
      <c r="I147" s="39">
        <f>IF(C147=0,0,H147/C147)</f>
        <v>0</v>
      </c>
      <c r="J147" s="41">
        <f>IF(ISBLANK(E147),0,ROUND(E147,2)*H147)</f>
        <v>0</v>
      </c>
      <c r="K147" s="41">
        <f>J147/12</f>
        <v>0</v>
      </c>
    </row>
    <row r="148" spans="1:11" x14ac:dyDescent="0.2">
      <c r="A148" s="107" t="s">
        <v>2921</v>
      </c>
      <c r="B148" s="44"/>
      <c r="C148" s="44"/>
      <c r="D148" s="44"/>
      <c r="E148" s="44"/>
      <c r="F148" s="44"/>
      <c r="G148" s="44"/>
      <c r="H148" s="45">
        <f>SUM(H143:H147)</f>
        <v>0</v>
      </c>
      <c r="I148" s="44"/>
      <c r="J148" s="46">
        <f>SUM(J143:J147)</f>
        <v>0</v>
      </c>
      <c r="K148" s="47">
        <f>SUM(K143:K147)</f>
        <v>0</v>
      </c>
    </row>
    <row r="149" spans="1:11" x14ac:dyDescent="0.2">
      <c r="A149" s="48"/>
      <c r="B149" s="44"/>
      <c r="C149" s="44"/>
      <c r="D149" s="44"/>
      <c r="E149" s="44"/>
      <c r="F149" s="44"/>
      <c r="G149" s="44"/>
      <c r="H149" s="44"/>
      <c r="I149" s="44"/>
      <c r="J149" s="44"/>
      <c r="K149" s="49"/>
    </row>
    <row r="150" spans="1:11" x14ac:dyDescent="0.2">
      <c r="A150" s="9"/>
      <c r="B150" s="10"/>
      <c r="C150" s="10"/>
      <c r="D150" s="10"/>
      <c r="E150" s="10"/>
      <c r="F150" s="10"/>
      <c r="G150" s="10"/>
      <c r="H150" s="10"/>
      <c r="I150" s="10"/>
      <c r="J150" s="10"/>
      <c r="K150" s="11"/>
    </row>
    <row r="151" spans="1:11" x14ac:dyDescent="0.2">
      <c r="A151" s="98" t="s">
        <v>2503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4"/>
    </row>
    <row r="152" spans="1:11" x14ac:dyDescent="0.2">
      <c r="A152" s="15" t="s">
        <v>2902</v>
      </c>
      <c r="B152" s="15" t="s">
        <v>10</v>
      </c>
      <c r="C152" s="16">
        <f>IF(ISBLANK(B152),0,IF(ISERROR(VALUE(B152)),VLOOKUP(B152,dagsoorttabel1,2,FALSE)*dagenperjaar1,VALUE(B152)))</f>
        <v>200</v>
      </c>
      <c r="D152" s="15" t="s">
        <v>2903</v>
      </c>
      <c r="E152" s="19"/>
      <c r="F152" s="18"/>
      <c r="G152" s="99"/>
      <c r="H152" s="30">
        <f>IF(ISBLANK(G152),0,G152*C152)+IF(ISBLANK(F152),0,F152*objecturen17_1)</f>
        <v>0</v>
      </c>
      <c r="I152" s="30">
        <f>IF(C152=0,0,H152/C152)</f>
        <v>0</v>
      </c>
      <c r="J152" s="33">
        <f>IF(ISBLANK(E152),0,ROUND(E152,2)*H152)</f>
        <v>0</v>
      </c>
      <c r="K152" s="33">
        <f>J152/12</f>
        <v>0</v>
      </c>
    </row>
    <row r="153" spans="1:11" x14ac:dyDescent="0.2">
      <c r="A153" s="20"/>
      <c r="B153" s="20"/>
      <c r="C153" s="100">
        <f>dagenperjaar1</f>
        <v>200</v>
      </c>
      <c r="D153" s="101" t="s">
        <v>2904</v>
      </c>
      <c r="E153" s="24"/>
      <c r="F153" s="23"/>
      <c r="G153" s="102"/>
      <c r="H153" s="34">
        <f>IF(ISBLANK(G153),0,G153*C153)+IF(ISBLANK(F153),0,F153*objecturen17_1)</f>
        <v>0</v>
      </c>
      <c r="I153" s="34">
        <f>IF(C153=0,0,H153/C153)</f>
        <v>0</v>
      </c>
      <c r="J153" s="37">
        <f>IF(ISBLANK(E153),0,ROUND(E153,2)*H153)</f>
        <v>0</v>
      </c>
      <c r="K153" s="37">
        <f>J153/12</f>
        <v>0</v>
      </c>
    </row>
    <row r="154" spans="1:11" x14ac:dyDescent="0.2">
      <c r="A154" s="20"/>
      <c r="B154" s="20"/>
      <c r="C154" s="100">
        <f>dagenperjaar1</f>
        <v>200</v>
      </c>
      <c r="D154" s="101" t="s">
        <v>2904</v>
      </c>
      <c r="E154" s="24"/>
      <c r="F154" s="23"/>
      <c r="G154" s="102"/>
      <c r="H154" s="34">
        <f>IF(ISBLANK(G154),0,G154*C154)+IF(ISBLANK(F154),0,F154*objecturen17_1)</f>
        <v>0</v>
      </c>
      <c r="I154" s="34">
        <f>IF(C154=0,0,H154/C154)</f>
        <v>0</v>
      </c>
      <c r="J154" s="37">
        <f>IF(ISBLANK(E154),0,ROUND(E154,2)*H154)</f>
        <v>0</v>
      </c>
      <c r="K154" s="37">
        <f>J154/12</f>
        <v>0</v>
      </c>
    </row>
    <row r="155" spans="1:11" x14ac:dyDescent="0.2">
      <c r="A155" s="20"/>
      <c r="B155" s="20"/>
      <c r="C155" s="100">
        <f>dagenperjaar1</f>
        <v>200</v>
      </c>
      <c r="D155" s="101" t="s">
        <v>2905</v>
      </c>
      <c r="E155" s="24"/>
      <c r="F155" s="103"/>
      <c r="G155" s="22"/>
      <c r="H155" s="34">
        <f>IF(ISBLANK(G155),0,G155*C155)+IF(ISBLANK(F155),0,F155*objecturen17_1)</f>
        <v>0</v>
      </c>
      <c r="I155" s="34">
        <f>IF(C155=0,0,H155/C155)</f>
        <v>0</v>
      </c>
      <c r="J155" s="37">
        <f>IF(ISBLANK(E155),0,ROUND(E155,2)*H155)</f>
        <v>0</v>
      </c>
      <c r="K155" s="37">
        <f>J155/12</f>
        <v>0</v>
      </c>
    </row>
    <row r="156" spans="1:11" x14ac:dyDescent="0.2">
      <c r="A156" s="25"/>
      <c r="B156" s="25"/>
      <c r="C156" s="104">
        <f>dagenperjaar1</f>
        <v>200</v>
      </c>
      <c r="D156" s="105" t="s">
        <v>2905</v>
      </c>
      <c r="E156" s="29"/>
      <c r="F156" s="106"/>
      <c r="G156" s="27"/>
      <c r="H156" s="39">
        <f>IF(ISBLANK(G156),0,G156*C156)+IF(ISBLANK(F156),0,F156*objecturen17_1)</f>
        <v>0</v>
      </c>
      <c r="I156" s="39">
        <f>IF(C156=0,0,H156/C156)</f>
        <v>0</v>
      </c>
      <c r="J156" s="41">
        <f>IF(ISBLANK(E156),0,ROUND(E156,2)*H156)</f>
        <v>0</v>
      </c>
      <c r="K156" s="41">
        <f>J156/12</f>
        <v>0</v>
      </c>
    </row>
    <row r="157" spans="1:11" x14ac:dyDescent="0.2">
      <c r="A157" s="107" t="s">
        <v>2922</v>
      </c>
      <c r="B157" s="44"/>
      <c r="C157" s="44"/>
      <c r="D157" s="44"/>
      <c r="E157" s="44"/>
      <c r="F157" s="44"/>
      <c r="G157" s="44"/>
      <c r="H157" s="45">
        <f>SUM(H152:H156)</f>
        <v>0</v>
      </c>
      <c r="I157" s="44"/>
      <c r="J157" s="46">
        <f>SUM(J152:J156)</f>
        <v>0</v>
      </c>
      <c r="K157" s="47">
        <f>SUM(K152:K156)</f>
        <v>0</v>
      </c>
    </row>
    <row r="158" spans="1:11" x14ac:dyDescent="0.2">
      <c r="A158" s="48"/>
      <c r="B158" s="44"/>
      <c r="C158" s="44"/>
      <c r="D158" s="44"/>
      <c r="E158" s="44"/>
      <c r="F158" s="44"/>
      <c r="G158" s="44"/>
      <c r="H158" s="44"/>
      <c r="I158" s="44"/>
      <c r="J158" s="44"/>
      <c r="K158" s="49"/>
    </row>
    <row r="159" spans="1:11" x14ac:dyDescent="0.2">
      <c r="A159" s="43" t="s">
        <v>300</v>
      </c>
      <c r="B159" s="44"/>
      <c r="C159" s="44"/>
      <c r="D159" s="44"/>
      <c r="E159" s="44"/>
      <c r="F159" s="44"/>
      <c r="G159" s="44"/>
      <c r="H159" s="45">
        <f>tzujt1_1+tzujt2_1+tzujt3_1+tzujt4_1+tzujt5_1+tzujt6_1+tzujt7_1+tzujt8_1+tzujt9_1+tzujt10_1+tzujt11_1+tzujt12_1+tzujt13_1+tzujt14_1+tzujt15_1+tzujt16_1+tzujt17_1</f>
        <v>0</v>
      </c>
      <c r="I159" s="44"/>
      <c r="J159" s="46">
        <f>tzpjt1_1+tzpjt2_1+tzpjt3_1+tzpjt4_1+tzpjt5_1+tzpjt6_1+tzpjt7_1+tzpjt8_1+tzpjt9_1+tzpjt10_1+tzpjt11_1+tzpjt12_1+tzpjt13_1+tzpjt14_1+tzpjt15_1+tzpjt16_1+tzpjt17_1</f>
        <v>0</v>
      </c>
      <c r="K159" s="47">
        <f>tzpmt1_1+tzpmt2_1+tzpmt3_1+tzpmt4_1+tzpmt5_1+tzpmt6_1+tzpmt7_1+tzpmt8_1+tzpmt9_1+tzpmt10_1+tzpmt11_1+tzpmt12_1+tzpmt13_1+tzpmt14_1+tzpmt15_1+tzpmt16_1+tzpmt17_1</f>
        <v>0</v>
      </c>
    </row>
    <row r="160" spans="1:11" x14ac:dyDescent="0.2">
      <c r="A160" s="48"/>
      <c r="B160" s="44"/>
      <c r="C160" s="44"/>
      <c r="D160" s="44"/>
      <c r="E160" s="44"/>
      <c r="F160" s="44"/>
      <c r="G160" s="44"/>
      <c r="H160" s="44"/>
      <c r="I160" s="44"/>
      <c r="J160" s="44"/>
      <c r="K160" s="49"/>
    </row>
    <row r="161" spans="1:11" x14ac:dyDescent="0.2">
      <c r="A161" s="95"/>
      <c r="B161" s="96"/>
      <c r="C161" s="96"/>
      <c r="D161" s="96"/>
      <c r="E161" s="96"/>
      <c r="F161" s="96"/>
      <c r="G161" s="96"/>
      <c r="H161" s="96"/>
      <c r="I161" s="96"/>
      <c r="J161" s="96"/>
      <c r="K161" s="97"/>
    </row>
    <row r="162" spans="1:11" x14ac:dyDescent="0.2">
      <c r="A162" s="12" t="s">
        <v>183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4"/>
    </row>
    <row r="163" spans="1:11" x14ac:dyDescent="0.2">
      <c r="A163" s="9"/>
      <c r="B163" s="10"/>
      <c r="C163" s="10"/>
      <c r="D163" s="10"/>
      <c r="E163" s="10"/>
      <c r="F163" s="10"/>
      <c r="G163" s="10"/>
      <c r="H163" s="10"/>
      <c r="I163" s="10"/>
      <c r="J163" s="10"/>
      <c r="K163" s="11"/>
    </row>
    <row r="164" spans="1:11" x14ac:dyDescent="0.2">
      <c r="A164" s="98" t="s">
        <v>603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4"/>
    </row>
    <row r="165" spans="1:11" x14ac:dyDescent="0.2">
      <c r="A165" s="15" t="s">
        <v>2923</v>
      </c>
      <c r="B165" s="15" t="s">
        <v>21</v>
      </c>
      <c r="C165" s="16">
        <f>IF(ISBLANK(B165),0,IF(ISERROR(VALUE(B165)),VLOOKUP(B165,dagsoorttabel1,2,FALSE)*dagenperjaar1,VALUE(B165)))</f>
        <v>5</v>
      </c>
      <c r="D165" s="15" t="s">
        <v>2903</v>
      </c>
      <c r="E165" s="19"/>
      <c r="F165" s="18"/>
      <c r="G165" s="99"/>
      <c r="H165" s="30">
        <f>IF(ISBLANK(G165),0,G165*C165)+IF(ISBLANK(F165),0,F165*objecturen2_3)</f>
        <v>0</v>
      </c>
      <c r="I165" s="30">
        <f>IF(C165=0,0,H165/C165)</f>
        <v>0</v>
      </c>
      <c r="J165" s="33">
        <f>IF(ISBLANK(E165),0,ROUND(E165,2)*H165)</f>
        <v>0</v>
      </c>
      <c r="K165" s="33">
        <f>J165/12</f>
        <v>0</v>
      </c>
    </row>
    <row r="166" spans="1:11" x14ac:dyDescent="0.2">
      <c r="A166" s="20"/>
      <c r="B166" s="20"/>
      <c r="C166" s="100">
        <f>dagenperjaar1</f>
        <v>200</v>
      </c>
      <c r="D166" s="101" t="s">
        <v>2904</v>
      </c>
      <c r="E166" s="24"/>
      <c r="F166" s="23"/>
      <c r="G166" s="102"/>
      <c r="H166" s="34">
        <f>IF(ISBLANK(G166),0,G166*C166)+IF(ISBLANK(F166),0,F166*objecturen2_3)</f>
        <v>0</v>
      </c>
      <c r="I166" s="34">
        <f>IF(C166=0,0,H166/C166)</f>
        <v>0</v>
      </c>
      <c r="J166" s="37">
        <f>IF(ISBLANK(E166),0,ROUND(E166,2)*H166)</f>
        <v>0</v>
      </c>
      <c r="K166" s="37">
        <f>J166/12</f>
        <v>0</v>
      </c>
    </row>
    <row r="167" spans="1:11" x14ac:dyDescent="0.2">
      <c r="A167" s="20"/>
      <c r="B167" s="20"/>
      <c r="C167" s="100">
        <f>dagenperjaar1</f>
        <v>200</v>
      </c>
      <c r="D167" s="101" t="s">
        <v>2904</v>
      </c>
      <c r="E167" s="24"/>
      <c r="F167" s="23"/>
      <c r="G167" s="102"/>
      <c r="H167" s="34">
        <f>IF(ISBLANK(G167),0,G167*C167)+IF(ISBLANK(F167),0,F167*objecturen2_3)</f>
        <v>0</v>
      </c>
      <c r="I167" s="34">
        <f>IF(C167=0,0,H167/C167)</f>
        <v>0</v>
      </c>
      <c r="J167" s="37">
        <f>IF(ISBLANK(E167),0,ROUND(E167,2)*H167)</f>
        <v>0</v>
      </c>
      <c r="K167" s="37">
        <f>J167/12</f>
        <v>0</v>
      </c>
    </row>
    <row r="168" spans="1:11" x14ac:dyDescent="0.2">
      <c r="A168" s="20"/>
      <c r="B168" s="20"/>
      <c r="C168" s="100">
        <f>dagenperjaar1</f>
        <v>200</v>
      </c>
      <c r="D168" s="101" t="s">
        <v>2905</v>
      </c>
      <c r="E168" s="24"/>
      <c r="F168" s="103"/>
      <c r="G168" s="22"/>
      <c r="H168" s="34">
        <f>IF(ISBLANK(G168),0,G168*C168)+IF(ISBLANK(F168),0,F168*objecturen2_3)</f>
        <v>0</v>
      </c>
      <c r="I168" s="34">
        <f>IF(C168=0,0,H168/C168)</f>
        <v>0</v>
      </c>
      <c r="J168" s="37">
        <f>IF(ISBLANK(E168),0,ROUND(E168,2)*H168)</f>
        <v>0</v>
      </c>
      <c r="K168" s="37">
        <f>J168/12</f>
        <v>0</v>
      </c>
    </row>
    <row r="169" spans="1:11" x14ac:dyDescent="0.2">
      <c r="A169" s="25"/>
      <c r="B169" s="25"/>
      <c r="C169" s="104">
        <f>dagenperjaar1</f>
        <v>200</v>
      </c>
      <c r="D169" s="105" t="s">
        <v>2905</v>
      </c>
      <c r="E169" s="29"/>
      <c r="F169" s="106"/>
      <c r="G169" s="27"/>
      <c r="H169" s="39">
        <f>IF(ISBLANK(G169),0,G169*C169)+IF(ISBLANK(F169),0,F169*objecturen2_3)</f>
        <v>0</v>
      </c>
      <c r="I169" s="39">
        <f>IF(C169=0,0,H169/C169)</f>
        <v>0</v>
      </c>
      <c r="J169" s="41">
        <f>IF(ISBLANK(E169),0,ROUND(E169,2)*H169)</f>
        <v>0</v>
      </c>
      <c r="K169" s="41">
        <f>J169/12</f>
        <v>0</v>
      </c>
    </row>
    <row r="170" spans="1:11" x14ac:dyDescent="0.2">
      <c r="A170" s="107" t="s">
        <v>2907</v>
      </c>
      <c r="B170" s="44"/>
      <c r="C170" s="44"/>
      <c r="D170" s="44"/>
      <c r="E170" s="44"/>
      <c r="F170" s="44"/>
      <c r="G170" s="44"/>
      <c r="H170" s="45">
        <f>SUM(H165:H169)</f>
        <v>0</v>
      </c>
      <c r="I170" s="44"/>
      <c r="J170" s="46">
        <f>SUM(J165:J169)</f>
        <v>0</v>
      </c>
      <c r="K170" s="47">
        <f>SUM(K165:K169)</f>
        <v>0</v>
      </c>
    </row>
    <row r="171" spans="1:11" x14ac:dyDescent="0.2">
      <c r="A171" s="48"/>
      <c r="B171" s="44"/>
      <c r="C171" s="44"/>
      <c r="D171" s="44"/>
      <c r="E171" s="44"/>
      <c r="F171" s="44"/>
      <c r="G171" s="44"/>
      <c r="H171" s="44"/>
      <c r="I171" s="44"/>
      <c r="J171" s="44"/>
      <c r="K171" s="49"/>
    </row>
    <row r="172" spans="1:11" x14ac:dyDescent="0.2">
      <c r="A172" s="9"/>
      <c r="B172" s="10"/>
      <c r="C172" s="10"/>
      <c r="D172" s="10"/>
      <c r="E172" s="10"/>
      <c r="F172" s="10"/>
      <c r="G172" s="10"/>
      <c r="H172" s="10"/>
      <c r="I172" s="10"/>
      <c r="J172" s="10"/>
      <c r="K172" s="11"/>
    </row>
    <row r="173" spans="1:11" x14ac:dyDescent="0.2">
      <c r="A173" s="98" t="s">
        <v>990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4"/>
    </row>
    <row r="174" spans="1:11" x14ac:dyDescent="0.2">
      <c r="A174" s="15" t="s">
        <v>2923</v>
      </c>
      <c r="B174" s="15" t="s">
        <v>21</v>
      </c>
      <c r="C174" s="16">
        <f>IF(ISBLANK(B174),0,IF(ISERROR(VALUE(B174)),VLOOKUP(B174,dagsoorttabel1,2,FALSE)*dagenperjaar1,VALUE(B174)))</f>
        <v>5</v>
      </c>
      <c r="D174" s="15" t="s">
        <v>2903</v>
      </c>
      <c r="E174" s="19"/>
      <c r="F174" s="18"/>
      <c r="G174" s="99"/>
      <c r="H174" s="30">
        <f>IF(ISBLANK(G174),0,G174*C174)+IF(ISBLANK(F174),0,F174*objecturen4_3)</f>
        <v>0</v>
      </c>
      <c r="I174" s="30">
        <f>IF(C174=0,0,H174/C174)</f>
        <v>0</v>
      </c>
      <c r="J174" s="33">
        <f>IF(ISBLANK(E174),0,ROUND(E174,2)*H174)</f>
        <v>0</v>
      </c>
      <c r="K174" s="33">
        <f>J174/12</f>
        <v>0</v>
      </c>
    </row>
    <row r="175" spans="1:11" x14ac:dyDescent="0.2">
      <c r="A175" s="20"/>
      <c r="B175" s="20"/>
      <c r="C175" s="100">
        <f>dagenperjaar1</f>
        <v>200</v>
      </c>
      <c r="D175" s="101" t="s">
        <v>2904</v>
      </c>
      <c r="E175" s="24"/>
      <c r="F175" s="23"/>
      <c r="G175" s="102"/>
      <c r="H175" s="34">
        <f>IF(ISBLANK(G175),0,G175*C175)+IF(ISBLANK(F175),0,F175*objecturen4_3)</f>
        <v>0</v>
      </c>
      <c r="I175" s="34">
        <f>IF(C175=0,0,H175/C175)</f>
        <v>0</v>
      </c>
      <c r="J175" s="37">
        <f>IF(ISBLANK(E175),0,ROUND(E175,2)*H175)</f>
        <v>0</v>
      </c>
      <c r="K175" s="37">
        <f>J175/12</f>
        <v>0</v>
      </c>
    </row>
    <row r="176" spans="1:11" x14ac:dyDescent="0.2">
      <c r="A176" s="20"/>
      <c r="B176" s="20"/>
      <c r="C176" s="100">
        <f>dagenperjaar1</f>
        <v>200</v>
      </c>
      <c r="D176" s="101" t="s">
        <v>2904</v>
      </c>
      <c r="E176" s="24"/>
      <c r="F176" s="23"/>
      <c r="G176" s="102"/>
      <c r="H176" s="34">
        <f>IF(ISBLANK(G176),0,G176*C176)+IF(ISBLANK(F176),0,F176*objecturen4_3)</f>
        <v>0</v>
      </c>
      <c r="I176" s="34">
        <f>IF(C176=0,0,H176/C176)</f>
        <v>0</v>
      </c>
      <c r="J176" s="37">
        <f>IF(ISBLANK(E176),0,ROUND(E176,2)*H176)</f>
        <v>0</v>
      </c>
      <c r="K176" s="37">
        <f>J176/12</f>
        <v>0</v>
      </c>
    </row>
    <row r="177" spans="1:11" x14ac:dyDescent="0.2">
      <c r="A177" s="20"/>
      <c r="B177" s="20"/>
      <c r="C177" s="100">
        <f>dagenperjaar1</f>
        <v>200</v>
      </c>
      <c r="D177" s="101" t="s">
        <v>2905</v>
      </c>
      <c r="E177" s="24"/>
      <c r="F177" s="103"/>
      <c r="G177" s="22"/>
      <c r="H177" s="34">
        <f>IF(ISBLANK(G177),0,G177*C177)+IF(ISBLANK(F177),0,F177*objecturen4_3)</f>
        <v>0</v>
      </c>
      <c r="I177" s="34">
        <f>IF(C177=0,0,H177/C177)</f>
        <v>0</v>
      </c>
      <c r="J177" s="37">
        <f>IF(ISBLANK(E177),0,ROUND(E177,2)*H177)</f>
        <v>0</v>
      </c>
      <c r="K177" s="37">
        <f>J177/12</f>
        <v>0</v>
      </c>
    </row>
    <row r="178" spans="1:11" x14ac:dyDescent="0.2">
      <c r="A178" s="25"/>
      <c r="B178" s="25"/>
      <c r="C178" s="104">
        <f>dagenperjaar1</f>
        <v>200</v>
      </c>
      <c r="D178" s="105" t="s">
        <v>2905</v>
      </c>
      <c r="E178" s="29"/>
      <c r="F178" s="106"/>
      <c r="G178" s="27"/>
      <c r="H178" s="39">
        <f>IF(ISBLANK(G178),0,G178*C178)+IF(ISBLANK(F178),0,F178*objecturen4_3)</f>
        <v>0</v>
      </c>
      <c r="I178" s="39">
        <f>IF(C178=0,0,H178/C178)</f>
        <v>0</v>
      </c>
      <c r="J178" s="41">
        <f>IF(ISBLANK(E178),0,ROUND(E178,2)*H178)</f>
        <v>0</v>
      </c>
      <c r="K178" s="41">
        <f>J178/12</f>
        <v>0</v>
      </c>
    </row>
    <row r="179" spans="1:11" x14ac:dyDescent="0.2">
      <c r="A179" s="107" t="s">
        <v>2909</v>
      </c>
      <c r="B179" s="44"/>
      <c r="C179" s="44"/>
      <c r="D179" s="44"/>
      <c r="E179" s="44"/>
      <c r="F179" s="44"/>
      <c r="G179" s="44"/>
      <c r="H179" s="45">
        <f>SUM(H174:H178)</f>
        <v>0</v>
      </c>
      <c r="I179" s="44"/>
      <c r="J179" s="46">
        <f>SUM(J174:J178)</f>
        <v>0</v>
      </c>
      <c r="K179" s="47">
        <f>SUM(K174:K178)</f>
        <v>0</v>
      </c>
    </row>
    <row r="180" spans="1:11" x14ac:dyDescent="0.2">
      <c r="A180" s="48"/>
      <c r="B180" s="44"/>
      <c r="C180" s="44"/>
      <c r="D180" s="44"/>
      <c r="E180" s="44"/>
      <c r="F180" s="44"/>
      <c r="G180" s="44"/>
      <c r="H180" s="44"/>
      <c r="I180" s="44"/>
      <c r="J180" s="44"/>
      <c r="K180" s="49"/>
    </row>
    <row r="181" spans="1:11" x14ac:dyDescent="0.2">
      <c r="A181" s="9"/>
      <c r="B181" s="10"/>
      <c r="C181" s="10"/>
      <c r="D181" s="10"/>
      <c r="E181" s="10"/>
      <c r="F181" s="10"/>
      <c r="G181" s="10"/>
      <c r="H181" s="10"/>
      <c r="I181" s="10"/>
      <c r="J181" s="10"/>
      <c r="K181" s="11"/>
    </row>
    <row r="182" spans="1:11" x14ac:dyDescent="0.2">
      <c r="A182" s="98" t="s">
        <v>2098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4"/>
    </row>
    <row r="183" spans="1:11" x14ac:dyDescent="0.2">
      <c r="A183" s="15" t="s">
        <v>2923</v>
      </c>
      <c r="B183" s="15" t="s">
        <v>21</v>
      </c>
      <c r="C183" s="16">
        <f>IF(ISBLANK(B183),0,IF(ISERROR(VALUE(B183)),VLOOKUP(B183,dagsoorttabel1,2,FALSE)*dagenperjaar1,VALUE(B183)))</f>
        <v>5</v>
      </c>
      <c r="D183" s="15" t="s">
        <v>2903</v>
      </c>
      <c r="E183" s="19"/>
      <c r="F183" s="18"/>
      <c r="G183" s="99"/>
      <c r="H183" s="30">
        <f>IF(ISBLANK(G183),0,G183*C183)+IF(ISBLANK(F183),0,F183*objecturen16_3)</f>
        <v>0</v>
      </c>
      <c r="I183" s="30">
        <f>IF(C183=0,0,H183/C183)</f>
        <v>0</v>
      </c>
      <c r="J183" s="33">
        <f>IF(ISBLANK(E183),0,ROUND(E183,2)*H183)</f>
        <v>0</v>
      </c>
      <c r="K183" s="33">
        <f>J183/12</f>
        <v>0</v>
      </c>
    </row>
    <row r="184" spans="1:11" x14ac:dyDescent="0.2">
      <c r="A184" s="20"/>
      <c r="B184" s="20"/>
      <c r="C184" s="100">
        <f>dagenperjaar1</f>
        <v>200</v>
      </c>
      <c r="D184" s="101" t="s">
        <v>2904</v>
      </c>
      <c r="E184" s="24"/>
      <c r="F184" s="23"/>
      <c r="G184" s="102"/>
      <c r="H184" s="34">
        <f>IF(ISBLANK(G184),0,G184*C184)+IF(ISBLANK(F184),0,F184*objecturen16_3)</f>
        <v>0</v>
      </c>
      <c r="I184" s="34">
        <f>IF(C184=0,0,H184/C184)</f>
        <v>0</v>
      </c>
      <c r="J184" s="37">
        <f>IF(ISBLANK(E184),0,ROUND(E184,2)*H184)</f>
        <v>0</v>
      </c>
      <c r="K184" s="37">
        <f>J184/12</f>
        <v>0</v>
      </c>
    </row>
    <row r="185" spans="1:11" x14ac:dyDescent="0.2">
      <c r="A185" s="20"/>
      <c r="B185" s="20"/>
      <c r="C185" s="100">
        <f>dagenperjaar1</f>
        <v>200</v>
      </c>
      <c r="D185" s="101" t="s">
        <v>2904</v>
      </c>
      <c r="E185" s="24"/>
      <c r="F185" s="23"/>
      <c r="G185" s="102"/>
      <c r="H185" s="34">
        <f>IF(ISBLANK(G185),0,G185*C185)+IF(ISBLANK(F185),0,F185*objecturen16_3)</f>
        <v>0</v>
      </c>
      <c r="I185" s="34">
        <f>IF(C185=0,0,H185/C185)</f>
        <v>0</v>
      </c>
      <c r="J185" s="37">
        <f>IF(ISBLANK(E185),0,ROUND(E185,2)*H185)</f>
        <v>0</v>
      </c>
      <c r="K185" s="37">
        <f>J185/12</f>
        <v>0</v>
      </c>
    </row>
    <row r="186" spans="1:11" x14ac:dyDescent="0.2">
      <c r="A186" s="20"/>
      <c r="B186" s="20"/>
      <c r="C186" s="100">
        <f>dagenperjaar1</f>
        <v>200</v>
      </c>
      <c r="D186" s="101" t="s">
        <v>2905</v>
      </c>
      <c r="E186" s="24"/>
      <c r="F186" s="103"/>
      <c r="G186" s="22"/>
      <c r="H186" s="34">
        <f>IF(ISBLANK(G186),0,G186*C186)+IF(ISBLANK(F186),0,F186*objecturen16_3)</f>
        <v>0</v>
      </c>
      <c r="I186" s="34">
        <f>IF(C186=0,0,H186/C186)</f>
        <v>0</v>
      </c>
      <c r="J186" s="37">
        <f>IF(ISBLANK(E186),0,ROUND(E186,2)*H186)</f>
        <v>0</v>
      </c>
      <c r="K186" s="37">
        <f>J186/12</f>
        <v>0</v>
      </c>
    </row>
    <row r="187" spans="1:11" x14ac:dyDescent="0.2">
      <c r="A187" s="25"/>
      <c r="B187" s="25"/>
      <c r="C187" s="104">
        <f>dagenperjaar1</f>
        <v>200</v>
      </c>
      <c r="D187" s="105" t="s">
        <v>2905</v>
      </c>
      <c r="E187" s="29"/>
      <c r="F187" s="106"/>
      <c r="G187" s="27"/>
      <c r="H187" s="39">
        <f>IF(ISBLANK(G187),0,G187*C187)+IF(ISBLANK(F187),0,F187*objecturen16_3)</f>
        <v>0</v>
      </c>
      <c r="I187" s="39">
        <f>IF(C187=0,0,H187/C187)</f>
        <v>0</v>
      </c>
      <c r="J187" s="41">
        <f>IF(ISBLANK(E187),0,ROUND(E187,2)*H187)</f>
        <v>0</v>
      </c>
      <c r="K187" s="41">
        <f>J187/12</f>
        <v>0</v>
      </c>
    </row>
    <row r="188" spans="1:11" x14ac:dyDescent="0.2">
      <c r="A188" s="107" t="s">
        <v>2921</v>
      </c>
      <c r="B188" s="44"/>
      <c r="C188" s="44"/>
      <c r="D188" s="44"/>
      <c r="E188" s="44"/>
      <c r="F188" s="44"/>
      <c r="G188" s="44"/>
      <c r="H188" s="45">
        <f>SUM(H183:H187)</f>
        <v>0</v>
      </c>
      <c r="I188" s="44"/>
      <c r="J188" s="46">
        <f>SUM(J183:J187)</f>
        <v>0</v>
      </c>
      <c r="K188" s="47">
        <f>SUM(K183:K187)</f>
        <v>0</v>
      </c>
    </row>
    <row r="189" spans="1:11" x14ac:dyDescent="0.2">
      <c r="A189" s="48"/>
      <c r="B189" s="44"/>
      <c r="C189" s="44"/>
      <c r="D189" s="44"/>
      <c r="E189" s="44"/>
      <c r="F189" s="44"/>
      <c r="G189" s="44"/>
      <c r="H189" s="44"/>
      <c r="I189" s="44"/>
      <c r="J189" s="44"/>
      <c r="K189" s="49"/>
    </row>
    <row r="190" spans="1:11" x14ac:dyDescent="0.2">
      <c r="A190" s="43" t="s">
        <v>310</v>
      </c>
      <c r="B190" s="44"/>
      <c r="C190" s="44"/>
      <c r="D190" s="44"/>
      <c r="E190" s="44"/>
      <c r="F190" s="44"/>
      <c r="G190" s="44"/>
      <c r="H190" s="45">
        <f>tzujt2_3+tzujt4_3+tzujt16_3</f>
        <v>0</v>
      </c>
      <c r="I190" s="44"/>
      <c r="J190" s="46">
        <f>tzpjt2_3+tzpjt4_3+tzpjt16_3</f>
        <v>0</v>
      </c>
      <c r="K190" s="47">
        <f>tzpmt2_3+tzpmt4_3+tzpmt16_3</f>
        <v>0</v>
      </c>
    </row>
    <row r="191" spans="1:11" x14ac:dyDescent="0.2">
      <c r="A191" s="48"/>
      <c r="B191" s="44"/>
      <c r="C191" s="44"/>
      <c r="D191" s="44"/>
      <c r="E191" s="44"/>
      <c r="F191" s="44"/>
      <c r="G191" s="44"/>
      <c r="H191" s="44"/>
      <c r="I191" s="44"/>
      <c r="J191" s="44"/>
      <c r="K191" s="49"/>
    </row>
    <row r="193" spans="1:11" x14ac:dyDescent="0.2">
      <c r="A193" s="43" t="s">
        <v>2924</v>
      </c>
      <c r="B193" s="44"/>
      <c r="C193" s="44"/>
      <c r="D193" s="44"/>
      <c r="E193" s="44"/>
      <c r="F193" s="44"/>
      <c r="G193" s="44"/>
      <c r="H193" s="45">
        <f>tzujt1+tzujt3</f>
        <v>0</v>
      </c>
      <c r="I193" s="44"/>
      <c r="J193" s="46">
        <f>tzpjt1+tzpjt3</f>
        <v>0</v>
      </c>
      <c r="K193" s="46">
        <f>tzpmt1+tzpmt3</f>
        <v>0</v>
      </c>
    </row>
    <row r="195" spans="1:11" x14ac:dyDescent="0.2">
      <c r="A195" s="43" t="s">
        <v>2925</v>
      </c>
      <c r="B195" s="44"/>
      <c r="C195" s="44"/>
      <c r="D195" s="44"/>
      <c r="E195" s="44"/>
      <c r="F195" s="44"/>
      <c r="G195" s="44"/>
      <c r="H195" s="44"/>
      <c r="I195" s="44"/>
      <c r="J195" s="46">
        <f>J193*1.21</f>
        <v>0</v>
      </c>
      <c r="K195" s="46">
        <f>K193*1.21</f>
        <v>0</v>
      </c>
    </row>
  </sheetData>
  <pageMargins left="0.7" right="0.7" top="0.75" bottom="0.75" header="0.3" footer="0.3"/>
  <pageSetup paperSize="9" scale="65" orientation="landscape" r:id="rId1"/>
  <headerFooter>
    <oddFooter>&amp;LNUOVO Scholengroep EA 2023                                  &amp;ROpmaakdatum: 21-07-2023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93A09-40AA-4EF4-BA9F-3EA4CFCAFA7F}">
  <dimension ref="A1:L22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I.7: ",tabeltype," totaalblad objecten")</f>
        <v>Bijlage I.7: Invultabel totaalblad objecten</v>
      </c>
    </row>
    <row r="3" spans="1:12" ht="38.25" x14ac:dyDescent="0.2">
      <c r="A3" s="8" t="s">
        <v>313</v>
      </c>
      <c r="B3" s="8" t="s">
        <v>2837</v>
      </c>
      <c r="C3" s="8" t="s">
        <v>2838</v>
      </c>
      <c r="D3" s="8" t="s">
        <v>2839</v>
      </c>
      <c r="E3" s="8" t="s">
        <v>2849</v>
      </c>
      <c r="F3" s="8" t="s">
        <v>198</v>
      </c>
      <c r="G3" s="8" t="s">
        <v>2926</v>
      </c>
      <c r="H3" s="8" t="s">
        <v>2927</v>
      </c>
      <c r="I3" s="8" t="s">
        <v>2928</v>
      </c>
      <c r="J3" s="8" t="s">
        <v>2929</v>
      </c>
      <c r="K3" s="8" t="s">
        <v>2930</v>
      </c>
      <c r="L3" s="8" t="s">
        <v>2931</v>
      </c>
    </row>
    <row r="4" spans="1:12" x14ac:dyDescent="0.2">
      <c r="A4" s="15" t="s">
        <v>323</v>
      </c>
      <c r="B4" s="15" t="s">
        <v>2852</v>
      </c>
      <c r="C4" s="15" t="s">
        <v>2853</v>
      </c>
      <c r="D4" s="15" t="s">
        <v>2854</v>
      </c>
      <c r="E4" s="30">
        <f>objecturenhf1_1</f>
        <v>0</v>
      </c>
      <c r="F4" s="30">
        <f>objecturen1_1</f>
        <v>0</v>
      </c>
      <c r="G4" s="33">
        <f>objectprijs1_1</f>
        <v>0</v>
      </c>
      <c r="H4" s="30">
        <f>tzujt1_1</f>
        <v>0</v>
      </c>
      <c r="I4" s="33">
        <f>tzpjt1_1</f>
        <v>0</v>
      </c>
      <c r="J4" s="33">
        <f>G4+I4</f>
        <v>0</v>
      </c>
      <c r="K4" s="33">
        <f>J4/12</f>
        <v>0</v>
      </c>
      <c r="L4" s="33">
        <f>K4*1.21</f>
        <v>0</v>
      </c>
    </row>
    <row r="5" spans="1:12" x14ac:dyDescent="0.2">
      <c r="A5" s="20" t="s">
        <v>472</v>
      </c>
      <c r="B5" s="20" t="s">
        <v>2855</v>
      </c>
      <c r="C5" s="20" t="s">
        <v>2856</v>
      </c>
      <c r="D5" s="20" t="s">
        <v>2854</v>
      </c>
      <c r="E5" s="34">
        <f>objecturenhf2_1+objecturenhf2_3</f>
        <v>0</v>
      </c>
      <c r="F5" s="34">
        <f>objecturen2_1+objecturen2_3</f>
        <v>600</v>
      </c>
      <c r="G5" s="37">
        <f>objectprijs2_1+objectprijs2_3</f>
        <v>0</v>
      </c>
      <c r="H5" s="34">
        <f>tzujt2_1+tzujt2_3</f>
        <v>0</v>
      </c>
      <c r="I5" s="37">
        <f>tzpjt2_1+tzpjt2_3</f>
        <v>0</v>
      </c>
      <c r="J5" s="37">
        <f>G5+I5</f>
        <v>0</v>
      </c>
      <c r="K5" s="37">
        <f>J5/12</f>
        <v>0</v>
      </c>
      <c r="L5" s="37">
        <f>K5*1.21</f>
        <v>0</v>
      </c>
    </row>
    <row r="6" spans="1:12" x14ac:dyDescent="0.2">
      <c r="A6" s="20" t="s">
        <v>530</v>
      </c>
      <c r="B6" s="20" t="s">
        <v>2857</v>
      </c>
      <c r="C6" s="20" t="s">
        <v>2858</v>
      </c>
      <c r="D6" s="20" t="s">
        <v>2854</v>
      </c>
      <c r="E6" s="34">
        <f>objecturenhf3_1</f>
        <v>0</v>
      </c>
      <c r="F6" s="34">
        <f>objecturen3_1</f>
        <v>0</v>
      </c>
      <c r="G6" s="37">
        <f>objectprijs3_1</f>
        <v>0</v>
      </c>
      <c r="H6" s="34">
        <f>tzujt3_1</f>
        <v>0</v>
      </c>
      <c r="I6" s="37">
        <f>tzpjt3_1</f>
        <v>0</v>
      </c>
      <c r="J6" s="37">
        <f>G6+I6</f>
        <v>0</v>
      </c>
      <c r="K6" s="37">
        <f>J6/12</f>
        <v>0</v>
      </c>
      <c r="L6" s="37">
        <f>K6*1.21</f>
        <v>0</v>
      </c>
    </row>
    <row r="7" spans="1:12" x14ac:dyDescent="0.2">
      <c r="A7" s="20" t="s">
        <v>774</v>
      </c>
      <c r="B7" s="20" t="s">
        <v>2859</v>
      </c>
      <c r="C7" s="20" t="s">
        <v>2860</v>
      </c>
      <c r="D7" s="20" t="s">
        <v>2854</v>
      </c>
      <c r="E7" s="34">
        <f>objecturenhf4_1+objecturenhf4_3</f>
        <v>0</v>
      </c>
      <c r="F7" s="34">
        <f>objecturen4_1+objecturen4_3</f>
        <v>0</v>
      </c>
      <c r="G7" s="37">
        <f>objectprijs4_1+objectprijs4_3</f>
        <v>0</v>
      </c>
      <c r="H7" s="34">
        <f>tzujt4_1+tzujt4_3</f>
        <v>0</v>
      </c>
      <c r="I7" s="37">
        <f>tzpjt4_1+tzpjt4_3</f>
        <v>0</v>
      </c>
      <c r="J7" s="37">
        <f>G7+I7</f>
        <v>0</v>
      </c>
      <c r="K7" s="37">
        <f>J7/12</f>
        <v>0</v>
      </c>
      <c r="L7" s="37">
        <f>K7*1.21</f>
        <v>0</v>
      </c>
    </row>
    <row r="8" spans="1:12" x14ac:dyDescent="0.2">
      <c r="A8" s="20" t="s">
        <v>1299</v>
      </c>
      <c r="B8" s="20" t="s">
        <v>2861</v>
      </c>
      <c r="C8" s="20" t="s">
        <v>2862</v>
      </c>
      <c r="D8" s="20" t="s">
        <v>2863</v>
      </c>
      <c r="E8" s="34">
        <f>objecturenhf5_1</f>
        <v>0</v>
      </c>
      <c r="F8" s="34">
        <f>objecturen5_1</f>
        <v>0</v>
      </c>
      <c r="G8" s="37">
        <f>objectprijs5_1</f>
        <v>0</v>
      </c>
      <c r="H8" s="34">
        <f>tzujt5_1</f>
        <v>0</v>
      </c>
      <c r="I8" s="37">
        <f>tzpjt5_1</f>
        <v>0</v>
      </c>
      <c r="J8" s="37">
        <f>G8+I8</f>
        <v>0</v>
      </c>
      <c r="K8" s="37">
        <f>J8/12</f>
        <v>0</v>
      </c>
      <c r="L8" s="37">
        <f>K8*1.21</f>
        <v>0</v>
      </c>
    </row>
    <row r="9" spans="1:12" x14ac:dyDescent="0.2">
      <c r="A9" s="20" t="s">
        <v>1414</v>
      </c>
      <c r="B9" s="20" t="s">
        <v>2864</v>
      </c>
      <c r="C9" s="20" t="s">
        <v>2865</v>
      </c>
      <c r="D9" s="20" t="s">
        <v>2866</v>
      </c>
      <c r="E9" s="34">
        <f>objecturenhf6_1</f>
        <v>0</v>
      </c>
      <c r="F9" s="34">
        <f>objecturen6_1</f>
        <v>0</v>
      </c>
      <c r="G9" s="37">
        <f>objectprijs6_1</f>
        <v>0</v>
      </c>
      <c r="H9" s="34">
        <f>tzujt6_1</f>
        <v>0</v>
      </c>
      <c r="I9" s="37">
        <f>tzpjt6_1</f>
        <v>0</v>
      </c>
      <c r="J9" s="37">
        <f>G9+I9</f>
        <v>0</v>
      </c>
      <c r="K9" s="37">
        <f>J9/12</f>
        <v>0</v>
      </c>
      <c r="L9" s="37">
        <f>K9*1.21</f>
        <v>0</v>
      </c>
    </row>
    <row r="10" spans="1:12" x14ac:dyDescent="0.2">
      <c r="A10" s="20" t="s">
        <v>1578</v>
      </c>
      <c r="B10" s="20" t="s">
        <v>2867</v>
      </c>
      <c r="C10" s="20" t="s">
        <v>2868</v>
      </c>
      <c r="D10" s="20" t="s">
        <v>2869</v>
      </c>
      <c r="E10" s="34">
        <f>objecturenhf7_1</f>
        <v>0</v>
      </c>
      <c r="F10" s="34">
        <f>objecturen7_1</f>
        <v>0</v>
      </c>
      <c r="G10" s="37">
        <f>objectprijs7_1</f>
        <v>0</v>
      </c>
      <c r="H10" s="34">
        <f>tzujt7_1</f>
        <v>0</v>
      </c>
      <c r="I10" s="37">
        <f>tzpjt7_1</f>
        <v>0</v>
      </c>
      <c r="J10" s="37">
        <f>G10+I10</f>
        <v>0</v>
      </c>
      <c r="K10" s="37">
        <f>J10/12</f>
        <v>0</v>
      </c>
      <c r="L10" s="37">
        <f>K10*1.21</f>
        <v>0</v>
      </c>
    </row>
    <row r="11" spans="1:12" x14ac:dyDescent="0.2">
      <c r="A11" s="20" t="s">
        <v>1613</v>
      </c>
      <c r="B11" s="20" t="s">
        <v>2870</v>
      </c>
      <c r="C11" s="20" t="s">
        <v>2871</v>
      </c>
      <c r="D11" s="20" t="s">
        <v>2854</v>
      </c>
      <c r="E11" s="34">
        <f>objecturenhf8_1</f>
        <v>0</v>
      </c>
      <c r="F11" s="34">
        <f>objecturen8_1</f>
        <v>0</v>
      </c>
      <c r="G11" s="37">
        <f>objectprijs8_1</f>
        <v>0</v>
      </c>
      <c r="H11" s="34">
        <f>tzujt8_1</f>
        <v>0</v>
      </c>
      <c r="I11" s="37">
        <f>tzpjt8_1</f>
        <v>0</v>
      </c>
      <c r="J11" s="37">
        <f>G11+I11</f>
        <v>0</v>
      </c>
      <c r="K11" s="37">
        <f>J11/12</f>
        <v>0</v>
      </c>
      <c r="L11" s="37">
        <f>K11*1.21</f>
        <v>0</v>
      </c>
    </row>
    <row r="12" spans="1:12" x14ac:dyDescent="0.2">
      <c r="A12" s="20" t="s">
        <v>1750</v>
      </c>
      <c r="B12" s="20" t="s">
        <v>2872</v>
      </c>
      <c r="C12" s="20" t="s">
        <v>2873</v>
      </c>
      <c r="D12" s="20" t="s">
        <v>2854</v>
      </c>
      <c r="E12" s="34">
        <f>objecturenhf9_1</f>
        <v>0</v>
      </c>
      <c r="F12" s="34">
        <f>objecturen9_1</f>
        <v>0</v>
      </c>
      <c r="G12" s="37">
        <f>objectprijs9_1</f>
        <v>0</v>
      </c>
      <c r="H12" s="34">
        <f>tzujt9_1</f>
        <v>0</v>
      </c>
      <c r="I12" s="37">
        <f>tzpjt9_1</f>
        <v>0</v>
      </c>
      <c r="J12" s="37">
        <f>G12+I12</f>
        <v>0</v>
      </c>
      <c r="K12" s="37">
        <f>J12/12</f>
        <v>0</v>
      </c>
      <c r="L12" s="37">
        <f>K12*1.21</f>
        <v>0</v>
      </c>
    </row>
    <row r="13" spans="1:12" x14ac:dyDescent="0.2">
      <c r="A13" s="20" t="s">
        <v>1784</v>
      </c>
      <c r="B13" s="20" t="s">
        <v>2874</v>
      </c>
      <c r="C13" s="20" t="s">
        <v>2875</v>
      </c>
      <c r="D13" s="20" t="s">
        <v>2854</v>
      </c>
      <c r="E13" s="34">
        <f>objecturenhf10_1</f>
        <v>0</v>
      </c>
      <c r="F13" s="34">
        <f>objecturen10_1</f>
        <v>0</v>
      </c>
      <c r="G13" s="37">
        <f>objectprijs10_1</f>
        <v>0</v>
      </c>
      <c r="H13" s="34">
        <f>tzujt10_1</f>
        <v>0</v>
      </c>
      <c r="I13" s="37">
        <f>tzpjt10_1</f>
        <v>0</v>
      </c>
      <c r="J13" s="37">
        <f>G13+I13</f>
        <v>0</v>
      </c>
      <c r="K13" s="37">
        <f>J13/12</f>
        <v>0</v>
      </c>
      <c r="L13" s="37">
        <f>K13*1.21</f>
        <v>0</v>
      </c>
    </row>
    <row r="14" spans="1:12" x14ac:dyDescent="0.2">
      <c r="A14" s="20" t="s">
        <v>1840</v>
      </c>
      <c r="B14" s="20" t="s">
        <v>2876</v>
      </c>
      <c r="C14" s="20" t="s">
        <v>2877</v>
      </c>
      <c r="D14" s="20" t="s">
        <v>2854</v>
      </c>
      <c r="E14" s="34">
        <f>objecturenhf11_1</f>
        <v>0</v>
      </c>
      <c r="F14" s="34">
        <f>objecturen11_1</f>
        <v>0</v>
      </c>
      <c r="G14" s="37">
        <f>objectprijs11_1</f>
        <v>0</v>
      </c>
      <c r="H14" s="34">
        <f>tzujt11_1</f>
        <v>0</v>
      </c>
      <c r="I14" s="37">
        <f>tzpjt11_1</f>
        <v>0</v>
      </c>
      <c r="J14" s="37">
        <f>G14+I14</f>
        <v>0</v>
      </c>
      <c r="K14" s="37">
        <f>J14/12</f>
        <v>0</v>
      </c>
      <c r="L14" s="37">
        <f>K14*1.21</f>
        <v>0</v>
      </c>
    </row>
    <row r="15" spans="1:12" x14ac:dyDescent="0.2">
      <c r="A15" s="20" t="s">
        <v>1850</v>
      </c>
      <c r="B15" s="20" t="s">
        <v>2878</v>
      </c>
      <c r="C15" s="20" t="s">
        <v>2879</v>
      </c>
      <c r="D15" s="20" t="s">
        <v>2880</v>
      </c>
      <c r="E15" s="34">
        <f>objecturenhf12_1</f>
        <v>0</v>
      </c>
      <c r="F15" s="34">
        <f>objecturen12_1</f>
        <v>0</v>
      </c>
      <c r="G15" s="37">
        <f>objectprijs12_1</f>
        <v>0</v>
      </c>
      <c r="H15" s="34">
        <f>tzujt12_1</f>
        <v>0</v>
      </c>
      <c r="I15" s="37">
        <f>tzpjt12_1</f>
        <v>0</v>
      </c>
      <c r="J15" s="37">
        <f>G15+I15</f>
        <v>0</v>
      </c>
      <c r="K15" s="37">
        <f>J15/12</f>
        <v>0</v>
      </c>
      <c r="L15" s="37">
        <f>K15*1.21</f>
        <v>0</v>
      </c>
    </row>
    <row r="16" spans="1:12" x14ac:dyDescent="0.2">
      <c r="A16" s="20" t="s">
        <v>2001</v>
      </c>
      <c r="B16" s="20" t="s">
        <v>2881</v>
      </c>
      <c r="C16" s="20" t="s">
        <v>2882</v>
      </c>
      <c r="D16" s="20" t="s">
        <v>2854</v>
      </c>
      <c r="E16" s="34">
        <f>objecturenhf13_1</f>
        <v>0</v>
      </c>
      <c r="F16" s="34">
        <f>objecturen13_1</f>
        <v>0</v>
      </c>
      <c r="G16" s="37">
        <f>objectprijs13_1</f>
        <v>0</v>
      </c>
      <c r="H16" s="34">
        <f>tzujt13_1</f>
        <v>0</v>
      </c>
      <c r="I16" s="37">
        <f>tzpjt13_1</f>
        <v>0</v>
      </c>
      <c r="J16" s="37">
        <f>G16+I16</f>
        <v>0</v>
      </c>
      <c r="K16" s="37">
        <f>J16/12</f>
        <v>0</v>
      </c>
      <c r="L16" s="37">
        <f>K16*1.21</f>
        <v>0</v>
      </c>
    </row>
    <row r="17" spans="1:12" x14ac:dyDescent="0.2">
      <c r="A17" s="20" t="s">
        <v>2007</v>
      </c>
      <c r="B17" s="20" t="s">
        <v>2883</v>
      </c>
      <c r="C17" s="20" t="s">
        <v>2884</v>
      </c>
      <c r="D17" s="20" t="s">
        <v>2854</v>
      </c>
      <c r="E17" s="34">
        <f>objecturenhf14_1</f>
        <v>0</v>
      </c>
      <c r="F17" s="34">
        <f>objecturen14_1</f>
        <v>0</v>
      </c>
      <c r="G17" s="37">
        <f>objectprijs14_1</f>
        <v>0</v>
      </c>
      <c r="H17" s="34">
        <f>tzujt14_1</f>
        <v>0</v>
      </c>
      <c r="I17" s="37">
        <f>tzpjt14_1</f>
        <v>0</v>
      </c>
      <c r="J17" s="37">
        <f>G17+I17</f>
        <v>0</v>
      </c>
      <c r="K17" s="37">
        <f>J17/12</f>
        <v>0</v>
      </c>
      <c r="L17" s="37">
        <f>K17*1.21</f>
        <v>0</v>
      </c>
    </row>
    <row r="18" spans="1:12" x14ac:dyDescent="0.2">
      <c r="A18" s="20" t="s">
        <v>2059</v>
      </c>
      <c r="B18" s="20" t="s">
        <v>2885</v>
      </c>
      <c r="C18" s="20" t="s">
        <v>2886</v>
      </c>
      <c r="D18" s="20" t="s">
        <v>2854</v>
      </c>
      <c r="E18" s="34">
        <f>objecturenhf15_1</f>
        <v>0</v>
      </c>
      <c r="F18" s="34">
        <f>objecturen15_1</f>
        <v>0</v>
      </c>
      <c r="G18" s="37">
        <f>objectprijs15_1</f>
        <v>0</v>
      </c>
      <c r="H18" s="34">
        <f>tzujt15_1</f>
        <v>0</v>
      </c>
      <c r="I18" s="37">
        <f>tzpjt15_1</f>
        <v>0</v>
      </c>
      <c r="J18" s="37">
        <f>G18+I18</f>
        <v>0</v>
      </c>
      <c r="K18" s="37">
        <f>J18/12</f>
        <v>0</v>
      </c>
      <c r="L18" s="37">
        <f>K18*1.21</f>
        <v>0</v>
      </c>
    </row>
    <row r="19" spans="1:12" x14ac:dyDescent="0.2">
      <c r="A19" s="20" t="s">
        <v>2099</v>
      </c>
      <c r="B19" s="20" t="s">
        <v>2887</v>
      </c>
      <c r="C19" s="20" t="s">
        <v>2888</v>
      </c>
      <c r="D19" s="20" t="s">
        <v>2854</v>
      </c>
      <c r="E19" s="34">
        <f>objecturenhf16_1+objecturenhf16_3</f>
        <v>0</v>
      </c>
      <c r="F19" s="34">
        <f>objecturen16_1+objecturen16_3</f>
        <v>0</v>
      </c>
      <c r="G19" s="37">
        <f>objectprijs16_1+objectprijs16_3</f>
        <v>0</v>
      </c>
      <c r="H19" s="34">
        <f>tzujt16_1+tzujt16_3</f>
        <v>0</v>
      </c>
      <c r="I19" s="37">
        <f>tzpjt16_1+tzpjt16_3</f>
        <v>0</v>
      </c>
      <c r="J19" s="37">
        <f>G19+I19</f>
        <v>0</v>
      </c>
      <c r="K19" s="37">
        <f>J19/12</f>
        <v>0</v>
      </c>
      <c r="L19" s="37">
        <f>K19*1.21</f>
        <v>0</v>
      </c>
    </row>
    <row r="20" spans="1:12" x14ac:dyDescent="0.2">
      <c r="A20" s="25" t="s">
        <v>2504</v>
      </c>
      <c r="B20" s="25" t="s">
        <v>2889</v>
      </c>
      <c r="C20" s="25" t="s">
        <v>2890</v>
      </c>
      <c r="D20" s="25" t="s">
        <v>2854</v>
      </c>
      <c r="E20" s="39">
        <f>objecturenhf17_1</f>
        <v>0</v>
      </c>
      <c r="F20" s="39">
        <f>objecturen17_1</f>
        <v>0</v>
      </c>
      <c r="G20" s="41">
        <f>objectprijs17_1</f>
        <v>0</v>
      </c>
      <c r="H20" s="39">
        <f>tzujt17_1</f>
        <v>0</v>
      </c>
      <c r="I20" s="41">
        <f>tzpjt17_1</f>
        <v>0</v>
      </c>
      <c r="J20" s="41">
        <f>G20+I20</f>
        <v>0</v>
      </c>
      <c r="K20" s="41">
        <f>J20/12</f>
        <v>0</v>
      </c>
      <c r="L20" s="41">
        <f>K20*1.21</f>
        <v>0</v>
      </c>
    </row>
    <row r="22" spans="1:12" x14ac:dyDescent="0.2">
      <c r="A22" s="43" t="s">
        <v>2932</v>
      </c>
      <c r="B22" s="44"/>
      <c r="C22" s="44"/>
      <c r="D22" s="44"/>
      <c r="E22" s="45">
        <f>SUM(E4:E20)</f>
        <v>0</v>
      </c>
      <c r="F22" s="45">
        <f>SUM(F4:F20)</f>
        <v>600</v>
      </c>
      <c r="G22" s="46">
        <f>SUM(G4:G20)</f>
        <v>0</v>
      </c>
      <c r="H22" s="45">
        <f>SUM(H4:H20)</f>
        <v>0</v>
      </c>
      <c r="I22" s="46">
        <f>SUM(I4:I20)</f>
        <v>0</v>
      </c>
      <c r="J22" s="46">
        <f>SUM(J4:J20)</f>
        <v>0</v>
      </c>
      <c r="K22" s="46">
        <f>SUM(K4:K20)</f>
        <v>0</v>
      </c>
      <c r="L22" s="46">
        <f>SUM(L4:L20)</f>
        <v>0</v>
      </c>
    </row>
  </sheetData>
  <pageMargins left="0.7" right="0.7" top="0.75" bottom="0.75" header="0.3" footer="0.3"/>
  <pageSetup paperSize="9" scale="65" orientation="landscape" r:id="rId1"/>
  <headerFooter>
    <oddFooter>&amp;LNUOVO Scholengroep EA 2023                                  &amp;ROpmaakdatum: 21-07-2023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835</vt:i4>
      </vt:variant>
    </vt:vector>
  </HeadingPairs>
  <TitlesOfParts>
    <vt:vector size="849" baseType="lpstr">
      <vt:lpstr>Omreken</vt:lpstr>
      <vt:lpstr>Categorienormen</vt:lpstr>
      <vt:lpstr>Regulier werk</vt:lpstr>
      <vt:lpstr>Ruimten werkdag</vt:lpstr>
      <vt:lpstr>Ruimten werkdag vakantie</vt:lpstr>
      <vt:lpstr>Objectinformatie</vt:lpstr>
      <vt:lpstr>Objecten</vt:lpstr>
      <vt:lpstr>Niet-meewerkende objectleiding</vt:lpstr>
      <vt:lpstr>Totaalblad Objecten</vt:lpstr>
      <vt:lpstr>Additioneel werk</vt:lpstr>
      <vt:lpstr>Additioneel werk per locatie</vt:lpstr>
      <vt:lpstr>Afroep</vt:lpstr>
      <vt:lpstr>Afroep incidenteel</vt:lpstr>
      <vt:lpstr>Totaal</vt:lpstr>
      <vt:lpstr>'Additioneel werk'!Afdruktitels</vt:lpstr>
      <vt:lpstr>'Additioneel werk per locatie'!Afdruktitels</vt:lpstr>
      <vt:lpstr>Afroep!Afdruktitels</vt:lpstr>
      <vt:lpstr>'Afroep incidenteel'!Afdruktitels</vt:lpstr>
      <vt:lpstr>Categorienormen!Afdruktitels</vt:lpstr>
      <vt:lpstr>'Niet-meewerkende objectleiding'!Afdruktitels</vt:lpstr>
      <vt:lpstr>Objecten!Afdruktitels</vt:lpstr>
      <vt:lpstr>Objectinformatie!Afdruktitels</vt:lpstr>
      <vt:lpstr>'Regulier werk'!Afdruktitels</vt:lpstr>
      <vt:lpstr>'Ruimten werkdag'!Afdruktitels</vt:lpstr>
      <vt:lpstr>'Ruimten werkdag vakantie'!Afdruktitels</vt:lpstr>
      <vt:lpstr>Totaal!Afdruktitels</vt:lpstr>
      <vt:lpstr>'Totaalblad Objecten'!Afdruktitels</vt:lpstr>
      <vt:lpstr>catdw_1_AHB_1</vt:lpstr>
      <vt:lpstr>catdw_1_AHV_40</vt:lpstr>
      <vt:lpstr>catdw_1_AZB_1</vt:lpstr>
      <vt:lpstr>catdw_1_AZV_40</vt:lpstr>
      <vt:lpstr>catdw_1_BHB_1</vt:lpstr>
      <vt:lpstr>catdw_1_BHV_40</vt:lpstr>
      <vt:lpstr>catdw_1_BZB_1</vt:lpstr>
      <vt:lpstr>catdw_1_BZV_40</vt:lpstr>
      <vt:lpstr>catdw_1_CHB_1</vt:lpstr>
      <vt:lpstr>catdw_1_CHV_40</vt:lpstr>
      <vt:lpstr>catdw_1_CZB_1</vt:lpstr>
      <vt:lpstr>catdw_1_CZV_40</vt:lpstr>
      <vt:lpstr>catdw_1_DHB_1</vt:lpstr>
      <vt:lpstr>catdw_1_DHV_40</vt:lpstr>
      <vt:lpstr>catdw_1_EHB_1</vt:lpstr>
      <vt:lpstr>catdw_1_EHV_40</vt:lpstr>
      <vt:lpstr>catdw_1_EZB_1</vt:lpstr>
      <vt:lpstr>catdw_1_EZV_40</vt:lpstr>
      <vt:lpstr>catdw_1_GHB_1</vt:lpstr>
      <vt:lpstr>catdw_1_GHV_40</vt:lpstr>
      <vt:lpstr>catdw_1_GZB_1</vt:lpstr>
      <vt:lpstr>catdw_1_GZV_40</vt:lpstr>
      <vt:lpstr>catdw_1_IHB_1</vt:lpstr>
      <vt:lpstr>catdw_1_IHV_40</vt:lpstr>
      <vt:lpstr>catdw_1_IZB_1</vt:lpstr>
      <vt:lpstr>catdw_1_IZV_40</vt:lpstr>
      <vt:lpstr>catdw_1_KHB_1</vt:lpstr>
      <vt:lpstr>catdw_1_KHV_40</vt:lpstr>
      <vt:lpstr>catdw_1_LHB_1</vt:lpstr>
      <vt:lpstr>catdw_1_LHV_40</vt:lpstr>
      <vt:lpstr>catdw_1_LZB_1</vt:lpstr>
      <vt:lpstr>catdw_1_LZV_40</vt:lpstr>
      <vt:lpstr>catdw_1_MHB_1</vt:lpstr>
      <vt:lpstr>catdw_1_MHV_40</vt:lpstr>
      <vt:lpstr>catdw_1_MZB_1</vt:lpstr>
      <vt:lpstr>catdw_1_MZV_40</vt:lpstr>
      <vt:lpstr>catdw_1_OHB_1</vt:lpstr>
      <vt:lpstr>catdw_1_OHV_40</vt:lpstr>
      <vt:lpstr>catdw_1_OLHB_1</vt:lpstr>
      <vt:lpstr>catdw_1_OLHV_40</vt:lpstr>
      <vt:lpstr>catdw_1_PHB_1</vt:lpstr>
      <vt:lpstr>catdw_1_PHV_40</vt:lpstr>
      <vt:lpstr>catdw_1_PMHB_1</vt:lpstr>
      <vt:lpstr>catdw_1_PMHV_40</vt:lpstr>
      <vt:lpstr>catdw_1_PMZB_1</vt:lpstr>
      <vt:lpstr>catdw_1_PMZV_40</vt:lpstr>
      <vt:lpstr>catdw_1_PSHB_1</vt:lpstr>
      <vt:lpstr>catdw_1_PSHV_40</vt:lpstr>
      <vt:lpstr>catdw_1_PTHB_1</vt:lpstr>
      <vt:lpstr>catdw_1_PTHV_40</vt:lpstr>
      <vt:lpstr>catdw_1_PUHB_1</vt:lpstr>
      <vt:lpstr>catdw_1_PUHV_40</vt:lpstr>
      <vt:lpstr>catdw_1_PZB_1</vt:lpstr>
      <vt:lpstr>catdw_1_PZV_40</vt:lpstr>
      <vt:lpstr>catdw_1_SHB_1</vt:lpstr>
      <vt:lpstr>catdw_1_SHV_40</vt:lpstr>
      <vt:lpstr>catdw_1_STHB_1</vt:lpstr>
      <vt:lpstr>catdw_1_STHV_40</vt:lpstr>
      <vt:lpstr>catdw_1_STZB_1</vt:lpstr>
      <vt:lpstr>catdw_1_STZV_40</vt:lpstr>
      <vt:lpstr>catdw_1_THB_1</vt:lpstr>
      <vt:lpstr>catdw_1_THV_40</vt:lpstr>
      <vt:lpstr>catdw_1_TZB_1</vt:lpstr>
      <vt:lpstr>catdw_1_TZV_40</vt:lpstr>
      <vt:lpstr>catdw_1_VHB_1</vt:lpstr>
      <vt:lpstr>catdw_1_VHV_40</vt:lpstr>
      <vt:lpstr>catdw_1_VZB_1</vt:lpstr>
      <vt:lpstr>catdw_1_VZV_40</vt:lpstr>
      <vt:lpstr>catdw_1_WPHB_1</vt:lpstr>
      <vt:lpstr>catdw_1_WPHV_40</vt:lpstr>
      <vt:lpstr>catdw_3_VBHB_1</vt:lpstr>
      <vt:lpstr>catdw_3_VBZB_1</vt:lpstr>
      <vt:lpstr>catdw_3_VEHB_1</vt:lpstr>
      <vt:lpstr>catdw_3_VSHB_1</vt:lpstr>
      <vt:lpstr>catdw_3_VTHB_1</vt:lpstr>
      <vt:lpstr>catdw_3_VVHB_1</vt:lpstr>
      <vt:lpstr>catdw_3_VVZB_1</vt:lpstr>
      <vt:lpstr>catfd_1_AHB_1</vt:lpstr>
      <vt:lpstr>catfd_1_AHV_40</vt:lpstr>
      <vt:lpstr>catfd_1_AZB_1</vt:lpstr>
      <vt:lpstr>catfd_1_AZV_40</vt:lpstr>
      <vt:lpstr>catfd_1_BHB_1</vt:lpstr>
      <vt:lpstr>catfd_1_BHV_40</vt:lpstr>
      <vt:lpstr>catfd_1_BZB_1</vt:lpstr>
      <vt:lpstr>catfd_1_BZV_40</vt:lpstr>
      <vt:lpstr>catfd_1_CHB_1</vt:lpstr>
      <vt:lpstr>catfd_1_CHV_40</vt:lpstr>
      <vt:lpstr>catfd_1_CZB_1</vt:lpstr>
      <vt:lpstr>catfd_1_CZV_40</vt:lpstr>
      <vt:lpstr>catfd_1_DHB_1</vt:lpstr>
      <vt:lpstr>catfd_1_DHV_40</vt:lpstr>
      <vt:lpstr>catfd_1_EHB_1</vt:lpstr>
      <vt:lpstr>catfd_1_EHV_40</vt:lpstr>
      <vt:lpstr>catfd_1_EZB_1</vt:lpstr>
      <vt:lpstr>catfd_1_EZV_40</vt:lpstr>
      <vt:lpstr>catfd_1_GHB_1</vt:lpstr>
      <vt:lpstr>catfd_1_GHV_40</vt:lpstr>
      <vt:lpstr>catfd_1_GZB_1</vt:lpstr>
      <vt:lpstr>catfd_1_GZV_40</vt:lpstr>
      <vt:lpstr>catfd_1_IHB_1</vt:lpstr>
      <vt:lpstr>catfd_1_IHV_40</vt:lpstr>
      <vt:lpstr>catfd_1_IZB_1</vt:lpstr>
      <vt:lpstr>catfd_1_IZV_40</vt:lpstr>
      <vt:lpstr>catfd_1_KHB_1</vt:lpstr>
      <vt:lpstr>catfd_1_KHV_40</vt:lpstr>
      <vt:lpstr>catfd_1_LHB_1</vt:lpstr>
      <vt:lpstr>catfd_1_LHV_40</vt:lpstr>
      <vt:lpstr>catfd_1_LZB_1</vt:lpstr>
      <vt:lpstr>catfd_1_LZV_40</vt:lpstr>
      <vt:lpstr>catfd_1_MHB_1</vt:lpstr>
      <vt:lpstr>catfd_1_MHV_40</vt:lpstr>
      <vt:lpstr>catfd_1_MZB_1</vt:lpstr>
      <vt:lpstr>catfd_1_MZV_40</vt:lpstr>
      <vt:lpstr>catfd_1_OHB_1</vt:lpstr>
      <vt:lpstr>catfd_1_OHV_40</vt:lpstr>
      <vt:lpstr>catfd_1_OLHB_1</vt:lpstr>
      <vt:lpstr>catfd_1_OLHV_40</vt:lpstr>
      <vt:lpstr>catfd_1_PHB_1</vt:lpstr>
      <vt:lpstr>catfd_1_PHV_40</vt:lpstr>
      <vt:lpstr>catfd_1_PMHB_1</vt:lpstr>
      <vt:lpstr>catfd_1_PMHV_40</vt:lpstr>
      <vt:lpstr>catfd_1_PMZB_1</vt:lpstr>
      <vt:lpstr>catfd_1_PMZV_40</vt:lpstr>
      <vt:lpstr>catfd_1_PSHB_1</vt:lpstr>
      <vt:lpstr>catfd_1_PSHV_40</vt:lpstr>
      <vt:lpstr>catfd_1_PTHB_1</vt:lpstr>
      <vt:lpstr>catfd_1_PTHV_40</vt:lpstr>
      <vt:lpstr>catfd_1_PUHB_1</vt:lpstr>
      <vt:lpstr>catfd_1_PUHV_40</vt:lpstr>
      <vt:lpstr>catfd_1_PZB_1</vt:lpstr>
      <vt:lpstr>catfd_1_PZV_40</vt:lpstr>
      <vt:lpstr>catfd_1_SHB_1</vt:lpstr>
      <vt:lpstr>catfd_1_SHV_40</vt:lpstr>
      <vt:lpstr>catfd_1_STHB_1</vt:lpstr>
      <vt:lpstr>catfd_1_STHV_40</vt:lpstr>
      <vt:lpstr>catfd_1_STZB_1</vt:lpstr>
      <vt:lpstr>catfd_1_STZV_40</vt:lpstr>
      <vt:lpstr>catfd_1_THB_1</vt:lpstr>
      <vt:lpstr>catfd_1_THV_40</vt:lpstr>
      <vt:lpstr>catfd_1_TZB_1</vt:lpstr>
      <vt:lpstr>catfd_1_TZV_40</vt:lpstr>
      <vt:lpstr>catfd_1_VHB_1</vt:lpstr>
      <vt:lpstr>catfd_1_VHV_40</vt:lpstr>
      <vt:lpstr>catfd_1_VZB_1</vt:lpstr>
      <vt:lpstr>catfd_1_VZV_40</vt:lpstr>
      <vt:lpstr>catfd_1_WPHB_1</vt:lpstr>
      <vt:lpstr>catfd_1_WPHV_40</vt:lpstr>
      <vt:lpstr>catfd_3_VBHB_1</vt:lpstr>
      <vt:lpstr>catfd_3_VBZB_1</vt:lpstr>
      <vt:lpstr>catfd_3_VEHB_1</vt:lpstr>
      <vt:lpstr>catfd_3_VSHB_1</vt:lpstr>
      <vt:lpstr>catfd_3_VTHB_1</vt:lpstr>
      <vt:lpstr>catfd_3_VVHB_1</vt:lpstr>
      <vt:lpstr>catfd_3_VVZB_1</vt:lpstr>
      <vt:lpstr>catpn_1_AHB_1</vt:lpstr>
      <vt:lpstr>catpn_1_AHV_40</vt:lpstr>
      <vt:lpstr>catpn_1_AZB_1</vt:lpstr>
      <vt:lpstr>catpn_1_AZV_40</vt:lpstr>
      <vt:lpstr>catpn_1_BHB_1</vt:lpstr>
      <vt:lpstr>catpn_1_BHV_40</vt:lpstr>
      <vt:lpstr>catpn_1_BZB_1</vt:lpstr>
      <vt:lpstr>catpn_1_BZV_40</vt:lpstr>
      <vt:lpstr>catpn_1_CHB_1</vt:lpstr>
      <vt:lpstr>catpn_1_CHV_40</vt:lpstr>
      <vt:lpstr>catpn_1_CZB_1</vt:lpstr>
      <vt:lpstr>catpn_1_CZV_40</vt:lpstr>
      <vt:lpstr>catpn_1_DHB_1</vt:lpstr>
      <vt:lpstr>catpn_1_DHV_40</vt:lpstr>
      <vt:lpstr>catpn_1_EHB_1</vt:lpstr>
      <vt:lpstr>catpn_1_EHV_40</vt:lpstr>
      <vt:lpstr>catpn_1_EZB_1</vt:lpstr>
      <vt:lpstr>catpn_1_EZV_40</vt:lpstr>
      <vt:lpstr>catpn_1_GHB_1</vt:lpstr>
      <vt:lpstr>catpn_1_GHV_40</vt:lpstr>
      <vt:lpstr>catpn_1_GZB_1</vt:lpstr>
      <vt:lpstr>catpn_1_GZV_40</vt:lpstr>
      <vt:lpstr>catpn_1_IHB_1</vt:lpstr>
      <vt:lpstr>catpn_1_IHV_40</vt:lpstr>
      <vt:lpstr>catpn_1_IZB_1</vt:lpstr>
      <vt:lpstr>catpn_1_IZV_40</vt:lpstr>
      <vt:lpstr>catpn_1_KHB_1</vt:lpstr>
      <vt:lpstr>catpn_1_KHV_40</vt:lpstr>
      <vt:lpstr>catpn_1_LHB_1</vt:lpstr>
      <vt:lpstr>catpn_1_LHV_40</vt:lpstr>
      <vt:lpstr>catpn_1_LZB_1</vt:lpstr>
      <vt:lpstr>catpn_1_LZV_40</vt:lpstr>
      <vt:lpstr>catpn_1_MHB_1</vt:lpstr>
      <vt:lpstr>catpn_1_MHV_40</vt:lpstr>
      <vt:lpstr>catpn_1_MZB_1</vt:lpstr>
      <vt:lpstr>catpn_1_MZV_40</vt:lpstr>
      <vt:lpstr>catpn_1_OHB_1</vt:lpstr>
      <vt:lpstr>catpn_1_OHV_40</vt:lpstr>
      <vt:lpstr>catpn_1_OLHB_1</vt:lpstr>
      <vt:lpstr>catpn_1_OLHV_40</vt:lpstr>
      <vt:lpstr>catpn_1_PHB_1</vt:lpstr>
      <vt:lpstr>catpn_1_PHV_40</vt:lpstr>
      <vt:lpstr>catpn_1_PMHB_1</vt:lpstr>
      <vt:lpstr>catpn_1_PMHV_40</vt:lpstr>
      <vt:lpstr>catpn_1_PMZB_1</vt:lpstr>
      <vt:lpstr>catpn_1_PMZV_40</vt:lpstr>
      <vt:lpstr>catpn_1_PSHB_1</vt:lpstr>
      <vt:lpstr>catpn_1_PSHV_40</vt:lpstr>
      <vt:lpstr>catpn_1_PTHB_1</vt:lpstr>
      <vt:lpstr>catpn_1_PTHV_40</vt:lpstr>
      <vt:lpstr>catpn_1_PUHB_1</vt:lpstr>
      <vt:lpstr>catpn_1_PUHV_40</vt:lpstr>
      <vt:lpstr>catpn_1_PZB_1</vt:lpstr>
      <vt:lpstr>catpn_1_PZV_40</vt:lpstr>
      <vt:lpstr>catpn_1_SHB_1</vt:lpstr>
      <vt:lpstr>catpn_1_SHV_40</vt:lpstr>
      <vt:lpstr>catpn_1_STHB_1</vt:lpstr>
      <vt:lpstr>catpn_1_STHV_40</vt:lpstr>
      <vt:lpstr>catpn_1_STZB_1</vt:lpstr>
      <vt:lpstr>catpn_1_STZV_40</vt:lpstr>
      <vt:lpstr>catpn_1_THB_1</vt:lpstr>
      <vt:lpstr>catpn_1_THV_40</vt:lpstr>
      <vt:lpstr>catpn_1_TZB_1</vt:lpstr>
      <vt:lpstr>catpn_1_TZV_40</vt:lpstr>
      <vt:lpstr>catpn_1_VHB_1</vt:lpstr>
      <vt:lpstr>catpn_1_VHV_40</vt:lpstr>
      <vt:lpstr>catpn_1_VZB_1</vt:lpstr>
      <vt:lpstr>catpn_1_VZV_40</vt:lpstr>
      <vt:lpstr>catpn_1_WPHB_1</vt:lpstr>
      <vt:lpstr>catpn_1_WPHV_40</vt:lpstr>
      <vt:lpstr>catpn_3_VBHB_1</vt:lpstr>
      <vt:lpstr>catpn_3_VBZB_1</vt:lpstr>
      <vt:lpstr>catpn_3_VEHB_1</vt:lpstr>
      <vt:lpstr>catpn_3_VSHB_1</vt:lpstr>
      <vt:lpstr>catpn_3_VTHB_1</vt:lpstr>
      <vt:lpstr>catpn_3_VVHB_1</vt:lpstr>
      <vt:lpstr>catpn_3_VVZB_1</vt:lpstr>
      <vt:lpstr>cattf_1_AHB_1</vt:lpstr>
      <vt:lpstr>cattf_1_AHV_40</vt:lpstr>
      <vt:lpstr>cattf_1_AZB_1</vt:lpstr>
      <vt:lpstr>cattf_1_AZV_40</vt:lpstr>
      <vt:lpstr>cattf_1_BHB_1</vt:lpstr>
      <vt:lpstr>cattf_1_BHV_40</vt:lpstr>
      <vt:lpstr>cattf_1_BZB_1</vt:lpstr>
      <vt:lpstr>cattf_1_BZV_40</vt:lpstr>
      <vt:lpstr>cattf_1_CHB_1</vt:lpstr>
      <vt:lpstr>cattf_1_CHV_40</vt:lpstr>
      <vt:lpstr>cattf_1_CZB_1</vt:lpstr>
      <vt:lpstr>cattf_1_CZV_40</vt:lpstr>
      <vt:lpstr>cattf_1_DHB_1</vt:lpstr>
      <vt:lpstr>cattf_1_DHV_40</vt:lpstr>
      <vt:lpstr>cattf_1_EHB_1</vt:lpstr>
      <vt:lpstr>cattf_1_EHV_40</vt:lpstr>
      <vt:lpstr>cattf_1_EZB_1</vt:lpstr>
      <vt:lpstr>cattf_1_EZV_40</vt:lpstr>
      <vt:lpstr>cattf_1_GHB_1</vt:lpstr>
      <vt:lpstr>cattf_1_GHV_40</vt:lpstr>
      <vt:lpstr>cattf_1_GZB_1</vt:lpstr>
      <vt:lpstr>cattf_1_GZV_40</vt:lpstr>
      <vt:lpstr>cattf_1_IHB_1</vt:lpstr>
      <vt:lpstr>cattf_1_IHV_40</vt:lpstr>
      <vt:lpstr>cattf_1_IZB_1</vt:lpstr>
      <vt:lpstr>cattf_1_IZV_40</vt:lpstr>
      <vt:lpstr>cattf_1_KHB_1</vt:lpstr>
      <vt:lpstr>cattf_1_KHV_40</vt:lpstr>
      <vt:lpstr>cattf_1_LHB_1</vt:lpstr>
      <vt:lpstr>cattf_1_LHV_40</vt:lpstr>
      <vt:lpstr>cattf_1_LZB_1</vt:lpstr>
      <vt:lpstr>cattf_1_LZV_40</vt:lpstr>
      <vt:lpstr>cattf_1_MHB_1</vt:lpstr>
      <vt:lpstr>cattf_1_MHV_40</vt:lpstr>
      <vt:lpstr>cattf_1_MZB_1</vt:lpstr>
      <vt:lpstr>cattf_1_MZV_40</vt:lpstr>
      <vt:lpstr>cattf_1_OHB_1</vt:lpstr>
      <vt:lpstr>cattf_1_OHV_40</vt:lpstr>
      <vt:lpstr>cattf_1_OLHB_1</vt:lpstr>
      <vt:lpstr>cattf_1_OLHV_40</vt:lpstr>
      <vt:lpstr>cattf_1_PHB_1</vt:lpstr>
      <vt:lpstr>cattf_1_PHV_40</vt:lpstr>
      <vt:lpstr>cattf_1_PMHB_1</vt:lpstr>
      <vt:lpstr>cattf_1_PMHV_40</vt:lpstr>
      <vt:lpstr>cattf_1_PMZB_1</vt:lpstr>
      <vt:lpstr>cattf_1_PMZV_40</vt:lpstr>
      <vt:lpstr>cattf_1_PSHB_1</vt:lpstr>
      <vt:lpstr>cattf_1_PSHV_40</vt:lpstr>
      <vt:lpstr>cattf_1_PTHB_1</vt:lpstr>
      <vt:lpstr>cattf_1_PTHV_40</vt:lpstr>
      <vt:lpstr>cattf_1_PUHB_1</vt:lpstr>
      <vt:lpstr>cattf_1_PUHV_40</vt:lpstr>
      <vt:lpstr>cattf_1_PZB_1</vt:lpstr>
      <vt:lpstr>cattf_1_PZV_40</vt:lpstr>
      <vt:lpstr>cattf_1_SHB_1</vt:lpstr>
      <vt:lpstr>cattf_1_SHV_40</vt:lpstr>
      <vt:lpstr>cattf_1_STHB_1</vt:lpstr>
      <vt:lpstr>cattf_1_STHV_40</vt:lpstr>
      <vt:lpstr>cattf_1_STZB_1</vt:lpstr>
      <vt:lpstr>cattf_1_STZV_40</vt:lpstr>
      <vt:lpstr>cattf_1_THB_1</vt:lpstr>
      <vt:lpstr>cattf_1_THV_40</vt:lpstr>
      <vt:lpstr>cattf_1_TZB_1</vt:lpstr>
      <vt:lpstr>cattf_1_TZV_40</vt:lpstr>
      <vt:lpstr>cattf_1_VHB_1</vt:lpstr>
      <vt:lpstr>cattf_1_VHV_40</vt:lpstr>
      <vt:lpstr>cattf_1_VZB_1</vt:lpstr>
      <vt:lpstr>cattf_1_VZV_40</vt:lpstr>
      <vt:lpstr>cattf_1_WPHB_1</vt:lpstr>
      <vt:lpstr>cattf_1_WPHV_40</vt:lpstr>
      <vt:lpstr>cattf_3_VBHB_1</vt:lpstr>
      <vt:lpstr>cattf_3_VBZB_1</vt:lpstr>
      <vt:lpstr>cattf_3_VEHB_1</vt:lpstr>
      <vt:lpstr>cattf_3_VSHB_1</vt:lpstr>
      <vt:lpstr>cattf_3_VTHB_1</vt:lpstr>
      <vt:lpstr>cattf_3_VVHB_1</vt:lpstr>
      <vt:lpstr>cattf_3_VVZB_1</vt:lpstr>
      <vt:lpstr>dagenperjaar1</vt:lpstr>
      <vt:lpstr>dagenperweek1</vt:lpstr>
      <vt:lpstr>dagsoorttabel1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dagwerk60</vt:lpstr>
      <vt:lpstr>dagwerk61</vt:lpstr>
      <vt:lpstr>dagwerk62</vt:lpstr>
      <vt:lpstr>dagwerk63</vt:lpstr>
      <vt:lpstr>dagwerk64</vt:lpstr>
      <vt:lpstr>dagwerk65</vt:lpstr>
      <vt:lpstr>dagwerk66</vt:lpstr>
      <vt:lpstr>dagwerk67</vt:lpstr>
      <vt:lpstr>dagwerk68</vt:lpstr>
      <vt:lpstr>dagwerk70</vt:lpstr>
      <vt:lpstr>dagwerk71</vt:lpstr>
      <vt:lpstr>dagwerk72</vt:lpstr>
      <vt:lpstr>dagwerk73</vt:lpstr>
      <vt:lpstr>dagwerk74</vt:lpstr>
      <vt:lpstr>dagwerk75</vt:lpstr>
      <vt:lpstr>dagwerk76</vt:lpstr>
      <vt:lpstr>dagwerktabel1</vt:lpstr>
      <vt:lpstr>dagwerktabel3</vt:lpstr>
      <vt:lpstr>gemuurtarief1</vt:lpstr>
      <vt:lpstr>gemuurtarief3</vt:lpstr>
      <vt:lpstr>kengetaltabel1</vt:lpstr>
      <vt:lpstr>kengetaltabel3</vt:lpstr>
      <vt:lpstr>object1_gemuurtarief1</vt:lpstr>
      <vt:lpstr>object1_opptabel1</vt:lpstr>
      <vt:lpstr>object1_opptabel3</vt:lpstr>
      <vt:lpstr>object1_prijsdag1</vt:lpstr>
      <vt:lpstr>object1_prijsjaar1</vt:lpstr>
      <vt:lpstr>object1_urendag1</vt:lpstr>
      <vt:lpstr>object1_urendaghf1</vt:lpstr>
      <vt:lpstr>object1_urenjaar1</vt:lpstr>
      <vt:lpstr>object10_gemuurtarief1</vt:lpstr>
      <vt:lpstr>object10_opptabel1</vt:lpstr>
      <vt:lpstr>object10_opptabel3</vt:lpstr>
      <vt:lpstr>object10_prijsdag1</vt:lpstr>
      <vt:lpstr>object10_prijsjaar1</vt:lpstr>
      <vt:lpstr>object10_urendag1</vt:lpstr>
      <vt:lpstr>object10_urendaghf1</vt:lpstr>
      <vt:lpstr>object10_urenjaar1</vt:lpstr>
      <vt:lpstr>object11_gemuurtarief1</vt:lpstr>
      <vt:lpstr>object11_opptabel1</vt:lpstr>
      <vt:lpstr>object11_opptabel3</vt:lpstr>
      <vt:lpstr>object11_prijsdag1</vt:lpstr>
      <vt:lpstr>object11_prijsjaar1</vt:lpstr>
      <vt:lpstr>object11_urendag1</vt:lpstr>
      <vt:lpstr>object11_urendaghf1</vt:lpstr>
      <vt:lpstr>object11_urenjaar1</vt:lpstr>
      <vt:lpstr>object12_gemuurtarief1</vt:lpstr>
      <vt:lpstr>object12_opptabel1</vt:lpstr>
      <vt:lpstr>object12_opptabel3</vt:lpstr>
      <vt:lpstr>object12_prijsdag1</vt:lpstr>
      <vt:lpstr>object12_prijsjaar1</vt:lpstr>
      <vt:lpstr>object12_urendag1</vt:lpstr>
      <vt:lpstr>object12_urendaghf1</vt:lpstr>
      <vt:lpstr>object12_urenjaar1</vt:lpstr>
      <vt:lpstr>object13_gemuurtarief1</vt:lpstr>
      <vt:lpstr>object13_opptabel1</vt:lpstr>
      <vt:lpstr>object13_opptabel3</vt:lpstr>
      <vt:lpstr>object13_prijsdag1</vt:lpstr>
      <vt:lpstr>object13_prijsjaar1</vt:lpstr>
      <vt:lpstr>object13_urendag1</vt:lpstr>
      <vt:lpstr>object13_urendaghf1</vt:lpstr>
      <vt:lpstr>object13_urenjaar1</vt:lpstr>
      <vt:lpstr>object14_gemuurtarief1</vt:lpstr>
      <vt:lpstr>object14_opptabel1</vt:lpstr>
      <vt:lpstr>object14_opptabel3</vt:lpstr>
      <vt:lpstr>object14_prijsdag1</vt:lpstr>
      <vt:lpstr>object14_prijsjaar1</vt:lpstr>
      <vt:lpstr>object14_urendag1</vt:lpstr>
      <vt:lpstr>object14_urendaghf1</vt:lpstr>
      <vt:lpstr>object14_urenjaar1</vt:lpstr>
      <vt:lpstr>object15_gemuurtarief1</vt:lpstr>
      <vt:lpstr>object15_opptabel1</vt:lpstr>
      <vt:lpstr>object15_opptabel3</vt:lpstr>
      <vt:lpstr>object15_prijsdag1</vt:lpstr>
      <vt:lpstr>object15_prijsjaar1</vt:lpstr>
      <vt:lpstr>object15_urendag1</vt:lpstr>
      <vt:lpstr>object15_urendaghf1</vt:lpstr>
      <vt:lpstr>object15_urenjaar1</vt:lpstr>
      <vt:lpstr>object16_gemuurtarief1</vt:lpstr>
      <vt:lpstr>object16_gemuurtarief3</vt:lpstr>
      <vt:lpstr>object16_opptabel1</vt:lpstr>
      <vt:lpstr>object16_opptabel3</vt:lpstr>
      <vt:lpstr>object16_prijsdag1</vt:lpstr>
      <vt:lpstr>object16_prijsdag3</vt:lpstr>
      <vt:lpstr>object16_prijsjaar1</vt:lpstr>
      <vt:lpstr>object16_prijsjaar3</vt:lpstr>
      <vt:lpstr>object16_urendag1</vt:lpstr>
      <vt:lpstr>object16_urendag3</vt:lpstr>
      <vt:lpstr>object16_urendaghf1</vt:lpstr>
      <vt:lpstr>object16_urendaghf3</vt:lpstr>
      <vt:lpstr>object16_urenjaar1</vt:lpstr>
      <vt:lpstr>object16_urenjaar3</vt:lpstr>
      <vt:lpstr>object17_gemuurtarief1</vt:lpstr>
      <vt:lpstr>object17_opptabel1</vt:lpstr>
      <vt:lpstr>object17_opptabel3</vt:lpstr>
      <vt:lpstr>object17_prijsdag1</vt:lpstr>
      <vt:lpstr>object17_prijsjaar1</vt:lpstr>
      <vt:lpstr>object17_urendag1</vt:lpstr>
      <vt:lpstr>object17_urendaghf1</vt:lpstr>
      <vt:lpstr>object17_urenjaar1</vt:lpstr>
      <vt:lpstr>object2_gemuurtarief1</vt:lpstr>
      <vt:lpstr>object2_gemuurtarief3</vt:lpstr>
      <vt:lpstr>object2_opptabel1</vt:lpstr>
      <vt:lpstr>object2_opptabel3</vt:lpstr>
      <vt:lpstr>object2_prijsdag1</vt:lpstr>
      <vt:lpstr>object2_prijsdag3</vt:lpstr>
      <vt:lpstr>object2_prijsjaar1</vt:lpstr>
      <vt:lpstr>object2_prijsjaar3</vt:lpstr>
      <vt:lpstr>object2_urendag1</vt:lpstr>
      <vt:lpstr>object2_urendag3</vt:lpstr>
      <vt:lpstr>object2_urendaghf1</vt:lpstr>
      <vt:lpstr>object2_urendaghf3</vt:lpstr>
      <vt:lpstr>object2_urenjaar1</vt:lpstr>
      <vt:lpstr>object2_urenjaar3</vt:lpstr>
      <vt:lpstr>object3_gemuurtarief1</vt:lpstr>
      <vt:lpstr>object3_opptabel1</vt:lpstr>
      <vt:lpstr>object3_opptabel3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object4_opptabel3</vt:lpstr>
      <vt:lpstr>object4_prijsdag1</vt:lpstr>
      <vt:lpstr>object4_prijsjaar1</vt:lpstr>
      <vt:lpstr>object4_urendag1</vt:lpstr>
      <vt:lpstr>object4_urendaghf1</vt:lpstr>
      <vt:lpstr>object4_urenjaar1</vt:lpstr>
      <vt:lpstr>object5_gemuurtarief1</vt:lpstr>
      <vt:lpstr>object5_opptabel1</vt:lpstr>
      <vt:lpstr>object5_opptabel3</vt:lpstr>
      <vt:lpstr>object5_prijsdag1</vt:lpstr>
      <vt:lpstr>object5_prijsjaar1</vt:lpstr>
      <vt:lpstr>object5_urendag1</vt:lpstr>
      <vt:lpstr>object5_urendaghf1</vt:lpstr>
      <vt:lpstr>object5_urenjaar1</vt:lpstr>
      <vt:lpstr>object6_gemuurtarief1</vt:lpstr>
      <vt:lpstr>object6_opptabel1</vt:lpstr>
      <vt:lpstr>object6_opptabel3</vt:lpstr>
      <vt:lpstr>object6_prijsdag1</vt:lpstr>
      <vt:lpstr>object6_prijsjaar1</vt:lpstr>
      <vt:lpstr>object6_urendag1</vt:lpstr>
      <vt:lpstr>object6_urendaghf1</vt:lpstr>
      <vt:lpstr>object6_urenjaar1</vt:lpstr>
      <vt:lpstr>object7_gemuurtarief1</vt:lpstr>
      <vt:lpstr>object7_opptabel1</vt:lpstr>
      <vt:lpstr>object7_opptabel3</vt:lpstr>
      <vt:lpstr>object7_prijsdag1</vt:lpstr>
      <vt:lpstr>object7_prijsjaar1</vt:lpstr>
      <vt:lpstr>object7_urendag1</vt:lpstr>
      <vt:lpstr>object7_urendaghf1</vt:lpstr>
      <vt:lpstr>object7_urenjaar1</vt:lpstr>
      <vt:lpstr>object8_gemuurtarief1</vt:lpstr>
      <vt:lpstr>object8_opptabel1</vt:lpstr>
      <vt:lpstr>object8_opptabel3</vt:lpstr>
      <vt:lpstr>object8_prijsdag1</vt:lpstr>
      <vt:lpstr>object8_prijsjaar1</vt:lpstr>
      <vt:lpstr>object8_urendag1</vt:lpstr>
      <vt:lpstr>object8_urendaghf1</vt:lpstr>
      <vt:lpstr>object8_urenjaar1</vt:lpstr>
      <vt:lpstr>object9_gemuurtarief1</vt:lpstr>
      <vt:lpstr>object9_opptabel1</vt:lpstr>
      <vt:lpstr>object9_opptabel3</vt:lpstr>
      <vt:lpstr>object9_prijsdag1</vt:lpstr>
      <vt:lpstr>object9_prijsjaar1</vt:lpstr>
      <vt:lpstr>object9_urendag1</vt:lpstr>
      <vt:lpstr>object9_urendaghf1</vt:lpstr>
      <vt:lpstr>object9_urenjaar1</vt:lpstr>
      <vt:lpstr>objectprijs1_1</vt:lpstr>
      <vt:lpstr>objectprijs10_1</vt:lpstr>
      <vt:lpstr>objectprijs11_1</vt:lpstr>
      <vt:lpstr>objectprijs12_1</vt:lpstr>
      <vt:lpstr>objectprijs13_1</vt:lpstr>
      <vt:lpstr>objectprijs14_1</vt:lpstr>
      <vt:lpstr>objectprijs15_1</vt:lpstr>
      <vt:lpstr>objectprijs16_1</vt:lpstr>
      <vt:lpstr>objectprijs16_3</vt:lpstr>
      <vt:lpstr>objectprijs17_1</vt:lpstr>
      <vt:lpstr>objectprijs2_1</vt:lpstr>
      <vt:lpstr>objectprijs2_3</vt:lpstr>
      <vt:lpstr>objectprijs3_1</vt:lpstr>
      <vt:lpstr>objectprijs4_1</vt:lpstr>
      <vt:lpstr>objectprijs4_3</vt:lpstr>
      <vt:lpstr>objectprijs5_1</vt:lpstr>
      <vt:lpstr>objectprijs6_1</vt:lpstr>
      <vt:lpstr>objectprijs7_1</vt:lpstr>
      <vt:lpstr>objectprijs8_1</vt:lpstr>
      <vt:lpstr>objectprijs9_1</vt:lpstr>
      <vt:lpstr>objecturen1_1</vt:lpstr>
      <vt:lpstr>objecturen10_1</vt:lpstr>
      <vt:lpstr>objecturen11_1</vt:lpstr>
      <vt:lpstr>objecturen12_1</vt:lpstr>
      <vt:lpstr>objecturen13_1</vt:lpstr>
      <vt:lpstr>objecturen14_1</vt:lpstr>
      <vt:lpstr>objecturen15_1</vt:lpstr>
      <vt:lpstr>objecturen16_1</vt:lpstr>
      <vt:lpstr>objecturen16_3</vt:lpstr>
      <vt:lpstr>objecturen17_1</vt:lpstr>
      <vt:lpstr>objecturen2_1</vt:lpstr>
      <vt:lpstr>objecturen2_3</vt:lpstr>
      <vt:lpstr>objecturen3_1</vt:lpstr>
      <vt:lpstr>objecturen4_1</vt:lpstr>
      <vt:lpstr>objecturen4_3</vt:lpstr>
      <vt:lpstr>objecturen5_1</vt:lpstr>
      <vt:lpstr>objecturen6_1</vt:lpstr>
      <vt:lpstr>objecturen7_1</vt:lpstr>
      <vt:lpstr>objecturen8_1</vt:lpstr>
      <vt:lpstr>objecturen9_1</vt:lpstr>
      <vt:lpstr>objecturenhf1_1</vt:lpstr>
      <vt:lpstr>objecturenhf10_1</vt:lpstr>
      <vt:lpstr>objecturenhf11_1</vt:lpstr>
      <vt:lpstr>objecturenhf12_1</vt:lpstr>
      <vt:lpstr>objecturenhf13_1</vt:lpstr>
      <vt:lpstr>objecturenhf14_1</vt:lpstr>
      <vt:lpstr>objecturenhf15_1</vt:lpstr>
      <vt:lpstr>objecturenhf16_1</vt:lpstr>
      <vt:lpstr>objecturenhf16_3</vt:lpstr>
      <vt:lpstr>objecturenhf17_1</vt:lpstr>
      <vt:lpstr>objecturenhf2_1</vt:lpstr>
      <vt:lpstr>objecturenhf2_3</vt:lpstr>
      <vt:lpstr>objecturenhf3_1</vt:lpstr>
      <vt:lpstr>objecturenhf4_1</vt:lpstr>
      <vt:lpstr>objecturenhf4_3</vt:lpstr>
      <vt:lpstr>objecturenhf5_1</vt:lpstr>
      <vt:lpstr>objecturenhf6_1</vt:lpstr>
      <vt:lpstr>objecturenhf7_1</vt:lpstr>
      <vt:lpstr>objecturenhf8_1</vt:lpstr>
      <vt:lpstr>objecturenhf9_1</vt:lpstr>
      <vt:lpstr>prijsdag1</vt:lpstr>
      <vt:lpstr>prijsdag3</vt:lpstr>
      <vt:lpstr>prijsjaar</vt:lpstr>
      <vt:lpstr>prijsjaar1</vt:lpstr>
      <vt:lpstr>prijsjaar3</vt:lpstr>
      <vt:lpstr>prijsjaaradditioneel</vt:lpstr>
      <vt:lpstr>prijsjaaradditioneel1</vt:lpstr>
      <vt:lpstr>prijsjaarafroep</vt:lpstr>
      <vt:lpstr>prijsjaarafroep1</vt:lpstr>
      <vt:lpstr>prijsjaarafroep3</vt:lpstr>
      <vt:lpstr>prijsjaarafroep4</vt:lpstr>
      <vt:lpstr>prijsjaarnietmeewerkend</vt:lpstr>
      <vt:lpstr>prijsjaartotaal</vt:lpstr>
      <vt:lpstr>prijsjaartotaal1</vt:lpstr>
      <vt:lpstr>prijsjaartotaal3</vt:lpstr>
      <vt:lpstr>prijsjaartotaaloverzicht</vt:lpstr>
      <vt:lpstr>prijsmaandtotaal1</vt:lpstr>
      <vt:lpstr>prijsmaandtotaal3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prodnorm60</vt:lpstr>
      <vt:lpstr>prodnorm61</vt:lpstr>
      <vt:lpstr>prodnorm62</vt:lpstr>
      <vt:lpstr>prodnorm63</vt:lpstr>
      <vt:lpstr>prodnorm64</vt:lpstr>
      <vt:lpstr>prodnorm65</vt:lpstr>
      <vt:lpstr>prodnorm66</vt:lpstr>
      <vt:lpstr>prodnorm67</vt:lpstr>
      <vt:lpstr>prodnorm68</vt:lpstr>
      <vt:lpstr>prodnorm70</vt:lpstr>
      <vt:lpstr>prodnorm71</vt:lpstr>
      <vt:lpstr>prodnorm72</vt:lpstr>
      <vt:lpstr>prodnorm73</vt:lpstr>
      <vt:lpstr>prodnorm74</vt:lpstr>
      <vt:lpstr>prodnorm75</vt:lpstr>
      <vt:lpstr>prodnorm76</vt:lpstr>
      <vt:lpstr>taakfreqtabel1</vt:lpstr>
      <vt:lpstr>taakfreqtabel3</vt:lpstr>
      <vt:lpstr>tabeltype</vt:lpstr>
      <vt:lpstr>tarieftabel1</vt:lpstr>
      <vt:lpstr>tarieftabel3</vt:lpstr>
      <vt:lpstr>tzpjt1</vt:lpstr>
      <vt:lpstr>tzpjt1_1</vt:lpstr>
      <vt:lpstr>tzpjt10_1</vt:lpstr>
      <vt:lpstr>tzpjt11_1</vt:lpstr>
      <vt:lpstr>tzpjt12_1</vt:lpstr>
      <vt:lpstr>tzpjt13_1</vt:lpstr>
      <vt:lpstr>tzpjt14_1</vt:lpstr>
      <vt:lpstr>tzpjt15_1</vt:lpstr>
      <vt:lpstr>tzpjt16_1</vt:lpstr>
      <vt:lpstr>tzpjt16_3</vt:lpstr>
      <vt:lpstr>tzpjt17_1</vt:lpstr>
      <vt:lpstr>tzpjt2_1</vt:lpstr>
      <vt:lpstr>tzpjt2_3</vt:lpstr>
      <vt:lpstr>tzpjt3</vt:lpstr>
      <vt:lpstr>tzpjt3_1</vt:lpstr>
      <vt:lpstr>tzpjt4_1</vt:lpstr>
      <vt:lpstr>tzpjt4_3</vt:lpstr>
      <vt:lpstr>tzpjt5_1</vt:lpstr>
      <vt:lpstr>tzpjt6_1</vt:lpstr>
      <vt:lpstr>tzpjt7_1</vt:lpstr>
      <vt:lpstr>tzpjt8_1</vt:lpstr>
      <vt:lpstr>tzpjt9_1</vt:lpstr>
      <vt:lpstr>tzpmt1</vt:lpstr>
      <vt:lpstr>tzpmt1_1</vt:lpstr>
      <vt:lpstr>tzpmt10_1</vt:lpstr>
      <vt:lpstr>tzpmt11_1</vt:lpstr>
      <vt:lpstr>tzpmt12_1</vt:lpstr>
      <vt:lpstr>tzpmt13_1</vt:lpstr>
      <vt:lpstr>tzpmt14_1</vt:lpstr>
      <vt:lpstr>tzpmt15_1</vt:lpstr>
      <vt:lpstr>tzpmt16_1</vt:lpstr>
      <vt:lpstr>tzpmt16_3</vt:lpstr>
      <vt:lpstr>tzpmt17_1</vt:lpstr>
      <vt:lpstr>tzpmt2_1</vt:lpstr>
      <vt:lpstr>tzpmt2_3</vt:lpstr>
      <vt:lpstr>tzpmt3</vt:lpstr>
      <vt:lpstr>tzpmt3_1</vt:lpstr>
      <vt:lpstr>tzpmt4_1</vt:lpstr>
      <vt:lpstr>tzpmt4_3</vt:lpstr>
      <vt:lpstr>tzpmt5_1</vt:lpstr>
      <vt:lpstr>tzpmt6_1</vt:lpstr>
      <vt:lpstr>tzpmt7_1</vt:lpstr>
      <vt:lpstr>tzpmt8_1</vt:lpstr>
      <vt:lpstr>tzpmt9_1</vt:lpstr>
      <vt:lpstr>tzujt1</vt:lpstr>
      <vt:lpstr>tzujt1_1</vt:lpstr>
      <vt:lpstr>tzujt10_1</vt:lpstr>
      <vt:lpstr>tzujt11_1</vt:lpstr>
      <vt:lpstr>tzujt12_1</vt:lpstr>
      <vt:lpstr>tzujt13_1</vt:lpstr>
      <vt:lpstr>tzujt14_1</vt:lpstr>
      <vt:lpstr>tzujt15_1</vt:lpstr>
      <vt:lpstr>tzujt16_1</vt:lpstr>
      <vt:lpstr>tzujt16_3</vt:lpstr>
      <vt:lpstr>tzujt17_1</vt:lpstr>
      <vt:lpstr>tzujt2_1</vt:lpstr>
      <vt:lpstr>tzujt2_3</vt:lpstr>
      <vt:lpstr>tzujt3</vt:lpstr>
      <vt:lpstr>tzujt3_1</vt:lpstr>
      <vt:lpstr>tzujt4_1</vt:lpstr>
      <vt:lpstr>tzujt4_3</vt:lpstr>
      <vt:lpstr>tzujt5_1</vt:lpstr>
      <vt:lpstr>tzujt6_1</vt:lpstr>
      <vt:lpstr>tzujt7_1</vt:lpstr>
      <vt:lpstr>tzujt8_1</vt:lpstr>
      <vt:lpstr>tzujt9_1</vt:lpstr>
      <vt:lpstr>urendag1</vt:lpstr>
      <vt:lpstr>urendag3</vt:lpstr>
      <vt:lpstr>urenjaar</vt:lpstr>
      <vt:lpstr>urenjaar1</vt:lpstr>
      <vt:lpstr>urenjaar3</vt:lpstr>
      <vt:lpstr>urenjaarnietmeewerkend</vt:lpstr>
      <vt:lpstr>urenjaartotaal</vt:lpstr>
      <vt:lpstr>urenjaartotaal1</vt:lpstr>
      <vt:lpstr>urenjaartotaal3</vt:lpstr>
      <vt:lpstr>urenjaartotaalhf</vt:lpstr>
      <vt:lpstr>urenjaartotaalhf1</vt:lpstr>
      <vt:lpstr>urenjaartotaalhf3</vt:lpstr>
      <vt:lpstr>urenjaartotaaloverzicht</vt:lpstr>
      <vt:lpstr>urenjaartotaaloverzichthf</vt:lpstr>
      <vt:lpstr>uurfactortabel1</vt:lpstr>
      <vt:lpstr>uurfactortabel3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uurtarief60</vt:lpstr>
      <vt:lpstr>uurtarief61</vt:lpstr>
      <vt:lpstr>uurtarief62</vt:lpstr>
      <vt:lpstr>uurtarief63</vt:lpstr>
      <vt:lpstr>uurtarief64</vt:lpstr>
      <vt:lpstr>uurtarief65</vt:lpstr>
      <vt:lpstr>uurtarief66</vt:lpstr>
      <vt:lpstr>uurtarief67</vt:lpstr>
      <vt:lpstr>uurtarief68</vt:lpstr>
      <vt:lpstr>uurtarief70</vt:lpstr>
      <vt:lpstr>uurtarief71</vt:lpstr>
      <vt:lpstr>uurtarief72</vt:lpstr>
      <vt:lpstr>uurtarief73</vt:lpstr>
      <vt:lpstr>uurtarief74</vt:lpstr>
      <vt:lpstr>uurtarief75</vt:lpstr>
      <vt:lpstr>uurtarief76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2023-07-21T14:31:02Z</dcterms:created>
  <dcterms:modified xsi:type="dcterms:W3CDTF">2023-07-21T14:39:31Z</dcterms:modified>
</cp:coreProperties>
</file>