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OB\Wegen\asfalt\2023\aanbesteding asfalt\2023 documenten aanbesteding\"/>
    </mc:Choice>
  </mc:AlternateContent>
  <xr:revisionPtr revIDLastSave="0" documentId="13_ncr:1_{23199B02-ED08-419F-8B1E-9ADBAC267CC0}" xr6:coauthVersionLast="47" xr6:coauthVersionMax="47" xr10:uidLastSave="{00000000-0000-0000-0000-000000000000}"/>
  <bookViews>
    <workbookView xWindow="28680" yWindow="-2865" windowWidth="29040" windowHeight="15840" xr2:uid="{2C30420E-F905-429A-BFC2-3A27B0A47E84}"/>
  </bookViews>
  <sheets>
    <sheet name="MJOP 2023-2027" sheetId="4" r:id="rId1"/>
  </sheets>
  <definedNames>
    <definedName name="_xlnm._FilterDatabase" localSheetId="0" hidden="1">'MJOP 2023-2027'!$A$1:$A$155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7" i="4" l="1"/>
  <c r="L136" i="4"/>
  <c r="L122" i="4"/>
  <c r="L120" i="4"/>
  <c r="L115" i="4"/>
  <c r="L111" i="4"/>
  <c r="L107" i="4"/>
  <c r="L104" i="4"/>
  <c r="L55" i="4"/>
  <c r="L99" i="4"/>
  <c r="L93" i="4"/>
  <c r="L91" i="4"/>
  <c r="L75" i="4"/>
  <c r="L72" i="4"/>
  <c r="L71" i="4"/>
  <c r="L69" i="4"/>
  <c r="L52" i="4"/>
  <c r="L50" i="4"/>
  <c r="L34" i="4"/>
  <c r="L47" i="4"/>
  <c r="L44" i="4"/>
  <c r="L36" i="4"/>
  <c r="P6" i="4" s="1"/>
  <c r="L24" i="4"/>
  <c r="L15" i="4"/>
  <c r="P5" i="4" s="1"/>
  <c r="L5" i="4"/>
  <c r="P4" i="4" s="1"/>
  <c r="I136" i="4"/>
  <c r="H15" i="4"/>
  <c r="I15" i="4" s="1"/>
  <c r="H7" i="4"/>
  <c r="H6" i="4"/>
  <c r="I5" i="4"/>
  <c r="I91" i="4"/>
  <c r="I115" i="4"/>
  <c r="H112" i="4"/>
  <c r="I111" i="4"/>
  <c r="H108" i="4"/>
  <c r="I99" i="4"/>
  <c r="I93" i="4"/>
  <c r="I55" i="4"/>
  <c r="I75" i="4"/>
  <c r="I52" i="4"/>
  <c r="I50" i="4"/>
  <c r="I47" i="4"/>
  <c r="I44" i="4"/>
  <c r="I36" i="4"/>
  <c r="H30" i="4"/>
  <c r="H29" i="4"/>
  <c r="I24" i="4" s="1"/>
  <c r="I3" i="4"/>
  <c r="O73" i="4" l="1"/>
  <c r="O151" i="4"/>
</calcChain>
</file>

<file path=xl/sharedStrings.xml><?xml version="1.0" encoding="utf-8"?>
<sst xmlns="http://schemas.openxmlformats.org/spreadsheetml/2006/main" count="252" uniqueCount="189">
  <si>
    <t>planjaar verwachte uitvoering</t>
  </si>
  <si>
    <t>straatnaam</t>
  </si>
  <si>
    <t>aanlegjaar</t>
  </si>
  <si>
    <t>wegtype</t>
  </si>
  <si>
    <t>Maatregel</t>
  </si>
  <si>
    <t>bijzonderheden</t>
  </si>
  <si>
    <t>Rondweg ZSA inprikker het Water</t>
  </si>
  <si>
    <t>GOW</t>
  </si>
  <si>
    <t>vervangen deklaag</t>
  </si>
  <si>
    <t>De Staart</t>
  </si>
  <si>
    <t>EWT</t>
  </si>
  <si>
    <t>Rondweg Oostromsdijkje-De Koppeling</t>
  </si>
  <si>
    <t>schraal wegdek waarbij het bindmiddel op is.</t>
  </si>
  <si>
    <t>deklaag vervangen</t>
  </si>
  <si>
    <t>Hoeksedijk</t>
  </si>
  <si>
    <t>zwaar teerhoudend (dijkopgang)</t>
  </si>
  <si>
    <t>Jhr Ramweg (Utrechts wit)</t>
  </si>
  <si>
    <t xml:space="preserve">betreft 5 vakken met verkeersattentie verhogende kleur. </t>
  </si>
  <si>
    <t>inprikker de Akker</t>
  </si>
  <si>
    <t>De Bouw</t>
  </si>
  <si>
    <t>reconstructie</t>
  </si>
  <si>
    <t>wijkingang de Weide</t>
  </si>
  <si>
    <t>wijkingang de Sloot</t>
  </si>
  <si>
    <t>fietspad</t>
  </si>
  <si>
    <t>Molenland (fietsstraat)</t>
  </si>
  <si>
    <t>Kasteeltuin (fietsstraat)</t>
  </si>
  <si>
    <t>Hollandsspoor -Loeriksepad</t>
  </si>
  <si>
    <t>Granietsteen (fietsstraat)</t>
  </si>
  <si>
    <t>de poort</t>
  </si>
  <si>
    <t>vervangen door klinkerverharding en klein materiaal vanwege breedte</t>
  </si>
  <si>
    <t>Loeriksepad</t>
  </si>
  <si>
    <t xml:space="preserve">resterende deel </t>
  </si>
  <si>
    <t>Lobbendijk Randhoeve-Weerwolfspad</t>
  </si>
  <si>
    <t>Imkerspad</t>
  </si>
  <si>
    <t>slijtlaag vervangen door DAB</t>
  </si>
  <si>
    <t>subtotaal</t>
  </si>
  <si>
    <t xml:space="preserve">rode deklaag blanke bitumen </t>
  </si>
  <si>
    <t>Binnentuin deel fietsstraat vanaf heidetuin rechtsaf tot aan tunnelbak</t>
  </si>
  <si>
    <t>Project! Werkzaamheden berekend inclusief lussen en boorkernen en 10% bakfrezen</t>
  </si>
  <si>
    <t>mogelijkheden koppelkandengebrek aan stroefheid volgens diverse melders.inclusief diverse lussen</t>
  </si>
  <si>
    <t>Hoofdveste (total) vanaf VRI tot 1e bocht</t>
  </si>
  <si>
    <t>Diverse vakken met klein onderhoud en geen restlevensduur</t>
  </si>
  <si>
    <t>zeer schraal</t>
  </si>
  <si>
    <t>staat niet in GBI als seperaat wegvakonderdeel! Oppervlakte zelf gemeten</t>
  </si>
  <si>
    <t>Hoeveelheid per objectnummer in m2</t>
  </si>
  <si>
    <t>Objectnummer GBI</t>
  </si>
  <si>
    <t>Totale HOEVEELHEID M2 vooraf</t>
  </si>
  <si>
    <t>Totale hoeveelheid objectnummers</t>
  </si>
  <si>
    <t>D492EFAD-C515-45AD-B6C1-9B487F79A05B</t>
  </si>
  <si>
    <t>0263196A-A0CD-4475-A012-A1F883910585</t>
  </si>
  <si>
    <t>36062037-66A0-455E-B05D-05782BD7DC8E</t>
  </si>
  <si>
    <t>00FB5CA0-7D20-4AF4-B995-1F8D81009005</t>
  </si>
  <si>
    <t>7F6F1330-562B-4924-92F8-D21B59331FC6</t>
  </si>
  <si>
    <t>E903449A80516336E0400A0A57327448</t>
  </si>
  <si>
    <t>413.76</t>
  </si>
  <si>
    <t>E903449A6A6D6336E0400A0A57327448</t>
  </si>
  <si>
    <t>E903449A6A6C6336E0400A0A57327448</t>
  </si>
  <si>
    <t>D764432C-DC46-4683-B330-97787638A458</t>
  </si>
  <si>
    <t>49355A65-5410-4464-8F67-5BAFE28B6329</t>
  </si>
  <si>
    <t>1CFB5629-47FC-40AB-AF5B-FF2BCE849933</t>
  </si>
  <si>
    <t>2E14F570-F5AE-41BF-B6F3-A5F5A87BD9D4</t>
  </si>
  <si>
    <t>Hoofdveste fietspaden</t>
  </si>
  <si>
    <t>Groot onderhoud</t>
  </si>
  <si>
    <t>TYPE</t>
  </si>
  <si>
    <t>MJOP</t>
  </si>
  <si>
    <t>FF66A1AD-FFE0-412F-A8DE-247C42FC6716</t>
  </si>
  <si>
    <t>468AB1CB-EB6F-49B9-BBF6-67D72AB4325C</t>
  </si>
  <si>
    <t>20AD741F-EFA1-4636-AEAB-2E87338AFAB4</t>
  </si>
  <si>
    <t>F995B260-7F98-4827-A9A3-CF96A3CDE1F2</t>
  </si>
  <si>
    <t>A7C6B912-52EE-4D47-9CB3-412CD9E69631</t>
  </si>
  <si>
    <t>E903449A6B396336E0400A0A57327448</t>
  </si>
  <si>
    <t>E903449A90DC6336E0400A0A57327448</t>
  </si>
  <si>
    <t>8A7F751E-6946-4022-BF35-5685016981C4</t>
  </si>
  <si>
    <t>139BBE17-027E-4722-BC78-C3FCFEE01952</t>
  </si>
  <si>
    <t>C5B957BC-CE6C-411C-97EC-0EC2C63CE0CD</t>
  </si>
  <si>
    <t>043B8D83-79A0-4490-B97B-1F5775E0B104</t>
  </si>
  <si>
    <t>FEA7917C-DCF5-4E2D-A483-8A0B0B10B137</t>
  </si>
  <si>
    <t>7B97F929-04CA-4EEA-9279-DA4610A729FC</t>
  </si>
  <si>
    <t>417861A5-504E-4D32-BC05-A08380B3434D</t>
  </si>
  <si>
    <t>5E842557-2B9B-458A-9EB5-3D3C7F1A5633</t>
  </si>
  <si>
    <t>wijkingang het veld</t>
  </si>
  <si>
    <t>E903449A701D6336E0400A0A57327448</t>
  </si>
  <si>
    <t>E903449A89216336E0400A0A57327448</t>
  </si>
  <si>
    <t>Type asfalt</t>
  </si>
  <si>
    <t>9B3F9FD3-C96F-44DD-A511-4B8E26BF7FF2</t>
  </si>
  <si>
    <t>E903449A6F2A6336E0400A0A57327448</t>
  </si>
  <si>
    <t>E903449A69666336E0400A0A57327448</t>
  </si>
  <si>
    <t>E903449A69656336E0400A0A57327448</t>
  </si>
  <si>
    <t>E903449A713C6336E0400A0A57327448</t>
  </si>
  <si>
    <t>E903449A70C06336E0400A0A57327448</t>
  </si>
  <si>
    <t>E903449A69CA6336E0400A0A57327448</t>
  </si>
  <si>
    <t>EDAD3999-E593-4C60-AA4B-ECAE6260E3B2</t>
  </si>
  <si>
    <t>E903449A6A5B6336E0400A0A57327448</t>
  </si>
  <si>
    <t>E903449A6A5C6336E0400A0A57327448</t>
  </si>
  <si>
    <t>E903449A7F9C6336E0400A0A57327448</t>
  </si>
  <si>
    <t>7A2E7894-F827-4CCC-995F-2134F9D98BF3</t>
  </si>
  <si>
    <t>839.56</t>
  </si>
  <si>
    <t>E903449A71066336E0400A0A57327448</t>
  </si>
  <si>
    <t>C576995D-2C10-4BDC-AB85-9815D8E7DCBE</t>
  </si>
  <si>
    <t>E903449A7F926336E0400A0A57327448</t>
  </si>
  <si>
    <t>E903449A91246336E0400A0A57327448</t>
  </si>
  <si>
    <t>4161C565-C5CD-4364-92DC-44E08FD1078B</t>
  </si>
  <si>
    <t>6B89227D-00C1-4389-8C46-69021CBA3326</t>
  </si>
  <si>
    <t>4B3BFC86-4E17-431C-B7E9-3C90F9317D5E</t>
  </si>
  <si>
    <t>16CD6C2A-482C-4F8E-8BCF-63E5A47B6832</t>
  </si>
  <si>
    <t>68001CBB-3AAD-4B2F-8614-8D9EC894E751</t>
  </si>
  <si>
    <t>8B9903C9-39B5-4582-9DF8-23474808B453</t>
  </si>
  <si>
    <t>D3D3BD98-4874-4CDB-AE21-ABB6553865EE</t>
  </si>
  <si>
    <t>E903449A86A46336E0400A0A57327448</t>
  </si>
  <si>
    <t>E903449A86A26336E0400A0A57327448</t>
  </si>
  <si>
    <t>E903449A76786336E0400A0A57327448</t>
  </si>
  <si>
    <t>4CBF0C31-AA6B-43DA-AA4A-A210B519274C</t>
  </si>
  <si>
    <t>BDFBF9BC-DEA0-4B7D-AA69-CEF05AAE3426</t>
  </si>
  <si>
    <t>E903449A83626336E0400A0A57327448</t>
  </si>
  <si>
    <t>B01AA24F-EDCC-4E61-884D-4E8E7A34BA8D</t>
  </si>
  <si>
    <t>AF3A533E-3B9E-4879-9FED-770C1F3DD67B</t>
  </si>
  <si>
    <t>E903449A6CD76336E0400A0A57327448</t>
  </si>
  <si>
    <t>E903449A93456336E0400A0A57327448</t>
  </si>
  <si>
    <t>E903449A8EE26336E0400A0A57327448</t>
  </si>
  <si>
    <t>E68D050D-8C17-4F79-B32D-6BCE70D2DF90</t>
  </si>
  <si>
    <t>FE898DCA-BEB0-4118-B84E-6CE784A368CE</t>
  </si>
  <si>
    <t>DC085411-076F-42EB-A6FD-A75A8C1D28DF</t>
  </si>
  <si>
    <t>E903449A7C0C6336E0400A0A57327448</t>
  </si>
  <si>
    <t>90E4B9C1-8A5E-43C3-A7AC-079FFEF2DED4</t>
  </si>
  <si>
    <t>E903449A7C016336E0400A0A57327448</t>
  </si>
  <si>
    <t>E903449A6F0F6336E0400A0A57327448</t>
  </si>
  <si>
    <t>988FD0CB-4995-4CD4-9B36-220E5F4C8400</t>
  </si>
  <si>
    <t>6A381A66-3837-46A4-9A8D-B1E14A473D73</t>
  </si>
  <si>
    <t>4E093FA6-88A7-4FCF-801F-F1BF25925F6B</t>
  </si>
  <si>
    <t>JPL</t>
  </si>
  <si>
    <t>De koppeling</t>
  </si>
  <si>
    <t>707C723F-36C7-475C-A310-59E3E29715BC</t>
  </si>
  <si>
    <t>E903449A77066336E0400A0A57327448</t>
  </si>
  <si>
    <t>F8C4A65A-6C07-408D-8095-6E7A31F2A956</t>
  </si>
  <si>
    <t>E903449A880A6336E0400A0A57327448</t>
  </si>
  <si>
    <t>E903449A88086336E0400A0A57327448</t>
  </si>
  <si>
    <t>6BEAC217-9FE8-4A1D-AF28-A8697741F59F</t>
  </si>
  <si>
    <t>E903449A88096336E0400A0A57327448</t>
  </si>
  <si>
    <t>E903449A76FA6336E0400A0A57327448</t>
  </si>
  <si>
    <t>E903449A76FB6336E0400A0A57327448</t>
  </si>
  <si>
    <t>Inprikker het erf</t>
  </si>
  <si>
    <t>Beusichemseweg</t>
  </si>
  <si>
    <t>A1BB1331-9113-4DD4-BC8A-0B53E0E4C689</t>
  </si>
  <si>
    <t>B0284F21-C6BE-44AE-8E28-1BB059AB4259</t>
  </si>
  <si>
    <t>DAB</t>
  </si>
  <si>
    <t>Sma 0/11</t>
  </si>
  <si>
    <t>DAB rood</t>
  </si>
  <si>
    <t>worden klinkers</t>
  </si>
  <si>
    <t>SMA 0/11</t>
  </si>
  <si>
    <t>Go+v</t>
  </si>
  <si>
    <t>Meidoornkade</t>
  </si>
  <si>
    <t>A2AA5C09-6C8E-44E1-B2BB-D3940AF1EFDC</t>
  </si>
  <si>
    <t>E903449A722F6336E0400A0A57327448</t>
  </si>
  <si>
    <t>E903449A6C006336E0400A0A57327448</t>
  </si>
  <si>
    <t>E903449A807D6336E0400A0A57327448</t>
  </si>
  <si>
    <t>E903449A6C046336E0400A0A57327448</t>
  </si>
  <si>
    <t>E903449A72B36336E0400A0A57327448</t>
  </si>
  <si>
    <t>E903449A72B46336E0400A0A57327448</t>
  </si>
  <si>
    <t>E903449A72B26336E0400A0A57327448</t>
  </si>
  <si>
    <t>E903449A6C026336E0400A0A57327448</t>
  </si>
  <si>
    <t>E903449A81646336E0400A0A57327448</t>
  </si>
  <si>
    <t xml:space="preserve">1983 tot 1988 </t>
  </si>
  <si>
    <t>E903449A72566336E0400A0A57327448</t>
  </si>
  <si>
    <t>E903449A6C016336E0400A0A57327448</t>
  </si>
  <si>
    <t>E903449A6C036336E0400A0A57327448</t>
  </si>
  <si>
    <t>GO+v</t>
  </si>
  <si>
    <t>de Rede</t>
  </si>
  <si>
    <t>5E94F2D7-F1F4-4A84-BA65-F8B7C37998E8</t>
  </si>
  <si>
    <t xml:space="preserve">deklaag en tussenlaag </t>
  </si>
  <si>
    <t>62649BCF-B321-474A-84A2-2617D10B07A8</t>
  </si>
  <si>
    <t>3E23C151-4BE6-42CF-820C-F947DFE83FA5</t>
  </si>
  <si>
    <t>E903449A6B1B6336E0400A0A57327448</t>
  </si>
  <si>
    <t>E903449A6B1C6336E0400A0A57327448</t>
  </si>
  <si>
    <t>6D21804B-1FD5-40CC-AE5E-E598023238C9</t>
  </si>
  <si>
    <t>2719EF67-F5CC-456B-BA4E-6359581F12F8</t>
  </si>
  <si>
    <t>90AD7B8B-E6A3-4536-909C-EC529B2F866F</t>
  </si>
  <si>
    <t>E903449A73DC6336E0400A0A57327448</t>
  </si>
  <si>
    <t>E903449A73DD6336E0400A0A57327448</t>
  </si>
  <si>
    <t>in tonnen</t>
  </si>
  <si>
    <t>66 ton</t>
  </si>
  <si>
    <t>SMA 8g+ gemiddeld 35 mm</t>
  </si>
  <si>
    <t>sma 0/11 gemiddeld 40 mm</t>
  </si>
  <si>
    <t>DAB 40 mm</t>
  </si>
  <si>
    <t>Sma 0/11 40 mm</t>
  </si>
  <si>
    <t xml:space="preserve">DAB rood 40 mm </t>
  </si>
  <si>
    <t xml:space="preserve">Sma 0/11 </t>
  </si>
  <si>
    <t>tussenlaagmengsel</t>
  </si>
  <si>
    <t xml:space="preserve">sma 8g+ </t>
  </si>
  <si>
    <t>Wegvak breedte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</si>
</sst>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0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8"/>
      <color rgb="FF333333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rgb="FFFFC000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Continuous" wrapText="1"/>
    </xf>
    <xf numFmtId="44" fontId="0" fillId="0" borderId="0" xfId="0" applyNumberFormat="1"/>
    <xf numFmtId="0" fontId="0" fillId="2" borderId="0" xfId="0" applyFill="1" applyAlignment="1">
      <alignment horizontal="centerContinuous" wrapText="1"/>
    </xf>
    <xf numFmtId="0" fontId="0" fillId="0" borderId="1" xfId="0" applyBorder="1"/>
    <xf numFmtId="0" fontId="0" fillId="0" borderId="3" xfId="0" applyBorder="1"/>
    <xf numFmtId="0" fontId="0" fillId="0" borderId="4" xfId="0" applyBorder="1" applyAlignment="1">
      <alignment horizontal="centerContinuous" wrapText="1"/>
    </xf>
    <xf numFmtId="0" fontId="0" fillId="0" borderId="10" xfId="0" applyBorder="1"/>
    <xf numFmtId="0" fontId="0" fillId="0" borderId="11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3" borderId="14" xfId="0" applyFill="1" applyBorder="1"/>
    <xf numFmtId="0" fontId="0" fillId="3" borderId="12" xfId="0" applyFill="1" applyBorder="1"/>
    <xf numFmtId="0" fontId="0" fillId="3" borderId="8" xfId="0" applyFill="1" applyBorder="1"/>
    <xf numFmtId="0" fontId="0" fillId="3" borderId="9" xfId="0" applyFill="1" applyBorder="1" applyAlignment="1">
      <alignment horizontal="centerContinuous" wrapText="1"/>
    </xf>
    <xf numFmtId="0" fontId="0" fillId="3" borderId="15" xfId="0" applyFill="1" applyBorder="1"/>
    <xf numFmtId="0" fontId="0" fillId="3" borderId="3" xfId="0" applyFill="1" applyBorder="1"/>
    <xf numFmtId="1" fontId="0" fillId="3" borderId="1" xfId="0" applyNumberFormat="1" applyFill="1" applyBorder="1"/>
    <xf numFmtId="0" fontId="0" fillId="3" borderId="1" xfId="0" applyFill="1" applyBorder="1"/>
    <xf numFmtId="0" fontId="1" fillId="4" borderId="7" xfId="0" applyFont="1" applyFill="1" applyBorder="1" applyAlignment="1">
      <alignment horizontal="centerContinuous"/>
    </xf>
    <xf numFmtId="0" fontId="1" fillId="4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Continuous"/>
    </xf>
    <xf numFmtId="0" fontId="2" fillId="2" borderId="2" xfId="0" applyFont="1" applyFill="1" applyBorder="1"/>
    <xf numFmtId="1" fontId="2" fillId="2" borderId="2" xfId="0" applyNumberFormat="1" applyFont="1" applyFill="1" applyBorder="1"/>
    <xf numFmtId="44" fontId="2" fillId="2" borderId="2" xfId="0" applyNumberFormat="1" applyFont="1" applyFill="1" applyBorder="1"/>
    <xf numFmtId="0" fontId="2" fillId="2" borderId="2" xfId="0" applyFont="1" applyFill="1" applyBorder="1" applyAlignment="1">
      <alignment horizontal="centerContinuous" wrapText="1"/>
    </xf>
    <xf numFmtId="0" fontId="0" fillId="0" borderId="4" xfId="0" applyBorder="1" applyAlignment="1">
      <alignment horizontal="centerContinuous" vertical="top" wrapText="1"/>
    </xf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 applyAlignment="1">
      <alignment horizontal="centerContinuous" wrapText="1"/>
    </xf>
    <xf numFmtId="0" fontId="3" fillId="0" borderId="0" xfId="0" applyFont="1"/>
    <xf numFmtId="0" fontId="0" fillId="3" borderId="1" xfId="0" applyFill="1" applyBorder="1" applyAlignment="1">
      <alignment horizontal="right"/>
    </xf>
    <xf numFmtId="44" fontId="0" fillId="3" borderId="21" xfId="0" applyNumberFormat="1" applyFill="1" applyBorder="1"/>
    <xf numFmtId="44" fontId="0" fillId="3" borderId="22" xfId="0" applyNumberFormat="1" applyFill="1" applyBorder="1"/>
    <xf numFmtId="44" fontId="0" fillId="0" borderId="22" xfId="0" applyNumberFormat="1" applyBorder="1"/>
    <xf numFmtId="44" fontId="0" fillId="0" borderId="23" xfId="0" applyNumberFormat="1" applyBorder="1"/>
    <xf numFmtId="44" fontId="0" fillId="3" borderId="24" xfId="0" applyNumberFormat="1" applyFill="1" applyBorder="1"/>
    <xf numFmtId="0" fontId="4" fillId="0" borderId="3" xfId="0" applyFont="1" applyBorder="1"/>
    <xf numFmtId="0" fontId="4" fillId="0" borderId="1" xfId="0" applyFont="1" applyBorder="1"/>
    <xf numFmtId="44" fontId="4" fillId="0" borderId="22" xfId="0" applyNumberFormat="1" applyFont="1" applyBorder="1"/>
    <xf numFmtId="0" fontId="4" fillId="0" borderId="4" xfId="0" applyFont="1" applyBorder="1" applyAlignment="1">
      <alignment horizontal="centerContinuous" wrapText="1"/>
    </xf>
    <xf numFmtId="0" fontId="4" fillId="0" borderId="0" xfId="0" applyFont="1"/>
    <xf numFmtId="0" fontId="0" fillId="3" borderId="25" xfId="0" applyFill="1" applyBorder="1"/>
    <xf numFmtId="0" fontId="0" fillId="0" borderId="25" xfId="0" applyBorder="1"/>
    <xf numFmtId="0" fontId="4" fillId="0" borderId="25" xfId="0" applyFont="1" applyBorder="1"/>
    <xf numFmtId="0" fontId="0" fillId="0" borderId="26" xfId="0" applyBorder="1"/>
    <xf numFmtId="0" fontId="1" fillId="4" borderId="27" xfId="0" applyFont="1" applyFill="1" applyBorder="1" applyAlignment="1">
      <alignment horizontal="centerContinuous"/>
    </xf>
    <xf numFmtId="0" fontId="1" fillId="4" borderId="28" xfId="0" applyFont="1" applyFill="1" applyBorder="1" applyAlignment="1">
      <alignment horizontal="centerContinuous"/>
    </xf>
    <xf numFmtId="0" fontId="0" fillId="3" borderId="0" xfId="0" applyFill="1"/>
    <xf numFmtId="4" fontId="2" fillId="2" borderId="2" xfId="0" applyNumberFormat="1" applyFont="1" applyFill="1" applyBorder="1"/>
    <xf numFmtId="4" fontId="1" fillId="4" borderId="5" xfId="0" applyNumberFormat="1" applyFont="1" applyFill="1" applyBorder="1" applyAlignment="1">
      <alignment horizontal="centerContinuous"/>
    </xf>
    <xf numFmtId="4" fontId="0" fillId="3" borderId="21" xfId="0" applyNumberFormat="1" applyFill="1" applyBorder="1"/>
    <xf numFmtId="4" fontId="0" fillId="3" borderId="24" xfId="0" applyNumberFormat="1" applyFill="1" applyBorder="1"/>
    <xf numFmtId="4" fontId="0" fillId="3" borderId="22" xfId="0" applyNumberFormat="1" applyFill="1" applyBorder="1"/>
    <xf numFmtId="4" fontId="0" fillId="0" borderId="22" xfId="0" applyNumberFormat="1" applyBorder="1"/>
    <xf numFmtId="4" fontId="0" fillId="0" borderId="23" xfId="0" applyNumberFormat="1" applyBorder="1"/>
    <xf numFmtId="4" fontId="4" fillId="0" borderId="22" xfId="0" applyNumberFormat="1" applyFont="1" applyBorder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23A19-364D-4E77-96E2-AF6D8E3315E9}">
  <dimension ref="A1:P152"/>
  <sheetViews>
    <sheetView tabSelected="1" zoomScale="85" zoomScaleNormal="85" workbookViewId="0">
      <pane ySplit="1" topLeftCell="A2" activePane="bottomLeft" state="frozen"/>
      <selection pane="bottomLeft" activeCell="E19" sqref="E19"/>
    </sheetView>
  </sheetViews>
  <sheetFormatPr defaultRowHeight="12.75" x14ac:dyDescent="0.2"/>
  <cols>
    <col min="1" max="1" width="11" customWidth="1"/>
    <col min="2" max="2" width="14.7109375" bestFit="1" customWidth="1"/>
    <col min="3" max="3" width="36.28515625" bestFit="1" customWidth="1"/>
    <col min="4" max="4" width="11.7109375" bestFit="1" customWidth="1"/>
    <col min="5" max="5" width="14.42578125" customWidth="1"/>
    <col min="6" max="6" width="25.7109375" bestFit="1" customWidth="1"/>
    <col min="7" max="7" width="42.85546875" bestFit="1" customWidth="1"/>
    <col min="8" max="8" width="40.5703125" bestFit="1" customWidth="1"/>
    <col min="9" max="9" width="39.42578125" bestFit="1" customWidth="1"/>
    <col min="10" max="10" width="36.7109375" bestFit="1" customWidth="1"/>
    <col min="11" max="11" width="27.7109375" style="2" bestFit="1" customWidth="1"/>
    <col min="12" max="13" width="27.7109375" style="60" customWidth="1"/>
    <col min="14" max="14" width="50.85546875" style="1" customWidth="1"/>
    <col min="15" max="15" width="15.140625" bestFit="1" customWidth="1"/>
  </cols>
  <sheetData>
    <row r="1" spans="1:16" ht="39.75" thickTop="1" thickBot="1" x14ac:dyDescent="0.25">
      <c r="A1" s="3" t="s">
        <v>0</v>
      </c>
      <c r="B1" s="3" t="s">
        <v>63</v>
      </c>
      <c r="C1" s="24" t="s">
        <v>1</v>
      </c>
      <c r="D1" s="25" t="s">
        <v>2</v>
      </c>
      <c r="E1" s="25" t="s">
        <v>3</v>
      </c>
      <c r="F1" s="24" t="s">
        <v>4</v>
      </c>
      <c r="G1" s="24" t="s">
        <v>45</v>
      </c>
      <c r="H1" s="24" t="s">
        <v>44</v>
      </c>
      <c r="I1" s="24" t="s">
        <v>47</v>
      </c>
      <c r="J1" s="24" t="s">
        <v>46</v>
      </c>
      <c r="K1" s="26" t="s">
        <v>83</v>
      </c>
      <c r="L1" s="52" t="s">
        <v>178</v>
      </c>
      <c r="M1" s="52" t="s">
        <v>188</v>
      </c>
      <c r="N1" s="27" t="s">
        <v>5</v>
      </c>
    </row>
    <row r="2" spans="1:16" ht="19.5" thickTop="1" thickBot="1" x14ac:dyDescent="0.3">
      <c r="A2" s="21">
        <v>2023</v>
      </c>
      <c r="B2" s="21"/>
      <c r="C2" s="21"/>
      <c r="D2" s="22"/>
      <c r="E2" s="22"/>
      <c r="F2" s="22"/>
      <c r="G2" s="22"/>
      <c r="H2" s="22"/>
      <c r="I2" s="22"/>
      <c r="J2" s="22"/>
      <c r="K2" s="22"/>
      <c r="L2" s="53"/>
      <c r="M2" s="53"/>
      <c r="N2" s="23"/>
    </row>
    <row r="3" spans="1:16" ht="25.5" x14ac:dyDescent="0.2">
      <c r="A3" s="13">
        <v>2023</v>
      </c>
      <c r="B3" s="19" t="s">
        <v>64</v>
      </c>
      <c r="C3" s="14" t="s">
        <v>6</v>
      </c>
      <c r="D3" s="15">
        <v>2012</v>
      </c>
      <c r="E3" s="15" t="s">
        <v>7</v>
      </c>
      <c r="F3" s="15" t="s">
        <v>8</v>
      </c>
      <c r="G3" s="15" t="s">
        <v>48</v>
      </c>
      <c r="H3" s="15">
        <v>750</v>
      </c>
      <c r="I3" s="15">
        <f>SUM(H3)</f>
        <v>750</v>
      </c>
      <c r="J3" s="15">
        <v>815</v>
      </c>
      <c r="K3" s="35" t="s">
        <v>180</v>
      </c>
      <c r="L3" s="54">
        <v>66</v>
      </c>
      <c r="M3" s="54"/>
      <c r="N3" s="16" t="s">
        <v>43</v>
      </c>
      <c r="O3" t="s">
        <v>187</v>
      </c>
      <c r="P3" t="s">
        <v>179</v>
      </c>
    </row>
    <row r="4" spans="1:16" x14ac:dyDescent="0.2">
      <c r="A4" s="29"/>
      <c r="B4" s="19"/>
      <c r="C4" s="30"/>
      <c r="D4" s="31"/>
      <c r="E4" s="31"/>
      <c r="F4" s="31"/>
      <c r="G4" s="31"/>
      <c r="H4" s="31"/>
      <c r="I4" s="31"/>
      <c r="J4" s="31"/>
      <c r="K4" s="39"/>
      <c r="L4" s="55"/>
      <c r="M4" s="55"/>
      <c r="N4" s="32"/>
      <c r="O4" t="s">
        <v>145</v>
      </c>
      <c r="P4" s="60">
        <f>SUM(L5+L15+L24+L71+L69+L72+L75+L99+L104+L136)</f>
        <v>7243.7570000000005</v>
      </c>
    </row>
    <row r="5" spans="1:16" x14ac:dyDescent="0.2">
      <c r="A5" s="29">
        <v>2023</v>
      </c>
      <c r="B5" s="19" t="s">
        <v>129</v>
      </c>
      <c r="C5" s="30" t="s">
        <v>130</v>
      </c>
      <c r="D5" s="31">
        <v>2005</v>
      </c>
      <c r="E5" s="31"/>
      <c r="F5" s="31"/>
      <c r="G5" s="4" t="s">
        <v>131</v>
      </c>
      <c r="H5" s="31">
        <v>1260.78</v>
      </c>
      <c r="I5" s="31">
        <f>SUM(H5:H11)</f>
        <v>5729.06</v>
      </c>
      <c r="J5" s="31"/>
      <c r="K5" s="39" t="s">
        <v>181</v>
      </c>
      <c r="L5" s="55">
        <f>SUM(5729.06*0.04)*2.5</f>
        <v>572.90600000000006</v>
      </c>
      <c r="M5" s="55"/>
      <c r="N5" s="32"/>
      <c r="O5" t="s">
        <v>144</v>
      </c>
      <c r="P5" s="60" t="e">
        <f>SUM(L15+L34+L91+L122+#REF!+#REF!)</f>
        <v>#REF!</v>
      </c>
    </row>
    <row r="6" spans="1:16" x14ac:dyDescent="0.2">
      <c r="A6" s="29"/>
      <c r="B6" s="19"/>
      <c r="C6" s="30"/>
      <c r="D6" s="31">
        <v>2005</v>
      </c>
      <c r="E6" s="31"/>
      <c r="F6" s="31"/>
      <c r="G6" s="4" t="s">
        <v>132</v>
      </c>
      <c r="H6" s="31">
        <f>816.63-500</f>
        <v>316.63</v>
      </c>
      <c r="I6" s="31"/>
      <c r="J6" s="31"/>
      <c r="K6" s="39"/>
      <c r="L6" s="55"/>
      <c r="M6" s="55"/>
      <c r="N6" s="32"/>
      <c r="O6" t="s">
        <v>146</v>
      </c>
      <c r="P6" s="60" t="e">
        <f>SUM(L36+L44+L47+L52+L93+L55+L107+L111+L115+L120+#REF!)</f>
        <v>#REF!</v>
      </c>
    </row>
    <row r="7" spans="1:16" x14ac:dyDescent="0.2">
      <c r="A7" s="29"/>
      <c r="B7" s="19"/>
      <c r="C7" s="30"/>
      <c r="D7" s="31">
        <v>2005</v>
      </c>
      <c r="E7" s="31"/>
      <c r="F7" s="31"/>
      <c r="G7" s="4" t="s">
        <v>133</v>
      </c>
      <c r="H7" s="31">
        <f>983.42-500</f>
        <v>483.41999999999996</v>
      </c>
      <c r="I7" s="31"/>
      <c r="J7" s="31"/>
      <c r="K7" s="39"/>
      <c r="L7" s="55"/>
      <c r="M7" s="55"/>
      <c r="N7" s="32"/>
    </row>
    <row r="8" spans="1:16" x14ac:dyDescent="0.2">
      <c r="A8" s="29"/>
      <c r="B8" s="19"/>
      <c r="C8" s="30"/>
      <c r="D8" s="31">
        <v>2005</v>
      </c>
      <c r="E8" s="31"/>
      <c r="F8" s="31"/>
      <c r="G8" s="4" t="s">
        <v>134</v>
      </c>
      <c r="H8" s="31">
        <v>1166.05</v>
      </c>
      <c r="I8" s="31"/>
      <c r="J8" s="31"/>
      <c r="K8" s="39"/>
      <c r="L8" s="55"/>
      <c r="M8" s="55"/>
      <c r="N8" s="32"/>
    </row>
    <row r="9" spans="1:16" x14ac:dyDescent="0.2">
      <c r="A9" s="29"/>
      <c r="B9" s="19"/>
      <c r="C9" s="30"/>
      <c r="D9" s="31">
        <v>2005</v>
      </c>
      <c r="E9" s="31"/>
      <c r="F9" s="31"/>
      <c r="G9" s="4" t="s">
        <v>135</v>
      </c>
      <c r="H9" s="31">
        <v>754.35</v>
      </c>
      <c r="I9" s="31"/>
      <c r="J9" s="31"/>
      <c r="K9" s="39"/>
      <c r="L9" s="55"/>
      <c r="M9" s="55"/>
      <c r="N9" s="32"/>
    </row>
    <row r="10" spans="1:16" x14ac:dyDescent="0.2">
      <c r="A10" s="29"/>
      <c r="B10" s="19"/>
      <c r="C10" s="30"/>
      <c r="D10" s="31">
        <v>2005</v>
      </c>
      <c r="E10" s="31"/>
      <c r="F10" s="31"/>
      <c r="G10" s="4" t="s">
        <v>136</v>
      </c>
      <c r="H10" s="31">
        <v>1063.96</v>
      </c>
      <c r="I10" s="31"/>
      <c r="J10" s="31"/>
      <c r="K10" s="39"/>
      <c r="L10" s="55"/>
      <c r="M10" s="55"/>
      <c r="N10" s="32"/>
    </row>
    <row r="11" spans="1:16" x14ac:dyDescent="0.2">
      <c r="A11" s="29"/>
      <c r="B11" s="19"/>
      <c r="C11" s="30"/>
      <c r="D11" s="31">
        <v>2005</v>
      </c>
      <c r="E11" s="31"/>
      <c r="F11" s="31"/>
      <c r="G11" s="4" t="s">
        <v>137</v>
      </c>
      <c r="H11" s="31">
        <v>683.87</v>
      </c>
      <c r="I11" s="31"/>
      <c r="J11" s="31"/>
      <c r="K11" s="39"/>
      <c r="L11" s="55"/>
      <c r="M11" s="55"/>
      <c r="N11" s="32"/>
    </row>
    <row r="12" spans="1:16" x14ac:dyDescent="0.2">
      <c r="A12" s="29"/>
      <c r="B12" s="19"/>
      <c r="C12" s="30"/>
      <c r="D12" s="31">
        <v>1991</v>
      </c>
      <c r="E12" s="31"/>
      <c r="F12" s="31"/>
      <c r="G12" s="4" t="s">
        <v>138</v>
      </c>
      <c r="H12" s="31">
        <v>256.36</v>
      </c>
      <c r="I12" s="31"/>
      <c r="J12" s="31"/>
      <c r="K12" s="39"/>
      <c r="L12" s="55"/>
      <c r="M12" s="55"/>
      <c r="N12" s="32" t="s">
        <v>140</v>
      </c>
    </row>
    <row r="13" spans="1:16" x14ac:dyDescent="0.2">
      <c r="A13" s="29"/>
      <c r="B13" s="19"/>
      <c r="C13" s="30"/>
      <c r="D13" s="31">
        <v>1991</v>
      </c>
      <c r="E13" s="31"/>
      <c r="F13" s="31"/>
      <c r="G13" s="4" t="s">
        <v>139</v>
      </c>
      <c r="H13" s="31">
        <v>240.02</v>
      </c>
      <c r="I13" s="31"/>
      <c r="J13" s="31"/>
      <c r="K13" s="39"/>
      <c r="L13" s="55"/>
      <c r="M13" s="55"/>
      <c r="N13" s="32" t="s">
        <v>140</v>
      </c>
    </row>
    <row r="14" spans="1:16" x14ac:dyDescent="0.2">
      <c r="A14" s="29"/>
      <c r="B14" s="19"/>
      <c r="C14" s="30"/>
      <c r="D14" s="31"/>
      <c r="E14" s="31"/>
      <c r="F14" s="31"/>
      <c r="G14" s="4"/>
      <c r="H14" s="31"/>
      <c r="I14" s="31"/>
      <c r="J14" s="31"/>
      <c r="K14" s="39"/>
      <c r="L14" s="55"/>
      <c r="M14" s="55"/>
      <c r="N14" s="32"/>
    </row>
    <row r="15" spans="1:16" x14ac:dyDescent="0.2">
      <c r="A15" s="29">
        <v>2023</v>
      </c>
      <c r="B15" s="19" t="s">
        <v>129</v>
      </c>
      <c r="C15" s="30" t="s">
        <v>141</v>
      </c>
      <c r="D15" s="31">
        <v>1970</v>
      </c>
      <c r="E15" s="31"/>
      <c r="F15" s="31"/>
      <c r="G15" s="4" t="s">
        <v>142</v>
      </c>
      <c r="H15" s="31">
        <f>4052.83-700</f>
        <v>3352.83</v>
      </c>
      <c r="I15" s="31">
        <f>SUM(H15:H16)</f>
        <v>6284.67</v>
      </c>
      <c r="J15" s="31"/>
      <c r="K15" s="39" t="s">
        <v>182</v>
      </c>
      <c r="L15" s="55">
        <f>SUM(6284.67*0.04)*2.5</f>
        <v>628.4670000000001</v>
      </c>
      <c r="M15" s="55"/>
      <c r="N15" s="32"/>
    </row>
    <row r="16" spans="1:16" x14ac:dyDescent="0.2">
      <c r="A16" s="29"/>
      <c r="B16" s="19"/>
      <c r="C16" s="30"/>
      <c r="D16" s="31">
        <v>1970</v>
      </c>
      <c r="E16" s="31"/>
      <c r="F16" s="31"/>
      <c r="G16" s="4" t="s">
        <v>143</v>
      </c>
      <c r="H16" s="31">
        <v>2931.84</v>
      </c>
      <c r="I16" s="31"/>
      <c r="J16" s="31"/>
      <c r="K16" s="39"/>
      <c r="L16" s="55"/>
      <c r="M16" s="55"/>
      <c r="N16" s="32"/>
    </row>
    <row r="17" spans="1:14" x14ac:dyDescent="0.2">
      <c r="A17" s="29"/>
      <c r="B17" s="19"/>
      <c r="C17" s="30"/>
      <c r="D17" s="31"/>
      <c r="E17" s="31"/>
      <c r="F17" s="31"/>
      <c r="G17" s="4"/>
      <c r="H17" s="31"/>
      <c r="I17" s="31"/>
      <c r="J17" s="31"/>
      <c r="K17" s="39"/>
      <c r="L17" s="55"/>
      <c r="M17" s="55"/>
      <c r="N17" s="32"/>
    </row>
    <row r="18" spans="1:14" x14ac:dyDescent="0.2">
      <c r="A18" s="29"/>
      <c r="B18" s="19"/>
      <c r="C18" s="30"/>
      <c r="D18" s="31"/>
      <c r="E18" s="31"/>
      <c r="F18" s="31"/>
      <c r="G18" s="4"/>
      <c r="H18" s="31"/>
      <c r="I18" s="31"/>
      <c r="J18" s="31"/>
      <c r="K18" s="39"/>
      <c r="L18" s="55"/>
      <c r="M18" s="55"/>
      <c r="N18" s="32"/>
    </row>
    <row r="19" spans="1:14" x14ac:dyDescent="0.2">
      <c r="A19" s="29"/>
      <c r="B19" s="19"/>
      <c r="C19" s="30"/>
      <c r="D19" s="31"/>
      <c r="E19" s="31"/>
      <c r="F19" s="31"/>
      <c r="G19" s="4"/>
      <c r="H19" s="31"/>
      <c r="I19" s="31"/>
      <c r="J19" s="31"/>
      <c r="K19" s="39"/>
      <c r="L19" s="55"/>
      <c r="M19" s="55"/>
      <c r="N19" s="32"/>
    </row>
    <row r="20" spans="1:14" x14ac:dyDescent="0.2">
      <c r="A20" s="29"/>
      <c r="B20" s="19"/>
      <c r="C20" s="30"/>
      <c r="D20" s="31"/>
      <c r="E20" s="31"/>
      <c r="F20" s="31"/>
      <c r="G20" s="4"/>
      <c r="H20" s="31"/>
      <c r="I20" s="31"/>
      <c r="J20" s="31"/>
      <c r="K20" s="39"/>
      <c r="L20" s="55"/>
      <c r="M20" s="55"/>
      <c r="N20" s="32"/>
    </row>
    <row r="21" spans="1:14" x14ac:dyDescent="0.2">
      <c r="A21" s="29"/>
      <c r="B21" s="19"/>
      <c r="C21" s="30"/>
      <c r="D21" s="31"/>
      <c r="E21" s="31"/>
      <c r="F21" s="31"/>
      <c r="G21" s="4"/>
      <c r="H21" s="31"/>
      <c r="I21" s="31"/>
      <c r="J21" s="31"/>
      <c r="K21" s="39"/>
      <c r="L21" s="55"/>
      <c r="M21" s="55"/>
      <c r="N21" s="32"/>
    </row>
    <row r="22" spans="1:14" x14ac:dyDescent="0.2">
      <c r="A22" s="29"/>
      <c r="B22" s="19"/>
      <c r="C22" s="30"/>
      <c r="D22" s="31"/>
      <c r="E22" s="31"/>
      <c r="F22" s="31"/>
      <c r="G22" s="4"/>
      <c r="H22" s="31"/>
      <c r="I22" s="31"/>
      <c r="J22" s="31"/>
      <c r="K22" s="39"/>
      <c r="L22" s="55"/>
      <c r="M22" s="55"/>
      <c r="N22" s="32"/>
    </row>
    <row r="23" spans="1:14" x14ac:dyDescent="0.2">
      <c r="A23" s="29"/>
      <c r="B23" s="19"/>
      <c r="C23" s="30"/>
      <c r="D23" s="31"/>
      <c r="E23" s="31"/>
      <c r="F23" s="31"/>
      <c r="G23" s="4"/>
      <c r="H23" s="31"/>
      <c r="I23" s="31"/>
      <c r="J23" s="31"/>
      <c r="K23" s="39"/>
      <c r="L23" s="55"/>
      <c r="M23" s="55"/>
      <c r="N23" s="32"/>
    </row>
    <row r="24" spans="1:14" ht="25.5" x14ac:dyDescent="0.2">
      <c r="A24" s="17">
        <v>2023</v>
      </c>
      <c r="B24" s="19" t="s">
        <v>64</v>
      </c>
      <c r="C24" s="18" t="s">
        <v>9</v>
      </c>
      <c r="D24" s="19">
        <v>2000</v>
      </c>
      <c r="E24" s="19" t="s">
        <v>7</v>
      </c>
      <c r="F24" s="20" t="s">
        <v>8</v>
      </c>
      <c r="G24" s="4" t="s">
        <v>49</v>
      </c>
      <c r="H24" s="20">
        <v>2278.89</v>
      </c>
      <c r="I24" s="20">
        <f>SUM(H24:H33)</f>
        <v>17871.059999999998</v>
      </c>
      <c r="J24" s="20">
        <v>19460</v>
      </c>
      <c r="K24" s="36" t="s">
        <v>183</v>
      </c>
      <c r="L24" s="56">
        <f>SUM(17871.06*0.04)*2.5</f>
        <v>1787.1060000000002</v>
      </c>
      <c r="M24" s="56"/>
      <c r="N24" s="28" t="s">
        <v>38</v>
      </c>
    </row>
    <row r="25" spans="1:14" x14ac:dyDescent="0.2">
      <c r="A25" s="17"/>
      <c r="B25" s="19"/>
      <c r="C25" s="18"/>
      <c r="D25" s="19"/>
      <c r="E25" s="19"/>
      <c r="F25" s="20"/>
      <c r="G25" s="4" t="s">
        <v>50</v>
      </c>
      <c r="H25" s="20">
        <v>2043.48</v>
      </c>
      <c r="I25" s="20"/>
      <c r="J25" s="20"/>
      <c r="K25" s="36"/>
      <c r="L25" s="56"/>
      <c r="M25" s="56"/>
      <c r="N25" s="28"/>
    </row>
    <row r="26" spans="1:14" x14ac:dyDescent="0.2">
      <c r="A26" s="17"/>
      <c r="B26" s="19"/>
      <c r="C26" s="18"/>
      <c r="D26" s="19"/>
      <c r="E26" s="19"/>
      <c r="F26" s="20"/>
      <c r="G26" s="4" t="s">
        <v>51</v>
      </c>
      <c r="H26" s="20">
        <v>1423.02</v>
      </c>
      <c r="I26" s="20"/>
      <c r="J26" s="20"/>
      <c r="K26" s="36"/>
      <c r="L26" s="56"/>
      <c r="M26" s="56"/>
      <c r="N26" s="28"/>
    </row>
    <row r="27" spans="1:14" x14ac:dyDescent="0.2">
      <c r="A27" s="17"/>
      <c r="B27" s="19"/>
      <c r="C27" s="18"/>
      <c r="D27" s="19"/>
      <c r="E27" s="19"/>
      <c r="F27" s="20"/>
      <c r="G27" s="4" t="s">
        <v>52</v>
      </c>
      <c r="H27" s="20">
        <v>2207.42</v>
      </c>
      <c r="I27" s="20"/>
      <c r="J27" s="20"/>
      <c r="K27" s="36"/>
      <c r="L27" s="56"/>
      <c r="M27" s="56"/>
      <c r="N27" s="28"/>
    </row>
    <row r="28" spans="1:14" x14ac:dyDescent="0.2">
      <c r="A28" s="17"/>
      <c r="B28" s="19"/>
      <c r="C28" s="18"/>
      <c r="D28" s="19"/>
      <c r="E28" s="19"/>
      <c r="F28" s="20"/>
      <c r="G28" s="4" t="s">
        <v>53</v>
      </c>
      <c r="H28" s="34" t="s">
        <v>54</v>
      </c>
      <c r="I28" s="20"/>
      <c r="J28" s="20"/>
      <c r="K28" s="36"/>
      <c r="L28" s="56"/>
      <c r="M28" s="56"/>
      <c r="N28" s="28"/>
    </row>
    <row r="29" spans="1:14" x14ac:dyDescent="0.2">
      <c r="A29" s="17"/>
      <c r="B29" s="19"/>
      <c r="C29" s="18"/>
      <c r="D29" s="19"/>
      <c r="E29" s="19"/>
      <c r="F29" s="20"/>
      <c r="G29" s="4" t="s">
        <v>55</v>
      </c>
      <c r="H29" s="34">
        <f>2421.17-430</f>
        <v>1991.17</v>
      </c>
      <c r="I29" s="20"/>
      <c r="J29" s="20"/>
      <c r="K29" s="36"/>
      <c r="L29" s="56"/>
      <c r="M29" s="56"/>
      <c r="N29" s="28"/>
    </row>
    <row r="30" spans="1:14" x14ac:dyDescent="0.2">
      <c r="A30" s="17"/>
      <c r="B30" s="19"/>
      <c r="C30" s="18"/>
      <c r="D30" s="19"/>
      <c r="E30" s="19"/>
      <c r="F30" s="20"/>
      <c r="G30" s="4" t="s">
        <v>56</v>
      </c>
      <c r="H30" s="34">
        <f>1420.71-370</f>
        <v>1050.71</v>
      </c>
      <c r="I30" s="20"/>
      <c r="J30" s="20"/>
      <c r="K30" s="36"/>
      <c r="L30" s="56"/>
      <c r="M30" s="56"/>
      <c r="N30" s="28"/>
    </row>
    <row r="31" spans="1:14" x14ac:dyDescent="0.2">
      <c r="A31" s="17"/>
      <c r="B31" s="19"/>
      <c r="C31" s="18"/>
      <c r="D31" s="19"/>
      <c r="E31" s="19"/>
      <c r="F31" s="20"/>
      <c r="G31" s="4" t="s">
        <v>57</v>
      </c>
      <c r="H31" s="34">
        <v>3391.42</v>
      </c>
      <c r="I31" s="20"/>
      <c r="J31" s="20"/>
      <c r="K31" s="36"/>
      <c r="L31" s="56"/>
      <c r="M31" s="56"/>
      <c r="N31" s="28"/>
    </row>
    <row r="32" spans="1:14" x14ac:dyDescent="0.2">
      <c r="A32" s="17"/>
      <c r="B32" s="19"/>
      <c r="C32" s="18"/>
      <c r="D32" s="19"/>
      <c r="E32" s="19"/>
      <c r="F32" s="20"/>
      <c r="G32" s="4" t="s">
        <v>59</v>
      </c>
      <c r="H32" s="34">
        <v>1570.39</v>
      </c>
      <c r="I32" s="20"/>
      <c r="J32" s="20"/>
      <c r="K32" s="36"/>
      <c r="L32" s="56"/>
      <c r="M32" s="56"/>
      <c r="N32" s="28"/>
    </row>
    <row r="33" spans="1:14" x14ac:dyDescent="0.2">
      <c r="A33" s="17"/>
      <c r="B33" s="19"/>
      <c r="C33" s="18"/>
      <c r="D33" s="19"/>
      <c r="E33" s="19"/>
      <c r="F33" s="20"/>
      <c r="G33" s="4" t="s">
        <v>60</v>
      </c>
      <c r="H33" s="34">
        <v>1914.56</v>
      </c>
      <c r="I33" s="20"/>
      <c r="J33" s="20"/>
      <c r="K33" s="36"/>
      <c r="L33" s="56"/>
      <c r="M33" s="56"/>
      <c r="N33" s="28"/>
    </row>
    <row r="34" spans="1:14" ht="25.5" x14ac:dyDescent="0.2">
      <c r="A34" s="11">
        <v>2023</v>
      </c>
      <c r="B34" s="19" t="s">
        <v>64</v>
      </c>
      <c r="C34" s="5" t="s">
        <v>40</v>
      </c>
      <c r="D34" s="4">
        <v>1992</v>
      </c>
      <c r="E34" s="4" t="s">
        <v>7</v>
      </c>
      <c r="F34" s="4" t="s">
        <v>13</v>
      </c>
      <c r="G34" s="4" t="s">
        <v>58</v>
      </c>
      <c r="H34" s="34">
        <v>1500.49</v>
      </c>
      <c r="I34" s="4"/>
      <c r="J34" s="4">
        <v>1500</v>
      </c>
      <c r="K34" s="37" t="s">
        <v>182</v>
      </c>
      <c r="L34" s="57">
        <f>SUM(1500.49*0.04)*2.5</f>
        <v>150.04900000000001</v>
      </c>
      <c r="M34" s="57"/>
      <c r="N34" s="28" t="s">
        <v>39</v>
      </c>
    </row>
    <row r="35" spans="1:14" x14ac:dyDescent="0.2">
      <c r="A35" s="11"/>
      <c r="B35" s="19"/>
      <c r="C35" s="5"/>
      <c r="D35" s="4"/>
      <c r="E35" s="4"/>
      <c r="F35" s="4"/>
      <c r="G35" s="4"/>
      <c r="H35" s="4"/>
      <c r="I35" s="4"/>
      <c r="J35" s="4"/>
      <c r="K35" s="37"/>
      <c r="L35" s="57"/>
      <c r="M35" s="57"/>
      <c r="N35" s="28"/>
    </row>
    <row r="36" spans="1:14" x14ac:dyDescent="0.2">
      <c r="A36" s="11"/>
      <c r="B36" s="19" t="s">
        <v>62</v>
      </c>
      <c r="C36" s="5" t="s">
        <v>61</v>
      </c>
      <c r="D36" s="4"/>
      <c r="E36" s="4"/>
      <c r="F36" s="4"/>
      <c r="G36" s="4" t="s">
        <v>65</v>
      </c>
      <c r="H36" s="4">
        <v>161.88</v>
      </c>
      <c r="I36" s="4">
        <f>SUM(H36:H42)</f>
        <v>2942.5899999999997</v>
      </c>
      <c r="J36" s="4"/>
      <c r="K36" s="37" t="s">
        <v>184</v>
      </c>
      <c r="L36" s="57">
        <f>SUM(2942.59*0.04)*2.5</f>
        <v>294.25900000000001</v>
      </c>
      <c r="M36" s="57"/>
      <c r="N36" s="28"/>
    </row>
    <row r="37" spans="1:14" x14ac:dyDescent="0.2">
      <c r="A37" s="11"/>
      <c r="B37" s="19"/>
      <c r="C37" s="5"/>
      <c r="D37" s="4"/>
      <c r="E37" s="4"/>
      <c r="F37" s="4"/>
      <c r="G37" s="4" t="s">
        <v>66</v>
      </c>
      <c r="H37" s="4">
        <v>411.29</v>
      </c>
      <c r="I37" s="4"/>
      <c r="J37" s="4"/>
      <c r="K37" s="37"/>
      <c r="L37" s="57"/>
      <c r="M37" s="57"/>
      <c r="N37" s="28"/>
    </row>
    <row r="38" spans="1:14" x14ac:dyDescent="0.2">
      <c r="A38" s="11"/>
      <c r="B38" s="19"/>
      <c r="C38" s="5"/>
      <c r="D38" s="4"/>
      <c r="E38" s="4"/>
      <c r="F38" s="4"/>
      <c r="G38" s="4" t="s">
        <v>67</v>
      </c>
      <c r="H38" s="4">
        <v>811.16</v>
      </c>
      <c r="I38" s="4"/>
      <c r="J38" s="4"/>
      <c r="K38" s="37"/>
      <c r="L38" s="57"/>
      <c r="M38" s="57"/>
      <c r="N38" s="28"/>
    </row>
    <row r="39" spans="1:14" x14ac:dyDescent="0.2">
      <c r="A39" s="11"/>
      <c r="B39" s="19"/>
      <c r="C39" s="5"/>
      <c r="D39" s="4"/>
      <c r="E39" s="4"/>
      <c r="F39" s="4"/>
      <c r="G39" s="4" t="s">
        <v>68</v>
      </c>
      <c r="H39" s="4">
        <v>822.66</v>
      </c>
      <c r="I39" s="4"/>
      <c r="J39" s="4"/>
      <c r="K39" s="37"/>
      <c r="L39" s="57"/>
      <c r="M39" s="57"/>
      <c r="N39" s="28"/>
    </row>
    <row r="40" spans="1:14" x14ac:dyDescent="0.2">
      <c r="A40" s="11"/>
      <c r="B40" s="19"/>
      <c r="C40" s="5"/>
      <c r="D40" s="4"/>
      <c r="E40" s="4"/>
      <c r="F40" s="4"/>
      <c r="G40" s="4" t="s">
        <v>69</v>
      </c>
      <c r="H40" s="4">
        <v>414.28</v>
      </c>
      <c r="I40" s="4"/>
      <c r="J40" s="4"/>
      <c r="K40" s="37"/>
      <c r="L40" s="57"/>
      <c r="M40" s="57"/>
      <c r="N40" s="28"/>
    </row>
    <row r="41" spans="1:14" x14ac:dyDescent="0.2">
      <c r="A41" s="11"/>
      <c r="B41" s="19"/>
      <c r="C41" s="5"/>
      <c r="D41" s="4"/>
      <c r="E41" s="4"/>
      <c r="F41" s="4"/>
      <c r="G41" s="4" t="s">
        <v>70</v>
      </c>
      <c r="H41" s="4">
        <v>224.11</v>
      </c>
      <c r="I41" s="4"/>
      <c r="J41" s="4"/>
      <c r="K41" s="37"/>
      <c r="L41" s="57"/>
      <c r="M41" s="57"/>
      <c r="N41" s="28"/>
    </row>
    <row r="42" spans="1:14" x14ac:dyDescent="0.2">
      <c r="A42" s="11"/>
      <c r="B42" s="19"/>
      <c r="C42" s="5"/>
      <c r="D42" s="4"/>
      <c r="E42" s="4"/>
      <c r="F42" s="4"/>
      <c r="G42" s="4" t="s">
        <v>71</v>
      </c>
      <c r="H42" s="4">
        <v>97.21</v>
      </c>
      <c r="I42" s="4"/>
      <c r="J42" s="4"/>
      <c r="K42" s="37"/>
      <c r="L42" s="57"/>
      <c r="M42" s="57"/>
      <c r="N42" s="28"/>
    </row>
    <row r="43" spans="1:14" x14ac:dyDescent="0.2">
      <c r="A43" s="11"/>
      <c r="B43" s="19"/>
      <c r="C43" s="5"/>
      <c r="D43" s="4"/>
      <c r="E43" s="4"/>
      <c r="F43" s="4"/>
      <c r="G43" s="4"/>
      <c r="H43" s="4"/>
      <c r="I43" s="4"/>
      <c r="J43" s="4"/>
      <c r="K43" s="37"/>
      <c r="L43" s="57"/>
      <c r="M43" s="57"/>
      <c r="N43" s="28"/>
    </row>
    <row r="44" spans="1:14" x14ac:dyDescent="0.2">
      <c r="A44" s="11">
        <v>2023</v>
      </c>
      <c r="B44" s="19" t="s">
        <v>64</v>
      </c>
      <c r="C44" s="5" t="s">
        <v>37</v>
      </c>
      <c r="D44" s="4">
        <v>2000</v>
      </c>
      <c r="E44" s="4" t="s">
        <v>23</v>
      </c>
      <c r="F44" s="4" t="s">
        <v>13</v>
      </c>
      <c r="G44" s="4" t="s">
        <v>72</v>
      </c>
      <c r="H44" s="4">
        <v>721.07</v>
      </c>
      <c r="I44" s="4">
        <f>SUM(H44)</f>
        <v>721.07</v>
      </c>
      <c r="J44" s="4">
        <v>722</v>
      </c>
      <c r="K44" s="37" t="s">
        <v>146</v>
      </c>
      <c r="L44" s="57">
        <f>SUM(721.07*0.04)*2.5</f>
        <v>72.107000000000014</v>
      </c>
      <c r="M44" s="57"/>
      <c r="N44" s="6" t="s">
        <v>36</v>
      </c>
    </row>
    <row r="45" spans="1:14" x14ac:dyDescent="0.2">
      <c r="A45" s="11"/>
      <c r="B45" s="19"/>
      <c r="C45" s="5"/>
      <c r="D45" s="4"/>
      <c r="E45" s="4"/>
      <c r="F45" s="4"/>
      <c r="G45" s="4"/>
      <c r="H45" s="4"/>
      <c r="I45" s="4"/>
      <c r="J45" s="4"/>
      <c r="K45" s="37"/>
      <c r="L45" s="57"/>
      <c r="M45" s="57"/>
      <c r="N45" s="6"/>
    </row>
    <row r="46" spans="1:14" x14ac:dyDescent="0.2">
      <c r="A46" s="11"/>
      <c r="B46" s="19"/>
      <c r="C46" s="5"/>
      <c r="D46" s="4"/>
      <c r="E46" s="4"/>
      <c r="F46" s="4"/>
      <c r="G46" s="4"/>
      <c r="H46" s="4"/>
      <c r="I46" s="4"/>
      <c r="J46" s="4"/>
      <c r="K46" s="37"/>
      <c r="L46" s="57"/>
      <c r="M46" s="57"/>
      <c r="N46" s="6"/>
    </row>
    <row r="47" spans="1:14" x14ac:dyDescent="0.2">
      <c r="A47" s="11">
        <v>2023</v>
      </c>
      <c r="B47" s="19" t="s">
        <v>64</v>
      </c>
      <c r="C47" s="5" t="s">
        <v>24</v>
      </c>
      <c r="D47" s="4">
        <v>2000</v>
      </c>
      <c r="E47" s="4" t="s">
        <v>23</v>
      </c>
      <c r="F47" s="4" t="s">
        <v>13</v>
      </c>
      <c r="G47" s="4" t="s">
        <v>73</v>
      </c>
      <c r="H47" s="4">
        <v>601.17999999999995</v>
      </c>
      <c r="I47" s="4">
        <f>SUM(H47:H48)</f>
        <v>1052.76</v>
      </c>
      <c r="J47" s="4">
        <v>1203</v>
      </c>
      <c r="K47" s="37" t="s">
        <v>146</v>
      </c>
      <c r="L47" s="57">
        <f>SUM(1052.76*0.04)*2.5</f>
        <v>105.276</v>
      </c>
      <c r="M47" s="57"/>
      <c r="N47" s="6" t="s">
        <v>36</v>
      </c>
    </row>
    <row r="48" spans="1:14" x14ac:dyDescent="0.2">
      <c r="A48" s="11"/>
      <c r="B48" s="19"/>
      <c r="C48" s="5"/>
      <c r="D48" s="4"/>
      <c r="E48" s="4"/>
      <c r="F48" s="4"/>
      <c r="G48" s="4" t="s">
        <v>74</v>
      </c>
      <c r="H48" s="4">
        <v>451.58</v>
      </c>
      <c r="I48" s="4"/>
      <c r="J48" s="4"/>
      <c r="K48" s="37"/>
      <c r="L48" s="57"/>
      <c r="M48" s="57"/>
      <c r="N48" s="6"/>
    </row>
    <row r="49" spans="1:14" x14ac:dyDescent="0.2">
      <c r="A49" s="11"/>
      <c r="B49" s="19"/>
      <c r="C49" s="5"/>
      <c r="D49" s="4"/>
      <c r="E49" s="4"/>
      <c r="F49" s="4"/>
      <c r="G49" s="4"/>
      <c r="H49" s="4"/>
      <c r="I49" s="4"/>
      <c r="J49" s="4"/>
      <c r="K49" s="37"/>
      <c r="L49" s="57"/>
      <c r="M49" s="57"/>
      <c r="N49" s="6"/>
    </row>
    <row r="50" spans="1:14" ht="25.5" x14ac:dyDescent="0.2">
      <c r="A50" s="11">
        <v>2023</v>
      </c>
      <c r="B50" s="19" t="s">
        <v>64</v>
      </c>
      <c r="C50" s="5" t="s">
        <v>28</v>
      </c>
      <c r="D50" s="4">
        <v>1994</v>
      </c>
      <c r="E50" s="4" t="s">
        <v>23</v>
      </c>
      <c r="F50" s="4" t="s">
        <v>20</v>
      </c>
      <c r="G50" s="4" t="s">
        <v>75</v>
      </c>
      <c r="H50" s="4">
        <v>132.18</v>
      </c>
      <c r="I50" s="4">
        <f>SUM(H50)</f>
        <v>132.18</v>
      </c>
      <c r="J50" s="4">
        <v>132</v>
      </c>
      <c r="K50" s="37" t="s">
        <v>147</v>
      </c>
      <c r="L50" s="57">
        <f>SUM(132.18*0.04)*2.5</f>
        <v>13.218</v>
      </c>
      <c r="M50" s="57"/>
      <c r="N50" s="6" t="s">
        <v>29</v>
      </c>
    </row>
    <row r="51" spans="1:14" x14ac:dyDescent="0.2">
      <c r="A51" s="11"/>
      <c r="B51" s="19"/>
      <c r="C51" s="5"/>
      <c r="D51" s="4"/>
      <c r="E51" s="4"/>
      <c r="F51" s="4"/>
      <c r="G51" s="4"/>
      <c r="H51" s="4"/>
      <c r="I51" s="4"/>
      <c r="J51" s="4"/>
      <c r="K51" s="37"/>
      <c r="L51" s="57"/>
      <c r="M51" s="57"/>
      <c r="N51" s="6"/>
    </row>
    <row r="52" spans="1:14" ht="25.5" x14ac:dyDescent="0.2">
      <c r="A52" s="11">
        <v>2023</v>
      </c>
      <c r="B52" s="19" t="s">
        <v>64</v>
      </c>
      <c r="C52" s="5" t="s">
        <v>32</v>
      </c>
      <c r="D52" s="4">
        <v>1982</v>
      </c>
      <c r="E52" s="4" t="s">
        <v>23</v>
      </c>
      <c r="F52" s="4" t="s">
        <v>13</v>
      </c>
      <c r="G52" s="4" t="s">
        <v>76</v>
      </c>
      <c r="H52" s="4">
        <v>74.12</v>
      </c>
      <c r="I52" s="4">
        <f>SUM(H52:H67)</f>
        <v>3834.0000000000005</v>
      </c>
      <c r="J52" s="4">
        <v>945</v>
      </c>
      <c r="K52" s="37" t="s">
        <v>146</v>
      </c>
      <c r="L52" s="57">
        <f>SUM(943.85*0.04)*2.5</f>
        <v>94.385000000000019</v>
      </c>
      <c r="M52" s="57"/>
      <c r="N52" s="6" t="s">
        <v>41</v>
      </c>
    </row>
    <row r="53" spans="1:14" x14ac:dyDescent="0.2">
      <c r="A53" s="11"/>
      <c r="B53" s="19"/>
      <c r="C53" s="5"/>
      <c r="D53" s="4"/>
      <c r="E53" s="4"/>
      <c r="F53" s="4"/>
      <c r="G53" s="4" t="s">
        <v>77</v>
      </c>
      <c r="H53" s="4">
        <v>487.08</v>
      </c>
      <c r="I53" s="4"/>
      <c r="J53" s="4"/>
      <c r="K53" s="37"/>
      <c r="L53" s="57"/>
      <c r="M53" s="57"/>
      <c r="N53" s="6"/>
    </row>
    <row r="54" spans="1:14" x14ac:dyDescent="0.2">
      <c r="A54" s="11"/>
      <c r="B54" s="19"/>
      <c r="C54" s="5"/>
      <c r="D54" s="4"/>
      <c r="E54" s="4"/>
      <c r="F54" s="4"/>
      <c r="G54" s="4"/>
      <c r="H54" s="4"/>
      <c r="I54" s="4"/>
      <c r="J54" s="4"/>
      <c r="K54" s="37"/>
      <c r="L54" s="57"/>
      <c r="M54" s="57"/>
      <c r="N54" s="6"/>
    </row>
    <row r="55" spans="1:14" x14ac:dyDescent="0.2">
      <c r="A55" s="11">
        <v>2023</v>
      </c>
      <c r="B55" s="4"/>
      <c r="C55" s="5" t="s">
        <v>33</v>
      </c>
      <c r="D55" s="4">
        <v>1982</v>
      </c>
      <c r="E55" s="4" t="s">
        <v>23</v>
      </c>
      <c r="F55" s="4" t="s">
        <v>13</v>
      </c>
      <c r="G55" s="20" t="s">
        <v>107</v>
      </c>
      <c r="H55" s="4">
        <v>74.709999999999994</v>
      </c>
      <c r="I55" s="4">
        <f>SUM(H55:H65)</f>
        <v>2890.15</v>
      </c>
      <c r="J55" s="4">
        <v>2645</v>
      </c>
      <c r="K55" s="37" t="s">
        <v>146</v>
      </c>
      <c r="L55" s="57">
        <f>SUM(2890.15*0.04)*2.5</f>
        <v>289.01500000000004</v>
      </c>
      <c r="M55" s="57"/>
      <c r="N55" s="6" t="s">
        <v>34</v>
      </c>
    </row>
    <row r="56" spans="1:14" x14ac:dyDescent="0.2">
      <c r="A56" s="11"/>
      <c r="B56" s="4"/>
      <c r="C56" s="5"/>
      <c r="D56" s="4"/>
      <c r="E56" s="4"/>
      <c r="F56" s="4"/>
      <c r="G56" s="20" t="s">
        <v>108</v>
      </c>
      <c r="H56" s="4">
        <v>19.100000000000001</v>
      </c>
      <c r="I56" s="4"/>
      <c r="J56" s="4"/>
      <c r="K56" s="37"/>
      <c r="N56" s="6"/>
    </row>
    <row r="57" spans="1:14" x14ac:dyDescent="0.2">
      <c r="A57" s="11"/>
      <c r="B57" s="4"/>
      <c r="C57" s="5"/>
      <c r="D57" s="4"/>
      <c r="E57" s="4"/>
      <c r="F57" s="4"/>
      <c r="G57" s="20" t="s">
        <v>109</v>
      </c>
      <c r="H57" s="4">
        <v>259.7</v>
      </c>
      <c r="I57" s="4"/>
      <c r="J57" s="4"/>
      <c r="K57" s="37"/>
      <c r="L57" s="57"/>
      <c r="M57" s="57"/>
      <c r="N57" s="6"/>
    </row>
    <row r="58" spans="1:14" x14ac:dyDescent="0.2">
      <c r="A58" s="11"/>
      <c r="B58" s="4"/>
      <c r="C58" s="5"/>
      <c r="D58" s="4"/>
      <c r="E58" s="4"/>
      <c r="F58" s="4"/>
      <c r="G58" s="20" t="s">
        <v>110</v>
      </c>
      <c r="H58" s="4">
        <v>252</v>
      </c>
      <c r="I58" s="4"/>
      <c r="J58" s="4"/>
      <c r="K58" s="37"/>
      <c r="L58" s="57"/>
      <c r="M58" s="57"/>
      <c r="N58" s="6"/>
    </row>
    <row r="59" spans="1:14" x14ac:dyDescent="0.2">
      <c r="A59" s="11"/>
      <c r="B59" s="4"/>
      <c r="C59" s="5"/>
      <c r="D59" s="4"/>
      <c r="E59" s="4"/>
      <c r="F59" s="4"/>
      <c r="G59" s="20" t="s">
        <v>111</v>
      </c>
      <c r="H59" s="4">
        <v>812.5</v>
      </c>
      <c r="I59" s="4"/>
      <c r="J59" s="4"/>
      <c r="K59" s="37"/>
      <c r="L59" s="57"/>
      <c r="M59" s="57"/>
      <c r="N59" s="6"/>
    </row>
    <row r="60" spans="1:14" x14ac:dyDescent="0.2">
      <c r="A60" s="11"/>
      <c r="B60" s="4"/>
      <c r="C60" s="5"/>
      <c r="D60" s="4"/>
      <c r="E60" s="4"/>
      <c r="F60" s="4"/>
      <c r="G60" s="20" t="s">
        <v>112</v>
      </c>
      <c r="H60" s="4">
        <v>174.82</v>
      </c>
      <c r="I60" s="4"/>
      <c r="J60" s="4"/>
      <c r="K60" s="37"/>
      <c r="L60" s="57"/>
      <c r="M60" s="57"/>
      <c r="N60" s="6"/>
    </row>
    <row r="61" spans="1:14" x14ac:dyDescent="0.2">
      <c r="A61" s="11"/>
      <c r="B61" s="4"/>
      <c r="C61" s="5"/>
      <c r="D61" s="4"/>
      <c r="E61" s="4"/>
      <c r="F61" s="4"/>
      <c r="G61" s="20" t="s">
        <v>113</v>
      </c>
      <c r="H61" s="4">
        <v>554.11</v>
      </c>
      <c r="I61" s="4"/>
      <c r="J61" s="4"/>
      <c r="K61" s="37"/>
      <c r="L61" s="57"/>
      <c r="M61" s="57"/>
      <c r="N61" s="6"/>
    </row>
    <row r="62" spans="1:14" x14ac:dyDescent="0.2">
      <c r="A62" s="11"/>
      <c r="B62" s="4"/>
      <c r="C62" s="5"/>
      <c r="D62" s="4"/>
      <c r="E62" s="4"/>
      <c r="F62" s="4"/>
      <c r="G62" s="20" t="s">
        <v>116</v>
      </c>
      <c r="H62" s="4">
        <v>204.69</v>
      </c>
      <c r="I62" s="4"/>
      <c r="J62" s="4"/>
      <c r="K62" s="37"/>
      <c r="L62" s="57"/>
      <c r="M62" s="57"/>
      <c r="N62" s="6"/>
    </row>
    <row r="63" spans="1:14" x14ac:dyDescent="0.2">
      <c r="A63" s="11"/>
      <c r="B63" s="4"/>
      <c r="C63" s="5"/>
      <c r="D63" s="4"/>
      <c r="E63" s="4"/>
      <c r="F63" s="4"/>
      <c r="G63" s="20" t="s">
        <v>117</v>
      </c>
      <c r="H63" s="4">
        <v>168.17</v>
      </c>
      <c r="I63" s="4"/>
      <c r="J63" s="4"/>
      <c r="K63" s="37"/>
      <c r="L63" s="57"/>
      <c r="M63" s="57"/>
      <c r="N63" s="6"/>
    </row>
    <row r="64" spans="1:14" x14ac:dyDescent="0.2">
      <c r="A64" s="11"/>
      <c r="B64" s="4"/>
      <c r="C64" s="5"/>
      <c r="D64" s="4"/>
      <c r="E64" s="4"/>
      <c r="F64" s="4"/>
      <c r="G64" s="20" t="s">
        <v>114</v>
      </c>
      <c r="H64" s="4">
        <v>187.18</v>
      </c>
      <c r="I64" s="4"/>
      <c r="J64" s="4"/>
      <c r="K64" s="37"/>
      <c r="L64" s="57"/>
      <c r="M64" s="57"/>
      <c r="N64" s="6"/>
    </row>
    <row r="65" spans="1:15" x14ac:dyDescent="0.2">
      <c r="A65" s="11"/>
      <c r="B65" s="4"/>
      <c r="C65" s="5"/>
      <c r="D65" s="4"/>
      <c r="E65" s="4"/>
      <c r="F65" s="4"/>
      <c r="G65" s="20" t="s">
        <v>115</v>
      </c>
      <c r="H65" s="4">
        <v>183.17</v>
      </c>
      <c r="I65" s="4"/>
      <c r="J65" s="4"/>
      <c r="K65" s="37"/>
      <c r="L65" s="57"/>
      <c r="M65" s="57"/>
      <c r="N65" s="6"/>
    </row>
    <row r="66" spans="1:15" x14ac:dyDescent="0.2">
      <c r="A66" s="11"/>
      <c r="B66" s="4"/>
      <c r="C66" s="5"/>
      <c r="D66" s="4"/>
      <c r="E66" s="4"/>
      <c r="F66" s="4"/>
      <c r="G66" s="51"/>
      <c r="H66" s="4"/>
      <c r="I66" s="4"/>
      <c r="J66" s="4"/>
      <c r="K66" s="37"/>
      <c r="L66" s="57"/>
      <c r="M66" s="57"/>
      <c r="N66" s="6"/>
    </row>
    <row r="67" spans="1:15" x14ac:dyDescent="0.2">
      <c r="A67" s="11"/>
      <c r="B67" s="19"/>
      <c r="C67" s="5"/>
      <c r="D67" s="4"/>
      <c r="E67" s="4"/>
      <c r="F67" s="4"/>
      <c r="G67" s="4" t="s">
        <v>78</v>
      </c>
      <c r="H67" s="4">
        <v>382.65</v>
      </c>
      <c r="I67" s="4"/>
      <c r="J67" s="4"/>
      <c r="K67" s="37"/>
      <c r="L67" s="57"/>
      <c r="M67" s="57"/>
      <c r="N67" s="6"/>
    </row>
    <row r="68" spans="1:15" x14ac:dyDescent="0.2">
      <c r="A68" s="11"/>
      <c r="B68" s="19"/>
      <c r="C68" s="5"/>
      <c r="D68" s="4"/>
      <c r="E68" s="4"/>
      <c r="F68" s="4"/>
      <c r="G68" s="4"/>
      <c r="H68" s="4"/>
      <c r="I68" s="4"/>
      <c r="J68" s="4"/>
      <c r="K68" s="37"/>
      <c r="L68" s="57"/>
      <c r="M68" s="57"/>
      <c r="N68" s="6"/>
    </row>
    <row r="69" spans="1:15" x14ac:dyDescent="0.2">
      <c r="A69" s="11">
        <v>2023</v>
      </c>
      <c r="B69" s="19"/>
      <c r="C69" s="5" t="s">
        <v>18</v>
      </c>
      <c r="D69" s="4">
        <v>1993</v>
      </c>
      <c r="E69" s="4" t="s">
        <v>10</v>
      </c>
      <c r="F69" s="4" t="s">
        <v>13</v>
      </c>
      <c r="G69" s="4" t="s">
        <v>79</v>
      </c>
      <c r="H69" s="4">
        <v>857.95</v>
      </c>
      <c r="I69" s="4"/>
      <c r="J69" s="4">
        <v>858</v>
      </c>
      <c r="K69" s="37" t="s">
        <v>145</v>
      </c>
      <c r="L69" s="57">
        <f>SUM(857.95*0.04)*2.5</f>
        <v>85.795000000000016</v>
      </c>
      <c r="M69" s="57"/>
      <c r="N69" s="6" t="s">
        <v>42</v>
      </c>
    </row>
    <row r="70" spans="1:15" x14ac:dyDescent="0.2">
      <c r="A70" s="11"/>
      <c r="B70" s="19"/>
      <c r="C70" s="5"/>
      <c r="D70" s="4"/>
      <c r="E70" s="4"/>
      <c r="F70" s="4"/>
      <c r="G70" s="4"/>
      <c r="H70" s="4"/>
      <c r="I70" s="4"/>
      <c r="J70" s="4"/>
      <c r="K70" s="37"/>
      <c r="L70" s="57"/>
      <c r="M70" s="57"/>
      <c r="N70" s="6"/>
    </row>
    <row r="71" spans="1:15" x14ac:dyDescent="0.2">
      <c r="A71" s="11">
        <v>2023</v>
      </c>
      <c r="B71" s="19"/>
      <c r="C71" s="5" t="s">
        <v>80</v>
      </c>
      <c r="D71" s="4">
        <v>1988</v>
      </c>
      <c r="E71" s="4" t="s">
        <v>10</v>
      </c>
      <c r="F71" s="9" t="s">
        <v>13</v>
      </c>
      <c r="G71" s="4" t="s">
        <v>81</v>
      </c>
      <c r="H71" s="9">
        <v>706.99</v>
      </c>
      <c r="I71" s="9"/>
      <c r="J71" s="4">
        <v>707</v>
      </c>
      <c r="K71" s="37" t="s">
        <v>148</v>
      </c>
      <c r="L71" s="60">
        <f>SUM(706.99*0.04)*2.5</f>
        <v>70.699000000000012</v>
      </c>
      <c r="N71" s="6" t="s">
        <v>42</v>
      </c>
    </row>
    <row r="72" spans="1:15" x14ac:dyDescent="0.2">
      <c r="A72" s="11">
        <v>2023</v>
      </c>
      <c r="B72" s="19"/>
      <c r="C72" s="5" t="s">
        <v>21</v>
      </c>
      <c r="D72" s="4">
        <v>1985</v>
      </c>
      <c r="E72" s="4" t="s">
        <v>10</v>
      </c>
      <c r="F72" s="9" t="s">
        <v>13</v>
      </c>
      <c r="G72" s="4" t="s">
        <v>82</v>
      </c>
      <c r="H72" s="9">
        <v>376.1</v>
      </c>
      <c r="I72" s="9"/>
      <c r="J72" s="4">
        <v>376</v>
      </c>
      <c r="K72" s="37" t="s">
        <v>148</v>
      </c>
      <c r="L72" s="57">
        <f>SUM(376.1*0.04)*2.5</f>
        <v>37.61</v>
      </c>
      <c r="M72" s="57"/>
      <c r="N72" s="6" t="s">
        <v>42</v>
      </c>
      <c r="O72" t="s">
        <v>35</v>
      </c>
    </row>
    <row r="73" spans="1:15" ht="13.5" thickBot="1" x14ac:dyDescent="0.25">
      <c r="A73" s="12"/>
      <c r="B73" s="19"/>
      <c r="C73" s="10"/>
      <c r="D73" s="7"/>
      <c r="E73" s="7"/>
      <c r="F73" s="7"/>
      <c r="G73" s="7"/>
      <c r="H73" s="7"/>
      <c r="I73" s="7"/>
      <c r="J73" s="7"/>
      <c r="K73" s="38"/>
      <c r="L73" s="58"/>
      <c r="M73" s="58"/>
      <c r="N73" s="8"/>
      <c r="O73" s="2" t="e">
        <f>SUM(#REF!)</f>
        <v>#REF!</v>
      </c>
    </row>
    <row r="74" spans="1:15" ht="19.5" thickTop="1" thickBot="1" x14ac:dyDescent="0.3">
      <c r="A74" s="21">
        <v>2024</v>
      </c>
      <c r="B74" s="49"/>
      <c r="C74" s="21"/>
      <c r="D74" s="22"/>
      <c r="E74" s="22"/>
      <c r="F74" s="22"/>
      <c r="G74" s="22"/>
      <c r="H74" s="22"/>
      <c r="I74" s="22"/>
      <c r="J74" s="22"/>
      <c r="K74" s="22"/>
      <c r="L74" s="53"/>
      <c r="M74" s="53"/>
      <c r="N74" s="23"/>
    </row>
    <row r="75" spans="1:15" x14ac:dyDescent="0.2">
      <c r="A75" s="45">
        <v>2024</v>
      </c>
      <c r="B75" s="20"/>
      <c r="C75" s="18" t="s">
        <v>11</v>
      </c>
      <c r="D75" s="20">
        <v>2000</v>
      </c>
      <c r="E75" s="20" t="s">
        <v>7</v>
      </c>
      <c r="F75" s="20" t="s">
        <v>8</v>
      </c>
      <c r="G75" s="20" t="s">
        <v>84</v>
      </c>
      <c r="H75" s="20">
        <v>1616.93</v>
      </c>
      <c r="I75" s="20">
        <f>SUM(H75:H89)</f>
        <v>16886.66</v>
      </c>
      <c r="J75" s="20">
        <v>15360</v>
      </c>
      <c r="K75" s="36" t="s">
        <v>148</v>
      </c>
      <c r="L75" s="56">
        <f>SUM(16886.66*0.04)*2.5</f>
        <v>1688.6660000000002</v>
      </c>
      <c r="M75" s="56"/>
      <c r="N75" s="6" t="s">
        <v>12</v>
      </c>
    </row>
    <row r="76" spans="1:15" x14ac:dyDescent="0.2">
      <c r="A76" s="45"/>
      <c r="B76" s="20"/>
      <c r="C76" s="18"/>
      <c r="D76" s="20"/>
      <c r="E76" s="20"/>
      <c r="F76" s="20"/>
      <c r="G76" s="20" t="s">
        <v>85</v>
      </c>
      <c r="H76" s="20">
        <v>1820.05</v>
      </c>
      <c r="I76" s="20"/>
      <c r="J76" s="20"/>
      <c r="K76" s="36"/>
      <c r="L76" s="56"/>
      <c r="M76" s="56"/>
      <c r="N76" s="6"/>
    </row>
    <row r="77" spans="1:15" x14ac:dyDescent="0.2">
      <c r="A77" s="45"/>
      <c r="B77" s="20"/>
      <c r="C77" s="18"/>
      <c r="D77" s="20"/>
      <c r="E77" s="20"/>
      <c r="F77" s="20"/>
      <c r="G77" s="20" t="s">
        <v>86</v>
      </c>
      <c r="H77" s="20">
        <v>1120.93</v>
      </c>
      <c r="I77" s="20"/>
      <c r="J77" s="20"/>
      <c r="K77" s="36"/>
      <c r="L77" s="56"/>
      <c r="M77" s="56"/>
      <c r="N77" s="6"/>
    </row>
    <row r="78" spans="1:15" x14ac:dyDescent="0.2">
      <c r="A78" s="45"/>
      <c r="B78" s="20"/>
      <c r="C78" s="18"/>
      <c r="D78" s="20"/>
      <c r="E78" s="20"/>
      <c r="F78" s="20"/>
      <c r="G78" s="20" t="s">
        <v>87</v>
      </c>
      <c r="H78" s="20">
        <v>1102.31</v>
      </c>
      <c r="I78" s="20"/>
      <c r="J78" s="20"/>
      <c r="K78" s="36"/>
      <c r="L78" s="56"/>
      <c r="M78" s="56"/>
      <c r="N78" s="6"/>
    </row>
    <row r="79" spans="1:15" x14ac:dyDescent="0.2">
      <c r="A79" s="45"/>
      <c r="B79" s="20"/>
      <c r="C79" s="18"/>
      <c r="D79" s="20"/>
      <c r="E79" s="20"/>
      <c r="F79" s="20"/>
      <c r="G79" s="20" t="s">
        <v>88</v>
      </c>
      <c r="H79" s="20">
        <v>1403.45</v>
      </c>
      <c r="I79" s="20"/>
      <c r="J79" s="20"/>
      <c r="K79" s="36"/>
      <c r="L79" s="56"/>
      <c r="M79" s="56"/>
      <c r="N79" s="6"/>
    </row>
    <row r="80" spans="1:15" x14ac:dyDescent="0.2">
      <c r="A80" s="45"/>
      <c r="B80" s="20"/>
      <c r="C80" s="18"/>
      <c r="D80" s="20"/>
      <c r="E80" s="20"/>
      <c r="F80" s="20"/>
      <c r="G80" s="20" t="s">
        <v>89</v>
      </c>
      <c r="H80" s="20">
        <v>1419.82</v>
      </c>
      <c r="I80" s="20"/>
      <c r="J80" s="20"/>
      <c r="K80" s="36"/>
      <c r="L80" s="56"/>
      <c r="M80" s="56"/>
      <c r="N80" s="6"/>
    </row>
    <row r="81" spans="1:14" x14ac:dyDescent="0.2">
      <c r="A81" s="45"/>
      <c r="B81" s="20"/>
      <c r="C81" s="18"/>
      <c r="D81" s="20"/>
      <c r="E81" s="20"/>
      <c r="F81" s="20"/>
      <c r="G81" s="20" t="s">
        <v>90</v>
      </c>
      <c r="H81" s="20">
        <v>1142.5</v>
      </c>
      <c r="I81" s="20"/>
      <c r="J81" s="20"/>
      <c r="K81" s="36"/>
      <c r="L81" s="56"/>
      <c r="M81" s="56"/>
      <c r="N81" s="6"/>
    </row>
    <row r="82" spans="1:14" x14ac:dyDescent="0.2">
      <c r="A82" s="45"/>
      <c r="B82" s="20"/>
      <c r="C82" s="18"/>
      <c r="D82" s="20"/>
      <c r="E82" s="20"/>
      <c r="F82" s="20"/>
      <c r="G82" s="20" t="s">
        <v>91</v>
      </c>
      <c r="H82" s="20">
        <v>1153.33</v>
      </c>
      <c r="I82" s="20"/>
      <c r="J82" s="20"/>
      <c r="K82" s="36"/>
      <c r="L82" s="56"/>
      <c r="M82" s="56"/>
      <c r="N82" s="6"/>
    </row>
    <row r="83" spans="1:14" x14ac:dyDescent="0.2">
      <c r="A83" s="45"/>
      <c r="B83" s="20"/>
      <c r="C83" s="18"/>
      <c r="D83" s="20"/>
      <c r="E83" s="20"/>
      <c r="F83" s="20"/>
      <c r="G83" s="20" t="s">
        <v>92</v>
      </c>
      <c r="H83" s="20">
        <v>1251.57</v>
      </c>
      <c r="I83" s="20"/>
      <c r="J83" s="20"/>
      <c r="K83" s="36"/>
      <c r="L83" s="56"/>
      <c r="M83" s="56"/>
      <c r="N83" s="6"/>
    </row>
    <row r="84" spans="1:14" x14ac:dyDescent="0.2">
      <c r="A84" s="45"/>
      <c r="B84" s="20"/>
      <c r="C84" s="18"/>
      <c r="D84" s="20"/>
      <c r="E84" s="20"/>
      <c r="F84" s="20"/>
      <c r="G84" s="20" t="s">
        <v>93</v>
      </c>
      <c r="H84" s="20">
        <v>1320.16</v>
      </c>
      <c r="I84" s="20"/>
      <c r="J84" s="20"/>
      <c r="K84" s="36"/>
      <c r="L84" s="56"/>
      <c r="M84" s="56"/>
      <c r="N84" s="6"/>
    </row>
    <row r="85" spans="1:14" x14ac:dyDescent="0.2">
      <c r="A85" s="45"/>
      <c r="B85" s="20"/>
      <c r="C85" s="18"/>
      <c r="D85" s="20"/>
      <c r="E85" s="20"/>
      <c r="F85" s="20"/>
      <c r="G85" s="20" t="s">
        <v>94</v>
      </c>
      <c r="H85" s="20">
        <v>1027.79</v>
      </c>
      <c r="I85" s="20"/>
      <c r="J85" s="20"/>
      <c r="K85" s="36"/>
      <c r="L85" s="56"/>
      <c r="M85" s="56"/>
      <c r="N85" s="6"/>
    </row>
    <row r="86" spans="1:14" x14ac:dyDescent="0.2">
      <c r="A86" s="45"/>
      <c r="B86" s="20"/>
      <c r="C86" s="18"/>
      <c r="D86" s="20"/>
      <c r="E86" s="20"/>
      <c r="F86" s="20"/>
      <c r="G86" s="20" t="s">
        <v>95</v>
      </c>
      <c r="H86" s="34" t="s">
        <v>96</v>
      </c>
      <c r="I86" s="20"/>
      <c r="J86" s="20"/>
      <c r="K86" s="36"/>
      <c r="L86" s="56"/>
      <c r="M86" s="56"/>
      <c r="N86" s="6"/>
    </row>
    <row r="87" spans="1:14" x14ac:dyDescent="0.2">
      <c r="A87" s="45"/>
      <c r="B87" s="20"/>
      <c r="C87" s="18"/>
      <c r="D87" s="20"/>
      <c r="E87" s="20"/>
      <c r="F87" s="20"/>
      <c r="G87" s="20" t="s">
        <v>97</v>
      </c>
      <c r="H87" s="20">
        <v>824.85</v>
      </c>
      <c r="I87" s="20"/>
      <c r="J87" s="20"/>
      <c r="K87" s="36"/>
      <c r="L87" s="56"/>
      <c r="M87" s="56"/>
      <c r="N87" s="6"/>
    </row>
    <row r="88" spans="1:14" x14ac:dyDescent="0.2">
      <c r="A88" s="45"/>
      <c r="B88" s="20"/>
      <c r="C88" s="18"/>
      <c r="D88" s="20"/>
      <c r="E88" s="20"/>
      <c r="F88" s="20"/>
      <c r="G88" s="20" t="s">
        <v>98</v>
      </c>
      <c r="H88" s="20">
        <v>897.05</v>
      </c>
      <c r="I88" s="20"/>
      <c r="J88" s="20"/>
      <c r="K88" s="36"/>
      <c r="L88" s="56"/>
      <c r="M88" s="56"/>
      <c r="N88" s="6"/>
    </row>
    <row r="89" spans="1:14" x14ac:dyDescent="0.2">
      <c r="A89" s="45"/>
      <c r="B89" s="20"/>
      <c r="C89" s="18"/>
      <c r="D89" s="20"/>
      <c r="E89" s="20"/>
      <c r="F89" s="20"/>
      <c r="G89" s="20" t="s">
        <v>99</v>
      </c>
      <c r="H89" s="20">
        <v>785.92</v>
      </c>
      <c r="I89" s="20"/>
      <c r="J89" s="20"/>
      <c r="K89" s="36"/>
      <c r="L89" s="56"/>
      <c r="M89" s="56"/>
      <c r="N89" s="6"/>
    </row>
    <row r="90" spans="1:14" x14ac:dyDescent="0.2">
      <c r="A90" s="45"/>
      <c r="B90" s="20"/>
      <c r="C90" s="18"/>
      <c r="D90" s="20"/>
      <c r="E90" s="20"/>
      <c r="F90" s="20"/>
      <c r="G90" s="20"/>
      <c r="H90" s="20"/>
      <c r="I90" s="20"/>
      <c r="J90" s="20"/>
      <c r="K90" s="36"/>
      <c r="L90" s="56"/>
      <c r="M90" s="56"/>
      <c r="N90" s="6"/>
    </row>
    <row r="91" spans="1:14" x14ac:dyDescent="0.2">
      <c r="A91" s="46">
        <v>2024</v>
      </c>
      <c r="B91" s="4"/>
      <c r="C91" s="5" t="s">
        <v>14</v>
      </c>
      <c r="D91" s="4">
        <v>1970</v>
      </c>
      <c r="E91" s="4" t="s">
        <v>10</v>
      </c>
      <c r="F91" s="4" t="s">
        <v>13</v>
      </c>
      <c r="G91" s="20" t="s">
        <v>100</v>
      </c>
      <c r="H91" s="4">
        <v>471.81</v>
      </c>
      <c r="I91" s="4">
        <f>SUM(H91)</f>
        <v>471.81</v>
      </c>
      <c r="J91" s="4">
        <v>472</v>
      </c>
      <c r="K91" s="37" t="s">
        <v>144</v>
      </c>
      <c r="L91" s="57">
        <f>SUM(471.81*0.04)*2.5</f>
        <v>47.180999999999997</v>
      </c>
      <c r="M91" s="57"/>
      <c r="N91" s="6" t="s">
        <v>15</v>
      </c>
    </row>
    <row r="92" spans="1:14" x14ac:dyDescent="0.2">
      <c r="A92" s="46"/>
      <c r="B92" s="4"/>
      <c r="C92" s="5"/>
      <c r="D92" s="4"/>
      <c r="E92" s="4"/>
      <c r="F92" s="4"/>
      <c r="G92" s="20"/>
      <c r="H92" s="4"/>
      <c r="I92" s="4"/>
      <c r="J92" s="4"/>
      <c r="K92" s="37"/>
      <c r="L92" s="57"/>
      <c r="M92" s="57"/>
      <c r="N92" s="6"/>
    </row>
    <row r="93" spans="1:14" x14ac:dyDescent="0.2">
      <c r="A93" s="46">
        <v>2024</v>
      </c>
      <c r="B93" s="4"/>
      <c r="C93" s="5" t="s">
        <v>16</v>
      </c>
      <c r="D93" s="4">
        <v>2000</v>
      </c>
      <c r="E93" s="4" t="s">
        <v>10</v>
      </c>
      <c r="F93" s="4" t="s">
        <v>13</v>
      </c>
      <c r="G93" s="20" t="s">
        <v>101</v>
      </c>
      <c r="H93" s="4">
        <v>145.84</v>
      </c>
      <c r="I93" s="4">
        <f>SUM(H93:H97)</f>
        <v>798.43</v>
      </c>
      <c r="J93" s="4">
        <v>800</v>
      </c>
      <c r="K93" s="37" t="s">
        <v>146</v>
      </c>
      <c r="L93" s="57">
        <f>SUM(798.43*0.04)*2.5</f>
        <v>79.842999999999989</v>
      </c>
      <c r="M93" s="57"/>
      <c r="N93" s="6" t="s">
        <v>17</v>
      </c>
    </row>
    <row r="94" spans="1:14" x14ac:dyDescent="0.2">
      <c r="A94" s="46"/>
      <c r="B94" s="4"/>
      <c r="C94" s="5"/>
      <c r="D94" s="4"/>
      <c r="E94" s="4"/>
      <c r="F94" s="4"/>
      <c r="G94" s="20" t="s">
        <v>102</v>
      </c>
      <c r="H94" s="4">
        <v>170.07</v>
      </c>
      <c r="I94" s="4"/>
      <c r="J94" s="4"/>
      <c r="K94" s="37"/>
      <c r="L94" s="57"/>
      <c r="M94" s="57"/>
      <c r="N94" s="6"/>
    </row>
    <row r="95" spans="1:14" x14ac:dyDescent="0.2">
      <c r="A95" s="46"/>
      <c r="B95" s="4"/>
      <c r="C95" s="5"/>
      <c r="D95" s="4"/>
      <c r="E95" s="4"/>
      <c r="F95" s="4"/>
      <c r="G95" s="20" t="s">
        <v>103</v>
      </c>
      <c r="H95" s="4">
        <v>179.86</v>
      </c>
      <c r="I95" s="4"/>
      <c r="J95" s="4"/>
      <c r="K95" s="37"/>
      <c r="L95" s="57"/>
      <c r="M95" s="57"/>
      <c r="N95" s="6"/>
    </row>
    <row r="96" spans="1:14" x14ac:dyDescent="0.2">
      <c r="A96" s="46"/>
      <c r="B96" s="4"/>
      <c r="C96" s="5"/>
      <c r="D96" s="4"/>
      <c r="E96" s="4"/>
      <c r="F96" s="4"/>
      <c r="G96" s="20" t="s">
        <v>104</v>
      </c>
      <c r="H96" s="4">
        <v>189.11</v>
      </c>
      <c r="I96" s="4"/>
      <c r="J96" s="4"/>
      <c r="K96" s="37"/>
      <c r="L96" s="57"/>
      <c r="M96" s="57"/>
      <c r="N96" s="6"/>
    </row>
    <row r="97" spans="1:14" x14ac:dyDescent="0.2">
      <c r="A97" s="46"/>
      <c r="B97" s="4"/>
      <c r="C97" s="5"/>
      <c r="D97" s="4"/>
      <c r="E97" s="4"/>
      <c r="F97" s="4"/>
      <c r="G97" s="20" t="s">
        <v>105</v>
      </c>
      <c r="H97" s="4">
        <v>113.55</v>
      </c>
      <c r="I97" s="4"/>
      <c r="J97" s="4"/>
      <c r="K97" s="37"/>
      <c r="L97" s="57"/>
      <c r="M97" s="57"/>
      <c r="N97" s="6"/>
    </row>
    <row r="98" spans="1:14" x14ac:dyDescent="0.2">
      <c r="A98" s="46"/>
      <c r="B98" s="4"/>
      <c r="C98" s="5"/>
      <c r="D98" s="4"/>
      <c r="E98" s="4"/>
      <c r="F98" s="4"/>
      <c r="G98" s="20"/>
      <c r="H98" s="4"/>
      <c r="I98" s="4"/>
      <c r="J98" s="4"/>
      <c r="K98" s="37"/>
      <c r="L98" s="57"/>
      <c r="M98" s="57"/>
      <c r="N98" s="6"/>
    </row>
    <row r="99" spans="1:14" x14ac:dyDescent="0.2">
      <c r="A99" s="46">
        <v>2024</v>
      </c>
      <c r="B99" s="4"/>
      <c r="C99" s="5" t="s">
        <v>19</v>
      </c>
      <c r="D99" s="4">
        <v>2013</v>
      </c>
      <c r="E99" s="4" t="s">
        <v>10</v>
      </c>
      <c r="F99" s="4" t="s">
        <v>13</v>
      </c>
      <c r="G99" s="20" t="s">
        <v>106</v>
      </c>
      <c r="H99" s="4">
        <v>1035.83</v>
      </c>
      <c r="I99" s="4">
        <f>SUM(H99)</f>
        <v>1035.83</v>
      </c>
      <c r="J99" s="4">
        <v>1036</v>
      </c>
      <c r="K99" s="37" t="s">
        <v>148</v>
      </c>
      <c r="L99" s="57">
        <f>SUM(1035.83*0.04)*2.5</f>
        <v>103.583</v>
      </c>
      <c r="M99" s="57"/>
      <c r="N99" s="6"/>
    </row>
    <row r="100" spans="1:14" x14ac:dyDescent="0.2">
      <c r="A100" s="46"/>
      <c r="B100" s="4"/>
      <c r="C100" s="5"/>
      <c r="D100" s="4"/>
      <c r="E100" s="4"/>
      <c r="F100" s="4"/>
      <c r="G100" s="20"/>
      <c r="H100" s="4"/>
      <c r="I100" s="4"/>
      <c r="J100" s="4"/>
      <c r="K100" s="37"/>
      <c r="L100" s="57"/>
      <c r="M100" s="57"/>
      <c r="N100" s="6"/>
    </row>
    <row r="101" spans="1:14" x14ac:dyDescent="0.2">
      <c r="A101" s="46"/>
      <c r="B101" s="4"/>
      <c r="C101" s="5"/>
      <c r="D101" s="4"/>
      <c r="E101" s="4"/>
      <c r="F101" s="4"/>
      <c r="G101" s="4"/>
      <c r="H101" s="4"/>
      <c r="I101" s="4"/>
      <c r="J101" s="4"/>
      <c r="K101" s="37"/>
      <c r="L101" s="57"/>
      <c r="M101" s="57"/>
      <c r="N101" s="6"/>
    </row>
    <row r="102" spans="1:14" x14ac:dyDescent="0.2">
      <c r="A102" s="46"/>
      <c r="B102" s="4"/>
      <c r="C102" s="5"/>
      <c r="D102" s="4"/>
      <c r="E102" s="4"/>
      <c r="F102" s="4"/>
      <c r="G102" s="4"/>
      <c r="H102" s="4"/>
      <c r="I102" s="4"/>
      <c r="J102" s="4"/>
      <c r="K102" s="37"/>
      <c r="L102" s="57"/>
      <c r="M102" s="57"/>
      <c r="N102" s="6"/>
    </row>
    <row r="103" spans="1:14" x14ac:dyDescent="0.2">
      <c r="A103" s="46"/>
      <c r="B103" s="4"/>
      <c r="C103" s="5"/>
      <c r="D103" s="4"/>
      <c r="E103" s="4"/>
      <c r="F103" s="4"/>
      <c r="G103" s="4"/>
      <c r="H103" s="4"/>
      <c r="I103" s="4"/>
      <c r="J103" s="4"/>
      <c r="K103" s="37"/>
      <c r="L103" s="57"/>
      <c r="M103" s="57"/>
      <c r="N103" s="6"/>
    </row>
    <row r="104" spans="1:14" x14ac:dyDescent="0.2">
      <c r="A104" s="46">
        <v>2024</v>
      </c>
      <c r="B104" s="4"/>
      <c r="C104" s="5" t="s">
        <v>22</v>
      </c>
      <c r="D104" s="4">
        <v>1985</v>
      </c>
      <c r="E104" s="4" t="s">
        <v>10</v>
      </c>
      <c r="F104" s="9" t="s">
        <v>13</v>
      </c>
      <c r="G104" s="20" t="s">
        <v>118</v>
      </c>
      <c r="H104" s="9">
        <v>680.92</v>
      </c>
      <c r="I104" s="9"/>
      <c r="J104" s="4">
        <v>681</v>
      </c>
      <c r="K104" s="37" t="s">
        <v>148</v>
      </c>
      <c r="L104" s="57">
        <f>SUM(680*0.04)*2.5</f>
        <v>68</v>
      </c>
      <c r="M104" s="57"/>
      <c r="N104" s="6"/>
    </row>
    <row r="105" spans="1:14" x14ac:dyDescent="0.2">
      <c r="A105" s="46"/>
      <c r="B105" s="4"/>
      <c r="C105" s="5"/>
      <c r="D105" s="4"/>
      <c r="E105" s="4"/>
      <c r="F105" s="4"/>
      <c r="G105" s="4"/>
      <c r="H105" s="4"/>
      <c r="I105" s="4"/>
      <c r="J105" s="4"/>
      <c r="K105" s="37"/>
      <c r="L105" s="57"/>
      <c r="M105" s="57"/>
      <c r="N105" s="6"/>
    </row>
    <row r="106" spans="1:14" x14ac:dyDescent="0.2">
      <c r="A106" s="46">
        <v>2024</v>
      </c>
      <c r="B106" s="4"/>
      <c r="C106" s="5" t="s">
        <v>25</v>
      </c>
      <c r="D106" s="4">
        <v>2000</v>
      </c>
      <c r="E106" s="4" t="s">
        <v>23</v>
      </c>
      <c r="F106" s="4" t="s">
        <v>13</v>
      </c>
      <c r="G106" s="20" t="s">
        <v>119</v>
      </c>
      <c r="H106" s="4">
        <v>65.64</v>
      </c>
      <c r="I106" s="4"/>
      <c r="J106" s="4">
        <v>1083</v>
      </c>
      <c r="K106" s="37" t="s">
        <v>146</v>
      </c>
      <c r="L106" s="57"/>
      <c r="M106" s="57"/>
      <c r="N106" s="6"/>
    </row>
    <row r="107" spans="1:14" x14ac:dyDescent="0.2">
      <c r="A107" s="46"/>
      <c r="B107" s="4"/>
      <c r="C107" s="5"/>
      <c r="D107" s="4"/>
      <c r="E107" s="4"/>
      <c r="F107" s="4"/>
      <c r="G107" s="20" t="s">
        <v>120</v>
      </c>
      <c r="H107" s="4">
        <v>526.91999999999996</v>
      </c>
      <c r="I107" s="4"/>
      <c r="J107" s="4"/>
      <c r="K107" s="37"/>
      <c r="L107" s="57">
        <f>SUM(1083*0.04)*2.5</f>
        <v>108.3</v>
      </c>
      <c r="M107" s="57"/>
      <c r="N107" s="6"/>
    </row>
    <row r="108" spans="1:14" x14ac:dyDescent="0.2">
      <c r="A108" s="46"/>
      <c r="B108" s="4"/>
      <c r="C108" s="5"/>
      <c r="D108" s="4"/>
      <c r="E108" s="4"/>
      <c r="F108" s="4"/>
      <c r="G108" s="20" t="s">
        <v>121</v>
      </c>
      <c r="H108" s="4">
        <f>489.42-250</f>
        <v>239.42000000000002</v>
      </c>
      <c r="I108" s="4"/>
      <c r="J108" s="4"/>
      <c r="K108" s="37"/>
      <c r="L108" s="57"/>
      <c r="M108" s="57"/>
      <c r="N108" s="6"/>
    </row>
    <row r="109" spans="1:14" x14ac:dyDescent="0.2">
      <c r="A109" s="46"/>
      <c r="B109" s="4"/>
      <c r="C109" s="5"/>
      <c r="D109" s="4"/>
      <c r="E109" s="4"/>
      <c r="F109" s="4"/>
      <c r="G109" s="4"/>
      <c r="H109" s="4"/>
      <c r="I109" s="4"/>
      <c r="J109" s="4"/>
      <c r="K109" s="37"/>
      <c r="L109" s="57"/>
      <c r="M109" s="57"/>
      <c r="N109" s="6"/>
    </row>
    <row r="110" spans="1:14" x14ac:dyDescent="0.2">
      <c r="A110" s="46"/>
      <c r="B110" s="4"/>
      <c r="C110" s="5"/>
      <c r="D110" s="4"/>
      <c r="E110" s="4"/>
      <c r="F110" s="4"/>
      <c r="G110" s="4"/>
      <c r="H110" s="4"/>
      <c r="I110" s="4"/>
      <c r="J110" s="4"/>
      <c r="K110" s="37"/>
      <c r="L110" s="57"/>
      <c r="M110" s="57"/>
      <c r="N110" s="6"/>
    </row>
    <row r="111" spans="1:14" x14ac:dyDescent="0.2">
      <c r="A111" s="46">
        <v>2024</v>
      </c>
      <c r="B111" s="4"/>
      <c r="C111" s="5" t="s">
        <v>26</v>
      </c>
      <c r="D111" s="4">
        <v>2000</v>
      </c>
      <c r="E111" s="4" t="s">
        <v>23</v>
      </c>
      <c r="F111" s="4" t="s">
        <v>13</v>
      </c>
      <c r="G111" s="20" t="s">
        <v>122</v>
      </c>
      <c r="H111" s="4">
        <v>134.13999999999999</v>
      </c>
      <c r="I111" s="4">
        <f>SUM(H111:H112)</f>
        <v>929.5200000000001</v>
      </c>
      <c r="J111" s="4">
        <v>900</v>
      </c>
      <c r="K111" s="37" t="s">
        <v>146</v>
      </c>
      <c r="L111" s="57">
        <f>SUM(929.52*0.04)*2.5</f>
        <v>92.951999999999998</v>
      </c>
      <c r="M111" s="57"/>
      <c r="N111" s="6"/>
    </row>
    <row r="112" spans="1:14" x14ac:dyDescent="0.2">
      <c r="A112" s="46"/>
      <c r="B112" s="4"/>
      <c r="C112" s="5"/>
      <c r="D112" s="4"/>
      <c r="E112" s="4"/>
      <c r="F112" s="4"/>
      <c r="G112" s="20" t="s">
        <v>123</v>
      </c>
      <c r="H112" s="4">
        <f>1095.38-300</f>
        <v>795.38000000000011</v>
      </c>
      <c r="I112" s="4"/>
      <c r="J112" s="4"/>
      <c r="K112" s="37"/>
      <c r="L112" s="57"/>
      <c r="M112" s="57"/>
      <c r="N112" s="6"/>
    </row>
    <row r="113" spans="1:14" x14ac:dyDescent="0.2">
      <c r="A113" s="46"/>
      <c r="B113" s="4"/>
      <c r="C113" s="5"/>
      <c r="D113" s="4"/>
      <c r="E113" s="4"/>
      <c r="F113" s="4"/>
      <c r="G113" s="33"/>
      <c r="H113" s="4"/>
      <c r="I113" s="4"/>
      <c r="J113" s="4"/>
      <c r="K113" s="37"/>
      <c r="L113" s="57"/>
      <c r="M113" s="57"/>
      <c r="N113" s="6"/>
    </row>
    <row r="114" spans="1:14" x14ac:dyDescent="0.2">
      <c r="A114" s="46"/>
      <c r="B114" s="4"/>
      <c r="C114" s="5"/>
      <c r="D114" s="4"/>
      <c r="E114" s="4"/>
      <c r="F114" s="4"/>
      <c r="G114" s="33"/>
      <c r="H114" s="4"/>
      <c r="I114" s="4"/>
      <c r="J114" s="4"/>
      <c r="K114" s="37"/>
      <c r="L114" s="57"/>
      <c r="M114" s="57"/>
      <c r="N114" s="6"/>
    </row>
    <row r="115" spans="1:14" x14ac:dyDescent="0.2">
      <c r="A115" s="46">
        <v>2024</v>
      </c>
      <c r="B115" s="4"/>
      <c r="C115" s="5" t="s">
        <v>27</v>
      </c>
      <c r="D115" s="4">
        <v>2006</v>
      </c>
      <c r="E115" s="4" t="s">
        <v>23</v>
      </c>
      <c r="F115" s="4" t="s">
        <v>13</v>
      </c>
      <c r="G115" s="20" t="s">
        <v>124</v>
      </c>
      <c r="H115" s="4">
        <v>694.9</v>
      </c>
      <c r="I115" s="4">
        <f>SUM(H115:H118)</f>
        <v>2059.2000000000003</v>
      </c>
      <c r="J115" s="4">
        <v>1785</v>
      </c>
      <c r="K115" s="37" t="s">
        <v>146</v>
      </c>
      <c r="L115" s="57">
        <f>SUM(2059.2*0.04)*2.5</f>
        <v>205.92</v>
      </c>
      <c r="M115" s="57"/>
      <c r="N115" s="6"/>
    </row>
    <row r="116" spans="1:14" x14ac:dyDescent="0.2">
      <c r="A116" s="46"/>
      <c r="B116" s="4"/>
      <c r="C116" s="5"/>
      <c r="D116" s="4"/>
      <c r="E116" s="4"/>
      <c r="F116" s="4"/>
      <c r="G116" s="20" t="s">
        <v>125</v>
      </c>
      <c r="H116" s="4">
        <v>894.71</v>
      </c>
      <c r="I116" s="4"/>
      <c r="J116" s="4"/>
      <c r="K116" s="37"/>
      <c r="L116" s="57"/>
      <c r="M116" s="57"/>
      <c r="N116" s="6"/>
    </row>
    <row r="117" spans="1:14" x14ac:dyDescent="0.2">
      <c r="A117" s="46"/>
      <c r="B117" s="4"/>
      <c r="C117" s="5"/>
      <c r="D117" s="4"/>
      <c r="E117" s="4"/>
      <c r="F117" s="4"/>
      <c r="G117" s="20" t="s">
        <v>126</v>
      </c>
      <c r="H117" s="4">
        <v>98.68</v>
      </c>
      <c r="I117" s="4"/>
      <c r="J117" s="4"/>
      <c r="K117" s="37"/>
      <c r="L117" s="57"/>
      <c r="M117" s="57"/>
      <c r="N117" s="6"/>
    </row>
    <row r="118" spans="1:14" x14ac:dyDescent="0.2">
      <c r="A118" s="46"/>
      <c r="B118" s="4"/>
      <c r="C118" s="5"/>
      <c r="D118" s="4"/>
      <c r="E118" s="4"/>
      <c r="F118" s="4"/>
      <c r="G118" s="20" t="s">
        <v>127</v>
      </c>
      <c r="H118" s="4">
        <v>370.91</v>
      </c>
      <c r="I118" s="4"/>
      <c r="J118" s="4"/>
      <c r="K118" s="37"/>
      <c r="L118" s="57"/>
      <c r="M118" s="57"/>
      <c r="N118" s="6"/>
    </row>
    <row r="119" spans="1:14" x14ac:dyDescent="0.2">
      <c r="A119" s="46"/>
      <c r="B119" s="4"/>
      <c r="C119" s="5"/>
      <c r="D119" s="4"/>
      <c r="E119" s="4"/>
      <c r="F119" s="4"/>
      <c r="G119" s="20"/>
      <c r="H119" s="4"/>
      <c r="I119" s="4"/>
      <c r="J119" s="4"/>
      <c r="K119" s="37"/>
      <c r="L119" s="57"/>
      <c r="M119" s="57"/>
      <c r="N119" s="6"/>
    </row>
    <row r="120" spans="1:14" x14ac:dyDescent="0.2">
      <c r="A120" s="46">
        <v>2024</v>
      </c>
      <c r="B120" s="4"/>
      <c r="C120" s="5" t="s">
        <v>30</v>
      </c>
      <c r="D120" s="4">
        <v>2000</v>
      </c>
      <c r="E120" s="4" t="s">
        <v>23</v>
      </c>
      <c r="F120" s="4" t="s">
        <v>13</v>
      </c>
      <c r="G120" s="20" t="s">
        <v>128</v>
      </c>
      <c r="H120" s="4">
        <v>1171.3499999999999</v>
      </c>
      <c r="I120" s="4"/>
      <c r="J120" s="4">
        <v>1171</v>
      </c>
      <c r="K120" s="37" t="s">
        <v>146</v>
      </c>
      <c r="L120" s="57">
        <f>SUM(1171.35*0.04)*2.5</f>
        <v>117.13499999999999</v>
      </c>
      <c r="M120" s="57"/>
      <c r="N120" s="6" t="s">
        <v>31</v>
      </c>
    </row>
    <row r="121" spans="1:14" x14ac:dyDescent="0.2">
      <c r="A121" s="46"/>
      <c r="B121" s="4"/>
      <c r="C121" s="5"/>
      <c r="D121" s="4"/>
      <c r="E121" s="4"/>
      <c r="F121" s="4"/>
      <c r="G121" s="20"/>
      <c r="H121" s="4"/>
      <c r="I121" s="4"/>
      <c r="J121" s="4"/>
      <c r="K121" s="37"/>
      <c r="N121" s="6"/>
    </row>
    <row r="122" spans="1:14" x14ac:dyDescent="0.2">
      <c r="A122" s="46">
        <v>2024</v>
      </c>
      <c r="B122" s="4" t="s">
        <v>149</v>
      </c>
      <c r="C122" s="5" t="s">
        <v>150</v>
      </c>
      <c r="D122" s="4" t="s">
        <v>161</v>
      </c>
      <c r="E122" s="4"/>
      <c r="F122" s="4" t="s">
        <v>13</v>
      </c>
      <c r="G122" s="20" t="s">
        <v>151</v>
      </c>
      <c r="H122" s="4">
        <v>2440.3000000000002</v>
      </c>
      <c r="I122" s="4">
        <v>22623.040000000001</v>
      </c>
      <c r="J122" s="4"/>
      <c r="K122" s="37" t="s">
        <v>144</v>
      </c>
      <c r="L122" s="57">
        <f>SUM(22623.04*0.04)*2.5</f>
        <v>2262.3040000000001</v>
      </c>
      <c r="M122" s="57"/>
      <c r="N122" s="6"/>
    </row>
    <row r="123" spans="1:14" x14ac:dyDescent="0.2">
      <c r="A123" s="46"/>
      <c r="B123" s="4"/>
      <c r="C123" s="5"/>
      <c r="D123" s="4"/>
      <c r="E123" s="4"/>
      <c r="F123" s="4"/>
      <c r="G123" s="20" t="s">
        <v>152</v>
      </c>
      <c r="H123" s="4">
        <v>1937.32</v>
      </c>
      <c r="I123" s="4"/>
      <c r="J123" s="4"/>
      <c r="K123" s="37"/>
      <c r="L123" s="57"/>
      <c r="M123" s="57"/>
      <c r="N123" s="6"/>
    </row>
    <row r="124" spans="1:14" x14ac:dyDescent="0.2">
      <c r="A124" s="46"/>
      <c r="B124" s="4"/>
      <c r="C124" s="5"/>
      <c r="D124" s="4"/>
      <c r="E124" s="4"/>
      <c r="F124" s="4"/>
      <c r="G124" s="20" t="s">
        <v>153</v>
      </c>
      <c r="H124" s="4">
        <v>1167.2</v>
      </c>
      <c r="I124" s="4"/>
      <c r="J124" s="4"/>
      <c r="K124" s="37"/>
      <c r="L124" s="57"/>
      <c r="M124" s="57"/>
      <c r="N124" s="6"/>
    </row>
    <row r="125" spans="1:14" x14ac:dyDescent="0.2">
      <c r="A125" s="46"/>
      <c r="B125" s="4"/>
      <c r="C125" s="5"/>
      <c r="D125" s="4"/>
      <c r="E125" s="4"/>
      <c r="F125" s="4"/>
      <c r="G125" s="20" t="s">
        <v>154</v>
      </c>
      <c r="H125" s="4">
        <v>1013.03</v>
      </c>
      <c r="I125" s="4"/>
      <c r="J125" s="4"/>
      <c r="K125" s="37"/>
      <c r="L125" s="57"/>
      <c r="M125" s="57"/>
      <c r="N125" s="6"/>
    </row>
    <row r="126" spans="1:14" x14ac:dyDescent="0.2">
      <c r="A126" s="46"/>
      <c r="B126" s="4"/>
      <c r="C126" s="5"/>
      <c r="D126" s="4"/>
      <c r="E126" s="4"/>
      <c r="F126" s="4"/>
      <c r="G126" s="20" t="s">
        <v>155</v>
      </c>
      <c r="H126" s="4">
        <v>1088.82</v>
      </c>
      <c r="I126" s="4"/>
      <c r="J126" s="4"/>
      <c r="K126" s="37"/>
      <c r="L126" s="57"/>
      <c r="M126" s="57"/>
      <c r="N126" s="6"/>
    </row>
    <row r="127" spans="1:14" x14ac:dyDescent="0.2">
      <c r="A127" s="46"/>
      <c r="B127" s="4"/>
      <c r="C127" s="5"/>
      <c r="D127" s="4"/>
      <c r="E127" s="4"/>
      <c r="F127" s="4"/>
      <c r="G127" s="20" t="s">
        <v>156</v>
      </c>
      <c r="H127" s="4">
        <v>2788.05</v>
      </c>
      <c r="I127" s="4"/>
      <c r="J127" s="4"/>
      <c r="K127" s="37"/>
      <c r="L127" s="57"/>
      <c r="M127" s="57"/>
      <c r="N127" s="6"/>
    </row>
    <row r="128" spans="1:14" x14ac:dyDescent="0.2">
      <c r="A128" s="46"/>
      <c r="B128" s="4"/>
      <c r="C128" s="5"/>
      <c r="D128" s="4"/>
      <c r="E128" s="4"/>
      <c r="F128" s="4"/>
      <c r="G128" s="20" t="s">
        <v>157</v>
      </c>
      <c r="H128" s="4">
        <v>1352.33</v>
      </c>
      <c r="I128" s="4"/>
      <c r="J128" s="4"/>
      <c r="K128" s="37"/>
      <c r="L128" s="57"/>
      <c r="M128" s="57"/>
      <c r="N128" s="6"/>
    </row>
    <row r="129" spans="1:14" x14ac:dyDescent="0.2">
      <c r="A129" s="46"/>
      <c r="B129" s="4"/>
      <c r="C129" s="5"/>
      <c r="D129" s="4"/>
      <c r="E129" s="4"/>
      <c r="F129" s="4"/>
      <c r="G129" s="20" t="s">
        <v>158</v>
      </c>
      <c r="H129" s="4">
        <v>1368.33</v>
      </c>
      <c r="I129" s="4"/>
      <c r="J129" s="4"/>
      <c r="K129" s="37"/>
      <c r="L129" s="57"/>
      <c r="M129" s="57"/>
      <c r="N129" s="6"/>
    </row>
    <row r="130" spans="1:14" x14ac:dyDescent="0.2">
      <c r="A130" s="46"/>
      <c r="B130" s="4"/>
      <c r="C130" s="5"/>
      <c r="D130" s="4"/>
      <c r="E130" s="4"/>
      <c r="F130" s="4"/>
      <c r="G130" s="20" t="s">
        <v>159</v>
      </c>
      <c r="H130" s="4">
        <v>1745.48</v>
      </c>
      <c r="I130" s="4"/>
      <c r="J130" s="4"/>
      <c r="K130" s="37"/>
      <c r="L130" s="57"/>
      <c r="M130" s="57"/>
      <c r="N130" s="6"/>
    </row>
    <row r="131" spans="1:14" x14ac:dyDescent="0.2">
      <c r="A131" s="46"/>
      <c r="B131" s="4"/>
      <c r="C131" s="5"/>
      <c r="D131" s="4"/>
      <c r="E131" s="4"/>
      <c r="F131" s="4"/>
      <c r="G131" s="20" t="s">
        <v>160</v>
      </c>
      <c r="H131" s="4">
        <v>1283.6300000000001</v>
      </c>
      <c r="I131" s="4"/>
      <c r="J131" s="4"/>
      <c r="K131" s="37"/>
      <c r="L131" s="57"/>
      <c r="M131" s="57"/>
      <c r="N131" s="6"/>
    </row>
    <row r="132" spans="1:14" x14ac:dyDescent="0.2">
      <c r="A132" s="46"/>
      <c r="B132" s="4"/>
      <c r="C132" s="5"/>
      <c r="D132" s="4"/>
      <c r="E132" s="4"/>
      <c r="F132" s="4"/>
      <c r="G132" s="20" t="s">
        <v>162</v>
      </c>
      <c r="H132" s="4">
        <v>1396.06</v>
      </c>
      <c r="I132" s="4"/>
      <c r="J132" s="4"/>
      <c r="K132" s="37"/>
      <c r="L132" s="57"/>
      <c r="M132" s="57"/>
      <c r="N132" s="6"/>
    </row>
    <row r="133" spans="1:14" x14ac:dyDescent="0.2">
      <c r="A133" s="46"/>
      <c r="B133" s="4"/>
      <c r="C133" s="5"/>
      <c r="D133" s="4"/>
      <c r="E133" s="4"/>
      <c r="F133" s="4"/>
      <c r="G133" s="20" t="s">
        <v>163</v>
      </c>
      <c r="H133" s="4">
        <v>2522.27</v>
      </c>
      <c r="I133" s="4"/>
      <c r="J133" s="4"/>
      <c r="K133" s="37"/>
      <c r="L133" s="57"/>
      <c r="M133" s="57"/>
      <c r="N133" s="6"/>
    </row>
    <row r="134" spans="1:14" s="44" customFormat="1" x14ac:dyDescent="0.2">
      <c r="A134" s="47"/>
      <c r="B134" s="41"/>
      <c r="C134" s="40"/>
      <c r="D134" s="41"/>
      <c r="E134" s="41"/>
      <c r="F134" s="41"/>
      <c r="G134" s="20" t="s">
        <v>164</v>
      </c>
      <c r="H134" s="4">
        <v>2520.2199999999998</v>
      </c>
      <c r="I134" s="41"/>
      <c r="J134" s="41"/>
      <c r="K134" s="42"/>
      <c r="L134" s="59"/>
      <c r="M134" s="59"/>
      <c r="N134" s="43"/>
    </row>
    <row r="135" spans="1:14" s="44" customFormat="1" x14ac:dyDescent="0.2">
      <c r="A135" s="47"/>
      <c r="B135" s="41"/>
      <c r="C135" s="40"/>
      <c r="D135" s="41"/>
      <c r="E135" s="41"/>
      <c r="F135" s="41"/>
      <c r="G135" s="20"/>
      <c r="H135" s="4"/>
      <c r="J135" s="41"/>
      <c r="K135" s="42"/>
      <c r="L135" s="59"/>
      <c r="M135" s="59"/>
      <c r="N135" s="43"/>
    </row>
    <row r="136" spans="1:14" s="44" customFormat="1" x14ac:dyDescent="0.2">
      <c r="A136" s="47">
        <v>2024</v>
      </c>
      <c r="B136" s="41" t="s">
        <v>165</v>
      </c>
      <c r="C136" s="40" t="s">
        <v>166</v>
      </c>
      <c r="D136" s="41">
        <v>2008</v>
      </c>
      <c r="E136" s="41"/>
      <c r="F136" s="41" t="s">
        <v>168</v>
      </c>
      <c r="G136" s="20" t="s">
        <v>167</v>
      </c>
      <c r="H136" s="4">
        <v>3034.84</v>
      </c>
      <c r="I136" s="4">
        <f>SUM(H136:H145)</f>
        <v>22009.25</v>
      </c>
      <c r="J136" s="41"/>
      <c r="K136" s="42" t="s">
        <v>185</v>
      </c>
      <c r="L136" s="59">
        <f>SUM(22009.25*0.04)*2.5</f>
        <v>2200.9250000000002</v>
      </c>
      <c r="M136" s="59"/>
      <c r="N136" s="43"/>
    </row>
    <row r="137" spans="1:14" s="44" customFormat="1" x14ac:dyDescent="0.2">
      <c r="A137" s="47"/>
      <c r="B137" s="41"/>
      <c r="C137" s="40"/>
      <c r="D137" s="41"/>
      <c r="E137" s="41"/>
      <c r="F137" s="41"/>
      <c r="G137" s="20" t="s">
        <v>169</v>
      </c>
      <c r="H137" s="4">
        <v>1893.68</v>
      </c>
      <c r="I137" s="4"/>
      <c r="J137" s="41"/>
      <c r="K137" s="42" t="s">
        <v>186</v>
      </c>
      <c r="L137" s="59">
        <f>SUM(22009.25*0.05)*2.5</f>
        <v>2751.15625</v>
      </c>
      <c r="M137" s="59"/>
      <c r="N137" s="43"/>
    </row>
    <row r="138" spans="1:14" s="44" customFormat="1" x14ac:dyDescent="0.2">
      <c r="A138" s="47"/>
      <c r="B138" s="41"/>
      <c r="C138" s="40"/>
      <c r="D138" s="41"/>
      <c r="E138" s="41"/>
      <c r="F138" s="41"/>
      <c r="G138" s="20" t="s">
        <v>170</v>
      </c>
      <c r="H138" s="4">
        <v>2961.78</v>
      </c>
      <c r="I138" s="4"/>
      <c r="J138" s="41"/>
      <c r="K138" s="42"/>
      <c r="L138" s="59"/>
      <c r="M138" s="59"/>
      <c r="N138" s="43"/>
    </row>
    <row r="139" spans="1:14" s="44" customFormat="1" x14ac:dyDescent="0.2">
      <c r="A139" s="47"/>
      <c r="B139" s="41"/>
      <c r="C139" s="40"/>
      <c r="D139" s="41"/>
      <c r="E139" s="41"/>
      <c r="F139" s="41"/>
      <c r="G139" s="20" t="s">
        <v>171</v>
      </c>
      <c r="H139" s="4">
        <v>2355.42</v>
      </c>
      <c r="I139" s="4"/>
      <c r="J139" s="41"/>
      <c r="K139" s="42"/>
      <c r="L139" s="59"/>
      <c r="M139" s="59"/>
      <c r="N139" s="43"/>
    </row>
    <row r="140" spans="1:14" s="44" customFormat="1" x14ac:dyDescent="0.2">
      <c r="A140" s="47"/>
      <c r="B140" s="41"/>
      <c r="C140" s="40"/>
      <c r="D140" s="41"/>
      <c r="E140" s="41"/>
      <c r="F140" s="41"/>
      <c r="G140" s="20" t="s">
        <v>172</v>
      </c>
      <c r="H140" s="4">
        <v>2271.94</v>
      </c>
      <c r="I140" s="4"/>
      <c r="J140" s="41"/>
      <c r="K140" s="42"/>
      <c r="L140" s="59"/>
      <c r="M140" s="59"/>
      <c r="N140" s="43"/>
    </row>
    <row r="141" spans="1:14" s="44" customFormat="1" x14ac:dyDescent="0.2">
      <c r="A141" s="47"/>
      <c r="B141" s="41"/>
      <c r="C141" s="40"/>
      <c r="D141" s="41"/>
      <c r="E141" s="41"/>
      <c r="F141" s="41"/>
      <c r="G141" s="20" t="s">
        <v>173</v>
      </c>
      <c r="H141" s="4">
        <v>1961.14</v>
      </c>
      <c r="I141" s="4"/>
      <c r="J141" s="41"/>
      <c r="K141" s="42"/>
      <c r="L141" s="59"/>
      <c r="M141" s="59"/>
      <c r="N141" s="43"/>
    </row>
    <row r="142" spans="1:14" s="44" customFormat="1" x14ac:dyDescent="0.2">
      <c r="A142" s="47"/>
      <c r="B142" s="41"/>
      <c r="C142" s="40"/>
      <c r="D142" s="41"/>
      <c r="E142" s="41"/>
      <c r="F142" s="41"/>
      <c r="G142" s="20" t="s">
        <v>174</v>
      </c>
      <c r="H142" s="4">
        <v>1950.4</v>
      </c>
      <c r="I142" s="4"/>
      <c r="J142" s="41"/>
      <c r="K142" s="42"/>
      <c r="L142" s="59"/>
      <c r="M142" s="59"/>
      <c r="N142" s="43"/>
    </row>
    <row r="143" spans="1:14" s="44" customFormat="1" x14ac:dyDescent="0.2">
      <c r="A143" s="47"/>
      <c r="B143" s="41"/>
      <c r="C143" s="40"/>
      <c r="D143" s="41"/>
      <c r="E143" s="41"/>
      <c r="F143" s="41"/>
      <c r="G143" s="20" t="s">
        <v>175</v>
      </c>
      <c r="H143" s="4">
        <v>1723.26</v>
      </c>
      <c r="I143" s="4"/>
      <c r="J143" s="41"/>
      <c r="K143" s="42"/>
      <c r="L143" s="59"/>
      <c r="M143" s="59"/>
      <c r="N143" s="43"/>
    </row>
    <row r="144" spans="1:14" s="44" customFormat="1" x14ac:dyDescent="0.2">
      <c r="A144" s="47"/>
      <c r="B144" s="41"/>
      <c r="C144" s="40"/>
      <c r="D144" s="41"/>
      <c r="E144" s="41"/>
      <c r="F144" s="41"/>
      <c r="G144" s="20" t="s">
        <v>176</v>
      </c>
      <c r="H144" s="4">
        <v>1867</v>
      </c>
      <c r="I144" s="4"/>
      <c r="J144" s="41"/>
      <c r="K144" s="42"/>
      <c r="L144" s="59"/>
      <c r="M144" s="59"/>
      <c r="N144" s="43"/>
    </row>
    <row r="145" spans="1:15" s="44" customFormat="1" x14ac:dyDescent="0.2">
      <c r="A145" s="47"/>
      <c r="B145" s="41"/>
      <c r="C145" s="40"/>
      <c r="D145" s="41"/>
      <c r="E145" s="41"/>
      <c r="F145" s="41"/>
      <c r="G145" s="20" t="s">
        <v>177</v>
      </c>
      <c r="H145" s="4">
        <v>1989.79</v>
      </c>
      <c r="I145" s="4"/>
      <c r="J145" s="41"/>
      <c r="K145" s="42"/>
      <c r="L145" s="59"/>
      <c r="M145" s="59"/>
      <c r="N145" s="43"/>
    </row>
    <row r="146" spans="1:15" s="44" customFormat="1" x14ac:dyDescent="0.2">
      <c r="A146" s="47"/>
      <c r="B146" s="41"/>
      <c r="C146" s="40"/>
      <c r="D146" s="41"/>
      <c r="E146" s="41"/>
      <c r="F146" s="41"/>
      <c r="G146" s="20"/>
      <c r="I146" s="4"/>
      <c r="J146" s="41"/>
      <c r="K146" s="42"/>
      <c r="L146" s="59"/>
      <c r="M146" s="59"/>
      <c r="N146" s="43"/>
    </row>
    <row r="147" spans="1:15" s="44" customFormat="1" x14ac:dyDescent="0.2">
      <c r="A147" s="47"/>
      <c r="B147" s="41"/>
      <c r="C147" s="40"/>
      <c r="D147" s="41"/>
      <c r="E147" s="41"/>
      <c r="F147" s="41"/>
      <c r="G147" s="20"/>
      <c r="H147" s="4"/>
      <c r="I147" s="4"/>
      <c r="J147" s="41"/>
      <c r="K147" s="42"/>
      <c r="L147" s="59"/>
      <c r="M147" s="59"/>
      <c r="N147" s="43"/>
    </row>
    <row r="148" spans="1:15" s="44" customFormat="1" x14ac:dyDescent="0.2">
      <c r="A148" s="47"/>
      <c r="B148" s="41"/>
      <c r="C148" s="40"/>
      <c r="D148" s="41"/>
      <c r="E148" s="41"/>
      <c r="F148" s="41"/>
      <c r="G148" s="20"/>
      <c r="H148" s="4"/>
      <c r="I148" s="4"/>
      <c r="J148" s="41"/>
      <c r="K148" s="42"/>
      <c r="L148" s="59"/>
      <c r="M148" s="59"/>
      <c r="N148" s="43"/>
    </row>
    <row r="149" spans="1:15" x14ac:dyDescent="0.2">
      <c r="A149" s="46"/>
      <c r="B149" s="4"/>
      <c r="C149" s="5"/>
      <c r="D149" s="4"/>
      <c r="E149" s="4"/>
      <c r="F149" s="4"/>
      <c r="G149" s="4"/>
      <c r="H149" s="4"/>
      <c r="I149" s="4"/>
      <c r="J149" s="4"/>
      <c r="K149" s="37"/>
      <c r="L149" s="57"/>
      <c r="M149" s="57"/>
      <c r="N149" s="6"/>
    </row>
    <row r="150" spans="1:15" x14ac:dyDescent="0.2">
      <c r="A150" s="46"/>
      <c r="B150" s="4"/>
      <c r="C150" s="5"/>
      <c r="D150" s="4"/>
      <c r="E150" s="4"/>
      <c r="F150" s="4"/>
      <c r="G150" s="4"/>
      <c r="H150" s="4"/>
      <c r="I150" s="4"/>
      <c r="J150" s="4"/>
      <c r="K150" s="37"/>
      <c r="L150" s="57"/>
      <c r="M150" s="57"/>
      <c r="N150" s="6"/>
    </row>
    <row r="151" spans="1:15" ht="13.5" thickBot="1" x14ac:dyDescent="0.25">
      <c r="A151" s="48"/>
      <c r="B151" s="4"/>
      <c r="C151" s="10"/>
      <c r="D151" s="7"/>
      <c r="E151" s="7"/>
      <c r="F151" s="7"/>
      <c r="G151" s="7"/>
      <c r="H151" s="7"/>
      <c r="I151" s="7"/>
      <c r="J151" s="7"/>
      <c r="K151" s="38"/>
      <c r="L151" s="58"/>
      <c r="M151" s="58"/>
      <c r="N151" s="8"/>
      <c r="O151" s="2" t="e">
        <f>SUM(#REF!)</f>
        <v>#REF!</v>
      </c>
    </row>
    <row r="152" spans="1:15" ht="19.5" thickTop="1" thickBot="1" x14ac:dyDescent="0.3">
      <c r="A152" s="21">
        <v>2025</v>
      </c>
      <c r="B152" s="50"/>
      <c r="C152" s="21"/>
      <c r="D152" s="22"/>
      <c r="E152" s="22"/>
      <c r="F152" s="22"/>
      <c r="G152" s="22"/>
      <c r="H152" s="22"/>
      <c r="I152" s="22"/>
      <c r="J152" s="22"/>
      <c r="K152" s="22"/>
      <c r="L152" s="53"/>
      <c r="M152" s="53"/>
      <c r="N152" s="23"/>
    </row>
  </sheetData>
  <autoFilter ref="A1:A155" xr:uid="{27A23A19-364D-4E77-96E2-AF6D8E3315E9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MJOP 2023-2027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Rakke</dc:creator>
  <cp:lastModifiedBy>Tonnie Koppers</cp:lastModifiedBy>
  <dcterms:created xsi:type="dcterms:W3CDTF">2022-02-17T07:37:45Z</dcterms:created>
  <dcterms:modified xsi:type="dcterms:W3CDTF">2023-05-02T11:57:10Z</dcterms:modified>
</cp:coreProperties>
</file>