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Mijn documenten\Bureau LCH\Duurzame Verwerking\Deelproject 5 - Fase 3\Tenderned\NvI 2\"/>
    </mc:Choice>
  </mc:AlternateContent>
  <xr:revisionPtr revIDLastSave="0" documentId="8_{E9F12DE3-B453-4441-BE18-43C330A77C4C}" xr6:coauthVersionLast="47" xr6:coauthVersionMax="47" xr10:uidLastSave="{00000000-0000-0000-0000-000000000000}"/>
  <bookViews>
    <workbookView xWindow="-108" yWindow="-108" windowWidth="23256" windowHeight="12576" xr2:uid="{8A1063C3-F7DC-44EA-A666-F0D2BDC4887D}"/>
  </bookViews>
  <sheets>
    <sheet name="Bijlage 7"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26" i="2" l="1"/>
  <c r="I224" i="2"/>
  <c r="I223" i="2"/>
  <c r="I222" i="2"/>
  <c r="I221" i="2"/>
  <c r="I220" i="2"/>
  <c r="I219" i="2"/>
  <c r="I218" i="2"/>
  <c r="I217" i="2"/>
  <c r="I216" i="2"/>
  <c r="I215" i="2"/>
  <c r="I214" i="2"/>
  <c r="I213" i="2"/>
  <c r="I212" i="2"/>
  <c r="I211" i="2"/>
  <c r="I210" i="2"/>
  <c r="I209" i="2"/>
  <c r="I208" i="2"/>
  <c r="I207" i="2"/>
  <c r="I206" i="2"/>
  <c r="I205" i="2"/>
  <c r="I204" i="2"/>
  <c r="I203" i="2"/>
  <c r="I202" i="2"/>
  <c r="I201" i="2"/>
  <c r="I200" i="2"/>
  <c r="I199" i="2"/>
  <c r="I198" i="2"/>
  <c r="I197" i="2"/>
  <c r="I196" i="2"/>
  <c r="I195" i="2"/>
  <c r="I194" i="2"/>
  <c r="I193" i="2"/>
  <c r="I192" i="2"/>
  <c r="I191" i="2"/>
  <c r="I190" i="2"/>
  <c r="I189" i="2"/>
  <c r="I188" i="2"/>
  <c r="I187" i="2"/>
  <c r="I186" i="2"/>
  <c r="I185" i="2"/>
  <c r="I184" i="2"/>
  <c r="I183" i="2"/>
  <c r="I182" i="2"/>
  <c r="I181" i="2"/>
  <c r="I180" i="2"/>
  <c r="I179" i="2"/>
  <c r="I178" i="2"/>
  <c r="I177" i="2"/>
  <c r="I176" i="2"/>
  <c r="I175" i="2"/>
  <c r="I174" i="2"/>
  <c r="I173" i="2"/>
  <c r="I172" i="2"/>
  <c r="I171" i="2"/>
  <c r="I170" i="2"/>
  <c r="I169" i="2"/>
  <c r="I168" i="2"/>
  <c r="I167" i="2"/>
  <c r="I166" i="2"/>
  <c r="I165" i="2"/>
  <c r="I164" i="2"/>
  <c r="I163" i="2"/>
  <c r="I162" i="2"/>
  <c r="I161" i="2"/>
  <c r="I160" i="2"/>
  <c r="I159" i="2"/>
  <c r="I158" i="2"/>
  <c r="I157" i="2"/>
  <c r="I156" i="2"/>
  <c r="I155" i="2"/>
  <c r="I154" i="2"/>
  <c r="I153" i="2"/>
  <c r="I152" i="2"/>
  <c r="I151" i="2"/>
  <c r="I150" i="2"/>
  <c r="I149" i="2"/>
  <c r="I148" i="2"/>
  <c r="I147" i="2"/>
  <c r="I146" i="2"/>
  <c r="I145" i="2"/>
  <c r="I144" i="2"/>
  <c r="I143" i="2"/>
  <c r="I142" i="2"/>
  <c r="I141" i="2"/>
  <c r="I140" i="2"/>
  <c r="I139" i="2"/>
  <c r="I138" i="2"/>
  <c r="I137" i="2"/>
  <c r="I136" i="2"/>
  <c r="I135" i="2"/>
  <c r="I134" i="2"/>
  <c r="I228" i="2"/>
  <c r="I229" i="2"/>
  <c r="I230" i="2"/>
  <c r="I231" i="2"/>
  <c r="I232" i="2"/>
  <c r="I233" i="2"/>
  <c r="J122" i="2" l="1"/>
  <c r="J123" i="2"/>
  <c r="J124" i="2"/>
  <c r="J125" i="2"/>
  <c r="J126" i="2"/>
  <c r="J121" i="2"/>
  <c r="I126" i="2"/>
  <c r="I125" i="2"/>
  <c r="I124" i="2"/>
  <c r="I123" i="2"/>
  <c r="I122" i="2"/>
  <c r="I121" i="2"/>
  <c r="I94" i="2"/>
  <c r="J94" i="2" s="1"/>
  <c r="I95" i="2"/>
  <c r="J95" i="2" s="1"/>
  <c r="J96" i="2"/>
  <c r="J87" i="2"/>
  <c r="I93" i="2"/>
  <c r="J93" i="2" s="1"/>
  <c r="I92" i="2"/>
  <c r="J92" i="2" s="1"/>
  <c r="I91" i="2"/>
  <c r="J91" i="2" s="1"/>
  <c r="I89" i="2" l="1"/>
  <c r="J89" i="2" s="1"/>
  <c r="I90" i="2"/>
  <c r="J90" i="2" s="1"/>
  <c r="I88" i="2"/>
  <c r="J88" i="2" s="1"/>
  <c r="I75" i="2"/>
  <c r="J75" i="2" s="1"/>
  <c r="I76" i="2"/>
  <c r="J76" i="2" s="1"/>
  <c r="I79" i="2"/>
  <c r="J79" i="2" s="1"/>
  <c r="I74" i="2"/>
  <c r="J74" i="2" s="1"/>
  <c r="I8" i="2" l="1"/>
  <c r="J8" i="2" s="1"/>
  <c r="I9" i="2"/>
  <c r="J9" i="2" s="1"/>
  <c r="I10" i="2"/>
  <c r="J10" i="2" s="1"/>
  <c r="I11" i="2"/>
  <c r="J11" i="2" s="1"/>
  <c r="I12" i="2"/>
  <c r="J12" i="2" s="1"/>
  <c r="I13" i="2"/>
  <c r="J13" i="2" s="1"/>
  <c r="I14" i="2"/>
  <c r="J14" i="2" s="1"/>
  <c r="I15" i="2"/>
  <c r="J15" i="2" s="1"/>
  <c r="I16" i="2"/>
  <c r="J16" i="2" s="1"/>
  <c r="I17" i="2"/>
  <c r="J17" i="2" s="1"/>
  <c r="I18" i="2"/>
  <c r="J18" i="2" s="1"/>
  <c r="I19" i="2"/>
  <c r="J19" i="2" s="1"/>
  <c r="I20" i="2"/>
  <c r="J20" i="2" s="1"/>
  <c r="I21" i="2"/>
  <c r="J21" i="2" s="1"/>
  <c r="I23" i="2"/>
  <c r="J23" i="2" s="1"/>
  <c r="I24" i="2"/>
  <c r="J24" i="2" s="1"/>
  <c r="I25" i="2"/>
  <c r="J25" i="2" s="1"/>
  <c r="I26" i="2"/>
  <c r="J26" i="2" s="1"/>
  <c r="I27" i="2"/>
  <c r="J27" i="2" s="1"/>
  <c r="I28" i="2"/>
  <c r="J28" i="2" s="1"/>
  <c r="I29" i="2"/>
  <c r="J29" i="2" s="1"/>
  <c r="I30" i="2"/>
  <c r="J30" i="2" s="1"/>
  <c r="I31" i="2"/>
  <c r="J31" i="2" s="1"/>
  <c r="I32" i="2"/>
  <c r="J32" i="2" s="1"/>
  <c r="I33" i="2"/>
  <c r="J33" i="2" s="1"/>
  <c r="I35" i="2"/>
  <c r="J35" i="2" s="1"/>
  <c r="I37" i="2"/>
  <c r="J37" i="2" s="1"/>
  <c r="I38" i="2"/>
  <c r="J38" i="2" s="1"/>
  <c r="I39" i="2"/>
  <c r="J39" i="2" s="1"/>
  <c r="I41" i="2"/>
  <c r="J41" i="2" s="1"/>
  <c r="I42" i="2"/>
  <c r="J42" i="2" s="1"/>
  <c r="I43" i="2"/>
  <c r="J43" i="2" s="1"/>
  <c r="I44" i="2"/>
  <c r="J44" i="2" s="1"/>
  <c r="I45" i="2"/>
  <c r="J45" i="2" s="1"/>
  <c r="I46" i="2"/>
  <c r="J46" i="2" s="1"/>
  <c r="I47" i="2"/>
  <c r="J47" i="2" s="1"/>
  <c r="I48" i="2"/>
  <c r="J48" i="2" s="1"/>
  <c r="I49" i="2"/>
  <c r="J49" i="2" s="1"/>
  <c r="I50" i="2"/>
  <c r="J50" i="2" s="1"/>
  <c r="I51" i="2"/>
  <c r="J51" i="2" s="1"/>
  <c r="I52" i="2"/>
  <c r="J52" i="2" s="1"/>
  <c r="I53" i="2"/>
  <c r="J53" i="2" s="1"/>
  <c r="I54" i="2"/>
  <c r="J54" i="2" s="1"/>
  <c r="I55" i="2"/>
  <c r="J55" i="2" s="1"/>
  <c r="I56" i="2"/>
  <c r="J56" i="2" s="1"/>
  <c r="I57" i="2"/>
  <c r="J57" i="2" s="1"/>
  <c r="I58" i="2"/>
  <c r="J58" i="2" s="1"/>
  <c r="I59" i="2"/>
  <c r="J59" i="2" s="1"/>
  <c r="I60" i="2"/>
  <c r="J60" i="2" s="1"/>
  <c r="I61" i="2"/>
  <c r="J61" i="2" s="1"/>
  <c r="I63" i="2"/>
  <c r="J63" i="2" s="1"/>
  <c r="I64" i="2"/>
  <c r="J64" i="2" s="1"/>
  <c r="I65" i="2"/>
  <c r="J65" i="2" s="1"/>
  <c r="I66" i="2"/>
  <c r="J66" i="2" s="1"/>
  <c r="I6" i="2" l="1"/>
  <c r="J6" i="2" s="1"/>
  <c r="I97" i="2" l="1"/>
  <c r="J97" i="2" s="1"/>
  <c r="H77" i="2"/>
  <c r="I77" i="2" s="1"/>
  <c r="J77" i="2" s="1"/>
  <c r="G77" i="2"/>
  <c r="H78" i="2"/>
  <c r="I78" i="2" s="1"/>
  <c r="J78" i="2" s="1"/>
  <c r="G78" i="2"/>
  <c r="H62" i="2"/>
  <c r="I62" i="2" s="1"/>
  <c r="J62" i="2" s="1"/>
  <c r="G62" i="2"/>
  <c r="H40" i="2"/>
  <c r="I40" i="2" s="1"/>
  <c r="J40" i="2" s="1"/>
  <c r="G40" i="2"/>
  <c r="H36" i="2"/>
  <c r="I36" i="2" s="1"/>
  <c r="J36" i="2" s="1"/>
  <c r="G36" i="2"/>
  <c r="H34" i="2"/>
  <c r="I34" i="2" s="1"/>
  <c r="J34" i="2" s="1"/>
  <c r="G34" i="2"/>
  <c r="H22" i="2" l="1"/>
  <c r="I22" i="2" s="1"/>
  <c r="J22" i="2" s="1"/>
  <c r="G22" i="2"/>
  <c r="H7" i="2"/>
  <c r="I7" i="2" s="1"/>
  <c r="J7" i="2" s="1"/>
  <c r="G7" i="2"/>
  <c r="J234" i="2" l="1"/>
  <c r="J233" i="2"/>
  <c r="J232" i="2"/>
  <c r="H232" i="2"/>
  <c r="G232" i="2"/>
  <c r="H231" i="2"/>
  <c r="G231" i="2"/>
  <c r="J231" i="2" s="1"/>
  <c r="J230" i="2"/>
  <c r="J229" i="2"/>
  <c r="J228" i="2"/>
  <c r="J227" i="2"/>
  <c r="J226" i="2"/>
  <c r="J225" i="2"/>
  <c r="J224" i="2"/>
  <c r="J223" i="2"/>
  <c r="J222" i="2"/>
  <c r="J221" i="2"/>
  <c r="J220" i="2"/>
  <c r="J219" i="2"/>
  <c r="J218" i="2"/>
  <c r="J217" i="2"/>
  <c r="J216" i="2"/>
  <c r="J215" i="2"/>
  <c r="J214" i="2"/>
  <c r="J213" i="2"/>
  <c r="J212" i="2"/>
  <c r="J211" i="2"/>
  <c r="J210" i="2"/>
  <c r="J209" i="2"/>
  <c r="J208" i="2"/>
  <c r="J207" i="2"/>
  <c r="J206" i="2"/>
  <c r="J205" i="2"/>
  <c r="J204" i="2"/>
  <c r="J203" i="2"/>
  <c r="J202" i="2"/>
  <c r="J201" i="2"/>
  <c r="J200" i="2"/>
  <c r="J199" i="2"/>
  <c r="J198" i="2"/>
  <c r="J197" i="2"/>
  <c r="J196" i="2"/>
  <c r="J195" i="2"/>
  <c r="J194" i="2"/>
  <c r="J193" i="2"/>
  <c r="J192" i="2"/>
  <c r="J191" i="2"/>
  <c r="J190" i="2"/>
  <c r="J189" i="2"/>
  <c r="J188" i="2"/>
  <c r="J187" i="2"/>
  <c r="J186" i="2"/>
  <c r="J185" i="2"/>
  <c r="J184" i="2"/>
  <c r="J183" i="2"/>
  <c r="J182" i="2"/>
  <c r="J181" i="2"/>
  <c r="J180" i="2"/>
  <c r="J179" i="2"/>
  <c r="J178" i="2"/>
  <c r="J177" i="2"/>
  <c r="J176" i="2"/>
  <c r="J175" i="2"/>
  <c r="J174" i="2"/>
  <c r="J173" i="2"/>
  <c r="J172" i="2"/>
  <c r="J171" i="2"/>
  <c r="J170" i="2"/>
  <c r="J169" i="2"/>
  <c r="J168" i="2"/>
  <c r="J167" i="2"/>
  <c r="J166" i="2"/>
  <c r="J165" i="2"/>
  <c r="J164" i="2"/>
  <c r="J163" i="2"/>
  <c r="J162" i="2"/>
  <c r="J161" i="2"/>
  <c r="J160" i="2"/>
  <c r="J159" i="2"/>
  <c r="J158" i="2"/>
  <c r="J157" i="2"/>
  <c r="J156" i="2"/>
  <c r="J155" i="2"/>
  <c r="J154" i="2"/>
  <c r="J153" i="2"/>
  <c r="J152" i="2"/>
  <c r="J151" i="2"/>
  <c r="J150" i="2"/>
  <c r="H149" i="2"/>
  <c r="G149" i="2"/>
  <c r="H148" i="2"/>
  <c r="G148" i="2"/>
  <c r="H147" i="2"/>
  <c r="G147" i="2"/>
  <c r="J146" i="2"/>
  <c r="J145" i="2"/>
  <c r="H144" i="2"/>
  <c r="G144" i="2"/>
  <c r="J143" i="2"/>
  <c r="H142" i="2"/>
  <c r="G142" i="2"/>
  <c r="H141" i="2"/>
  <c r="G141" i="2"/>
  <c r="H140" i="2"/>
  <c r="G140" i="2"/>
  <c r="H139" i="2"/>
  <c r="G139" i="2"/>
  <c r="J138" i="2"/>
  <c r="J137" i="2"/>
  <c r="J136" i="2"/>
  <c r="J135" i="2"/>
  <c r="J134" i="2"/>
  <c r="J147" i="2" l="1"/>
  <c r="J148" i="2"/>
  <c r="J141" i="2"/>
  <c r="J142" i="2"/>
  <c r="J149" i="2"/>
  <c r="J139" i="2"/>
  <c r="J140" i="2"/>
  <c r="J14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Braun, M.J. (Michel)</author>
  </authors>
  <commentList>
    <comment ref="G73" authorId="0" shapeId="0" xr:uid="{EE28502D-C5B0-4C53-9DCA-0E13F319D821}">
      <text>
        <r>
          <rPr>
            <b/>
            <sz val="9"/>
            <color indexed="81"/>
            <rFont val="Tahoma"/>
            <family val="2"/>
          </rPr>
          <t>Braun, M.J. (Michel):</t>
        </r>
        <r>
          <rPr>
            <sz val="9"/>
            <color indexed="81"/>
            <rFont val="Tahoma"/>
            <family val="2"/>
          </rPr>
          <t xml:space="preserve">
Vast + Optioneel</t>
        </r>
      </text>
    </comment>
    <comment ref="G86" authorId="0" shapeId="0" xr:uid="{A365793C-A866-4E75-98C3-AC141BEDEB9E}">
      <text>
        <r>
          <rPr>
            <b/>
            <sz val="9"/>
            <color indexed="81"/>
            <rFont val="Tahoma"/>
            <family val="2"/>
          </rPr>
          <t>Braun, M.J. (Michel):</t>
        </r>
        <r>
          <rPr>
            <sz val="9"/>
            <color indexed="81"/>
            <rFont val="Tahoma"/>
            <family val="2"/>
          </rPr>
          <t xml:space="preserve">
Vast + Optioneel</t>
        </r>
      </text>
    </comment>
    <comment ref="G105" authorId="0" shapeId="0" xr:uid="{D7B9B150-FF93-4E6D-BA8A-0617675B9E58}">
      <text>
        <r>
          <rPr>
            <b/>
            <sz val="9"/>
            <color indexed="81"/>
            <rFont val="Tahoma"/>
            <family val="2"/>
          </rPr>
          <t>Braun, M.J. (Michel):</t>
        </r>
        <r>
          <rPr>
            <sz val="9"/>
            <color indexed="81"/>
            <rFont val="Tahoma"/>
            <family val="2"/>
          </rPr>
          <t xml:space="preserve">
Vast + Optioneel</t>
        </r>
      </text>
    </comment>
    <comment ref="G120" authorId="0" shapeId="0" xr:uid="{A2200D80-F44D-425A-92F0-7AEECBC8937A}">
      <text>
        <r>
          <rPr>
            <b/>
            <sz val="9"/>
            <color indexed="81"/>
            <rFont val="Tahoma"/>
            <family val="2"/>
          </rPr>
          <t>Braun, M.J. (Michel):</t>
        </r>
        <r>
          <rPr>
            <sz val="9"/>
            <color indexed="81"/>
            <rFont val="Tahoma"/>
            <family val="2"/>
          </rPr>
          <t xml:space="preserve">
Vast + Optioneel</t>
        </r>
      </text>
    </comment>
    <comment ref="G133" authorId="0" shapeId="0" xr:uid="{7BBF1E29-041E-40A1-953A-01535A04360E}">
      <text>
        <r>
          <rPr>
            <b/>
            <sz val="9"/>
            <color indexed="81"/>
            <rFont val="Tahoma"/>
            <family val="2"/>
          </rPr>
          <t>Braun, M.J. (Michel):</t>
        </r>
        <r>
          <rPr>
            <sz val="9"/>
            <color indexed="81"/>
            <rFont val="Tahoma"/>
            <family val="2"/>
          </rPr>
          <t xml:space="preserve">
Vast + Optioneel</t>
        </r>
      </text>
    </comment>
  </commentList>
</comments>
</file>

<file path=xl/sharedStrings.xml><?xml version="1.0" encoding="utf-8"?>
<sst xmlns="http://schemas.openxmlformats.org/spreadsheetml/2006/main" count="886" uniqueCount="301">
  <si>
    <t>Categorie</t>
  </si>
  <si>
    <t>Nr.</t>
  </si>
  <si>
    <t xml:space="preserve">Samenstelling </t>
  </si>
  <si>
    <t>Totale voorraad (in stuks)</t>
  </si>
  <si>
    <t>Totale voorraad (in pallets)</t>
  </si>
  <si>
    <t>Gewicht</t>
  </si>
  <si>
    <t>Totale volume (in ton)</t>
  </si>
  <si>
    <t>Onbekend</t>
  </si>
  <si>
    <t>Opmerking bij Perceel 1:</t>
  </si>
  <si>
    <t>Opmerking bij Perceel 2:</t>
  </si>
  <si>
    <t>Opmerking bij Perceel 3:</t>
  </si>
  <si>
    <t>Kleur</t>
  </si>
  <si>
    <t>Blauw</t>
  </si>
  <si>
    <t>Opmerking bij Perceel 4:</t>
  </si>
  <si>
    <t>Opmerking bij Perceel 5:</t>
  </si>
  <si>
    <t>Merk</t>
  </si>
  <si>
    <t>handschoenen</t>
  </si>
  <si>
    <t>Oogbescherming</t>
  </si>
  <si>
    <t>FFP-maskers</t>
  </si>
  <si>
    <t>Chirurgische maskers</t>
  </si>
  <si>
    <t>Gen-X</t>
  </si>
  <si>
    <t>iDental</t>
  </si>
  <si>
    <t>ToDent Excellent</t>
  </si>
  <si>
    <t>Nitril, poedervrij</t>
  </si>
  <si>
    <t>blauw</t>
  </si>
  <si>
    <t>Intco</t>
  </si>
  <si>
    <t>Titanfine</t>
  </si>
  <si>
    <t>Nitril (acrylonitrile-butadiene), poedervrij en latexvrij</t>
  </si>
  <si>
    <t>Simply Brands</t>
  </si>
  <si>
    <t>transparant</t>
  </si>
  <si>
    <t xml:space="preserve">merkloos </t>
  </si>
  <si>
    <t>GS</t>
  </si>
  <si>
    <t>Parcura Disposable</t>
  </si>
  <si>
    <t xml:space="preserve">Parcura  </t>
  </si>
  <si>
    <t>PP+PC</t>
  </si>
  <si>
    <t>zwart en transparant</t>
  </si>
  <si>
    <t>geel, blauw en paars</t>
  </si>
  <si>
    <t>Medprotex</t>
  </si>
  <si>
    <t>Outer layer: hydrophobic polypropylene spunbounded non-woven fabric. Midddle layer: Meltblown non-woven filter. Inner layer: soft absorbent white polypropylene spunbounded non-woven fabric</t>
  </si>
  <si>
    <t xml:space="preserve">Zogear </t>
  </si>
  <si>
    <t>Soft latex free earloop, nose piece. Verder onbekend</t>
  </si>
  <si>
    <t>wit</t>
  </si>
  <si>
    <t>M-Safe 5053</t>
  </si>
  <si>
    <t>M-Safe 5055</t>
  </si>
  <si>
    <t>M-Safe 5057</t>
  </si>
  <si>
    <t>Yubei</t>
  </si>
  <si>
    <t>Integrated nose bridge, non-woven, without glass fibres, latex free elastic earloops</t>
  </si>
  <si>
    <t>Non woven 49% melt blown fabric 24% nose clip 10% earband 17%</t>
  </si>
  <si>
    <t>merkloos</t>
  </si>
  <si>
    <t>M50A blue</t>
  </si>
  <si>
    <t>M50 blue</t>
  </si>
  <si>
    <t>Deltrisafe</t>
  </si>
  <si>
    <t>M50A white</t>
  </si>
  <si>
    <t>onbekend</t>
  </si>
  <si>
    <t xml:space="preserve">Lemoine </t>
  </si>
  <si>
    <t>non woven face mask, ribbon, without glass fibres</t>
  </si>
  <si>
    <t>QJMDM</t>
  </si>
  <si>
    <t>onbekend, neusbeugel</t>
  </si>
  <si>
    <t>PandaCross</t>
  </si>
  <si>
    <t>non-woven 48%, melt-blown 24% earband 16% nose strip 12%</t>
  </si>
  <si>
    <t>Auping</t>
  </si>
  <si>
    <t>InnovaFiltec, Spunmelt, aluminium strip, elastic</t>
  </si>
  <si>
    <t>Sion Biotext</t>
  </si>
  <si>
    <t>Non-woven fabric, soft ear elastics, nose clip</t>
  </si>
  <si>
    <t>Miao Shou</t>
  </si>
  <si>
    <t xml:space="preserve">Five layers non-woven face mask. Inner and outer laters are polypropylene spinbound. Middle 1 layer staticfree foam and 2 polypropylene meltblown. </t>
  </si>
  <si>
    <t>LexusLance</t>
  </si>
  <si>
    <t>Non-woven fabric PP, melt-blown PP fabric, ear loops, nose bridge clip</t>
  </si>
  <si>
    <t>Shengquan</t>
  </si>
  <si>
    <t>wit en grijs</t>
  </si>
  <si>
    <t>biomass graphene spunbound non-woven fabric (PP) Melt-blown non-woven fabric (PP) Spunbound non-woven fabric (PP)</t>
  </si>
  <si>
    <t xml:space="preserve">wit  </t>
  </si>
  <si>
    <t>wit en oranje</t>
  </si>
  <si>
    <t>wit polypropyleen, wit polypropyleen spunbound, wit polyester en bi-component nonwoven spunbound</t>
  </si>
  <si>
    <t>PP, Spunbound PP, polyester, bi-component spunbound non woven fabric</t>
  </si>
  <si>
    <t>wit polypropyleen, polypropyleen spunbound, polyester en bi-component nonwoven spunbound</t>
  </si>
  <si>
    <t>Dutch PPE</t>
  </si>
  <si>
    <t>Afpro, TC-2-A1</t>
  </si>
  <si>
    <t>Afpro, TC-2-B1</t>
  </si>
  <si>
    <t>Afpro, TC-2-F1</t>
  </si>
  <si>
    <t>polypropyleen, polypropyleen spunbound, vlamvertragend polyester, bi-component nonwoven spunbound. latex vrij, elastic band</t>
  </si>
  <si>
    <t xml:space="preserve">Spunbound NW, Meltblown NW </t>
  </si>
  <si>
    <t>JedX</t>
  </si>
  <si>
    <t>Apula</t>
  </si>
  <si>
    <t>PP non-woven fabric, PP Melt blown fabric PE fibers and aluminum nose clip</t>
  </si>
  <si>
    <t>UG</t>
  </si>
  <si>
    <t>Main mask, nose clip and ear loop, 65% PP non-woven 35% melt-blown fabric</t>
  </si>
  <si>
    <t>Jinlilaisi</t>
  </si>
  <si>
    <t>Nano Tech</t>
  </si>
  <si>
    <t>Tongjian</t>
  </si>
  <si>
    <t>meltblown coth composite ES hot air cotton, PP spun-bounded non-woven fabric, nose clip, side straps</t>
  </si>
  <si>
    <t>Mask body (PP meltblown non woven and PTFE nano filtration): 1e laag PP nonwoven (60gr), 2e laag PP electrostatic filteration (45gr), 3e laag PTFE Nano filteration  (11 gr), 4e laag PP nonwoven (30gr), 5e laag PP electrostatic filteration (45gr) 6e laag PP nonwoven (30gr). Nose clip en mask belt.</t>
  </si>
  <si>
    <t>Mask body (PP meltblown non woven and PTFE nano filtration membrane), nose clip and mask belt.</t>
  </si>
  <si>
    <t>Daylead</t>
  </si>
  <si>
    <t>Hioriaocon</t>
  </si>
  <si>
    <t>Huisimei</t>
  </si>
  <si>
    <t>KSA</t>
  </si>
  <si>
    <t>Merkloos - chinees</t>
  </si>
  <si>
    <t>NewLison</t>
  </si>
  <si>
    <t>WEK</t>
  </si>
  <si>
    <t>Xin Sheng Kang - blauw</t>
  </si>
  <si>
    <t>Xin Sheng Kang - groen</t>
  </si>
  <si>
    <t xml:space="preserve">nonwoven fabric </t>
  </si>
  <si>
    <t>40% meltblown fabric, 40% non-woven, 20% hot air cotton</t>
  </si>
  <si>
    <t>mask, head strap, metal nose clip verder onbekend.</t>
  </si>
  <si>
    <t>non-woven cloth, cotton, filter cloth, nose clip and mask belt.</t>
  </si>
  <si>
    <t>Lian You</t>
  </si>
  <si>
    <t>Powecom</t>
  </si>
  <si>
    <t>PP Non-woven fabric, ES hot air cotton non woven fabric and efficiency electrostatic melt-blown fabric, PP non-woven fabric</t>
  </si>
  <si>
    <t>Evereast</t>
  </si>
  <si>
    <t>Jiangsu Nanfang</t>
  </si>
  <si>
    <t>Yubei-Engels</t>
  </si>
  <si>
    <t>Yubei-Chinees</t>
  </si>
  <si>
    <t>Zhushi</t>
  </si>
  <si>
    <t>Tie, plastic nose clip, non-woven fabric, melt-blown fabric. 70% non-woven fabric 30% melt-blown fabric (polyester fiber)</t>
  </si>
  <si>
    <t>68% non-woven fabric, 32% melt-blown fabric</t>
  </si>
  <si>
    <t>Non-woven fabric, melt-blown fabric</t>
  </si>
  <si>
    <t xml:space="preserve">Non-woven fabric and polypropylene melt-blown fabric, nose clip (metal strip covered with fine galvanized iron wire material) and elastic band (non-woven fabric). </t>
  </si>
  <si>
    <t>Peninsula</t>
  </si>
  <si>
    <t>Aicare</t>
  </si>
  <si>
    <t>BingoTimes</t>
  </si>
  <si>
    <t>Hunan Xingyikang</t>
  </si>
  <si>
    <t>Tianjin Jiezhichu</t>
  </si>
  <si>
    <t>Tianjin</t>
  </si>
  <si>
    <t>Xingyikang</t>
  </si>
  <si>
    <t>Xinsanrui</t>
  </si>
  <si>
    <t>polypropylene spunbound, nonwoven fabric, Polypropylene melt-blown nonwoven, metal wire with plastic covering</t>
  </si>
  <si>
    <t>The mask body is composed of PP non-woven fabric and melt-blown fabric</t>
  </si>
  <si>
    <t>60% non-woven fabric and 40% melt-blown fabric</t>
  </si>
  <si>
    <t>melt-blown material placed between non-woven fabric. The nose clip is made of bendable polypropylene material and the mask string is made of elastic belt.</t>
  </si>
  <si>
    <t>Niosh</t>
  </si>
  <si>
    <t>polypropyleen melt blown nonwoven, neusclip van ijzerdraad, elastiek van elastaan en polypropyleen</t>
  </si>
  <si>
    <t xml:space="preserve">onbekend mask, ear elastics and nose clip. </t>
  </si>
  <si>
    <t>Safety Needle</t>
  </si>
  <si>
    <t>hypodermic needle</t>
  </si>
  <si>
    <t>Naalden</t>
  </si>
  <si>
    <t>Luer Lock Syringe</t>
  </si>
  <si>
    <t>Spuiten</t>
  </si>
  <si>
    <t>rood</t>
  </si>
  <si>
    <t>wit/transparant</t>
  </si>
  <si>
    <t>oranje</t>
  </si>
  <si>
    <t>blue</t>
  </si>
  <si>
    <t>Perceel 1: Mondmaskers (IIR, FFP2 en KN95)</t>
  </si>
  <si>
    <t>Aantal omdozen per pallet</t>
  </si>
  <si>
    <t>Aantal verkoopverpakkingen per omdoos</t>
  </si>
  <si>
    <t xml:space="preserve">Aantal stuks per verkoopverpakking </t>
  </si>
  <si>
    <t>Perceel 2: Handschoenen</t>
  </si>
  <si>
    <t>Perceel 3: Overige Producten Bureau LCH</t>
  </si>
  <si>
    <t>Samples</t>
  </si>
  <si>
    <t>Mixed pallets</t>
  </si>
  <si>
    <t>Perceel 4: Zelftesten -1</t>
  </si>
  <si>
    <t>Zelftesten</t>
  </si>
  <si>
    <t>ABBOTT AG-SNELTEST</t>
  </si>
  <si>
    <t>BD AG-SNELTEST</t>
  </si>
  <si>
    <t>QUIDEL AG-SNELTEST</t>
  </si>
  <si>
    <t>ROCHE AG-SNELTEST</t>
  </si>
  <si>
    <t>MEDIPHOS AG-sneltest</t>
  </si>
  <si>
    <t>BENELUX MEDICAL AG-SNELTEST</t>
  </si>
  <si>
    <t>SIEMENS AG-SNELTEST</t>
  </si>
  <si>
    <t>BIOSYNEX AG-SNELTEST</t>
  </si>
  <si>
    <t xml:space="preserve">Deze opgave vertegenwoordigt +/-90% van de producten/het volume binnen perceel 4. </t>
  </si>
  <si>
    <t xml:space="preserve">Deze opgave vertegenwoordigt +/-90% van de producten/het volume (zowel vast als optioneel) binnen perceel 3. </t>
  </si>
  <si>
    <t>Clips</t>
  </si>
  <si>
    <t>Lyher 1 stuk verpakking</t>
  </si>
  <si>
    <t>Biomedicals 1stuk verpakking</t>
  </si>
  <si>
    <t>Boson Biotech 1 stuk verpakking</t>
  </si>
  <si>
    <t>Aconflex 1 stuk verpakking</t>
  </si>
  <si>
    <t>Siemens 1 stuks verpakking</t>
  </si>
  <si>
    <t>Biosynex 1 stuks verpakking</t>
  </si>
  <si>
    <t>Perceel 5: Zelftesten -2</t>
  </si>
  <si>
    <t xml:space="preserve">Deze opgave vertegenwoordigt +/-95% van de producten/het volume binnen perceel 5. </t>
  </si>
  <si>
    <t>Perceel 6: Overige Producten Dienst Testen</t>
  </si>
  <si>
    <t>Readers</t>
  </si>
  <si>
    <t>Lateral Flow</t>
  </si>
  <si>
    <t>Quidel</t>
  </si>
  <si>
    <t>BD</t>
  </si>
  <si>
    <t>Mediphos</t>
  </si>
  <si>
    <t>Benelux Medical</t>
  </si>
  <si>
    <t>Swabs</t>
  </si>
  <si>
    <t>NASOPHARYNX SWAB</t>
  </si>
  <si>
    <t>KEELSWAB ZONDER BREEKPUNT</t>
  </si>
  <si>
    <t>KEELSWAB LAAG BREEKPUNT</t>
  </si>
  <si>
    <t>AFNAMESET AMIES MEDIUM + KEELSWAB</t>
  </si>
  <si>
    <t>SPONS SWAB</t>
  </si>
  <si>
    <t>SPEEKSELCOLLECTOR</t>
  </si>
  <si>
    <t>Swab nose LAMP</t>
  </si>
  <si>
    <t>Swab throat LAMP</t>
  </si>
  <si>
    <t>Medium</t>
  </si>
  <si>
    <t>UTM MEDIUM MET CAPTURE CAP (3ML/BUISJE)</t>
  </si>
  <si>
    <t>UTM MEDIUM (3ML/BUISJE)</t>
  </si>
  <si>
    <t>GLY Medium</t>
  </si>
  <si>
    <t>PROTEINASE K C</t>
  </si>
  <si>
    <t>Tips</t>
  </si>
  <si>
    <t>10ul FILTER TIPS MANUEEL DNASE FREE</t>
  </si>
  <si>
    <t>50ul FILTER TIPS MANUEEL DNASE FREE</t>
  </si>
  <si>
    <t>100ul FILTER TIPS MANUEEL DNASE FREE</t>
  </si>
  <si>
    <t>200ul FILTER TIPS MANUEEL DNASE FREE</t>
  </si>
  <si>
    <t>1000ul FILTER TIPS MANUEEL DNASE FREE</t>
  </si>
  <si>
    <t>1250ul FILTER TIPS MANUEEL DNASE FREE</t>
  </si>
  <si>
    <t>10ul FILTER TIPS MANUEEL DNASE RNASE FREE NOKE</t>
  </si>
  <si>
    <t>1000ul FILTER TIPS MANUEEL DNASE RNASE FREE NOKE</t>
  </si>
  <si>
    <t>1250ul FILTER TIPS MANUEEL DNASE RNASE FREE NOKE</t>
  </si>
  <si>
    <t>300ul FILTER TIPS HAMILTON COMPATIBLE</t>
  </si>
  <si>
    <t>1000ul FILTER TIPS HAMILTON COMPATIBLE</t>
  </si>
  <si>
    <t>10 UL FILTERTIPS</t>
  </si>
  <si>
    <t>100 UL FILTERTIPS</t>
  </si>
  <si>
    <t>200 UL FILTERTIPS</t>
  </si>
  <si>
    <t>1000 UL FILTERTIPS</t>
  </si>
  <si>
    <t>1250 UL FILTERTIPS</t>
  </si>
  <si>
    <t>DITI 50µL STE.FIL. 3840 PCE. MCA96 SBS</t>
  </si>
  <si>
    <t>DITI 150µL STE.FIL. 3840 PCE. MCA96 SBS</t>
  </si>
  <si>
    <t>DITI 125UL STE. FIL. 40X384P MCA384</t>
  </si>
  <si>
    <t>LM SERIES 340 TIPS</t>
  </si>
  <si>
    <t>LM SERIES 1250 TIPS</t>
  </si>
  <si>
    <t>Brand Filter Tips 50-1000ul sterile</t>
  </si>
  <si>
    <t>Brand Filter Tips 5-200ul sterile</t>
  </si>
  <si>
    <t xml:space="preserve">QSP Filter Tips 100-1250ul Sterile </t>
  </si>
  <si>
    <t xml:space="preserve">QSP Filter Tips 10-100ul Sterile </t>
  </si>
  <si>
    <t>Tecan Conductive Filter Tips 1000 uL</t>
  </si>
  <si>
    <t>Universal Filter Tips 200 uL</t>
  </si>
  <si>
    <t xml:space="preserve">Filtertips 5 - 100ul Sterile </t>
  </si>
  <si>
    <t>Pipetten</t>
  </si>
  <si>
    <t>SEROLOGISCHE PIPETTEN 2ML</t>
  </si>
  <si>
    <t>SEROLOGISCHE PIPETTEN 5ML</t>
  </si>
  <si>
    <t>SEROLOGISCHE PIPETTEN 10ML</t>
  </si>
  <si>
    <t>SEROLOGISCHE PIPETTEN 25ML</t>
  </si>
  <si>
    <t>Enkelkanaals pipette 0,5 tot 0,10 sterile</t>
  </si>
  <si>
    <t>Brand enkelkanaals pipette 5-50ul</t>
  </si>
  <si>
    <t>Brand enkelkanaals pipette 5-10ul</t>
  </si>
  <si>
    <t>Brand enkelkanaals pipette 20-200ul</t>
  </si>
  <si>
    <t>Brand enkelkanaals pipette 100-1000ul</t>
  </si>
  <si>
    <t>Eppendorf 8kanaals pipette 10-100ul</t>
  </si>
  <si>
    <t>Plates</t>
  </si>
  <si>
    <t>CULTURE PLATES 6 WELL-CELL</t>
  </si>
  <si>
    <t>CULTURE PLATES 12 WELL-CELL</t>
  </si>
  <si>
    <t>CULTURE PLATES 24 WELL-CELL</t>
  </si>
  <si>
    <t>CULTURE PLATES 48 WELL-CELL</t>
  </si>
  <si>
    <t>CULTURE PLATES 96 WELL-CELL</t>
  </si>
  <si>
    <t>SAFE STORE 96 DEEP WELL PLATE 1.0</t>
  </si>
  <si>
    <t>SAFE STORE 96 DEEP WELL PLATE 1.2</t>
  </si>
  <si>
    <t>AmpliStar Skirted, Low-Profile 96-well PCR Plate - 2</t>
  </si>
  <si>
    <t>PurePrep 96 DeepWell Plate</t>
  </si>
  <si>
    <t>PurePrep 96 Elution plate</t>
  </si>
  <si>
    <t>Centrifugebuizen</t>
  </si>
  <si>
    <t>CENTRIFUGEBUIS 50ml</t>
  </si>
  <si>
    <t>Cryovials</t>
  </si>
  <si>
    <t>CRYOVIALS 2mL</t>
  </si>
  <si>
    <t>MagnaPure</t>
  </si>
  <si>
    <t>DEEP WELL 96 PROCESS PLATE ROCHE COMPATIBLE C17480</t>
  </si>
  <si>
    <t>96 DNA/RNA CLEAN OUTPUT PLATE ROCHE COMPATIBLE D17480</t>
  </si>
  <si>
    <t>(Helvoet) REPLACEMENT MAGNA PURE 96 PROCESSING CARTRIDGE</t>
  </si>
  <si>
    <t>MAGNA PURE 96 OUTPUT PLATE</t>
  </si>
  <si>
    <t>REPLACEMENT MAGNA PURE 96 PROCESSING CARTRIDGE</t>
  </si>
  <si>
    <t>MAGNA PURE FILTER TIPS 1000ul</t>
  </si>
  <si>
    <t>MAGNA PURE SEALING FOIL</t>
  </si>
  <si>
    <t>?</t>
  </si>
  <si>
    <t xml:space="preserve">Soft care Dermosoft handcreme stuks (1,3 liter)                           </t>
  </si>
  <si>
    <t>Microfoonstandaard</t>
  </si>
  <si>
    <t>SpiroNose standaard( tafelmodel)</t>
  </si>
  <si>
    <t>BIOLOGICAL SAFETY CABINET</t>
  </si>
  <si>
    <t>Oxivir Excel Wipes doos(24*100)</t>
  </si>
  <si>
    <t>Houders desinfectie</t>
  </si>
  <si>
    <t>Desinfectie  zuil/statief</t>
  </si>
  <si>
    <t>SpiroNose filters + neusclip dozen ( 1 doos, 100 stuks)</t>
  </si>
  <si>
    <t>Axygen PCR strip caps 0,2ml</t>
  </si>
  <si>
    <t>Axygen 96 well half skirt PCR microplate clear single notch</t>
  </si>
  <si>
    <t>Axygen PCR strip tubes 0,2ml</t>
  </si>
  <si>
    <t>AUTOMATED NUCLEIC ACIDS       EXTRACTION SYSTEM</t>
  </si>
  <si>
    <t>0,2ML ep rekje</t>
  </si>
  <si>
    <t>1,5ML ep rekje</t>
  </si>
  <si>
    <t>Axygen microtube MCT-150-C</t>
  </si>
  <si>
    <t>Axygen sealing foil</t>
  </si>
  <si>
    <t>RNA extractiekit andis</t>
  </si>
  <si>
    <t>VDD Chinese QuantStudio 5 PCR 96-well</t>
  </si>
  <si>
    <t>PurePrep 96 Tip Combs</t>
  </si>
  <si>
    <t>Mixed pallet retour</t>
  </si>
  <si>
    <t>Minicentrifuge MINI-P25 200ml</t>
  </si>
  <si>
    <t>Afvalcontainer 40L</t>
  </si>
  <si>
    <t>Clean Viral RNA Kit</t>
  </si>
  <si>
    <t>AMPLISTAR ADHESIVE</t>
  </si>
  <si>
    <t xml:space="preserve">SIEMENS VERSANT KIT </t>
  </si>
  <si>
    <t>ONBEKEND</t>
  </si>
  <si>
    <t>Overig</t>
  </si>
  <si>
    <t>KN95</t>
  </si>
  <si>
    <t xml:space="preserve">Merkloos 2 </t>
  </si>
  <si>
    <t>Divers</t>
  </si>
  <si>
    <t>Divers, samples van alle producten uit noodvoorraad LCH</t>
  </si>
  <si>
    <t>Divers, retourpallets uit noodvoorraad LCH</t>
  </si>
  <si>
    <t>NVT</t>
  </si>
  <si>
    <t xml:space="preserve">Deze opgave vertegenwoordigt +/-95% van de producten/het volume (zowel vast als optioneel) binnen perceel 2. </t>
  </si>
  <si>
    <t>s</t>
  </si>
  <si>
    <t>5 frames 10 schermen</t>
  </si>
  <si>
    <t>Starbuss #S-Kn95</t>
  </si>
  <si>
    <t>Starbuss #S-Kn95 - vierkant</t>
  </si>
  <si>
    <t>Starbuss #R-N99</t>
  </si>
  <si>
    <t xml:space="preserve">Deze opgave vertegenwoordigt +/-60% van de producten/het volume binnen perceel 6. </t>
  </si>
  <si>
    <t xml:space="preserve">Deze opgave vertegenwoordigt +/-80% van de producten/het volume (zowel vast als optioneel) binnen perceel 1. </t>
  </si>
  <si>
    <t>Opmerking bij Perceel 6:</t>
  </si>
  <si>
    <t>PP, Stainless steel</t>
  </si>
  <si>
    <t>PP, PC, Latex free rubber</t>
  </si>
  <si>
    <t>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</si>
</sst>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8"/>
      <color theme="1"/>
      <name val="Verdana"/>
      <family val="2"/>
    </font>
    <font>
      <sz val="8"/>
      <color theme="1"/>
      <name val="Verdana"/>
      <family val="2"/>
    </font>
    <font>
      <b/>
      <sz val="8"/>
      <color rgb="FFFF0000"/>
      <name val="Verdana"/>
      <family val="2"/>
    </font>
    <font>
      <sz val="9"/>
      <color indexed="81"/>
      <name val="Tahoma"/>
      <family val="2"/>
    </font>
    <font>
      <b/>
      <sz val="9"/>
      <color indexed="81"/>
      <name val="Tahoma"/>
      <family val="2"/>
    </font>
    <font>
      <sz val="8"/>
      <name val="Verdana"/>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6">
    <xf numFmtId="0" fontId="0" fillId="0" borderId="0" xfId="0"/>
    <xf numFmtId="0" fontId="2" fillId="0" borderId="0" xfId="0" applyFont="1"/>
    <xf numFmtId="0" fontId="2" fillId="3" borderId="2" xfId="0" applyFont="1" applyFill="1" applyBorder="1" applyAlignment="1">
      <alignment horizontal="center" wrapText="1"/>
    </xf>
    <xf numFmtId="0" fontId="2" fillId="0" borderId="0" xfId="0" applyFont="1" applyAlignment="1">
      <alignment horizontal="center"/>
    </xf>
    <xf numFmtId="0" fontId="3" fillId="0" borderId="0" xfId="0" applyFont="1"/>
    <xf numFmtId="0" fontId="2" fillId="0" borderId="11" xfId="0" applyFont="1" applyFill="1" applyBorder="1" applyAlignment="1">
      <alignment wrapText="1"/>
    </xf>
    <xf numFmtId="0" fontId="2" fillId="0" borderId="2" xfId="0" applyFont="1" applyFill="1" applyBorder="1" applyAlignment="1">
      <alignment wrapText="1"/>
    </xf>
    <xf numFmtId="0" fontId="2" fillId="3" borderId="13" xfId="0" applyFont="1" applyFill="1" applyBorder="1"/>
    <xf numFmtId="0" fontId="2" fillId="3" borderId="2" xfId="0" applyFont="1" applyFill="1" applyBorder="1" applyAlignment="1">
      <alignment wrapText="1"/>
    </xf>
    <xf numFmtId="0" fontId="2" fillId="0" borderId="2" xfId="0" applyFont="1" applyBorder="1" applyAlignment="1">
      <alignment wrapText="1"/>
    </xf>
    <xf numFmtId="3" fontId="2" fillId="0" borderId="2" xfId="0" applyNumberFormat="1" applyFont="1" applyBorder="1" applyAlignment="1">
      <alignment horizontal="center" vertical="center"/>
    </xf>
    <xf numFmtId="0" fontId="2" fillId="0" borderId="0" xfId="0" applyFont="1" applyAlignment="1">
      <alignment horizontal="center" vertical="center"/>
    </xf>
    <xf numFmtId="0" fontId="2" fillId="0" borderId="0" xfId="0" applyFont="1" applyFill="1" applyAlignment="1">
      <alignment horizontal="center" vertical="center"/>
    </xf>
    <xf numFmtId="0" fontId="2" fillId="0" borderId="2" xfId="0" applyFont="1" applyBorder="1" applyAlignment="1">
      <alignment horizontal="right"/>
    </xf>
    <xf numFmtId="3" fontId="2" fillId="3" borderId="10" xfId="0" applyNumberFormat="1"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1" fillId="0" borderId="0" xfId="0" applyFont="1" applyFill="1"/>
    <xf numFmtId="0" fontId="2" fillId="0" borderId="0" xfId="0" applyFont="1" applyFill="1"/>
    <xf numFmtId="0" fontId="2" fillId="0" borderId="0" xfId="0" applyFont="1"/>
    <xf numFmtId="0" fontId="1" fillId="2" borderId="2" xfId="0" applyFont="1" applyFill="1" applyBorder="1"/>
    <xf numFmtId="0" fontId="1" fillId="2" borderId="2" xfId="0" applyFont="1" applyFill="1" applyBorder="1" applyAlignment="1">
      <alignment horizontal="center"/>
    </xf>
    <xf numFmtId="0" fontId="2" fillId="0" borderId="0" xfId="0" applyFont="1"/>
    <xf numFmtId="0" fontId="2" fillId="3" borderId="10" xfId="0" applyFont="1" applyFill="1" applyBorder="1" applyAlignment="1">
      <alignment horizontal="center"/>
    </xf>
    <xf numFmtId="0" fontId="2" fillId="3" borderId="2" xfId="0" applyFont="1" applyFill="1" applyBorder="1" applyAlignment="1">
      <alignment horizontal="center"/>
    </xf>
    <xf numFmtId="0" fontId="2" fillId="3" borderId="2" xfId="0" applyFont="1" applyFill="1" applyBorder="1"/>
    <xf numFmtId="3" fontId="1" fillId="2" borderId="2" xfId="0" applyNumberFormat="1" applyFont="1" applyFill="1" applyBorder="1" applyAlignment="1">
      <alignment horizontal="center" wrapText="1"/>
    </xf>
    <xf numFmtId="3" fontId="2" fillId="3" borderId="2" xfId="0" applyNumberFormat="1" applyFont="1" applyFill="1" applyBorder="1" applyAlignment="1">
      <alignment horizontal="center"/>
    </xf>
    <xf numFmtId="3" fontId="1" fillId="2" borderId="2" xfId="0" applyNumberFormat="1" applyFont="1" applyFill="1" applyBorder="1" applyAlignment="1">
      <alignment horizontal="center" vertical="center" wrapText="1"/>
    </xf>
    <xf numFmtId="0" fontId="2" fillId="0" borderId="2" xfId="0" applyFont="1" applyBorder="1" applyAlignment="1">
      <alignment horizontal="center"/>
    </xf>
    <xf numFmtId="0" fontId="2" fillId="3" borderId="2" xfId="0" applyFont="1" applyFill="1" applyBorder="1" applyAlignment="1">
      <alignment horizontal="center" vertical="center"/>
    </xf>
    <xf numFmtId="0" fontId="2" fillId="3" borderId="0" xfId="0" applyFont="1" applyFill="1" applyBorder="1" applyAlignment="1">
      <alignment vertical="center"/>
    </xf>
    <xf numFmtId="0" fontId="2" fillId="0" borderId="2" xfId="0" applyFont="1" applyBorder="1"/>
    <xf numFmtId="3" fontId="2" fillId="0" borderId="2" xfId="0" applyNumberFormat="1" applyFont="1" applyBorder="1" applyAlignment="1">
      <alignment horizontal="center"/>
    </xf>
    <xf numFmtId="0" fontId="1" fillId="3" borderId="0" xfId="0" applyFont="1" applyFill="1" applyBorder="1" applyAlignment="1">
      <alignment vertical="center"/>
    </xf>
    <xf numFmtId="0" fontId="2" fillId="0" borderId="2" xfId="0" applyFont="1" applyFill="1" applyBorder="1" applyAlignment="1">
      <alignment horizontal="center"/>
    </xf>
    <xf numFmtId="0" fontId="2" fillId="0" borderId="2" xfId="0" applyFont="1" applyFill="1" applyBorder="1"/>
    <xf numFmtId="3" fontId="2" fillId="0" borderId="2" xfId="0" applyNumberFormat="1" applyFont="1" applyFill="1" applyBorder="1" applyAlignment="1">
      <alignment horizontal="center"/>
    </xf>
    <xf numFmtId="164" fontId="2" fillId="3" borderId="2" xfId="0" applyNumberFormat="1" applyFont="1" applyFill="1" applyBorder="1" applyAlignment="1">
      <alignment horizontal="center"/>
    </xf>
    <xf numFmtId="0" fontId="2" fillId="0" borderId="0" xfId="0" applyFont="1" applyFill="1" applyAlignment="1">
      <alignment horizontal="center"/>
    </xf>
    <xf numFmtId="4" fontId="2" fillId="0" borderId="2" xfId="0" applyNumberFormat="1" applyFont="1" applyFill="1" applyBorder="1" applyAlignment="1">
      <alignment horizontal="center"/>
    </xf>
    <xf numFmtId="4" fontId="2" fillId="3" borderId="2" xfId="0" applyNumberFormat="1" applyFont="1" applyFill="1" applyBorder="1" applyAlignment="1">
      <alignment horizontal="center"/>
    </xf>
    <xf numFmtId="0" fontId="2" fillId="3" borderId="13" xfId="0" applyFont="1" applyFill="1" applyBorder="1" applyAlignment="1">
      <alignment horizontal="center" wrapText="1"/>
    </xf>
    <xf numFmtId="164" fontId="2" fillId="0" borderId="2" xfId="0" applyNumberFormat="1" applyFont="1" applyBorder="1" applyAlignment="1">
      <alignment horizontal="center"/>
    </xf>
    <xf numFmtId="3" fontId="2" fillId="3" borderId="2" xfId="0" applyNumberFormat="1" applyFont="1" applyFill="1" applyBorder="1" applyAlignment="1">
      <alignment horizontal="center" vertical="center"/>
    </xf>
    <xf numFmtId="3" fontId="2" fillId="0" borderId="0" xfId="0" applyNumberFormat="1" applyFont="1" applyAlignment="1">
      <alignment horizontal="center" vertical="center"/>
    </xf>
    <xf numFmtId="3" fontId="2" fillId="0" borderId="0" xfId="0" applyNumberFormat="1" applyFont="1" applyFill="1" applyAlignment="1">
      <alignment horizontal="center" vertical="center"/>
    </xf>
    <xf numFmtId="3" fontId="2" fillId="0" borderId="2" xfId="0" applyNumberFormat="1" applyFont="1" applyFill="1" applyBorder="1" applyAlignment="1">
      <alignment horizontal="center" vertical="center"/>
    </xf>
    <xf numFmtId="3" fontId="2" fillId="3" borderId="2" xfId="0" applyNumberFormat="1" applyFont="1" applyFill="1" applyBorder="1" applyAlignment="1">
      <alignment horizontal="center" vertical="center" wrapText="1"/>
    </xf>
    <xf numFmtId="3" fontId="2" fillId="3" borderId="12" xfId="0" applyNumberFormat="1" applyFont="1" applyFill="1" applyBorder="1" applyAlignment="1">
      <alignment horizontal="center" vertical="center"/>
    </xf>
    <xf numFmtId="3" fontId="2" fillId="0" borderId="12" xfId="0" applyNumberFormat="1" applyFont="1" applyBorder="1" applyAlignment="1">
      <alignment horizontal="center" vertical="center"/>
    </xf>
    <xf numFmtId="3" fontId="2" fillId="0" borderId="2" xfId="0" applyNumberFormat="1" applyFont="1" applyFill="1" applyBorder="1" applyAlignment="1">
      <alignment horizontal="center" vertical="center" wrapText="1"/>
    </xf>
    <xf numFmtId="164" fontId="2" fillId="0" borderId="2" xfId="0" applyNumberFormat="1" applyFont="1" applyFill="1" applyBorder="1" applyAlignment="1">
      <alignment horizontal="center" wrapText="1"/>
    </xf>
    <xf numFmtId="0" fontId="6" fillId="3" borderId="2" xfId="0" applyFont="1" applyFill="1" applyBorder="1"/>
    <xf numFmtId="0" fontId="6" fillId="0" borderId="2" xfId="0" applyFont="1" applyBorder="1"/>
    <xf numFmtId="0" fontId="2" fillId="0" borderId="2" xfId="0" applyFont="1" applyBorder="1" applyAlignment="1">
      <alignment horizontal="center"/>
    </xf>
    <xf numFmtId="0" fontId="1" fillId="3" borderId="3" xfId="0" applyFont="1" applyFill="1" applyBorder="1" applyAlignment="1">
      <alignment horizontal="left" vertical="center"/>
    </xf>
    <xf numFmtId="0" fontId="1" fillId="3" borderId="4" xfId="0" applyFont="1" applyFill="1" applyBorder="1" applyAlignment="1">
      <alignment horizontal="left" vertical="center"/>
    </xf>
    <xf numFmtId="0" fontId="1" fillId="3" borderId="5" xfId="0" applyFont="1" applyFill="1" applyBorder="1" applyAlignment="1">
      <alignment horizontal="left" vertical="center"/>
    </xf>
    <xf numFmtId="0" fontId="1" fillId="3" borderId="6" xfId="0" applyFont="1" applyFill="1" applyBorder="1" applyAlignment="1">
      <alignment horizontal="left" vertical="center"/>
    </xf>
    <xf numFmtId="0" fontId="1" fillId="3" borderId="1" xfId="0" applyFont="1" applyFill="1" applyBorder="1" applyAlignment="1">
      <alignment horizontal="left" vertical="center"/>
    </xf>
    <xf numFmtId="0" fontId="1" fillId="3" borderId="7" xfId="0" applyFont="1" applyFill="1" applyBorder="1" applyAlignment="1">
      <alignment horizontal="left" vertical="center"/>
    </xf>
    <xf numFmtId="3" fontId="2" fillId="3" borderId="2" xfId="0" applyNumberFormat="1" applyFont="1" applyFill="1" applyBorder="1" applyAlignment="1">
      <alignment horizontal="center" vertical="center"/>
    </xf>
    <xf numFmtId="3" fontId="2" fillId="3" borderId="8" xfId="0" applyNumberFormat="1" applyFont="1" applyFill="1" applyBorder="1" applyAlignment="1">
      <alignment horizontal="center" vertical="center"/>
    </xf>
    <xf numFmtId="3" fontId="2" fillId="3" borderId="9" xfId="0" applyNumberFormat="1" applyFont="1" applyFill="1" applyBorder="1" applyAlignment="1">
      <alignment horizontal="center" vertical="center"/>
    </xf>
    <xf numFmtId="3" fontId="2" fillId="3" borderId="10" xfId="0" applyNumberFormat="1" applyFont="1" applyFill="1" applyBorder="1" applyAlignment="1">
      <alignment horizontal="center" vertical="center"/>
    </xf>
    <xf numFmtId="0" fontId="2" fillId="3" borderId="2" xfId="0" applyFont="1" applyFill="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0" borderId="2" xfId="0" applyFont="1" applyBorder="1" applyAlignment="1">
      <alignment horizontal="center"/>
    </xf>
    <xf numFmtId="0" fontId="2" fillId="0" borderId="2"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3" borderId="8" xfId="0" applyFont="1" applyFill="1" applyBorder="1" applyAlignment="1">
      <alignment horizontal="left" vertical="center"/>
    </xf>
    <xf numFmtId="0" fontId="2" fillId="3" borderId="9" xfId="0" applyFont="1" applyFill="1" applyBorder="1" applyAlignment="1">
      <alignment horizontal="left" vertical="center"/>
    </xf>
    <xf numFmtId="0" fontId="2" fillId="3" borderId="10"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477F3-F8FC-4ACC-9FD8-B1450BA1798C}">
  <dimension ref="B1:N237"/>
  <sheetViews>
    <sheetView tabSelected="1" zoomScale="80" zoomScaleNormal="80" workbookViewId="0">
      <pane ySplit="5" topLeftCell="A75" activePane="bottomLeft" state="frozen"/>
      <selection activeCell="E1" sqref="E1"/>
      <selection pane="bottomLeft" activeCell="E93" sqref="E93"/>
    </sheetView>
  </sheetViews>
  <sheetFormatPr defaultColWidth="8.88671875" defaultRowHeight="10.199999999999999" x14ac:dyDescent="0.2"/>
  <cols>
    <col min="1" max="1" width="8.88671875" style="1" customWidth="1"/>
    <col min="2" max="2" width="20.21875" style="1" customWidth="1"/>
    <col min="3" max="3" width="3.77734375" style="3" bestFit="1" customWidth="1"/>
    <col min="4" max="4" width="56" style="1" bestFit="1" customWidth="1"/>
    <col min="5" max="5" width="97.88671875" style="1" customWidth="1"/>
    <col min="6" max="6" width="10.44140625" style="22" bestFit="1" customWidth="1"/>
    <col min="7" max="7" width="17" style="11" customWidth="1"/>
    <col min="8" max="8" width="17" style="45" customWidth="1"/>
    <col min="9" max="9" width="9.88671875" style="1" bestFit="1" customWidth="1"/>
    <col min="10" max="10" width="22.6640625" style="1" customWidth="1"/>
    <col min="11" max="13" width="18.33203125" style="3" customWidth="1"/>
    <col min="14" max="18" width="8.88671875" style="1" customWidth="1"/>
    <col min="19" max="16384" width="8.88671875" style="1"/>
  </cols>
  <sheetData>
    <row r="1" spans="2:13" x14ac:dyDescent="0.2">
      <c r="B1" s="4"/>
    </row>
    <row r="2" spans="2:13" s="18" customFormat="1" x14ac:dyDescent="0.2">
      <c r="C2" s="39"/>
      <c r="E2" s="17"/>
      <c r="F2" s="17"/>
      <c r="G2" s="12"/>
      <c r="H2" s="46"/>
      <c r="K2" s="39"/>
      <c r="L2" s="39"/>
      <c r="M2" s="39"/>
    </row>
    <row r="3" spans="2:13" s="18" customFormat="1" x14ac:dyDescent="0.2">
      <c r="B3" s="56" t="s">
        <v>142</v>
      </c>
      <c r="C3" s="57"/>
      <c r="D3" s="57"/>
      <c r="E3" s="57"/>
      <c r="F3" s="57"/>
      <c r="G3" s="57"/>
      <c r="H3" s="57"/>
      <c r="I3" s="57"/>
      <c r="J3" s="57"/>
      <c r="K3" s="57"/>
      <c r="L3" s="57"/>
      <c r="M3" s="58"/>
    </row>
    <row r="4" spans="2:13" s="18" customFormat="1" x14ac:dyDescent="0.2">
      <c r="B4" s="59"/>
      <c r="C4" s="60"/>
      <c r="D4" s="60"/>
      <c r="E4" s="60"/>
      <c r="F4" s="60"/>
      <c r="G4" s="60"/>
      <c r="H4" s="60"/>
      <c r="I4" s="60"/>
      <c r="J4" s="60"/>
      <c r="K4" s="60"/>
      <c r="L4" s="60"/>
      <c r="M4" s="61"/>
    </row>
    <row r="5" spans="2:13" s="18" customFormat="1" ht="21.6" customHeight="1" x14ac:dyDescent="0.2">
      <c r="B5" s="21" t="s">
        <v>0</v>
      </c>
      <c r="C5" s="21" t="s">
        <v>1</v>
      </c>
      <c r="D5" s="21" t="s">
        <v>15</v>
      </c>
      <c r="E5" s="20" t="s">
        <v>2</v>
      </c>
      <c r="F5" s="20" t="s">
        <v>11</v>
      </c>
      <c r="G5" s="28" t="s">
        <v>3</v>
      </c>
      <c r="H5" s="28" t="s">
        <v>4</v>
      </c>
      <c r="I5" s="28" t="s">
        <v>5</v>
      </c>
      <c r="J5" s="26" t="s">
        <v>6</v>
      </c>
      <c r="K5" s="26" t="s">
        <v>143</v>
      </c>
      <c r="L5" s="26" t="s">
        <v>144</v>
      </c>
      <c r="M5" s="26" t="s">
        <v>145</v>
      </c>
    </row>
    <row r="6" spans="2:13" s="18" customFormat="1" ht="21.6" customHeight="1" x14ac:dyDescent="0.2">
      <c r="B6" s="66" t="s">
        <v>19</v>
      </c>
      <c r="C6" s="30">
        <v>1</v>
      </c>
      <c r="D6" s="24" t="s">
        <v>37</v>
      </c>
      <c r="E6" s="5" t="s">
        <v>38</v>
      </c>
      <c r="F6" s="24" t="s">
        <v>41</v>
      </c>
      <c r="G6" s="44">
        <v>21255170</v>
      </c>
      <c r="H6" s="44">
        <v>703</v>
      </c>
      <c r="I6" s="27">
        <f>H6*125</f>
        <v>87875</v>
      </c>
      <c r="J6" s="38">
        <f>I6/1000</f>
        <v>87.875</v>
      </c>
      <c r="K6" s="35">
        <v>72</v>
      </c>
      <c r="L6" s="35">
        <v>42</v>
      </c>
      <c r="M6" s="35">
        <v>10</v>
      </c>
    </row>
    <row r="7" spans="2:13" s="18" customFormat="1" x14ac:dyDescent="0.2">
      <c r="B7" s="66"/>
      <c r="C7" s="30">
        <v>2</v>
      </c>
      <c r="D7" s="35" t="s">
        <v>39</v>
      </c>
      <c r="E7" s="36" t="s">
        <v>40</v>
      </c>
      <c r="F7" s="35" t="s">
        <v>24</v>
      </c>
      <c r="G7" s="44">
        <f>15764512+17582600</f>
        <v>33347112</v>
      </c>
      <c r="H7" s="44">
        <f>450+501</f>
        <v>951</v>
      </c>
      <c r="I7" s="27">
        <f t="shared" ref="I7:I66" si="0">H7*125</f>
        <v>118875</v>
      </c>
      <c r="J7" s="38">
        <f t="shared" ref="J7:J66" si="1">I7/1000</f>
        <v>118.875</v>
      </c>
      <c r="K7" s="35">
        <v>24</v>
      </c>
      <c r="L7" s="35">
        <v>40</v>
      </c>
      <c r="M7" s="35">
        <v>50</v>
      </c>
    </row>
    <row r="8" spans="2:13" s="18" customFormat="1" x14ac:dyDescent="0.2">
      <c r="B8" s="66"/>
      <c r="C8" s="75">
        <v>3</v>
      </c>
      <c r="D8" s="35" t="s">
        <v>42</v>
      </c>
      <c r="E8" s="6" t="s">
        <v>46</v>
      </c>
      <c r="F8" s="35" t="s">
        <v>24</v>
      </c>
      <c r="G8" s="44">
        <v>5446200</v>
      </c>
      <c r="H8" s="44">
        <v>172</v>
      </c>
      <c r="I8" s="27">
        <f t="shared" si="0"/>
        <v>21500</v>
      </c>
      <c r="J8" s="38">
        <f t="shared" si="1"/>
        <v>21.5</v>
      </c>
      <c r="K8" s="35">
        <v>16</v>
      </c>
      <c r="L8" s="35">
        <v>40</v>
      </c>
      <c r="M8" s="35">
        <v>50</v>
      </c>
    </row>
    <row r="9" spans="2:13" s="18" customFormat="1" x14ac:dyDescent="0.2">
      <c r="B9" s="66"/>
      <c r="C9" s="76"/>
      <c r="D9" s="35" t="s">
        <v>43</v>
      </c>
      <c r="E9" s="6" t="s">
        <v>46</v>
      </c>
      <c r="F9" s="35" t="s">
        <v>24</v>
      </c>
      <c r="G9" s="44">
        <v>21556900</v>
      </c>
      <c r="H9" s="44">
        <v>585</v>
      </c>
      <c r="I9" s="27">
        <f t="shared" si="0"/>
        <v>73125</v>
      </c>
      <c r="J9" s="38">
        <f t="shared" si="1"/>
        <v>73.125</v>
      </c>
      <c r="K9" s="35">
        <v>16</v>
      </c>
      <c r="L9" s="35">
        <v>40</v>
      </c>
      <c r="M9" s="35">
        <v>50</v>
      </c>
    </row>
    <row r="10" spans="2:13" s="18" customFormat="1" x14ac:dyDescent="0.2">
      <c r="B10" s="66"/>
      <c r="C10" s="76"/>
      <c r="D10" s="35" t="s">
        <v>44</v>
      </c>
      <c r="E10" s="6" t="s">
        <v>46</v>
      </c>
      <c r="F10" s="35" t="s">
        <v>24</v>
      </c>
      <c r="G10" s="44">
        <v>1496600</v>
      </c>
      <c r="H10" s="44">
        <v>47</v>
      </c>
      <c r="I10" s="27">
        <f t="shared" si="0"/>
        <v>5875</v>
      </c>
      <c r="J10" s="38">
        <f t="shared" si="1"/>
        <v>5.875</v>
      </c>
      <c r="K10" s="35">
        <v>16</v>
      </c>
      <c r="L10" s="35">
        <v>40</v>
      </c>
      <c r="M10" s="35">
        <v>50</v>
      </c>
    </row>
    <row r="11" spans="2:13" s="18" customFormat="1" x14ac:dyDescent="0.2">
      <c r="B11" s="66"/>
      <c r="C11" s="77"/>
      <c r="D11" s="35" t="s">
        <v>45</v>
      </c>
      <c r="E11" s="36" t="s">
        <v>47</v>
      </c>
      <c r="F11" s="35" t="s">
        <v>24</v>
      </c>
      <c r="G11" s="14">
        <v>0</v>
      </c>
      <c r="H11" s="14">
        <v>0</v>
      </c>
      <c r="I11" s="27">
        <f t="shared" si="0"/>
        <v>0</v>
      </c>
      <c r="J11" s="38">
        <f t="shared" si="1"/>
        <v>0</v>
      </c>
      <c r="K11" s="35">
        <v>16</v>
      </c>
      <c r="L11" s="35">
        <v>40</v>
      </c>
      <c r="M11" s="35">
        <v>50</v>
      </c>
    </row>
    <row r="12" spans="2:13" s="18" customFormat="1" ht="12" customHeight="1" x14ac:dyDescent="0.2">
      <c r="B12" s="66"/>
      <c r="C12" s="75">
        <v>4</v>
      </c>
      <c r="D12" s="12" t="s">
        <v>109</v>
      </c>
      <c r="E12" s="6" t="s">
        <v>114</v>
      </c>
      <c r="F12" s="35" t="s">
        <v>24</v>
      </c>
      <c r="G12" s="44">
        <v>18756840</v>
      </c>
      <c r="H12" s="44">
        <v>739</v>
      </c>
      <c r="I12" s="27">
        <f t="shared" si="0"/>
        <v>92375</v>
      </c>
      <c r="J12" s="38">
        <f t="shared" si="1"/>
        <v>92.375</v>
      </c>
      <c r="K12" s="35">
        <v>9</v>
      </c>
      <c r="L12" s="35">
        <v>100</v>
      </c>
      <c r="M12" s="35">
        <v>20</v>
      </c>
    </row>
    <row r="13" spans="2:13" s="18" customFormat="1" x14ac:dyDescent="0.2">
      <c r="B13" s="66"/>
      <c r="C13" s="76"/>
      <c r="D13" s="16" t="s">
        <v>110</v>
      </c>
      <c r="E13" s="6" t="s">
        <v>115</v>
      </c>
      <c r="F13" s="35" t="s">
        <v>24</v>
      </c>
      <c r="G13" s="44">
        <v>1199400</v>
      </c>
      <c r="H13" s="44">
        <v>43</v>
      </c>
      <c r="I13" s="27">
        <f t="shared" si="0"/>
        <v>5375</v>
      </c>
      <c r="J13" s="38">
        <f t="shared" si="1"/>
        <v>5.375</v>
      </c>
      <c r="K13" s="35">
        <v>12</v>
      </c>
      <c r="L13" s="35">
        <v>100</v>
      </c>
      <c r="M13" s="35">
        <v>20</v>
      </c>
    </row>
    <row r="14" spans="2:13" s="18" customFormat="1" x14ac:dyDescent="0.2">
      <c r="B14" s="66"/>
      <c r="C14" s="76"/>
      <c r="D14" s="16" t="s">
        <v>111</v>
      </c>
      <c r="E14" s="6" t="s">
        <v>116</v>
      </c>
      <c r="F14" s="35" t="s">
        <v>24</v>
      </c>
      <c r="G14" s="44">
        <v>4059840</v>
      </c>
      <c r="H14" s="44">
        <v>148</v>
      </c>
      <c r="I14" s="27">
        <f t="shared" si="0"/>
        <v>18500</v>
      </c>
      <c r="J14" s="38">
        <f t="shared" si="1"/>
        <v>18.5</v>
      </c>
      <c r="K14" s="35">
        <v>16</v>
      </c>
      <c r="L14" s="35">
        <v>100</v>
      </c>
      <c r="M14" s="35">
        <v>20</v>
      </c>
    </row>
    <row r="15" spans="2:13" s="18" customFormat="1" x14ac:dyDescent="0.2">
      <c r="B15" s="66"/>
      <c r="C15" s="76"/>
      <c r="D15" s="16" t="s">
        <v>112</v>
      </c>
      <c r="E15" s="6" t="s">
        <v>7</v>
      </c>
      <c r="F15" s="35" t="s">
        <v>24</v>
      </c>
      <c r="G15" s="44">
        <v>684000</v>
      </c>
      <c r="H15" s="44">
        <v>28</v>
      </c>
      <c r="I15" s="27">
        <f t="shared" si="0"/>
        <v>3500</v>
      </c>
      <c r="J15" s="38">
        <f t="shared" si="1"/>
        <v>3.5</v>
      </c>
      <c r="K15" s="35">
        <v>16</v>
      </c>
      <c r="L15" s="35">
        <v>100</v>
      </c>
      <c r="M15" s="35">
        <v>11</v>
      </c>
    </row>
    <row r="16" spans="2:13" s="18" customFormat="1" ht="20.399999999999999" x14ac:dyDescent="0.2">
      <c r="B16" s="66"/>
      <c r="C16" s="77"/>
      <c r="D16" s="16" t="s">
        <v>113</v>
      </c>
      <c r="E16" s="6" t="s">
        <v>117</v>
      </c>
      <c r="F16" s="35" t="s">
        <v>53</v>
      </c>
      <c r="G16" s="44">
        <v>0</v>
      </c>
      <c r="H16" s="44">
        <v>0</v>
      </c>
      <c r="I16" s="27">
        <f t="shared" si="0"/>
        <v>0</v>
      </c>
      <c r="J16" s="38">
        <f t="shared" si="1"/>
        <v>0</v>
      </c>
      <c r="K16" s="35">
        <v>12</v>
      </c>
      <c r="L16" s="35">
        <v>100</v>
      </c>
      <c r="M16" s="35">
        <v>10</v>
      </c>
    </row>
    <row r="17" spans="2:13" s="18" customFormat="1" x14ac:dyDescent="0.2">
      <c r="B17" s="66"/>
      <c r="C17" s="75">
        <v>5</v>
      </c>
      <c r="D17" s="35" t="s">
        <v>48</v>
      </c>
      <c r="E17" s="6" t="s">
        <v>131</v>
      </c>
      <c r="F17" s="35" t="s">
        <v>24</v>
      </c>
      <c r="G17" s="44">
        <v>16456048</v>
      </c>
      <c r="H17" s="44">
        <v>439</v>
      </c>
      <c r="I17" s="27">
        <f t="shared" si="0"/>
        <v>54875</v>
      </c>
      <c r="J17" s="38">
        <f t="shared" si="1"/>
        <v>54.875</v>
      </c>
      <c r="K17" s="35">
        <v>48</v>
      </c>
      <c r="L17" s="35">
        <v>80</v>
      </c>
      <c r="M17" s="35">
        <v>10</v>
      </c>
    </row>
    <row r="18" spans="2:13" s="18" customFormat="1" x14ac:dyDescent="0.2">
      <c r="B18" s="66"/>
      <c r="C18" s="76"/>
      <c r="D18" s="35" t="s">
        <v>52</v>
      </c>
      <c r="E18" s="6" t="s">
        <v>131</v>
      </c>
      <c r="F18" s="35" t="s">
        <v>41</v>
      </c>
      <c r="G18" s="44">
        <v>1422700</v>
      </c>
      <c r="H18" s="44">
        <v>46</v>
      </c>
      <c r="I18" s="27">
        <f t="shared" si="0"/>
        <v>5750</v>
      </c>
      <c r="J18" s="38">
        <f t="shared" si="1"/>
        <v>5.75</v>
      </c>
      <c r="K18" s="35">
        <v>16</v>
      </c>
      <c r="L18" s="35">
        <v>40</v>
      </c>
      <c r="M18" s="35">
        <v>50</v>
      </c>
    </row>
    <row r="19" spans="2:13" s="18" customFormat="1" x14ac:dyDescent="0.2">
      <c r="B19" s="66"/>
      <c r="C19" s="76"/>
      <c r="D19" s="35" t="s">
        <v>49</v>
      </c>
      <c r="E19" s="6" t="s">
        <v>131</v>
      </c>
      <c r="F19" s="35" t="s">
        <v>24</v>
      </c>
      <c r="G19" s="44">
        <v>0</v>
      </c>
      <c r="H19" s="44">
        <v>0</v>
      </c>
      <c r="I19" s="27">
        <f t="shared" si="0"/>
        <v>0</v>
      </c>
      <c r="J19" s="38">
        <f t="shared" si="1"/>
        <v>0</v>
      </c>
      <c r="K19" s="35">
        <v>16</v>
      </c>
      <c r="L19" s="35">
        <v>40</v>
      </c>
      <c r="M19" s="35">
        <v>50</v>
      </c>
    </row>
    <row r="20" spans="2:13" s="18" customFormat="1" x14ac:dyDescent="0.2">
      <c r="B20" s="66"/>
      <c r="C20" s="76"/>
      <c r="D20" s="35" t="s">
        <v>50</v>
      </c>
      <c r="E20" s="6" t="s">
        <v>131</v>
      </c>
      <c r="F20" s="35" t="s">
        <v>24</v>
      </c>
      <c r="G20" s="44">
        <v>1752400</v>
      </c>
      <c r="H20" s="44">
        <v>61</v>
      </c>
      <c r="I20" s="27">
        <f t="shared" si="0"/>
        <v>7625</v>
      </c>
      <c r="J20" s="38">
        <f t="shared" si="1"/>
        <v>7.625</v>
      </c>
      <c r="K20" s="35">
        <v>72</v>
      </c>
      <c r="L20" s="35">
        <v>42</v>
      </c>
      <c r="M20" s="35">
        <v>10</v>
      </c>
    </row>
    <row r="21" spans="2:13" s="18" customFormat="1" x14ac:dyDescent="0.2">
      <c r="B21" s="66"/>
      <c r="C21" s="77"/>
      <c r="D21" s="35" t="s">
        <v>51</v>
      </c>
      <c r="E21" s="6" t="s">
        <v>131</v>
      </c>
      <c r="F21" s="35" t="s">
        <v>24</v>
      </c>
      <c r="G21" s="44">
        <v>710000</v>
      </c>
      <c r="H21" s="44">
        <v>27</v>
      </c>
      <c r="I21" s="27">
        <f t="shared" si="0"/>
        <v>3375</v>
      </c>
      <c r="J21" s="38">
        <f t="shared" si="1"/>
        <v>3.375</v>
      </c>
      <c r="K21" s="35">
        <v>16</v>
      </c>
      <c r="L21" s="35">
        <v>40</v>
      </c>
      <c r="M21" s="35">
        <v>50</v>
      </c>
    </row>
    <row r="22" spans="2:13" s="18" customFormat="1" x14ac:dyDescent="0.2">
      <c r="B22" s="66"/>
      <c r="C22" s="30">
        <v>6</v>
      </c>
      <c r="D22" s="35" t="s">
        <v>54</v>
      </c>
      <c r="E22" s="36" t="s">
        <v>132</v>
      </c>
      <c r="F22" s="35" t="s">
        <v>41</v>
      </c>
      <c r="G22" s="44">
        <f>184470+19001660</f>
        <v>19186130</v>
      </c>
      <c r="H22" s="44">
        <f>12+630</f>
        <v>642</v>
      </c>
      <c r="I22" s="27">
        <f t="shared" si="0"/>
        <v>80250</v>
      </c>
      <c r="J22" s="38">
        <f t="shared" si="1"/>
        <v>80.25</v>
      </c>
      <c r="K22" s="35">
        <v>72</v>
      </c>
      <c r="L22" s="35">
        <v>42</v>
      </c>
      <c r="M22" s="35">
        <v>10</v>
      </c>
    </row>
    <row r="23" spans="2:13" s="18" customFormat="1" x14ac:dyDescent="0.2">
      <c r="B23" s="66"/>
      <c r="C23" s="30">
        <v>7</v>
      </c>
      <c r="D23" s="35" t="s">
        <v>56</v>
      </c>
      <c r="E23" s="36" t="s">
        <v>55</v>
      </c>
      <c r="F23" s="35" t="s">
        <v>24</v>
      </c>
      <c r="G23" s="44">
        <v>19928150</v>
      </c>
      <c r="H23" s="44">
        <v>631</v>
      </c>
      <c r="I23" s="27">
        <f t="shared" si="0"/>
        <v>78875</v>
      </c>
      <c r="J23" s="38">
        <f t="shared" si="1"/>
        <v>78.875</v>
      </c>
      <c r="K23" s="35">
        <v>16</v>
      </c>
      <c r="L23" s="35">
        <v>40</v>
      </c>
      <c r="M23" s="35">
        <v>50</v>
      </c>
    </row>
    <row r="24" spans="2:13" s="18" customFormat="1" x14ac:dyDescent="0.2">
      <c r="B24" s="66"/>
      <c r="C24" s="75">
        <v>8</v>
      </c>
      <c r="D24" s="35" t="s">
        <v>118</v>
      </c>
      <c r="E24" s="6" t="s">
        <v>126</v>
      </c>
      <c r="F24" s="35" t="s">
        <v>24</v>
      </c>
      <c r="G24" s="44">
        <v>792000</v>
      </c>
      <c r="H24" s="44">
        <v>33</v>
      </c>
      <c r="I24" s="27">
        <f t="shared" si="0"/>
        <v>4125</v>
      </c>
      <c r="J24" s="38">
        <f t="shared" si="1"/>
        <v>4.125</v>
      </c>
      <c r="K24" s="35">
        <v>12</v>
      </c>
      <c r="L24" s="35">
        <v>40</v>
      </c>
      <c r="M24" s="35">
        <v>50</v>
      </c>
    </row>
    <row r="25" spans="2:13" s="18" customFormat="1" x14ac:dyDescent="0.2">
      <c r="B25" s="66"/>
      <c r="C25" s="76"/>
      <c r="D25" s="35" t="s">
        <v>119</v>
      </c>
      <c r="E25" s="6" t="s">
        <v>127</v>
      </c>
      <c r="F25" s="35" t="s">
        <v>7</v>
      </c>
      <c r="G25" s="44">
        <v>0</v>
      </c>
      <c r="H25" s="44">
        <v>0</v>
      </c>
      <c r="I25" s="27">
        <f t="shared" si="0"/>
        <v>0</v>
      </c>
      <c r="J25" s="38">
        <f t="shared" si="1"/>
        <v>0</v>
      </c>
      <c r="K25" s="35">
        <v>16</v>
      </c>
      <c r="L25" s="35">
        <v>40</v>
      </c>
      <c r="M25" s="35">
        <v>50</v>
      </c>
    </row>
    <row r="26" spans="2:13" s="18" customFormat="1" x14ac:dyDescent="0.2">
      <c r="B26" s="66"/>
      <c r="C26" s="76"/>
      <c r="D26" s="35" t="s">
        <v>120</v>
      </c>
      <c r="E26" s="6" t="s">
        <v>7</v>
      </c>
      <c r="F26" s="35" t="s">
        <v>24</v>
      </c>
      <c r="G26" s="44">
        <v>0</v>
      </c>
      <c r="H26" s="44">
        <v>0</v>
      </c>
      <c r="I26" s="27">
        <f t="shared" si="0"/>
        <v>0</v>
      </c>
      <c r="J26" s="38">
        <f t="shared" si="1"/>
        <v>0</v>
      </c>
      <c r="K26" s="35">
        <v>12</v>
      </c>
      <c r="L26" s="35">
        <v>40</v>
      </c>
      <c r="M26" s="35">
        <v>50</v>
      </c>
    </row>
    <row r="27" spans="2:13" s="18" customFormat="1" x14ac:dyDescent="0.2">
      <c r="B27" s="66"/>
      <c r="C27" s="76"/>
      <c r="D27" s="35" t="s">
        <v>121</v>
      </c>
      <c r="E27" s="6" t="s">
        <v>7</v>
      </c>
      <c r="F27" s="35" t="s">
        <v>24</v>
      </c>
      <c r="G27" s="44">
        <v>7400500</v>
      </c>
      <c r="H27" s="44">
        <v>445</v>
      </c>
      <c r="I27" s="27">
        <f t="shared" si="0"/>
        <v>55625</v>
      </c>
      <c r="J27" s="38">
        <f t="shared" si="1"/>
        <v>55.625</v>
      </c>
      <c r="K27" s="35">
        <v>12</v>
      </c>
      <c r="L27" s="35">
        <v>40</v>
      </c>
      <c r="M27" s="35">
        <v>50</v>
      </c>
    </row>
    <row r="28" spans="2:13" s="18" customFormat="1" x14ac:dyDescent="0.2">
      <c r="B28" s="66"/>
      <c r="C28" s="76"/>
      <c r="D28" s="35" t="s">
        <v>122</v>
      </c>
      <c r="E28" s="6" t="s">
        <v>128</v>
      </c>
      <c r="F28" s="35" t="s">
        <v>24</v>
      </c>
      <c r="G28" s="44">
        <v>3333820</v>
      </c>
      <c r="H28" s="44">
        <v>106</v>
      </c>
      <c r="I28" s="27">
        <f t="shared" si="0"/>
        <v>13250</v>
      </c>
      <c r="J28" s="38">
        <f t="shared" si="1"/>
        <v>13.25</v>
      </c>
      <c r="K28" s="35">
        <v>16</v>
      </c>
      <c r="L28" s="35">
        <v>100</v>
      </c>
      <c r="M28" s="35">
        <v>20</v>
      </c>
    </row>
    <row r="29" spans="2:13" s="18" customFormat="1" x14ac:dyDescent="0.2">
      <c r="B29" s="66"/>
      <c r="C29" s="76"/>
      <c r="D29" s="35" t="s">
        <v>123</v>
      </c>
      <c r="E29" s="6" t="s">
        <v>7</v>
      </c>
      <c r="F29" s="35" t="s">
        <v>24</v>
      </c>
      <c r="G29" s="44">
        <v>2020000</v>
      </c>
      <c r="H29" s="44">
        <v>85</v>
      </c>
      <c r="I29" s="27">
        <f t="shared" si="0"/>
        <v>10625</v>
      </c>
      <c r="J29" s="38">
        <f t="shared" si="1"/>
        <v>10.625</v>
      </c>
      <c r="K29" s="35">
        <v>12</v>
      </c>
      <c r="L29" s="35">
        <v>200</v>
      </c>
      <c r="M29" s="35">
        <v>10</v>
      </c>
    </row>
    <row r="30" spans="2:13" s="18" customFormat="1" x14ac:dyDescent="0.2">
      <c r="B30" s="66"/>
      <c r="C30" s="76"/>
      <c r="D30" s="35" t="s">
        <v>124</v>
      </c>
      <c r="E30" s="6" t="s">
        <v>7</v>
      </c>
      <c r="F30" s="35" t="s">
        <v>24</v>
      </c>
      <c r="G30" s="44">
        <v>0</v>
      </c>
      <c r="H30" s="44">
        <v>0</v>
      </c>
      <c r="I30" s="27">
        <f t="shared" si="0"/>
        <v>0</v>
      </c>
      <c r="J30" s="38">
        <f t="shared" si="1"/>
        <v>0</v>
      </c>
      <c r="K30" s="35">
        <v>16</v>
      </c>
      <c r="L30" s="35">
        <v>40</v>
      </c>
      <c r="M30" s="35">
        <v>50</v>
      </c>
    </row>
    <row r="31" spans="2:13" s="18" customFormat="1" ht="20.399999999999999" x14ac:dyDescent="0.2">
      <c r="B31" s="66"/>
      <c r="C31" s="77"/>
      <c r="D31" s="35" t="s">
        <v>125</v>
      </c>
      <c r="E31" s="6" t="s">
        <v>129</v>
      </c>
      <c r="F31" s="35" t="s">
        <v>24</v>
      </c>
      <c r="G31" s="44">
        <v>3599400</v>
      </c>
      <c r="H31" s="44">
        <v>120</v>
      </c>
      <c r="I31" s="27">
        <f t="shared" si="0"/>
        <v>15000</v>
      </c>
      <c r="J31" s="38">
        <f t="shared" si="1"/>
        <v>15</v>
      </c>
      <c r="K31" s="35">
        <v>12</v>
      </c>
      <c r="L31" s="35">
        <v>50</v>
      </c>
      <c r="M31" s="35">
        <v>50</v>
      </c>
    </row>
    <row r="32" spans="2:13" s="18" customFormat="1" x14ac:dyDescent="0.2">
      <c r="B32" s="66"/>
      <c r="C32" s="78">
        <v>9</v>
      </c>
      <c r="D32" s="35" t="s">
        <v>48</v>
      </c>
      <c r="E32" s="36" t="s">
        <v>57</v>
      </c>
      <c r="F32" s="35" t="s">
        <v>24</v>
      </c>
      <c r="G32" s="44">
        <v>355600</v>
      </c>
      <c r="H32" s="44">
        <v>12</v>
      </c>
      <c r="I32" s="27">
        <f t="shared" si="0"/>
        <v>1500</v>
      </c>
      <c r="J32" s="38">
        <f t="shared" si="1"/>
        <v>1.5</v>
      </c>
      <c r="K32" s="35">
        <v>16</v>
      </c>
      <c r="L32" s="35">
        <v>40</v>
      </c>
      <c r="M32" s="35">
        <v>50</v>
      </c>
    </row>
    <row r="33" spans="2:13" s="18" customFormat="1" x14ac:dyDescent="0.2">
      <c r="B33" s="66"/>
      <c r="C33" s="78"/>
      <c r="D33" s="35" t="s">
        <v>58</v>
      </c>
      <c r="E33" s="36" t="s">
        <v>59</v>
      </c>
      <c r="F33" s="35" t="s">
        <v>24</v>
      </c>
      <c r="G33" s="44">
        <v>12913460</v>
      </c>
      <c r="H33" s="44">
        <v>375</v>
      </c>
      <c r="I33" s="27">
        <f t="shared" si="0"/>
        <v>46875</v>
      </c>
      <c r="J33" s="38">
        <f t="shared" si="1"/>
        <v>46.875</v>
      </c>
      <c r="K33" s="35">
        <v>18</v>
      </c>
      <c r="L33" s="35">
        <v>40</v>
      </c>
      <c r="M33" s="35">
        <v>50</v>
      </c>
    </row>
    <row r="34" spans="2:13" s="18" customFormat="1" x14ac:dyDescent="0.2">
      <c r="B34" s="79" t="s">
        <v>18</v>
      </c>
      <c r="C34" s="30">
        <v>1</v>
      </c>
      <c r="D34" s="16" t="s">
        <v>68</v>
      </c>
      <c r="E34" s="8" t="s">
        <v>70</v>
      </c>
      <c r="F34" s="2" t="s">
        <v>69</v>
      </c>
      <c r="G34" s="10">
        <f>16887860+1896240</f>
        <v>18784100</v>
      </c>
      <c r="H34" s="44">
        <f>1128+160</f>
        <v>1288</v>
      </c>
      <c r="I34" s="27">
        <f t="shared" si="0"/>
        <v>161000</v>
      </c>
      <c r="J34" s="38">
        <f t="shared" si="1"/>
        <v>161</v>
      </c>
      <c r="K34" s="35">
        <v>40</v>
      </c>
      <c r="L34" s="35">
        <v>16</v>
      </c>
      <c r="M34" s="35">
        <v>40</v>
      </c>
    </row>
    <row r="35" spans="2:13" s="18" customFormat="1" x14ac:dyDescent="0.2">
      <c r="B35" s="79"/>
      <c r="C35" s="30">
        <v>2</v>
      </c>
      <c r="D35" s="15" t="s">
        <v>60</v>
      </c>
      <c r="E35" s="25" t="s">
        <v>61</v>
      </c>
      <c r="F35" s="24" t="s">
        <v>24</v>
      </c>
      <c r="G35" s="10">
        <v>13980130</v>
      </c>
      <c r="H35" s="44">
        <v>1468</v>
      </c>
      <c r="I35" s="27">
        <f t="shared" si="0"/>
        <v>183500</v>
      </c>
      <c r="J35" s="38">
        <f t="shared" si="1"/>
        <v>183.5</v>
      </c>
      <c r="K35" s="35">
        <v>48</v>
      </c>
      <c r="L35" s="35">
        <v>10</v>
      </c>
      <c r="M35" s="35">
        <v>20</v>
      </c>
    </row>
    <row r="36" spans="2:13" s="18" customFormat="1" x14ac:dyDescent="0.2">
      <c r="B36" s="79"/>
      <c r="C36" s="30">
        <v>3</v>
      </c>
      <c r="D36" s="30" t="s">
        <v>62</v>
      </c>
      <c r="E36" s="7" t="s">
        <v>63</v>
      </c>
      <c r="F36" s="24" t="s">
        <v>71</v>
      </c>
      <c r="G36" s="10">
        <f>11356085+920775</f>
        <v>12276860</v>
      </c>
      <c r="H36" s="44">
        <f>1683+136</f>
        <v>1819</v>
      </c>
      <c r="I36" s="27">
        <f t="shared" si="0"/>
        <v>227375</v>
      </c>
      <c r="J36" s="38">
        <f t="shared" si="1"/>
        <v>227.375</v>
      </c>
      <c r="K36" s="35">
        <v>6</v>
      </c>
      <c r="L36" s="35">
        <v>36</v>
      </c>
      <c r="M36" s="35">
        <v>25</v>
      </c>
    </row>
    <row r="37" spans="2:13" s="18" customFormat="1" x14ac:dyDescent="0.2">
      <c r="B37" s="79"/>
      <c r="C37" s="75">
        <v>4</v>
      </c>
      <c r="D37" s="15" t="s">
        <v>77</v>
      </c>
      <c r="E37" s="9" t="s">
        <v>75</v>
      </c>
      <c r="F37" s="29" t="s">
        <v>72</v>
      </c>
      <c r="G37" s="10">
        <v>3514750</v>
      </c>
      <c r="H37" s="10">
        <v>171</v>
      </c>
      <c r="I37" s="27">
        <f t="shared" si="0"/>
        <v>21375</v>
      </c>
      <c r="J37" s="38">
        <f t="shared" si="1"/>
        <v>21.375</v>
      </c>
      <c r="K37" s="35">
        <v>25</v>
      </c>
      <c r="L37" s="35">
        <v>10</v>
      </c>
      <c r="M37" s="35">
        <v>50</v>
      </c>
    </row>
    <row r="38" spans="2:13" s="18" customFormat="1" x14ac:dyDescent="0.2">
      <c r="B38" s="79"/>
      <c r="C38" s="76"/>
      <c r="D38" s="15" t="s">
        <v>78</v>
      </c>
      <c r="E38" s="9" t="s">
        <v>73</v>
      </c>
      <c r="F38" s="29" t="s">
        <v>41</v>
      </c>
      <c r="G38" s="10">
        <v>2535100</v>
      </c>
      <c r="H38" s="10">
        <v>208</v>
      </c>
      <c r="I38" s="27">
        <f t="shared" si="0"/>
        <v>26000</v>
      </c>
      <c r="J38" s="38">
        <f t="shared" si="1"/>
        <v>26</v>
      </c>
      <c r="K38" s="35">
        <v>25</v>
      </c>
      <c r="L38" s="35">
        <v>10</v>
      </c>
      <c r="M38" s="35">
        <v>50</v>
      </c>
    </row>
    <row r="39" spans="2:13" s="18" customFormat="1" x14ac:dyDescent="0.2">
      <c r="B39" s="79"/>
      <c r="C39" s="77"/>
      <c r="D39" s="15" t="s">
        <v>79</v>
      </c>
      <c r="E39" s="9" t="s">
        <v>74</v>
      </c>
      <c r="F39" s="29" t="s">
        <v>72</v>
      </c>
      <c r="G39" s="10">
        <v>5359775</v>
      </c>
      <c r="H39" s="10">
        <v>479</v>
      </c>
      <c r="I39" s="27">
        <f t="shared" si="0"/>
        <v>59875</v>
      </c>
      <c r="J39" s="38">
        <f t="shared" si="1"/>
        <v>59.875</v>
      </c>
      <c r="K39" s="35">
        <v>28</v>
      </c>
      <c r="L39" s="35">
        <v>16</v>
      </c>
      <c r="M39" s="35">
        <v>25</v>
      </c>
    </row>
    <row r="40" spans="2:13" s="18" customFormat="1" x14ac:dyDescent="0.2">
      <c r="B40" s="79"/>
      <c r="C40" s="30">
        <v>5</v>
      </c>
      <c r="D40" s="15" t="s">
        <v>76</v>
      </c>
      <c r="E40" s="9" t="s">
        <v>80</v>
      </c>
      <c r="F40" s="29" t="s">
        <v>72</v>
      </c>
      <c r="G40" s="10">
        <f>8323200</f>
        <v>8323200</v>
      </c>
      <c r="H40" s="10">
        <f>863</f>
        <v>863</v>
      </c>
      <c r="I40" s="27">
        <f t="shared" si="0"/>
        <v>107875</v>
      </c>
      <c r="J40" s="38">
        <f t="shared" si="1"/>
        <v>107.875</v>
      </c>
      <c r="K40" s="35">
        <v>16</v>
      </c>
      <c r="L40" s="35">
        <v>24</v>
      </c>
      <c r="M40" s="35">
        <v>25</v>
      </c>
    </row>
    <row r="41" spans="2:13" s="18" customFormat="1" ht="20.399999999999999" x14ac:dyDescent="0.2">
      <c r="B41" s="79"/>
      <c r="C41" s="66">
        <v>6</v>
      </c>
      <c r="D41" s="30" t="s">
        <v>64</v>
      </c>
      <c r="E41" s="8" t="s">
        <v>65</v>
      </c>
      <c r="F41" s="29" t="s">
        <v>41</v>
      </c>
      <c r="G41" s="10">
        <v>3633930</v>
      </c>
      <c r="H41" s="10">
        <v>313</v>
      </c>
      <c r="I41" s="27">
        <f t="shared" si="0"/>
        <v>39125</v>
      </c>
      <c r="J41" s="38">
        <f t="shared" si="1"/>
        <v>39.125</v>
      </c>
      <c r="K41" s="35">
        <v>20</v>
      </c>
      <c r="L41" s="35">
        <v>24</v>
      </c>
      <c r="M41" s="35">
        <v>30</v>
      </c>
    </row>
    <row r="42" spans="2:13" s="18" customFormat="1" x14ac:dyDescent="0.2">
      <c r="B42" s="79"/>
      <c r="C42" s="66"/>
      <c r="D42" s="30" t="s">
        <v>66</v>
      </c>
      <c r="E42" s="25" t="s">
        <v>67</v>
      </c>
      <c r="F42" s="29" t="s">
        <v>41</v>
      </c>
      <c r="G42" s="10">
        <v>3541070</v>
      </c>
      <c r="H42" s="10">
        <v>203</v>
      </c>
      <c r="I42" s="27">
        <f t="shared" si="0"/>
        <v>25375</v>
      </c>
      <c r="J42" s="38">
        <f t="shared" si="1"/>
        <v>25.375</v>
      </c>
      <c r="K42" s="35">
        <v>32</v>
      </c>
      <c r="L42" s="35">
        <v>12</v>
      </c>
      <c r="M42" s="35">
        <v>50</v>
      </c>
    </row>
    <row r="43" spans="2:13" s="18" customFormat="1" x14ac:dyDescent="0.2">
      <c r="B43" s="79"/>
      <c r="C43" s="15">
        <v>7</v>
      </c>
      <c r="D43" s="15" t="s">
        <v>82</v>
      </c>
      <c r="E43" s="32" t="s">
        <v>81</v>
      </c>
      <c r="F43" s="29" t="s">
        <v>41</v>
      </c>
      <c r="G43" s="10">
        <v>5500405</v>
      </c>
      <c r="H43" s="44">
        <v>473</v>
      </c>
      <c r="I43" s="27">
        <f t="shared" si="0"/>
        <v>59125</v>
      </c>
      <c r="J43" s="38">
        <f t="shared" si="1"/>
        <v>59.125</v>
      </c>
      <c r="K43" s="35">
        <v>12</v>
      </c>
      <c r="L43" s="35">
        <v>1000</v>
      </c>
      <c r="M43" s="35">
        <v>1</v>
      </c>
    </row>
    <row r="44" spans="2:13" s="18" customFormat="1" x14ac:dyDescent="0.2">
      <c r="B44" s="76" t="s">
        <v>283</v>
      </c>
      <c r="C44" s="75">
        <v>1</v>
      </c>
      <c r="D44" s="29" t="s">
        <v>87</v>
      </c>
      <c r="E44" s="8" t="s">
        <v>90</v>
      </c>
      <c r="F44" s="24" t="s">
        <v>41</v>
      </c>
      <c r="G44" s="44">
        <v>179600</v>
      </c>
      <c r="H44" s="44">
        <v>22</v>
      </c>
      <c r="I44" s="27">
        <f t="shared" si="0"/>
        <v>2750</v>
      </c>
      <c r="J44" s="38">
        <f t="shared" si="1"/>
        <v>2.75</v>
      </c>
      <c r="K44" s="35">
        <v>42</v>
      </c>
      <c r="L44" s="35">
        <v>100</v>
      </c>
      <c r="M44" s="35">
        <v>2</v>
      </c>
    </row>
    <row r="45" spans="2:13" s="18" customFormat="1" ht="30.6" x14ac:dyDescent="0.2">
      <c r="B45" s="76"/>
      <c r="C45" s="76"/>
      <c r="D45" s="29" t="s">
        <v>88</v>
      </c>
      <c r="E45" s="8" t="s">
        <v>91</v>
      </c>
      <c r="F45" s="24" t="s">
        <v>41</v>
      </c>
      <c r="G45" s="44">
        <v>2053751</v>
      </c>
      <c r="H45" s="44">
        <v>149</v>
      </c>
      <c r="I45" s="27">
        <f t="shared" si="0"/>
        <v>18625</v>
      </c>
      <c r="J45" s="38">
        <f t="shared" si="1"/>
        <v>18.625</v>
      </c>
      <c r="K45" s="35">
        <v>12</v>
      </c>
      <c r="L45" s="35">
        <v>40</v>
      </c>
      <c r="M45" s="35">
        <v>25</v>
      </c>
    </row>
    <row r="46" spans="2:13" s="18" customFormat="1" x14ac:dyDescent="0.2">
      <c r="B46" s="76"/>
      <c r="C46" s="76"/>
      <c r="D46" s="29" t="s">
        <v>292</v>
      </c>
      <c r="E46" s="8" t="s">
        <v>92</v>
      </c>
      <c r="F46" s="24" t="s">
        <v>41</v>
      </c>
      <c r="G46" s="44">
        <v>4431660</v>
      </c>
      <c r="H46" s="44">
        <v>446</v>
      </c>
      <c r="I46" s="27">
        <f t="shared" si="0"/>
        <v>55750</v>
      </c>
      <c r="J46" s="38">
        <f t="shared" si="1"/>
        <v>55.75</v>
      </c>
      <c r="K46" s="35">
        <v>9</v>
      </c>
      <c r="L46" s="35">
        <v>42</v>
      </c>
      <c r="M46" s="35">
        <v>24</v>
      </c>
    </row>
    <row r="47" spans="2:13" s="18" customFormat="1" x14ac:dyDescent="0.2">
      <c r="B47" s="76"/>
      <c r="C47" s="76"/>
      <c r="D47" s="29" t="s">
        <v>293</v>
      </c>
      <c r="E47" s="8"/>
      <c r="F47" s="24" t="s">
        <v>41</v>
      </c>
      <c r="G47" s="44">
        <v>2025000</v>
      </c>
      <c r="H47" s="44">
        <v>165</v>
      </c>
      <c r="I47" s="27">
        <f t="shared" si="0"/>
        <v>20625</v>
      </c>
      <c r="J47" s="38">
        <f t="shared" si="1"/>
        <v>20.625</v>
      </c>
      <c r="K47" s="35">
        <v>16</v>
      </c>
      <c r="L47" s="35">
        <v>40</v>
      </c>
      <c r="M47" s="35">
        <v>25</v>
      </c>
    </row>
    <row r="48" spans="2:13" s="18" customFormat="1" x14ac:dyDescent="0.2">
      <c r="B48" s="76"/>
      <c r="C48" s="76"/>
      <c r="D48" s="29" t="s">
        <v>294</v>
      </c>
      <c r="E48" s="8"/>
      <c r="F48" s="24" t="s">
        <v>41</v>
      </c>
      <c r="G48" s="44">
        <v>537850</v>
      </c>
      <c r="H48" s="44">
        <v>39</v>
      </c>
      <c r="I48" s="27">
        <f t="shared" si="0"/>
        <v>4875</v>
      </c>
      <c r="J48" s="38">
        <f t="shared" si="1"/>
        <v>4.875</v>
      </c>
      <c r="K48" s="35">
        <v>15</v>
      </c>
      <c r="L48" s="35">
        <v>40</v>
      </c>
      <c r="M48" s="35">
        <v>25</v>
      </c>
    </row>
    <row r="49" spans="2:13" s="18" customFormat="1" x14ac:dyDescent="0.2">
      <c r="B49" s="76"/>
      <c r="C49" s="76"/>
      <c r="D49" s="29" t="s">
        <v>7</v>
      </c>
      <c r="E49" s="8"/>
      <c r="F49" s="24" t="s">
        <v>41</v>
      </c>
      <c r="G49" s="44">
        <v>6796416</v>
      </c>
      <c r="H49" s="44">
        <v>582</v>
      </c>
      <c r="I49" s="27">
        <f t="shared" si="0"/>
        <v>72750</v>
      </c>
      <c r="J49" s="38">
        <f t="shared" si="1"/>
        <v>72.75</v>
      </c>
      <c r="K49" s="35" t="s">
        <v>255</v>
      </c>
      <c r="L49" s="35" t="s">
        <v>255</v>
      </c>
      <c r="M49" s="35" t="s">
        <v>255</v>
      </c>
    </row>
    <row r="50" spans="2:13" s="18" customFormat="1" x14ac:dyDescent="0.2">
      <c r="B50" s="76"/>
      <c r="C50" s="77"/>
      <c r="D50" s="29" t="s">
        <v>89</v>
      </c>
      <c r="E50" s="25" t="s">
        <v>7</v>
      </c>
      <c r="F50" s="24" t="s">
        <v>41</v>
      </c>
      <c r="G50" s="44">
        <v>674068</v>
      </c>
      <c r="H50" s="44">
        <v>86</v>
      </c>
      <c r="I50" s="27">
        <f t="shared" si="0"/>
        <v>10750</v>
      </c>
      <c r="J50" s="38">
        <f t="shared" si="1"/>
        <v>10.75</v>
      </c>
      <c r="K50" s="35">
        <v>18</v>
      </c>
      <c r="L50" s="35">
        <v>20</v>
      </c>
      <c r="M50" s="35">
        <v>50</v>
      </c>
    </row>
    <row r="51" spans="2:13" s="18" customFormat="1" x14ac:dyDescent="0.2">
      <c r="B51" s="76"/>
      <c r="C51" s="75">
        <v>2</v>
      </c>
      <c r="D51" s="35" t="s">
        <v>93</v>
      </c>
      <c r="E51" s="25" t="s">
        <v>102</v>
      </c>
      <c r="F51" s="24" t="s">
        <v>41</v>
      </c>
      <c r="G51" s="44">
        <v>207360</v>
      </c>
      <c r="H51" s="44">
        <v>9</v>
      </c>
      <c r="I51" s="27">
        <f t="shared" si="0"/>
        <v>1125</v>
      </c>
      <c r="J51" s="38">
        <f t="shared" si="1"/>
        <v>1.125</v>
      </c>
      <c r="K51" s="35">
        <v>24</v>
      </c>
      <c r="L51" s="35">
        <v>12</v>
      </c>
      <c r="M51" s="35">
        <v>80</v>
      </c>
    </row>
    <row r="52" spans="2:13" s="18" customFormat="1" x14ac:dyDescent="0.2">
      <c r="B52" s="76"/>
      <c r="C52" s="76"/>
      <c r="D52" s="35" t="s">
        <v>94</v>
      </c>
      <c r="E52" s="25" t="s">
        <v>103</v>
      </c>
      <c r="F52" s="24" t="s">
        <v>41</v>
      </c>
      <c r="G52" s="44">
        <v>5584020</v>
      </c>
      <c r="H52" s="44">
        <v>330</v>
      </c>
      <c r="I52" s="27">
        <f t="shared" si="0"/>
        <v>41250</v>
      </c>
      <c r="J52" s="38">
        <f t="shared" si="1"/>
        <v>41.25</v>
      </c>
      <c r="K52" s="35">
        <v>16</v>
      </c>
      <c r="L52" s="35">
        <v>36</v>
      </c>
      <c r="M52" s="35">
        <v>30</v>
      </c>
    </row>
    <row r="53" spans="2:13" s="18" customFormat="1" x14ac:dyDescent="0.2">
      <c r="B53" s="76"/>
      <c r="C53" s="76"/>
      <c r="D53" s="35" t="s">
        <v>95</v>
      </c>
      <c r="E53" s="25" t="s">
        <v>104</v>
      </c>
      <c r="F53" s="24" t="s">
        <v>41</v>
      </c>
      <c r="G53" s="44">
        <v>54500</v>
      </c>
      <c r="H53" s="44">
        <v>4</v>
      </c>
      <c r="I53" s="27">
        <f t="shared" si="0"/>
        <v>500</v>
      </c>
      <c r="J53" s="38">
        <f t="shared" si="1"/>
        <v>0.5</v>
      </c>
      <c r="K53" s="35">
        <v>8</v>
      </c>
      <c r="L53" s="35">
        <v>200</v>
      </c>
      <c r="M53" s="35">
        <v>10</v>
      </c>
    </row>
    <row r="54" spans="2:13" s="18" customFormat="1" x14ac:dyDescent="0.2">
      <c r="B54" s="76"/>
      <c r="C54" s="76"/>
      <c r="D54" s="35" t="s">
        <v>96</v>
      </c>
      <c r="E54" s="25" t="s">
        <v>105</v>
      </c>
      <c r="F54" s="24" t="s">
        <v>41</v>
      </c>
      <c r="G54" s="44">
        <v>0</v>
      </c>
      <c r="H54" s="44"/>
      <c r="I54" s="27">
        <f t="shared" si="0"/>
        <v>0</v>
      </c>
      <c r="J54" s="38">
        <f t="shared" si="1"/>
        <v>0</v>
      </c>
      <c r="K54" s="35">
        <v>12</v>
      </c>
      <c r="L54" s="35">
        <v>30</v>
      </c>
      <c r="M54" s="35">
        <v>20</v>
      </c>
    </row>
    <row r="55" spans="2:13" s="18" customFormat="1" x14ac:dyDescent="0.2">
      <c r="B55" s="76"/>
      <c r="C55" s="76"/>
      <c r="D55" s="35" t="s">
        <v>290</v>
      </c>
      <c r="E55" s="83" t="s">
        <v>53</v>
      </c>
      <c r="F55" s="24" t="s">
        <v>41</v>
      </c>
      <c r="G55" s="44">
        <v>408700</v>
      </c>
      <c r="H55" s="44">
        <v>33</v>
      </c>
      <c r="I55" s="27">
        <f t="shared" si="0"/>
        <v>4125</v>
      </c>
      <c r="J55" s="38">
        <f t="shared" si="1"/>
        <v>4.125</v>
      </c>
      <c r="K55" s="35">
        <v>14</v>
      </c>
      <c r="L55" s="35">
        <v>200</v>
      </c>
      <c r="M55" s="35">
        <v>5</v>
      </c>
    </row>
    <row r="56" spans="2:13" s="18" customFormat="1" x14ac:dyDescent="0.2">
      <c r="B56" s="76"/>
      <c r="C56" s="76"/>
      <c r="D56" s="35" t="s">
        <v>97</v>
      </c>
      <c r="E56" s="84"/>
      <c r="F56" s="24" t="s">
        <v>41</v>
      </c>
      <c r="G56" s="44">
        <v>1500</v>
      </c>
      <c r="H56" s="44">
        <v>1</v>
      </c>
      <c r="I56" s="27">
        <f t="shared" si="0"/>
        <v>125</v>
      </c>
      <c r="J56" s="38">
        <f t="shared" si="1"/>
        <v>0.125</v>
      </c>
      <c r="K56" s="35">
        <v>1</v>
      </c>
      <c r="L56" s="35">
        <v>150</v>
      </c>
      <c r="M56" s="35">
        <v>10</v>
      </c>
    </row>
    <row r="57" spans="2:13" s="18" customFormat="1" x14ac:dyDescent="0.2">
      <c r="B57" s="76"/>
      <c r="C57" s="76"/>
      <c r="D57" s="35" t="s">
        <v>284</v>
      </c>
      <c r="E57" s="84"/>
      <c r="F57" s="24" t="s">
        <v>41</v>
      </c>
      <c r="G57" s="44">
        <v>23500</v>
      </c>
      <c r="H57" s="44">
        <v>3</v>
      </c>
      <c r="I57" s="27">
        <f t="shared" si="0"/>
        <v>375</v>
      </c>
      <c r="J57" s="38">
        <f t="shared" si="1"/>
        <v>0.375</v>
      </c>
      <c r="K57" s="35">
        <v>16</v>
      </c>
      <c r="L57" s="35">
        <v>100</v>
      </c>
      <c r="M57" s="35">
        <v>10</v>
      </c>
    </row>
    <row r="58" spans="2:13" s="18" customFormat="1" x14ac:dyDescent="0.2">
      <c r="B58" s="76"/>
      <c r="C58" s="76"/>
      <c r="D58" s="35" t="s">
        <v>98</v>
      </c>
      <c r="E58" s="84"/>
      <c r="F58" s="24" t="s">
        <v>41</v>
      </c>
      <c r="G58" s="44">
        <v>0</v>
      </c>
      <c r="H58" s="44"/>
      <c r="I58" s="27">
        <f t="shared" si="0"/>
        <v>0</v>
      </c>
      <c r="J58" s="38">
        <f t="shared" si="1"/>
        <v>0</v>
      </c>
      <c r="K58" s="35">
        <v>20</v>
      </c>
      <c r="L58" s="35">
        <v>20</v>
      </c>
      <c r="M58" s="35">
        <v>50</v>
      </c>
    </row>
    <row r="59" spans="2:13" s="18" customFormat="1" x14ac:dyDescent="0.2">
      <c r="B59" s="76"/>
      <c r="C59" s="76"/>
      <c r="D59" s="35" t="s">
        <v>99</v>
      </c>
      <c r="E59" s="84"/>
      <c r="F59" s="24" t="s">
        <v>41</v>
      </c>
      <c r="G59" s="44">
        <v>0</v>
      </c>
      <c r="H59" s="44"/>
      <c r="I59" s="27">
        <f t="shared" si="0"/>
        <v>0</v>
      </c>
      <c r="J59" s="38">
        <f t="shared" si="1"/>
        <v>0</v>
      </c>
      <c r="K59" s="35">
        <v>16</v>
      </c>
      <c r="L59" s="35">
        <v>2</v>
      </c>
      <c r="M59" s="35">
        <v>500</v>
      </c>
    </row>
    <row r="60" spans="2:13" s="18" customFormat="1" x14ac:dyDescent="0.2">
      <c r="B60" s="76"/>
      <c r="C60" s="76"/>
      <c r="D60" s="35" t="s">
        <v>100</v>
      </c>
      <c r="E60" s="84"/>
      <c r="F60" s="24" t="s">
        <v>41</v>
      </c>
      <c r="G60" s="44">
        <v>1290</v>
      </c>
      <c r="H60" s="44">
        <v>1</v>
      </c>
      <c r="I60" s="27">
        <f t="shared" si="0"/>
        <v>125</v>
      </c>
      <c r="J60" s="38">
        <f t="shared" si="1"/>
        <v>0.125</v>
      </c>
      <c r="K60" s="35">
        <v>1</v>
      </c>
      <c r="L60" s="35">
        <v>140</v>
      </c>
      <c r="M60" s="35">
        <v>10</v>
      </c>
    </row>
    <row r="61" spans="2:13" s="18" customFormat="1" x14ac:dyDescent="0.2">
      <c r="B61" s="76"/>
      <c r="C61" s="77"/>
      <c r="D61" s="35" t="s">
        <v>101</v>
      </c>
      <c r="E61" s="85"/>
      <c r="F61" s="24" t="s">
        <v>41</v>
      </c>
      <c r="G61" s="44">
        <v>10500</v>
      </c>
      <c r="H61" s="44">
        <v>1</v>
      </c>
      <c r="I61" s="27">
        <f t="shared" si="0"/>
        <v>125</v>
      </c>
      <c r="J61" s="38">
        <f t="shared" si="1"/>
        <v>0.125</v>
      </c>
      <c r="K61" s="35">
        <v>7</v>
      </c>
      <c r="L61" s="35">
        <v>1500</v>
      </c>
      <c r="M61" s="35">
        <v>1</v>
      </c>
    </row>
    <row r="62" spans="2:13" s="18" customFormat="1" x14ac:dyDescent="0.2">
      <c r="B62" s="76"/>
      <c r="C62" s="75">
        <v>3</v>
      </c>
      <c r="D62" s="29" t="s">
        <v>85</v>
      </c>
      <c r="E62" s="9" t="s">
        <v>86</v>
      </c>
      <c r="F62" s="29" t="s">
        <v>41</v>
      </c>
      <c r="G62" s="10">
        <f>3947104+4260</f>
        <v>3951364</v>
      </c>
      <c r="H62" s="10">
        <f>215+2</f>
        <v>217</v>
      </c>
      <c r="I62" s="27">
        <f t="shared" si="0"/>
        <v>27125</v>
      </c>
      <c r="J62" s="38">
        <f t="shared" si="1"/>
        <v>27.125</v>
      </c>
      <c r="K62" s="35">
        <v>9</v>
      </c>
      <c r="L62" s="35">
        <v>80</v>
      </c>
      <c r="M62" s="35">
        <v>20</v>
      </c>
    </row>
    <row r="63" spans="2:13" s="18" customFormat="1" x14ac:dyDescent="0.2">
      <c r="B63" s="76"/>
      <c r="C63" s="77"/>
      <c r="D63" s="29" t="s">
        <v>130</v>
      </c>
      <c r="E63" s="9" t="s">
        <v>7</v>
      </c>
      <c r="F63" s="29" t="s">
        <v>41</v>
      </c>
      <c r="G63" s="10">
        <v>0</v>
      </c>
      <c r="H63" s="10">
        <v>0</v>
      </c>
      <c r="I63" s="27">
        <f t="shared" si="0"/>
        <v>0</v>
      </c>
      <c r="J63" s="38">
        <f t="shared" si="1"/>
        <v>0</v>
      </c>
      <c r="K63" s="35">
        <v>14</v>
      </c>
      <c r="L63" s="35">
        <v>20</v>
      </c>
      <c r="M63" s="35">
        <v>20</v>
      </c>
    </row>
    <row r="64" spans="2:13" s="18" customFormat="1" x14ac:dyDescent="0.2">
      <c r="B64" s="76"/>
      <c r="C64" s="30">
        <v>4</v>
      </c>
      <c r="D64" s="29" t="s">
        <v>83</v>
      </c>
      <c r="E64" s="9" t="s">
        <v>84</v>
      </c>
      <c r="F64" s="29"/>
      <c r="G64" s="10">
        <v>2273500</v>
      </c>
      <c r="H64" s="10">
        <v>186</v>
      </c>
      <c r="I64" s="27">
        <f t="shared" si="0"/>
        <v>23250</v>
      </c>
      <c r="J64" s="38">
        <f t="shared" si="1"/>
        <v>23.25</v>
      </c>
      <c r="K64" s="35">
        <v>118</v>
      </c>
      <c r="L64" s="35">
        <v>10</v>
      </c>
      <c r="M64" s="35">
        <v>10</v>
      </c>
    </row>
    <row r="65" spans="2:13" s="18" customFormat="1" x14ac:dyDescent="0.2">
      <c r="B65" s="76"/>
      <c r="C65" s="75">
        <v>5</v>
      </c>
      <c r="D65" s="35" t="s">
        <v>106</v>
      </c>
      <c r="E65" s="22" t="s">
        <v>53</v>
      </c>
      <c r="F65" s="29" t="s">
        <v>41</v>
      </c>
      <c r="G65" s="10">
        <v>3782550</v>
      </c>
      <c r="H65" s="10">
        <v>499</v>
      </c>
      <c r="I65" s="27">
        <f t="shared" si="0"/>
        <v>62375</v>
      </c>
      <c r="J65" s="38">
        <f t="shared" si="1"/>
        <v>62.375</v>
      </c>
      <c r="K65" s="35">
        <v>15</v>
      </c>
      <c r="L65" s="35">
        <v>10</v>
      </c>
      <c r="M65" s="35">
        <v>50</v>
      </c>
    </row>
    <row r="66" spans="2:13" s="18" customFormat="1" x14ac:dyDescent="0.2">
      <c r="B66" s="77"/>
      <c r="C66" s="77"/>
      <c r="D66" s="29" t="s">
        <v>107</v>
      </c>
      <c r="E66" s="9" t="s">
        <v>108</v>
      </c>
      <c r="F66" s="29" t="s">
        <v>41</v>
      </c>
      <c r="G66" s="10">
        <v>1377870</v>
      </c>
      <c r="H66" s="10">
        <v>119</v>
      </c>
      <c r="I66" s="27">
        <f t="shared" si="0"/>
        <v>14875</v>
      </c>
      <c r="J66" s="38">
        <f t="shared" si="1"/>
        <v>14.875</v>
      </c>
      <c r="K66" s="35">
        <v>12</v>
      </c>
      <c r="L66" s="35">
        <v>100</v>
      </c>
      <c r="M66" s="35">
        <v>10</v>
      </c>
    </row>
    <row r="67" spans="2:13" s="18" customFormat="1" x14ac:dyDescent="0.2">
      <c r="C67" s="39"/>
      <c r="E67" s="17"/>
      <c r="F67" s="17"/>
      <c r="G67" s="12"/>
      <c r="H67" s="46"/>
      <c r="K67" s="39"/>
      <c r="L67" s="39"/>
      <c r="M67" s="39"/>
    </row>
    <row r="68" spans="2:13" s="18" customFormat="1" x14ac:dyDescent="0.2">
      <c r="B68" s="34" t="s">
        <v>8</v>
      </c>
      <c r="C68" s="39"/>
      <c r="E68" s="17"/>
      <c r="F68" s="17"/>
      <c r="G68" s="12"/>
      <c r="H68" s="46"/>
      <c r="K68" s="39"/>
      <c r="L68" s="39"/>
      <c r="M68" s="39"/>
    </row>
    <row r="69" spans="2:13" s="18" customFormat="1" x14ac:dyDescent="0.2">
      <c r="B69" s="31" t="s">
        <v>296</v>
      </c>
      <c r="C69" s="39"/>
      <c r="E69" s="17"/>
      <c r="F69" s="17"/>
      <c r="G69" s="12"/>
      <c r="H69" s="46"/>
      <c r="K69" s="39"/>
      <c r="L69" s="39"/>
      <c r="M69" s="39"/>
    </row>
    <row r="70" spans="2:13" s="18" customFormat="1" x14ac:dyDescent="0.2">
      <c r="C70" s="39"/>
      <c r="E70" s="17"/>
      <c r="F70" s="17"/>
      <c r="G70" s="12"/>
      <c r="H70" s="46"/>
      <c r="K70" s="39"/>
      <c r="L70" s="39"/>
      <c r="M70" s="39"/>
    </row>
    <row r="71" spans="2:13" s="18" customFormat="1" x14ac:dyDescent="0.2">
      <c r="B71" s="56" t="s">
        <v>146</v>
      </c>
      <c r="C71" s="57"/>
      <c r="D71" s="57"/>
      <c r="E71" s="57"/>
      <c r="F71" s="57"/>
      <c r="G71" s="57"/>
      <c r="H71" s="57"/>
      <c r="I71" s="57"/>
      <c r="J71" s="57"/>
      <c r="K71" s="57"/>
      <c r="L71" s="57"/>
      <c r="M71" s="58"/>
    </row>
    <row r="72" spans="2:13" s="18" customFormat="1" x14ac:dyDescent="0.2">
      <c r="B72" s="59"/>
      <c r="C72" s="60"/>
      <c r="D72" s="60"/>
      <c r="E72" s="60"/>
      <c r="F72" s="60"/>
      <c r="G72" s="60"/>
      <c r="H72" s="60"/>
      <c r="I72" s="60"/>
      <c r="J72" s="60"/>
      <c r="K72" s="60"/>
      <c r="L72" s="60"/>
      <c r="M72" s="61"/>
    </row>
    <row r="73" spans="2:13" s="18" customFormat="1" ht="30.6" x14ac:dyDescent="0.2">
      <c r="B73" s="21" t="s">
        <v>0</v>
      </c>
      <c r="C73" s="21" t="s">
        <v>1</v>
      </c>
      <c r="D73" s="21" t="s">
        <v>15</v>
      </c>
      <c r="E73" s="20" t="s">
        <v>2</v>
      </c>
      <c r="F73" s="20" t="s">
        <v>11</v>
      </c>
      <c r="G73" s="28" t="s">
        <v>3</v>
      </c>
      <c r="H73" s="28" t="s">
        <v>4</v>
      </c>
      <c r="I73" s="28" t="s">
        <v>5</v>
      </c>
      <c r="J73" s="26" t="s">
        <v>6</v>
      </c>
      <c r="K73" s="26" t="s">
        <v>143</v>
      </c>
      <c r="L73" s="26" t="s">
        <v>144</v>
      </c>
      <c r="M73" s="26" t="s">
        <v>145</v>
      </c>
    </row>
    <row r="74" spans="2:13" s="18" customFormat="1" x14ac:dyDescent="0.2">
      <c r="B74" s="80" t="s">
        <v>16</v>
      </c>
      <c r="C74" s="75">
        <v>1</v>
      </c>
      <c r="D74" s="35" t="s">
        <v>20</v>
      </c>
      <c r="E74" s="36" t="s">
        <v>23</v>
      </c>
      <c r="F74" s="16" t="s">
        <v>24</v>
      </c>
      <c r="G74" s="47">
        <v>874200</v>
      </c>
      <c r="H74" s="51">
        <v>13</v>
      </c>
      <c r="I74" s="51">
        <f>H74*200</f>
        <v>2600</v>
      </c>
      <c r="J74" s="52">
        <f>I74/1000</f>
        <v>2.6</v>
      </c>
      <c r="K74" s="35">
        <v>74</v>
      </c>
      <c r="L74" s="35">
        <v>10</v>
      </c>
      <c r="M74" s="35">
        <v>100</v>
      </c>
    </row>
    <row r="75" spans="2:13" s="18" customFormat="1" x14ac:dyDescent="0.2">
      <c r="B75" s="81"/>
      <c r="C75" s="76"/>
      <c r="D75" s="35" t="s">
        <v>21</v>
      </c>
      <c r="E75" s="36" t="s">
        <v>23</v>
      </c>
      <c r="F75" s="16" t="s">
        <v>24</v>
      </c>
      <c r="G75" s="47">
        <v>13629900</v>
      </c>
      <c r="H75" s="51">
        <v>245</v>
      </c>
      <c r="I75" s="51">
        <f t="shared" ref="I75:I79" si="2">H75*200</f>
        <v>49000</v>
      </c>
      <c r="J75" s="52">
        <f t="shared" ref="J75:J79" si="3">I75/1000</f>
        <v>49</v>
      </c>
      <c r="K75" s="35">
        <v>57</v>
      </c>
      <c r="L75" s="35">
        <v>10</v>
      </c>
      <c r="M75" s="35">
        <v>100</v>
      </c>
    </row>
    <row r="76" spans="2:13" s="18" customFormat="1" x14ac:dyDescent="0.2">
      <c r="B76" s="81"/>
      <c r="C76" s="77"/>
      <c r="D76" s="35" t="s">
        <v>22</v>
      </c>
      <c r="E76" s="36" t="s">
        <v>23</v>
      </c>
      <c r="F76" s="35" t="s">
        <v>12</v>
      </c>
      <c r="G76" s="47">
        <v>150532500</v>
      </c>
      <c r="H76" s="47">
        <v>2585</v>
      </c>
      <c r="I76" s="51">
        <f t="shared" si="2"/>
        <v>517000</v>
      </c>
      <c r="J76" s="52">
        <f t="shared" si="3"/>
        <v>517</v>
      </c>
      <c r="K76" s="35">
        <v>54</v>
      </c>
      <c r="L76" s="35">
        <v>10</v>
      </c>
      <c r="M76" s="35">
        <v>100</v>
      </c>
    </row>
    <row r="77" spans="2:13" s="18" customFormat="1" x14ac:dyDescent="0.2">
      <c r="B77" s="81"/>
      <c r="C77" s="30">
        <v>2</v>
      </c>
      <c r="D77" s="23" t="s">
        <v>25</v>
      </c>
      <c r="E77" s="36" t="s">
        <v>23</v>
      </c>
      <c r="F77" s="24" t="s">
        <v>24</v>
      </c>
      <c r="G77" s="10">
        <f>118316250+2062100</f>
        <v>120378350</v>
      </c>
      <c r="H77" s="44">
        <f>1724+33</f>
        <v>1757</v>
      </c>
      <c r="I77" s="51">
        <f t="shared" si="2"/>
        <v>351400</v>
      </c>
      <c r="J77" s="52">
        <f t="shared" si="3"/>
        <v>351.4</v>
      </c>
      <c r="K77" s="35">
        <v>70</v>
      </c>
      <c r="L77" s="35">
        <v>10</v>
      </c>
      <c r="M77" s="35">
        <v>100</v>
      </c>
    </row>
    <row r="78" spans="2:13" s="18" customFormat="1" x14ac:dyDescent="0.2">
      <c r="B78" s="81"/>
      <c r="C78" s="30">
        <v>3</v>
      </c>
      <c r="D78" s="23" t="s">
        <v>26</v>
      </c>
      <c r="E78" s="36" t="s">
        <v>27</v>
      </c>
      <c r="F78" s="24" t="s">
        <v>24</v>
      </c>
      <c r="G78" s="10">
        <f>16814400+118094500</f>
        <v>134908900</v>
      </c>
      <c r="H78" s="44">
        <f>207+1420</f>
        <v>1627</v>
      </c>
      <c r="I78" s="51">
        <f t="shared" si="2"/>
        <v>325400</v>
      </c>
      <c r="J78" s="52">
        <f t="shared" si="3"/>
        <v>325.39999999999998</v>
      </c>
      <c r="K78" s="35">
        <v>72</v>
      </c>
      <c r="L78" s="35">
        <v>10</v>
      </c>
      <c r="M78" s="35">
        <v>100</v>
      </c>
    </row>
    <row r="79" spans="2:13" s="18" customFormat="1" x14ac:dyDescent="0.2">
      <c r="B79" s="82"/>
      <c r="C79" s="30">
        <v>4</v>
      </c>
      <c r="D79" s="24" t="s">
        <v>28</v>
      </c>
      <c r="E79" s="36" t="s">
        <v>23</v>
      </c>
      <c r="F79" s="24" t="s">
        <v>24</v>
      </c>
      <c r="G79" s="10">
        <v>10200000</v>
      </c>
      <c r="H79" s="44">
        <v>151</v>
      </c>
      <c r="I79" s="51">
        <f t="shared" si="2"/>
        <v>30200</v>
      </c>
      <c r="J79" s="52">
        <f t="shared" si="3"/>
        <v>30.2</v>
      </c>
      <c r="K79" s="35">
        <v>70</v>
      </c>
      <c r="L79" s="35">
        <v>10</v>
      </c>
      <c r="M79" s="35">
        <v>100</v>
      </c>
    </row>
    <row r="80" spans="2:13" s="18" customFormat="1" x14ac:dyDescent="0.2">
      <c r="C80" s="39"/>
      <c r="E80" s="17"/>
      <c r="F80" s="17"/>
      <c r="G80" s="12"/>
      <c r="H80" s="46"/>
      <c r="K80" s="39"/>
      <c r="L80" s="39"/>
      <c r="M80" s="39"/>
    </row>
    <row r="81" spans="2:13" s="18" customFormat="1" x14ac:dyDescent="0.2">
      <c r="B81" s="34" t="s">
        <v>9</v>
      </c>
      <c r="C81" s="39"/>
      <c r="E81" s="17"/>
      <c r="F81" s="17"/>
      <c r="G81" s="12"/>
      <c r="H81" s="46"/>
      <c r="K81" s="39"/>
      <c r="L81" s="39"/>
      <c r="M81" s="39"/>
    </row>
    <row r="82" spans="2:13" s="18" customFormat="1" x14ac:dyDescent="0.2">
      <c r="B82" s="31" t="s">
        <v>289</v>
      </c>
      <c r="C82" s="39"/>
      <c r="E82" s="17"/>
      <c r="F82" s="17"/>
      <c r="G82" s="12"/>
      <c r="H82" s="46"/>
      <c r="K82" s="39"/>
      <c r="L82" s="39"/>
      <c r="M82" s="39"/>
    </row>
    <row r="83" spans="2:13" s="18" customFormat="1" x14ac:dyDescent="0.2">
      <c r="C83" s="39"/>
      <c r="E83" s="17"/>
      <c r="F83" s="17"/>
      <c r="G83" s="12"/>
      <c r="H83" s="46"/>
      <c r="K83" s="39"/>
      <c r="L83" s="39"/>
      <c r="M83" s="39"/>
    </row>
    <row r="84" spans="2:13" s="18" customFormat="1" x14ac:dyDescent="0.2">
      <c r="B84" s="56" t="s">
        <v>147</v>
      </c>
      <c r="C84" s="57"/>
      <c r="D84" s="57"/>
      <c r="E84" s="57"/>
      <c r="F84" s="57"/>
      <c r="G84" s="57"/>
      <c r="H84" s="57"/>
      <c r="I84" s="57"/>
      <c r="J84" s="57"/>
      <c r="K84" s="57"/>
      <c r="L84" s="57"/>
      <c r="M84" s="58"/>
    </row>
    <row r="85" spans="2:13" s="18" customFormat="1" x14ac:dyDescent="0.2">
      <c r="B85" s="59"/>
      <c r="C85" s="60"/>
      <c r="D85" s="60"/>
      <c r="E85" s="60"/>
      <c r="F85" s="60"/>
      <c r="G85" s="60"/>
      <c r="H85" s="60"/>
      <c r="I85" s="60"/>
      <c r="J85" s="60"/>
      <c r="K85" s="60"/>
      <c r="L85" s="60"/>
      <c r="M85" s="61"/>
    </row>
    <row r="86" spans="2:13" s="18" customFormat="1" ht="30.6" x14ac:dyDescent="0.2">
      <c r="B86" s="21" t="s">
        <v>0</v>
      </c>
      <c r="C86" s="21" t="s">
        <v>1</v>
      </c>
      <c r="D86" s="21" t="s">
        <v>15</v>
      </c>
      <c r="E86" s="20" t="s">
        <v>2</v>
      </c>
      <c r="F86" s="20" t="s">
        <v>11</v>
      </c>
      <c r="G86" s="28" t="s">
        <v>3</v>
      </c>
      <c r="H86" s="28" t="s">
        <v>4</v>
      </c>
      <c r="I86" s="28" t="s">
        <v>5</v>
      </c>
      <c r="J86" s="26" t="s">
        <v>6</v>
      </c>
      <c r="K86" s="26" t="s">
        <v>143</v>
      </c>
      <c r="L86" s="26" t="s">
        <v>144</v>
      </c>
      <c r="M86" s="26" t="s">
        <v>145</v>
      </c>
    </row>
    <row r="87" spans="2:13" s="18" customFormat="1" ht="20.399999999999999" x14ac:dyDescent="0.2">
      <c r="B87" s="80" t="s">
        <v>17</v>
      </c>
      <c r="C87" s="75">
        <v>1</v>
      </c>
      <c r="D87" s="29" t="s">
        <v>31</v>
      </c>
      <c r="E87" s="25" t="s">
        <v>7</v>
      </c>
      <c r="F87" s="2" t="s">
        <v>35</v>
      </c>
      <c r="G87" s="48">
        <v>4810</v>
      </c>
      <c r="H87" s="44">
        <v>1</v>
      </c>
      <c r="I87" s="51">
        <v>100</v>
      </c>
      <c r="J87" s="38">
        <f>I87/1000</f>
        <v>0.1</v>
      </c>
      <c r="K87" s="35">
        <v>15</v>
      </c>
      <c r="L87" s="35">
        <v>72</v>
      </c>
      <c r="M87" s="35">
        <v>1</v>
      </c>
    </row>
    <row r="88" spans="2:13" s="18" customFormat="1" ht="20.399999999999999" x14ac:dyDescent="0.2">
      <c r="B88" s="81"/>
      <c r="C88" s="76"/>
      <c r="D88" s="29" t="s">
        <v>32</v>
      </c>
      <c r="E88" s="25" t="s">
        <v>7</v>
      </c>
      <c r="F88" s="2" t="s">
        <v>36</v>
      </c>
      <c r="G88" s="44">
        <v>1809268</v>
      </c>
      <c r="H88" s="11">
        <v>100</v>
      </c>
      <c r="I88" s="51">
        <f>H88*200</f>
        <v>20000</v>
      </c>
      <c r="J88" s="38">
        <f t="shared" ref="J88:J97" si="4">I88/1000</f>
        <v>20</v>
      </c>
      <c r="K88" s="35">
        <v>17</v>
      </c>
      <c r="L88" s="35" t="s">
        <v>7</v>
      </c>
      <c r="M88" s="35" t="s">
        <v>291</v>
      </c>
    </row>
    <row r="89" spans="2:13" s="18" customFormat="1" ht="20.399999999999999" x14ac:dyDescent="0.2">
      <c r="B89" s="81"/>
      <c r="C89" s="76"/>
      <c r="D89" s="29" t="s">
        <v>33</v>
      </c>
      <c r="E89" s="25" t="s">
        <v>34</v>
      </c>
      <c r="F89" s="2" t="s">
        <v>35</v>
      </c>
      <c r="G89" s="44">
        <v>540675</v>
      </c>
      <c r="H89" s="49">
        <v>150</v>
      </c>
      <c r="I89" s="51">
        <f t="shared" ref="I89:I90" si="5">H89*200</f>
        <v>30000</v>
      </c>
      <c r="J89" s="38">
        <f t="shared" si="4"/>
        <v>30</v>
      </c>
      <c r="K89" s="35">
        <v>15</v>
      </c>
      <c r="L89" s="35">
        <v>25</v>
      </c>
      <c r="M89" s="35">
        <v>12</v>
      </c>
    </row>
    <row r="90" spans="2:13" s="18" customFormat="1" x14ac:dyDescent="0.2">
      <c r="B90" s="82"/>
      <c r="C90" s="29">
        <v>2</v>
      </c>
      <c r="D90" s="29" t="s">
        <v>30</v>
      </c>
      <c r="E90" s="32" t="s">
        <v>300</v>
      </c>
      <c r="F90" s="29" t="s">
        <v>29</v>
      </c>
      <c r="G90" s="10">
        <v>832807</v>
      </c>
      <c r="H90" s="50">
        <v>350</v>
      </c>
      <c r="I90" s="51">
        <f t="shared" si="5"/>
        <v>70000</v>
      </c>
      <c r="J90" s="38">
        <f t="shared" si="4"/>
        <v>70</v>
      </c>
      <c r="K90" s="35">
        <v>7</v>
      </c>
      <c r="L90" s="35">
        <v>30</v>
      </c>
      <c r="M90" s="35">
        <v>10</v>
      </c>
    </row>
    <row r="91" spans="2:13" s="18" customFormat="1" x14ac:dyDescent="0.2">
      <c r="B91" s="66" t="s">
        <v>162</v>
      </c>
      <c r="C91" s="30">
        <v>1</v>
      </c>
      <c r="D91" s="29" t="s">
        <v>48</v>
      </c>
      <c r="E91" s="25" t="s">
        <v>7</v>
      </c>
      <c r="F91" s="24" t="s">
        <v>138</v>
      </c>
      <c r="G91" s="10">
        <v>4429100</v>
      </c>
      <c r="H91" s="10">
        <v>15</v>
      </c>
      <c r="I91" s="51">
        <f>H91*100</f>
        <v>1500</v>
      </c>
      <c r="J91" s="38">
        <f t="shared" si="4"/>
        <v>1.5</v>
      </c>
      <c r="K91" s="35">
        <v>9</v>
      </c>
      <c r="L91" s="35">
        <v>20</v>
      </c>
      <c r="M91" s="35">
        <v>1000</v>
      </c>
    </row>
    <row r="92" spans="2:13" s="18" customFormat="1" x14ac:dyDescent="0.2">
      <c r="B92" s="66"/>
      <c r="C92" s="30">
        <v>2</v>
      </c>
      <c r="D92" s="29" t="s">
        <v>48</v>
      </c>
      <c r="E92" s="25" t="s">
        <v>7</v>
      </c>
      <c r="F92" s="24" t="s">
        <v>139</v>
      </c>
      <c r="G92" s="10">
        <v>2843000</v>
      </c>
      <c r="H92" s="10">
        <v>17</v>
      </c>
      <c r="I92" s="51">
        <f>H92*100</f>
        <v>1700</v>
      </c>
      <c r="J92" s="38">
        <f t="shared" si="4"/>
        <v>1.7</v>
      </c>
      <c r="K92" s="35">
        <v>3</v>
      </c>
      <c r="L92" s="35">
        <v>10</v>
      </c>
      <c r="M92" s="35">
        <v>1000</v>
      </c>
    </row>
    <row r="93" spans="2:13" s="18" customFormat="1" x14ac:dyDescent="0.2">
      <c r="B93" s="75" t="s">
        <v>135</v>
      </c>
      <c r="C93" s="30">
        <v>1</v>
      </c>
      <c r="D93" s="29" t="s">
        <v>133</v>
      </c>
      <c r="E93" s="53" t="s">
        <v>298</v>
      </c>
      <c r="F93" s="24" t="s">
        <v>140</v>
      </c>
      <c r="G93" s="10">
        <v>518960</v>
      </c>
      <c r="H93" s="10">
        <v>20</v>
      </c>
      <c r="I93" s="51">
        <f>H93*200</f>
        <v>4000</v>
      </c>
      <c r="J93" s="38">
        <f t="shared" si="4"/>
        <v>4</v>
      </c>
      <c r="K93" s="35">
        <v>30</v>
      </c>
      <c r="L93" s="35">
        <v>8</v>
      </c>
      <c r="M93" s="35">
        <v>100</v>
      </c>
    </row>
    <row r="94" spans="2:13" s="18" customFormat="1" x14ac:dyDescent="0.2">
      <c r="B94" s="77"/>
      <c r="C94" s="30">
        <v>2</v>
      </c>
      <c r="D94" s="29" t="s">
        <v>134</v>
      </c>
      <c r="E94" s="53" t="s">
        <v>298</v>
      </c>
      <c r="F94" s="13" t="s">
        <v>141</v>
      </c>
      <c r="G94" s="10">
        <v>757800</v>
      </c>
      <c r="H94" s="10">
        <v>5</v>
      </c>
      <c r="I94" s="51">
        <f t="shared" ref="I94:I95" si="6">H94*200</f>
        <v>1000</v>
      </c>
      <c r="J94" s="38">
        <f t="shared" si="4"/>
        <v>1</v>
      </c>
      <c r="K94" s="35">
        <v>100</v>
      </c>
      <c r="L94" s="35">
        <v>10</v>
      </c>
      <c r="M94" s="35">
        <v>100</v>
      </c>
    </row>
    <row r="95" spans="2:13" s="18" customFormat="1" x14ac:dyDescent="0.2">
      <c r="B95" s="15" t="s">
        <v>137</v>
      </c>
      <c r="C95" s="30">
        <v>1</v>
      </c>
      <c r="D95" s="29" t="s">
        <v>136</v>
      </c>
      <c r="E95" s="54" t="s">
        <v>299</v>
      </c>
      <c r="F95" s="13" t="s">
        <v>29</v>
      </c>
      <c r="G95" s="10">
        <v>251200</v>
      </c>
      <c r="H95" s="10">
        <v>10</v>
      </c>
      <c r="I95" s="51">
        <f t="shared" si="6"/>
        <v>2000</v>
      </c>
      <c r="J95" s="38">
        <f t="shared" si="4"/>
        <v>2</v>
      </c>
      <c r="K95" s="35">
        <v>42</v>
      </c>
      <c r="L95" s="35">
        <v>8</v>
      </c>
      <c r="M95" s="35">
        <v>100</v>
      </c>
    </row>
    <row r="96" spans="2:13" s="18" customFormat="1" x14ac:dyDescent="0.2">
      <c r="B96" s="35" t="s">
        <v>148</v>
      </c>
      <c r="C96" s="35">
        <v>1</v>
      </c>
      <c r="D96" s="35" t="s">
        <v>286</v>
      </c>
      <c r="E96" s="36" t="s">
        <v>7</v>
      </c>
      <c r="F96" s="35" t="s">
        <v>285</v>
      </c>
      <c r="G96" s="16" t="s">
        <v>288</v>
      </c>
      <c r="H96" s="47">
        <v>150</v>
      </c>
      <c r="I96" s="51">
        <v>22500</v>
      </c>
      <c r="J96" s="38">
        <f t="shared" si="4"/>
        <v>22.5</v>
      </c>
      <c r="K96" s="35" t="s">
        <v>285</v>
      </c>
      <c r="L96" s="35" t="s">
        <v>285</v>
      </c>
      <c r="M96" s="35" t="s">
        <v>285</v>
      </c>
    </row>
    <row r="97" spans="2:13" s="18" customFormat="1" x14ac:dyDescent="0.2">
      <c r="B97" s="35" t="s">
        <v>149</v>
      </c>
      <c r="C97" s="35">
        <v>1</v>
      </c>
      <c r="D97" s="35" t="s">
        <v>287</v>
      </c>
      <c r="E97" s="36" t="s">
        <v>7</v>
      </c>
      <c r="F97" s="35" t="s">
        <v>285</v>
      </c>
      <c r="G97" s="16" t="s">
        <v>288</v>
      </c>
      <c r="H97" s="47">
        <v>370</v>
      </c>
      <c r="I97" s="51">
        <f>H97*150</f>
        <v>55500</v>
      </c>
      <c r="J97" s="38">
        <f t="shared" si="4"/>
        <v>55.5</v>
      </c>
      <c r="K97" s="35" t="s">
        <v>285</v>
      </c>
      <c r="L97" s="35" t="s">
        <v>285</v>
      </c>
      <c r="M97" s="35" t="s">
        <v>285</v>
      </c>
    </row>
    <row r="98" spans="2:13" s="18" customFormat="1" x14ac:dyDescent="0.2">
      <c r="C98" s="39"/>
      <c r="E98" s="17"/>
      <c r="F98" s="17"/>
      <c r="G98" s="12"/>
      <c r="H98" s="46"/>
      <c r="K98" s="39"/>
      <c r="L98" s="39"/>
      <c r="M98" s="39"/>
    </row>
    <row r="99" spans="2:13" s="18" customFormat="1" x14ac:dyDescent="0.2">
      <c r="C99" s="39"/>
      <c r="E99" s="17"/>
      <c r="F99" s="17"/>
      <c r="G99" s="12"/>
      <c r="H99" s="46"/>
      <c r="K99" s="39"/>
      <c r="L99" s="39"/>
      <c r="M99" s="39"/>
    </row>
    <row r="100" spans="2:13" s="18" customFormat="1" x14ac:dyDescent="0.2">
      <c r="B100" s="34" t="s">
        <v>10</v>
      </c>
      <c r="C100" s="39"/>
      <c r="E100" s="17"/>
      <c r="F100" s="17"/>
      <c r="G100" s="12"/>
      <c r="H100" s="46"/>
      <c r="K100" s="39"/>
      <c r="L100" s="39"/>
      <c r="M100" s="39"/>
    </row>
    <row r="101" spans="2:13" s="18" customFormat="1" x14ac:dyDescent="0.2">
      <c r="B101" s="31" t="s">
        <v>161</v>
      </c>
      <c r="C101" s="39"/>
      <c r="E101" s="17"/>
      <c r="F101" s="17"/>
      <c r="G101" s="12"/>
      <c r="H101" s="46"/>
      <c r="K101" s="39"/>
      <c r="L101" s="39"/>
      <c r="M101" s="39"/>
    </row>
    <row r="102" spans="2:13" s="18" customFormat="1" x14ac:dyDescent="0.2">
      <c r="C102" s="39"/>
      <c r="E102" s="17"/>
      <c r="F102" s="17"/>
      <c r="G102" s="12"/>
      <c r="H102" s="46"/>
      <c r="K102" s="39"/>
      <c r="L102" s="39"/>
      <c r="M102" s="39"/>
    </row>
    <row r="103" spans="2:13" s="18" customFormat="1" x14ac:dyDescent="0.2">
      <c r="B103" s="56" t="s">
        <v>150</v>
      </c>
      <c r="C103" s="57"/>
      <c r="D103" s="57"/>
      <c r="E103" s="57"/>
      <c r="F103" s="57"/>
      <c r="G103" s="57"/>
      <c r="H103" s="57"/>
      <c r="I103" s="57"/>
      <c r="J103" s="57"/>
      <c r="K103" s="57"/>
      <c r="L103" s="57"/>
      <c r="M103" s="58"/>
    </row>
    <row r="104" spans="2:13" s="18" customFormat="1" x14ac:dyDescent="0.2">
      <c r="B104" s="59"/>
      <c r="C104" s="60"/>
      <c r="D104" s="60"/>
      <c r="E104" s="60"/>
      <c r="F104" s="60"/>
      <c r="G104" s="60"/>
      <c r="H104" s="60"/>
      <c r="I104" s="60"/>
      <c r="J104" s="60"/>
      <c r="K104" s="60"/>
      <c r="L104" s="60"/>
      <c r="M104" s="61"/>
    </row>
    <row r="105" spans="2:13" s="18" customFormat="1" ht="30.6" x14ac:dyDescent="0.2">
      <c r="B105" s="21" t="s">
        <v>0</v>
      </c>
      <c r="C105" s="21" t="s">
        <v>1</v>
      </c>
      <c r="D105" s="21" t="s">
        <v>15</v>
      </c>
      <c r="E105" s="20" t="s">
        <v>2</v>
      </c>
      <c r="F105" s="20" t="s">
        <v>11</v>
      </c>
      <c r="G105" s="28" t="s">
        <v>3</v>
      </c>
      <c r="H105" s="28" t="s">
        <v>4</v>
      </c>
      <c r="I105" s="28" t="s">
        <v>5</v>
      </c>
      <c r="J105" s="26" t="s">
        <v>6</v>
      </c>
      <c r="K105" s="26" t="s">
        <v>143</v>
      </c>
      <c r="L105" s="26" t="s">
        <v>144</v>
      </c>
      <c r="M105" s="26" t="s">
        <v>145</v>
      </c>
    </row>
    <row r="106" spans="2:13" s="18" customFormat="1" x14ac:dyDescent="0.2">
      <c r="B106" s="79" t="s">
        <v>151</v>
      </c>
      <c r="C106" s="35">
        <v>1</v>
      </c>
      <c r="D106" s="35" t="s">
        <v>152</v>
      </c>
      <c r="E106" s="80" t="s">
        <v>7</v>
      </c>
      <c r="F106" s="80" t="s">
        <v>7</v>
      </c>
      <c r="G106" s="47">
        <v>14071</v>
      </c>
      <c r="H106" s="47">
        <v>34</v>
      </c>
      <c r="I106" s="37">
        <v>1580.982</v>
      </c>
      <c r="J106" s="40">
        <v>1.5809819999999999</v>
      </c>
      <c r="K106" s="35" t="s">
        <v>7</v>
      </c>
      <c r="L106" s="35" t="s">
        <v>7</v>
      </c>
      <c r="M106" s="35">
        <v>25</v>
      </c>
    </row>
    <row r="107" spans="2:13" s="18" customFormat="1" x14ac:dyDescent="0.2">
      <c r="B107" s="79"/>
      <c r="C107" s="35">
        <v>2</v>
      </c>
      <c r="D107" s="35" t="s">
        <v>153</v>
      </c>
      <c r="E107" s="81"/>
      <c r="F107" s="81"/>
      <c r="G107" s="47">
        <v>83321</v>
      </c>
      <c r="H107" s="47">
        <v>45</v>
      </c>
      <c r="I107" s="37">
        <v>5454.482</v>
      </c>
      <c r="J107" s="40">
        <v>5.4544819999999996</v>
      </c>
      <c r="K107" s="35" t="s">
        <v>7</v>
      </c>
      <c r="L107" s="35" t="s">
        <v>7</v>
      </c>
      <c r="M107" s="35" t="s">
        <v>7</v>
      </c>
    </row>
    <row r="108" spans="2:13" s="18" customFormat="1" x14ac:dyDescent="0.2">
      <c r="B108" s="79"/>
      <c r="C108" s="35">
        <v>3</v>
      </c>
      <c r="D108" s="35" t="s">
        <v>154</v>
      </c>
      <c r="E108" s="81"/>
      <c r="F108" s="81"/>
      <c r="G108" s="47">
        <v>199</v>
      </c>
      <c r="H108" s="47">
        <v>2</v>
      </c>
      <c r="I108" s="37">
        <v>62.358000000000004</v>
      </c>
      <c r="J108" s="40">
        <v>6.2358000000000004E-2</v>
      </c>
      <c r="K108" s="35" t="s">
        <v>7</v>
      </c>
      <c r="L108" s="35" t="s">
        <v>7</v>
      </c>
      <c r="M108" s="35" t="s">
        <v>7</v>
      </c>
    </row>
    <row r="109" spans="2:13" s="18" customFormat="1" x14ac:dyDescent="0.2">
      <c r="B109" s="79"/>
      <c r="C109" s="35">
        <v>4</v>
      </c>
      <c r="D109" s="35" t="s">
        <v>155</v>
      </c>
      <c r="E109" s="81"/>
      <c r="F109" s="81"/>
      <c r="G109" s="47">
        <v>141800</v>
      </c>
      <c r="H109" s="47">
        <v>569</v>
      </c>
      <c r="I109" s="37">
        <v>23020.6</v>
      </c>
      <c r="J109" s="40">
        <v>23.020599999999998</v>
      </c>
      <c r="K109" s="35" t="s">
        <v>7</v>
      </c>
      <c r="L109" s="35" t="s">
        <v>7</v>
      </c>
      <c r="M109" s="35">
        <v>25</v>
      </c>
    </row>
    <row r="110" spans="2:13" s="18" customFormat="1" x14ac:dyDescent="0.2">
      <c r="B110" s="79"/>
      <c r="C110" s="35">
        <v>5</v>
      </c>
      <c r="D110" s="35" t="s">
        <v>156</v>
      </c>
      <c r="E110" s="81"/>
      <c r="F110" s="81"/>
      <c r="G110" s="47">
        <v>71466</v>
      </c>
      <c r="H110" s="47">
        <v>226</v>
      </c>
      <c r="I110" s="37">
        <v>9366.5720000000001</v>
      </c>
      <c r="J110" s="40">
        <v>9.3665719999999997</v>
      </c>
      <c r="K110" s="35" t="s">
        <v>7</v>
      </c>
      <c r="L110" s="35" t="s">
        <v>7</v>
      </c>
      <c r="M110" s="35">
        <v>25</v>
      </c>
    </row>
    <row r="111" spans="2:13" s="18" customFormat="1" x14ac:dyDescent="0.2">
      <c r="B111" s="79"/>
      <c r="C111" s="35">
        <v>6</v>
      </c>
      <c r="D111" s="35" t="s">
        <v>157</v>
      </c>
      <c r="E111" s="81"/>
      <c r="F111" s="81"/>
      <c r="G111" s="47">
        <v>86036</v>
      </c>
      <c r="H111" s="47">
        <v>195</v>
      </c>
      <c r="I111" s="37">
        <v>9349.5120000000006</v>
      </c>
      <c r="J111" s="40">
        <v>9.3495120000000007</v>
      </c>
      <c r="K111" s="35" t="s">
        <v>7</v>
      </c>
      <c r="L111" s="35" t="s">
        <v>7</v>
      </c>
      <c r="M111" s="35">
        <v>20</v>
      </c>
    </row>
    <row r="112" spans="2:13" s="18" customFormat="1" x14ac:dyDescent="0.2">
      <c r="B112" s="79"/>
      <c r="C112" s="35">
        <v>7</v>
      </c>
      <c r="D112" s="35" t="s">
        <v>158</v>
      </c>
      <c r="E112" s="81"/>
      <c r="F112" s="81"/>
      <c r="G112" s="47">
        <v>46933</v>
      </c>
      <c r="H112" s="47">
        <v>36</v>
      </c>
      <c r="I112" s="37">
        <v>3341.1860000000001</v>
      </c>
      <c r="J112" s="40">
        <v>3.341186</v>
      </c>
      <c r="K112" s="35" t="s">
        <v>7</v>
      </c>
      <c r="L112" s="35" t="s">
        <v>7</v>
      </c>
      <c r="M112" s="35">
        <v>20</v>
      </c>
    </row>
    <row r="113" spans="2:14" s="18" customFormat="1" x14ac:dyDescent="0.2">
      <c r="B113" s="79"/>
      <c r="C113" s="35">
        <v>8</v>
      </c>
      <c r="D113" s="35" t="s">
        <v>159</v>
      </c>
      <c r="E113" s="82"/>
      <c r="F113" s="82"/>
      <c r="G113" s="47">
        <v>33765</v>
      </c>
      <c r="H113" s="47">
        <v>97</v>
      </c>
      <c r="I113" s="37">
        <v>4181.0460000000003</v>
      </c>
      <c r="J113" s="40">
        <v>4.1810460000000003</v>
      </c>
      <c r="K113" s="35" t="s">
        <v>7</v>
      </c>
      <c r="L113" s="35" t="s">
        <v>7</v>
      </c>
      <c r="M113" s="35">
        <v>25</v>
      </c>
    </row>
    <row r="114" spans="2:14" s="18" customFormat="1" x14ac:dyDescent="0.2">
      <c r="C114" s="39"/>
      <c r="E114" s="17"/>
      <c r="F114" s="17"/>
      <c r="G114" s="12"/>
      <c r="H114" s="46"/>
      <c r="K114" s="39"/>
      <c r="L114" s="39"/>
      <c r="M114" s="39"/>
    </row>
    <row r="115" spans="2:14" s="18" customFormat="1" x14ac:dyDescent="0.2">
      <c r="B115" s="34" t="s">
        <v>13</v>
      </c>
      <c r="C115" s="39"/>
      <c r="E115" s="17"/>
      <c r="F115" s="17"/>
      <c r="G115" s="12"/>
      <c r="H115" s="46"/>
      <c r="K115" s="39"/>
      <c r="L115" s="39"/>
      <c r="M115" s="39"/>
    </row>
    <row r="116" spans="2:14" s="18" customFormat="1" x14ac:dyDescent="0.2">
      <c r="B116" s="31" t="s">
        <v>160</v>
      </c>
      <c r="C116" s="39"/>
      <c r="E116" s="17"/>
      <c r="F116" s="17"/>
      <c r="G116" s="12"/>
      <c r="H116" s="46"/>
      <c r="K116" s="39"/>
      <c r="L116" s="39"/>
      <c r="M116" s="39"/>
    </row>
    <row r="117" spans="2:14" s="18" customFormat="1" x14ac:dyDescent="0.2">
      <c r="C117" s="39"/>
      <c r="E117" s="17"/>
      <c r="F117" s="17"/>
      <c r="G117" s="12"/>
      <c r="H117" s="46"/>
      <c r="K117" s="39"/>
      <c r="L117" s="39"/>
      <c r="M117" s="39"/>
    </row>
    <row r="118" spans="2:14" s="18" customFormat="1" x14ac:dyDescent="0.2">
      <c r="B118" s="56" t="s">
        <v>169</v>
      </c>
      <c r="C118" s="57"/>
      <c r="D118" s="57"/>
      <c r="E118" s="57"/>
      <c r="F118" s="57"/>
      <c r="G118" s="57"/>
      <c r="H118" s="57"/>
      <c r="I118" s="57"/>
      <c r="J118" s="57"/>
      <c r="K118" s="57"/>
      <c r="L118" s="57"/>
      <c r="M118" s="58"/>
    </row>
    <row r="119" spans="2:14" s="18" customFormat="1" x14ac:dyDescent="0.2">
      <c r="B119" s="59"/>
      <c r="C119" s="60"/>
      <c r="D119" s="60"/>
      <c r="E119" s="60"/>
      <c r="F119" s="60"/>
      <c r="G119" s="60"/>
      <c r="H119" s="60"/>
      <c r="I119" s="60"/>
      <c r="J119" s="60"/>
      <c r="K119" s="60"/>
      <c r="L119" s="60"/>
      <c r="M119" s="61"/>
    </row>
    <row r="120" spans="2:14" s="18" customFormat="1" ht="30.6" x14ac:dyDescent="0.2">
      <c r="B120" s="21" t="s">
        <v>0</v>
      </c>
      <c r="C120" s="21" t="s">
        <v>1</v>
      </c>
      <c r="D120" s="21" t="s">
        <v>15</v>
      </c>
      <c r="E120" s="20" t="s">
        <v>2</v>
      </c>
      <c r="F120" s="20" t="s">
        <v>11</v>
      </c>
      <c r="G120" s="28" t="s">
        <v>3</v>
      </c>
      <c r="H120" s="28" t="s">
        <v>4</v>
      </c>
      <c r="I120" s="28" t="s">
        <v>5</v>
      </c>
      <c r="J120" s="26" t="s">
        <v>6</v>
      </c>
      <c r="K120" s="26" t="s">
        <v>143</v>
      </c>
      <c r="L120" s="26" t="s">
        <v>144</v>
      </c>
      <c r="M120" s="26" t="s">
        <v>145</v>
      </c>
    </row>
    <row r="121" spans="2:14" x14ac:dyDescent="0.2">
      <c r="B121" s="66" t="s">
        <v>151</v>
      </c>
      <c r="C121" s="30">
        <v>1</v>
      </c>
      <c r="D121" s="24" t="s">
        <v>163</v>
      </c>
      <c r="E121" s="62" t="s">
        <v>7</v>
      </c>
      <c r="F121" s="63" t="s">
        <v>7</v>
      </c>
      <c r="G121" s="44">
        <v>8460000</v>
      </c>
      <c r="H121" s="44">
        <v>2115</v>
      </c>
      <c r="I121" s="27">
        <f>425115-(20*H121)</f>
        <v>382815</v>
      </c>
      <c r="J121" s="41">
        <f>I121/1000</f>
        <v>382.815</v>
      </c>
      <c r="K121" s="27">
        <v>8</v>
      </c>
      <c r="L121" s="27">
        <v>500</v>
      </c>
      <c r="M121" s="42">
        <v>1</v>
      </c>
      <c r="N121" s="19"/>
    </row>
    <row r="122" spans="2:14" x14ac:dyDescent="0.2">
      <c r="B122" s="66"/>
      <c r="C122" s="30">
        <v>2</v>
      </c>
      <c r="D122" s="29" t="s">
        <v>164</v>
      </c>
      <c r="E122" s="62"/>
      <c r="F122" s="64"/>
      <c r="G122" s="44">
        <v>9747000</v>
      </c>
      <c r="H122" s="44">
        <v>1805</v>
      </c>
      <c r="I122" s="27">
        <f>551969-(20*H122)</f>
        <v>515869</v>
      </c>
      <c r="J122" s="41">
        <f t="shared" ref="J122:J126" si="7">I122/1000</f>
        <v>515.86900000000003</v>
      </c>
      <c r="K122" s="27">
        <v>54</v>
      </c>
      <c r="L122" s="27">
        <v>100</v>
      </c>
      <c r="M122" s="42">
        <v>1</v>
      </c>
    </row>
    <row r="123" spans="2:14" x14ac:dyDescent="0.2">
      <c r="B123" s="66"/>
      <c r="C123" s="30">
        <v>3</v>
      </c>
      <c r="D123" s="29" t="s">
        <v>165</v>
      </c>
      <c r="E123" s="62"/>
      <c r="F123" s="64"/>
      <c r="G123" s="44">
        <v>2883750</v>
      </c>
      <c r="H123" s="44">
        <v>769</v>
      </c>
      <c r="I123" s="27">
        <f>151877.5-(20*H123)</f>
        <v>136497.5</v>
      </c>
      <c r="J123" s="41">
        <f t="shared" si="7"/>
        <v>136.4975</v>
      </c>
      <c r="K123" s="24">
        <v>15</v>
      </c>
      <c r="L123" s="24">
        <v>250</v>
      </c>
      <c r="M123" s="42">
        <v>1</v>
      </c>
    </row>
    <row r="124" spans="2:14" x14ac:dyDescent="0.2">
      <c r="B124" s="66"/>
      <c r="C124" s="30">
        <v>4</v>
      </c>
      <c r="D124" s="29" t="s">
        <v>166</v>
      </c>
      <c r="E124" s="62"/>
      <c r="F124" s="64"/>
      <c r="G124" s="44">
        <v>8559360</v>
      </c>
      <c r="H124" s="44">
        <v>2972</v>
      </c>
      <c r="I124" s="27">
        <f>469457.12-(20*H124)</f>
        <v>410017.12</v>
      </c>
      <c r="J124" s="41">
        <f t="shared" si="7"/>
        <v>410.01711999999998</v>
      </c>
      <c r="K124" s="24">
        <v>12</v>
      </c>
      <c r="L124" s="24">
        <v>240</v>
      </c>
      <c r="M124" s="42">
        <v>1</v>
      </c>
    </row>
    <row r="125" spans="2:14" x14ac:dyDescent="0.2">
      <c r="B125" s="66"/>
      <c r="C125" s="30">
        <v>5</v>
      </c>
      <c r="D125" s="29" t="s">
        <v>167</v>
      </c>
      <c r="E125" s="62"/>
      <c r="F125" s="64"/>
      <c r="G125" s="10">
        <v>5772800</v>
      </c>
      <c r="H125" s="10">
        <v>1804</v>
      </c>
      <c r="I125" s="27">
        <f>345285.6-(20*H125)</f>
        <v>309205.59999999998</v>
      </c>
      <c r="J125" s="41">
        <f t="shared" si="7"/>
        <v>309.2056</v>
      </c>
      <c r="K125" s="33">
        <v>32</v>
      </c>
      <c r="L125" s="33">
        <v>100</v>
      </c>
      <c r="M125" s="42">
        <v>1</v>
      </c>
    </row>
    <row r="126" spans="2:14" x14ac:dyDescent="0.2">
      <c r="B126" s="66"/>
      <c r="C126" s="30">
        <v>6</v>
      </c>
      <c r="D126" s="29" t="s">
        <v>168</v>
      </c>
      <c r="E126" s="62"/>
      <c r="F126" s="65"/>
      <c r="G126" s="10">
        <v>2934120</v>
      </c>
      <c r="H126" s="10">
        <v>998</v>
      </c>
      <c r="I126" s="27">
        <f>178123.04-(20*H126)</f>
        <v>158163.04</v>
      </c>
      <c r="J126" s="41">
        <f t="shared" si="7"/>
        <v>158.16304</v>
      </c>
      <c r="K126" s="33">
        <v>30</v>
      </c>
      <c r="L126" s="33">
        <v>98</v>
      </c>
      <c r="M126" s="42">
        <v>1</v>
      </c>
    </row>
    <row r="128" spans="2:14" x14ac:dyDescent="0.2">
      <c r="B128" s="34" t="s">
        <v>14</v>
      </c>
    </row>
    <row r="129" spans="2:13" x14ac:dyDescent="0.2">
      <c r="B129" s="31" t="s">
        <v>170</v>
      </c>
    </row>
    <row r="131" spans="2:13" x14ac:dyDescent="0.2">
      <c r="B131" s="56" t="s">
        <v>171</v>
      </c>
      <c r="C131" s="57"/>
      <c r="D131" s="57"/>
      <c r="E131" s="57"/>
      <c r="F131" s="57"/>
      <c r="G131" s="57"/>
      <c r="H131" s="57"/>
      <c r="I131" s="57"/>
      <c r="J131" s="57"/>
      <c r="K131" s="57"/>
      <c r="L131" s="57"/>
      <c r="M131" s="58"/>
    </row>
    <row r="132" spans="2:13" x14ac:dyDescent="0.2">
      <c r="B132" s="59"/>
      <c r="C132" s="60"/>
      <c r="D132" s="60"/>
      <c r="E132" s="60"/>
      <c r="F132" s="60"/>
      <c r="G132" s="60"/>
      <c r="H132" s="60"/>
      <c r="I132" s="60"/>
      <c r="J132" s="60"/>
      <c r="K132" s="60"/>
      <c r="L132" s="60"/>
      <c r="M132" s="61"/>
    </row>
    <row r="133" spans="2:13" ht="30.6" x14ac:dyDescent="0.2">
      <c r="B133" s="21" t="s">
        <v>0</v>
      </c>
      <c r="C133" s="21" t="s">
        <v>1</v>
      </c>
      <c r="D133" s="21" t="s">
        <v>15</v>
      </c>
      <c r="E133" s="20" t="s">
        <v>2</v>
      </c>
      <c r="F133" s="20" t="s">
        <v>11</v>
      </c>
      <c r="G133" s="28" t="s">
        <v>3</v>
      </c>
      <c r="H133" s="28" t="s">
        <v>4</v>
      </c>
      <c r="I133" s="28" t="s">
        <v>5</v>
      </c>
      <c r="J133" s="26" t="s">
        <v>6</v>
      </c>
      <c r="K133" s="26" t="s">
        <v>143</v>
      </c>
      <c r="L133" s="26" t="s">
        <v>144</v>
      </c>
      <c r="M133" s="26" t="s">
        <v>145</v>
      </c>
    </row>
    <row r="134" spans="2:13" x14ac:dyDescent="0.2">
      <c r="B134" s="67" t="s">
        <v>172</v>
      </c>
      <c r="C134" s="29">
        <v>1</v>
      </c>
      <c r="D134" s="29" t="s">
        <v>173</v>
      </c>
      <c r="E134" s="67" t="s">
        <v>7</v>
      </c>
      <c r="F134" s="29" t="s">
        <v>7</v>
      </c>
      <c r="G134" s="44">
        <v>25</v>
      </c>
      <c r="H134" s="44">
        <v>1</v>
      </c>
      <c r="I134" s="27">
        <f>(1.2*25)</f>
        <v>30</v>
      </c>
      <c r="J134" s="38">
        <f t="shared" ref="J134:J208" si="8">I134/1000</f>
        <v>0.03</v>
      </c>
      <c r="K134" s="24">
        <v>25</v>
      </c>
      <c r="L134" s="24">
        <v>1</v>
      </c>
      <c r="M134" s="2">
        <v>1</v>
      </c>
    </row>
    <row r="135" spans="2:13" x14ac:dyDescent="0.2">
      <c r="B135" s="67"/>
      <c r="C135" s="29">
        <v>2</v>
      </c>
      <c r="D135" s="29" t="s">
        <v>174</v>
      </c>
      <c r="E135" s="67"/>
      <c r="F135" s="29" t="s">
        <v>7</v>
      </c>
      <c r="G135" s="44">
        <v>43</v>
      </c>
      <c r="H135" s="44">
        <v>2</v>
      </c>
      <c r="I135" s="27">
        <f>(43*1.2)</f>
        <v>51.6</v>
      </c>
      <c r="J135" s="38">
        <f t="shared" si="8"/>
        <v>5.16E-2</v>
      </c>
      <c r="K135" s="24" t="s">
        <v>255</v>
      </c>
      <c r="L135" s="24">
        <v>1</v>
      </c>
      <c r="M135" s="2">
        <v>1</v>
      </c>
    </row>
    <row r="136" spans="2:13" x14ac:dyDescent="0.2">
      <c r="B136" s="67"/>
      <c r="C136" s="29">
        <v>3</v>
      </c>
      <c r="D136" s="29" t="s">
        <v>175</v>
      </c>
      <c r="E136" s="67"/>
      <c r="F136" s="29" t="s">
        <v>7</v>
      </c>
      <c r="G136" s="44">
        <v>672</v>
      </c>
      <c r="H136" s="44">
        <v>8</v>
      </c>
      <c r="I136" s="27">
        <f>(672*1.2)</f>
        <v>806.4</v>
      </c>
      <c r="J136" s="38">
        <f t="shared" si="8"/>
        <v>0.80640000000000001</v>
      </c>
      <c r="K136" s="24">
        <v>130</v>
      </c>
      <c r="L136" s="24">
        <v>1</v>
      </c>
      <c r="M136" s="2">
        <v>1</v>
      </c>
    </row>
    <row r="137" spans="2:13" x14ac:dyDescent="0.2">
      <c r="B137" s="67"/>
      <c r="C137" s="29">
        <v>4</v>
      </c>
      <c r="D137" s="29" t="s">
        <v>176</v>
      </c>
      <c r="E137" s="67"/>
      <c r="F137" s="29" t="s">
        <v>7</v>
      </c>
      <c r="G137" s="44">
        <v>98</v>
      </c>
      <c r="H137" s="44">
        <v>17</v>
      </c>
      <c r="I137" s="27">
        <f>(98*1.2)</f>
        <v>117.6</v>
      </c>
      <c r="J137" s="38">
        <f t="shared" si="8"/>
        <v>0.1176</v>
      </c>
      <c r="K137" s="24">
        <v>8</v>
      </c>
      <c r="L137" s="24">
        <v>1</v>
      </c>
      <c r="M137" s="24">
        <v>1</v>
      </c>
    </row>
    <row r="138" spans="2:13" x14ac:dyDescent="0.2">
      <c r="B138" s="67"/>
      <c r="C138" s="29">
        <v>5</v>
      </c>
      <c r="D138" s="29" t="s">
        <v>177</v>
      </c>
      <c r="E138" s="67"/>
      <c r="F138" s="29" t="s">
        <v>7</v>
      </c>
      <c r="G138" s="44">
        <v>25</v>
      </c>
      <c r="H138" s="44">
        <v>1</v>
      </c>
      <c r="I138" s="27">
        <f>(25*1.2)</f>
        <v>30</v>
      </c>
      <c r="J138" s="38">
        <f t="shared" si="8"/>
        <v>0.03</v>
      </c>
      <c r="K138" s="24">
        <v>25</v>
      </c>
      <c r="L138" s="24">
        <v>1</v>
      </c>
      <c r="M138" s="2">
        <v>1</v>
      </c>
    </row>
    <row r="139" spans="2:13" x14ac:dyDescent="0.2">
      <c r="B139" s="67" t="s">
        <v>178</v>
      </c>
      <c r="C139" s="29">
        <v>1</v>
      </c>
      <c r="D139" s="29" t="s">
        <v>179</v>
      </c>
      <c r="E139" s="68" t="s">
        <v>7</v>
      </c>
      <c r="F139" s="29" t="s">
        <v>7</v>
      </c>
      <c r="G139" s="44">
        <f>6379371-4574199</f>
        <v>1805172</v>
      </c>
      <c r="H139" s="44">
        <f>77-43</f>
        <v>34</v>
      </c>
      <c r="I139" s="27">
        <f>(G139*0.0013)</f>
        <v>2346.7235999999998</v>
      </c>
      <c r="J139" s="38">
        <f t="shared" si="8"/>
        <v>2.3467235999999998</v>
      </c>
      <c r="K139" s="29" t="s">
        <v>255</v>
      </c>
      <c r="L139" s="29" t="s">
        <v>255</v>
      </c>
      <c r="M139" s="29" t="s">
        <v>255</v>
      </c>
    </row>
    <row r="140" spans="2:13" x14ac:dyDescent="0.2">
      <c r="B140" s="67"/>
      <c r="C140" s="29">
        <v>2</v>
      </c>
      <c r="D140" s="29" t="s">
        <v>180</v>
      </c>
      <c r="E140" s="69"/>
      <c r="F140" s="29" t="s">
        <v>7</v>
      </c>
      <c r="G140" s="44">
        <f>1461464-44693</f>
        <v>1416771</v>
      </c>
      <c r="H140" s="44">
        <f>66-10</f>
        <v>56</v>
      </c>
      <c r="I140" s="27">
        <f>(G140*0.0013)</f>
        <v>1841.8022999999998</v>
      </c>
      <c r="J140" s="38">
        <f t="shared" si="8"/>
        <v>1.8418022999999999</v>
      </c>
      <c r="K140" s="29" t="s">
        <v>255</v>
      </c>
      <c r="L140" s="29" t="s">
        <v>255</v>
      </c>
      <c r="M140" s="29" t="s">
        <v>255</v>
      </c>
    </row>
    <row r="141" spans="2:13" x14ac:dyDescent="0.2">
      <c r="B141" s="67"/>
      <c r="C141" s="29">
        <v>3</v>
      </c>
      <c r="D141" s="29" t="s">
        <v>181</v>
      </c>
      <c r="E141" s="69"/>
      <c r="F141" s="29" t="s">
        <v>7</v>
      </c>
      <c r="G141" s="44">
        <f>1945400-1822100</f>
        <v>123300</v>
      </c>
      <c r="H141" s="44">
        <f>4-3</f>
        <v>1</v>
      </c>
      <c r="I141" s="27">
        <f>(G141*0.0013)</f>
        <v>160.29</v>
      </c>
      <c r="J141" s="38">
        <f t="shared" si="8"/>
        <v>0.16028999999999999</v>
      </c>
      <c r="K141" s="29" t="s">
        <v>255</v>
      </c>
      <c r="L141" s="29" t="s">
        <v>255</v>
      </c>
      <c r="M141" s="29" t="s">
        <v>255</v>
      </c>
    </row>
    <row r="142" spans="2:13" x14ac:dyDescent="0.2">
      <c r="B142" s="67"/>
      <c r="C142" s="29">
        <v>4</v>
      </c>
      <c r="D142" s="29" t="s">
        <v>182</v>
      </c>
      <c r="E142" s="69"/>
      <c r="F142" s="29" t="s">
        <v>7</v>
      </c>
      <c r="G142" s="10">
        <f>62204-62200</f>
        <v>4</v>
      </c>
      <c r="H142" s="10">
        <f>15-13</f>
        <v>2</v>
      </c>
      <c r="I142" s="33">
        <f>(G142*0.01)</f>
        <v>0.04</v>
      </c>
      <c r="J142" s="43">
        <f t="shared" si="8"/>
        <v>4.0000000000000003E-5</v>
      </c>
      <c r="K142" s="29" t="s">
        <v>255</v>
      </c>
      <c r="L142" s="29" t="s">
        <v>255</v>
      </c>
      <c r="M142" s="29" t="s">
        <v>255</v>
      </c>
    </row>
    <row r="143" spans="2:13" x14ac:dyDescent="0.2">
      <c r="B143" s="67"/>
      <c r="C143" s="29">
        <v>5</v>
      </c>
      <c r="D143" s="29" t="s">
        <v>183</v>
      </c>
      <c r="E143" s="69"/>
      <c r="F143" s="29" t="s">
        <v>7</v>
      </c>
      <c r="G143" s="44">
        <v>892426</v>
      </c>
      <c r="H143" s="44">
        <v>50</v>
      </c>
      <c r="I143" s="27">
        <f>(G143*0.0013)</f>
        <v>1160.1538</v>
      </c>
      <c r="J143" s="38">
        <f t="shared" si="8"/>
        <v>1.1601538</v>
      </c>
      <c r="K143" s="29" t="s">
        <v>255</v>
      </c>
      <c r="L143" s="29" t="s">
        <v>255</v>
      </c>
      <c r="M143" s="29" t="s">
        <v>255</v>
      </c>
    </row>
    <row r="144" spans="2:13" x14ac:dyDescent="0.2">
      <c r="B144" s="67"/>
      <c r="C144" s="29">
        <v>6</v>
      </c>
      <c r="D144" s="29" t="s">
        <v>184</v>
      </c>
      <c r="E144" s="69"/>
      <c r="F144" s="29" t="s">
        <v>7</v>
      </c>
      <c r="G144" s="44">
        <f>896062-148142</f>
        <v>747920</v>
      </c>
      <c r="H144" s="44">
        <f>330-55</f>
        <v>275</v>
      </c>
      <c r="I144" s="27">
        <f>(G144*0.0013)</f>
        <v>972.29599999999994</v>
      </c>
      <c r="J144" s="38">
        <f t="shared" si="8"/>
        <v>0.97229599999999994</v>
      </c>
      <c r="K144" s="29" t="s">
        <v>255</v>
      </c>
      <c r="L144" s="29" t="s">
        <v>255</v>
      </c>
      <c r="M144" s="29" t="s">
        <v>255</v>
      </c>
    </row>
    <row r="145" spans="2:13" x14ac:dyDescent="0.2">
      <c r="B145" s="67"/>
      <c r="C145" s="29">
        <v>7</v>
      </c>
      <c r="D145" s="29" t="s">
        <v>185</v>
      </c>
      <c r="E145" s="69"/>
      <c r="F145" s="29" t="s">
        <v>7</v>
      </c>
      <c r="G145" s="44">
        <v>20009</v>
      </c>
      <c r="H145" s="44">
        <v>2</v>
      </c>
      <c r="I145" s="27">
        <f>(G145*0.0013)</f>
        <v>26.011699999999998</v>
      </c>
      <c r="J145" s="38">
        <f t="shared" si="8"/>
        <v>2.6011699999999999E-2</v>
      </c>
      <c r="K145" s="29" t="s">
        <v>255</v>
      </c>
      <c r="L145" s="29" t="s">
        <v>255</v>
      </c>
      <c r="M145" s="29" t="s">
        <v>255</v>
      </c>
    </row>
    <row r="146" spans="2:13" x14ac:dyDescent="0.2">
      <c r="B146" s="67"/>
      <c r="C146" s="29">
        <v>8</v>
      </c>
      <c r="D146" s="29" t="s">
        <v>186</v>
      </c>
      <c r="E146" s="70"/>
      <c r="F146" s="29" t="s">
        <v>7</v>
      </c>
      <c r="G146" s="44">
        <v>19200</v>
      </c>
      <c r="H146" s="44">
        <v>1</v>
      </c>
      <c r="I146" s="27">
        <f>(G146*0.0013)</f>
        <v>24.959999999999997</v>
      </c>
      <c r="J146" s="38">
        <f t="shared" si="8"/>
        <v>2.4959999999999996E-2</v>
      </c>
      <c r="K146" s="29" t="s">
        <v>255</v>
      </c>
      <c r="L146" s="29" t="s">
        <v>255</v>
      </c>
      <c r="M146" s="29" t="s">
        <v>255</v>
      </c>
    </row>
    <row r="147" spans="2:13" x14ac:dyDescent="0.2">
      <c r="B147" s="67" t="s">
        <v>187</v>
      </c>
      <c r="C147" s="29">
        <v>1</v>
      </c>
      <c r="D147" s="29" t="s">
        <v>188</v>
      </c>
      <c r="E147" s="68" t="s">
        <v>7</v>
      </c>
      <c r="F147" s="29" t="s">
        <v>7</v>
      </c>
      <c r="G147" s="44">
        <f>1185594-173400</f>
        <v>1012194</v>
      </c>
      <c r="H147" s="44">
        <f>112-28</f>
        <v>84</v>
      </c>
      <c r="I147" s="27">
        <f>G147*0.01</f>
        <v>10121.94</v>
      </c>
      <c r="J147" s="38">
        <f t="shared" si="8"/>
        <v>10.12194</v>
      </c>
      <c r="K147" s="29" t="s">
        <v>255</v>
      </c>
      <c r="L147" s="29" t="s">
        <v>255</v>
      </c>
      <c r="M147" s="29" t="s">
        <v>255</v>
      </c>
    </row>
    <row r="148" spans="2:13" x14ac:dyDescent="0.2">
      <c r="B148" s="67"/>
      <c r="C148" s="29">
        <v>2</v>
      </c>
      <c r="D148" s="29" t="s">
        <v>189</v>
      </c>
      <c r="E148" s="69"/>
      <c r="F148" s="29" t="s">
        <v>7</v>
      </c>
      <c r="G148" s="44">
        <f>531301-201</f>
        <v>531100</v>
      </c>
      <c r="H148" s="44">
        <f>96-1</f>
        <v>95</v>
      </c>
      <c r="I148" s="27">
        <f>G148*0.01</f>
        <v>5311</v>
      </c>
      <c r="J148" s="38">
        <f t="shared" si="8"/>
        <v>5.3109999999999999</v>
      </c>
      <c r="K148" s="29" t="s">
        <v>255</v>
      </c>
      <c r="L148" s="29" t="s">
        <v>255</v>
      </c>
      <c r="M148" s="29" t="s">
        <v>255</v>
      </c>
    </row>
    <row r="149" spans="2:13" x14ac:dyDescent="0.2">
      <c r="B149" s="67"/>
      <c r="C149" s="29">
        <v>3</v>
      </c>
      <c r="D149" s="29" t="s">
        <v>190</v>
      </c>
      <c r="E149" s="69"/>
      <c r="F149" s="29" t="s">
        <v>7</v>
      </c>
      <c r="G149" s="10">
        <f>1900-900</f>
        <v>1000</v>
      </c>
      <c r="H149" s="10">
        <f>14-1</f>
        <v>13</v>
      </c>
      <c r="I149" s="27">
        <f>G149*0.01</f>
        <v>10</v>
      </c>
      <c r="J149" s="38">
        <f t="shared" si="8"/>
        <v>0.01</v>
      </c>
      <c r="K149" s="29" t="s">
        <v>255</v>
      </c>
      <c r="L149" s="29" t="s">
        <v>255</v>
      </c>
      <c r="M149" s="29" t="s">
        <v>255</v>
      </c>
    </row>
    <row r="150" spans="2:13" x14ac:dyDescent="0.2">
      <c r="B150" s="67"/>
      <c r="C150" s="29">
        <v>4</v>
      </c>
      <c r="D150" s="29" t="s">
        <v>191</v>
      </c>
      <c r="E150" s="69"/>
      <c r="F150" s="29" t="s">
        <v>7</v>
      </c>
      <c r="G150" s="44">
        <v>54</v>
      </c>
      <c r="H150" s="44">
        <v>2</v>
      </c>
      <c r="I150" s="27">
        <f>G150*0.01</f>
        <v>0.54</v>
      </c>
      <c r="J150" s="38">
        <f t="shared" si="8"/>
        <v>5.4000000000000001E-4</v>
      </c>
      <c r="K150" s="29" t="s">
        <v>255</v>
      </c>
      <c r="L150" s="29" t="s">
        <v>255</v>
      </c>
      <c r="M150" s="29" t="s">
        <v>255</v>
      </c>
    </row>
    <row r="151" spans="2:13" x14ac:dyDescent="0.2">
      <c r="B151" s="67" t="s">
        <v>192</v>
      </c>
      <c r="C151" s="29">
        <v>1</v>
      </c>
      <c r="D151" s="29" t="s">
        <v>193</v>
      </c>
      <c r="E151" s="67" t="s">
        <v>7</v>
      </c>
      <c r="F151" s="29" t="s">
        <v>7</v>
      </c>
      <c r="G151" s="44">
        <v>14826140</v>
      </c>
      <c r="H151" s="44">
        <v>26</v>
      </c>
      <c r="I151" s="27">
        <f>G151*0.001</f>
        <v>14826.14</v>
      </c>
      <c r="J151" s="38">
        <f t="shared" si="8"/>
        <v>14.826139999999999</v>
      </c>
      <c r="K151" s="29" t="s">
        <v>255</v>
      </c>
      <c r="L151" s="29" t="s">
        <v>255</v>
      </c>
      <c r="M151" s="29" t="s">
        <v>255</v>
      </c>
    </row>
    <row r="152" spans="2:13" x14ac:dyDescent="0.2">
      <c r="B152" s="67"/>
      <c r="C152" s="29">
        <v>2</v>
      </c>
      <c r="D152" s="29" t="s">
        <v>194</v>
      </c>
      <c r="E152" s="67"/>
      <c r="F152" s="29" t="s">
        <v>7</v>
      </c>
      <c r="G152" s="44">
        <v>15051840</v>
      </c>
      <c r="H152" s="44">
        <v>16</v>
      </c>
      <c r="I152" s="27">
        <f>G152*0.001</f>
        <v>15051.84</v>
      </c>
      <c r="J152" s="38">
        <f t="shared" si="8"/>
        <v>15.05184</v>
      </c>
      <c r="K152" s="29" t="s">
        <v>255</v>
      </c>
      <c r="L152" s="29" t="s">
        <v>255</v>
      </c>
      <c r="M152" s="29" t="s">
        <v>255</v>
      </c>
    </row>
    <row r="153" spans="2:13" x14ac:dyDescent="0.2">
      <c r="B153" s="67"/>
      <c r="C153" s="29">
        <v>3</v>
      </c>
      <c r="D153" s="29" t="s">
        <v>195</v>
      </c>
      <c r="E153" s="67"/>
      <c r="F153" s="29" t="s">
        <v>7</v>
      </c>
      <c r="G153" s="44">
        <v>19524480</v>
      </c>
      <c r="H153" s="44">
        <v>25</v>
      </c>
      <c r="I153" s="27">
        <f>G153*0.001</f>
        <v>19524.48</v>
      </c>
      <c r="J153" s="38">
        <f t="shared" si="8"/>
        <v>19.524480000000001</v>
      </c>
      <c r="K153" s="29" t="s">
        <v>255</v>
      </c>
      <c r="L153" s="29" t="s">
        <v>255</v>
      </c>
      <c r="M153" s="29" t="s">
        <v>255</v>
      </c>
    </row>
    <row r="154" spans="2:13" x14ac:dyDescent="0.2">
      <c r="B154" s="67"/>
      <c r="C154" s="29">
        <v>4</v>
      </c>
      <c r="D154" s="29" t="s">
        <v>196</v>
      </c>
      <c r="E154" s="67"/>
      <c r="F154" s="29" t="s">
        <v>7</v>
      </c>
      <c r="G154" s="44">
        <v>14762020</v>
      </c>
      <c r="H154" s="44">
        <v>37</v>
      </c>
      <c r="I154" s="27">
        <f>G154*0.001</f>
        <v>14762.02</v>
      </c>
      <c r="J154" s="38">
        <f t="shared" si="8"/>
        <v>14.76202</v>
      </c>
      <c r="K154" s="29" t="s">
        <v>255</v>
      </c>
      <c r="L154" s="29" t="s">
        <v>255</v>
      </c>
      <c r="M154" s="29" t="s">
        <v>255</v>
      </c>
    </row>
    <row r="155" spans="2:13" x14ac:dyDescent="0.2">
      <c r="B155" s="67"/>
      <c r="C155" s="29">
        <v>5</v>
      </c>
      <c r="D155" s="29" t="s">
        <v>197</v>
      </c>
      <c r="E155" s="67"/>
      <c r="F155" s="29" t="s">
        <v>7</v>
      </c>
      <c r="G155" s="44">
        <v>18010600</v>
      </c>
      <c r="H155" s="44">
        <v>17</v>
      </c>
      <c r="I155" s="27">
        <f>G155*0.002</f>
        <v>36021.200000000004</v>
      </c>
      <c r="J155" s="38">
        <f t="shared" si="8"/>
        <v>36.021200000000007</v>
      </c>
      <c r="K155" s="29" t="s">
        <v>255</v>
      </c>
      <c r="L155" s="29" t="s">
        <v>255</v>
      </c>
      <c r="M155" s="29" t="s">
        <v>255</v>
      </c>
    </row>
    <row r="156" spans="2:13" x14ac:dyDescent="0.2">
      <c r="B156" s="67"/>
      <c r="C156" s="29">
        <v>6</v>
      </c>
      <c r="D156" s="29" t="s">
        <v>198</v>
      </c>
      <c r="E156" s="67"/>
      <c r="F156" s="29" t="s">
        <v>7</v>
      </c>
      <c r="G156" s="44">
        <v>10804800</v>
      </c>
      <c r="H156" s="44">
        <v>52</v>
      </c>
      <c r="I156" s="27">
        <f>G156*0.002</f>
        <v>21609.600000000002</v>
      </c>
      <c r="J156" s="38">
        <f t="shared" si="8"/>
        <v>21.609600000000004</v>
      </c>
      <c r="K156" s="29" t="s">
        <v>255</v>
      </c>
      <c r="L156" s="29" t="s">
        <v>255</v>
      </c>
      <c r="M156" s="29" t="s">
        <v>255</v>
      </c>
    </row>
    <row r="157" spans="2:13" x14ac:dyDescent="0.2">
      <c r="B157" s="67"/>
      <c r="C157" s="29">
        <v>7</v>
      </c>
      <c r="D157" s="29" t="s">
        <v>199</v>
      </c>
      <c r="E157" s="67"/>
      <c r="F157" s="29" t="s">
        <v>7</v>
      </c>
      <c r="G157" s="44">
        <v>645</v>
      </c>
      <c r="H157" s="44">
        <v>6</v>
      </c>
      <c r="I157" s="27">
        <f>G157*0.001</f>
        <v>0.64500000000000002</v>
      </c>
      <c r="J157" s="38">
        <f t="shared" si="8"/>
        <v>6.4500000000000007E-4</v>
      </c>
      <c r="K157" s="29" t="s">
        <v>255</v>
      </c>
      <c r="L157" s="29" t="s">
        <v>255</v>
      </c>
      <c r="M157" s="29" t="s">
        <v>255</v>
      </c>
    </row>
    <row r="158" spans="2:13" x14ac:dyDescent="0.2">
      <c r="B158" s="67"/>
      <c r="C158" s="29">
        <v>8</v>
      </c>
      <c r="D158" s="29" t="s">
        <v>200</v>
      </c>
      <c r="E158" s="67"/>
      <c r="F158" s="29" t="s">
        <v>7</v>
      </c>
      <c r="G158" s="44">
        <v>495</v>
      </c>
      <c r="H158" s="44">
        <v>6</v>
      </c>
      <c r="I158" s="27">
        <f>G158*0.002</f>
        <v>0.99</v>
      </c>
      <c r="J158" s="38">
        <f t="shared" si="8"/>
        <v>9.8999999999999999E-4</v>
      </c>
      <c r="K158" s="29" t="s">
        <v>255</v>
      </c>
      <c r="L158" s="29" t="s">
        <v>255</v>
      </c>
      <c r="M158" s="29" t="s">
        <v>255</v>
      </c>
    </row>
    <row r="159" spans="2:13" x14ac:dyDescent="0.2">
      <c r="B159" s="67"/>
      <c r="C159" s="29">
        <v>9</v>
      </c>
      <c r="D159" s="29" t="s">
        <v>201</v>
      </c>
      <c r="E159" s="67"/>
      <c r="F159" s="29" t="s">
        <v>7</v>
      </c>
      <c r="G159" s="44">
        <v>3000</v>
      </c>
      <c r="H159" s="44">
        <v>25</v>
      </c>
      <c r="I159" s="27">
        <f>G159*0.002</f>
        <v>6</v>
      </c>
      <c r="J159" s="38">
        <f t="shared" si="8"/>
        <v>6.0000000000000001E-3</v>
      </c>
      <c r="K159" s="29" t="s">
        <v>255</v>
      </c>
      <c r="L159" s="29" t="s">
        <v>255</v>
      </c>
      <c r="M159" s="29" t="s">
        <v>255</v>
      </c>
    </row>
    <row r="160" spans="2:13" x14ac:dyDescent="0.2">
      <c r="B160" s="67"/>
      <c r="C160" s="29">
        <v>10</v>
      </c>
      <c r="D160" s="29" t="s">
        <v>202</v>
      </c>
      <c r="E160" s="67"/>
      <c r="F160" s="29" t="s">
        <v>7</v>
      </c>
      <c r="G160" s="44">
        <v>10836300</v>
      </c>
      <c r="H160" s="44">
        <v>91</v>
      </c>
      <c r="I160" s="27">
        <f>G160*0.001</f>
        <v>10836.300000000001</v>
      </c>
      <c r="J160" s="38">
        <f t="shared" si="8"/>
        <v>10.836300000000001</v>
      </c>
      <c r="K160" s="29" t="s">
        <v>255</v>
      </c>
      <c r="L160" s="29" t="s">
        <v>255</v>
      </c>
      <c r="M160" s="29" t="s">
        <v>255</v>
      </c>
    </row>
    <row r="161" spans="2:13" x14ac:dyDescent="0.2">
      <c r="B161" s="67"/>
      <c r="C161" s="29">
        <v>11</v>
      </c>
      <c r="D161" s="29" t="s">
        <v>203</v>
      </c>
      <c r="E161" s="67"/>
      <c r="F161" s="29" t="s">
        <v>7</v>
      </c>
      <c r="G161" s="44">
        <v>26842080</v>
      </c>
      <c r="H161" s="44">
        <v>228</v>
      </c>
      <c r="I161" s="27">
        <f>G161*0.002</f>
        <v>53684.160000000003</v>
      </c>
      <c r="J161" s="38">
        <f t="shared" si="8"/>
        <v>53.684160000000006</v>
      </c>
      <c r="K161" s="29" t="s">
        <v>255</v>
      </c>
      <c r="L161" s="29" t="s">
        <v>255</v>
      </c>
      <c r="M161" s="29" t="s">
        <v>255</v>
      </c>
    </row>
    <row r="162" spans="2:13" x14ac:dyDescent="0.2">
      <c r="B162" s="67"/>
      <c r="C162" s="29">
        <v>12</v>
      </c>
      <c r="D162" s="29" t="s">
        <v>204</v>
      </c>
      <c r="E162" s="67"/>
      <c r="F162" s="29" t="s">
        <v>7</v>
      </c>
      <c r="G162" s="44">
        <v>24000</v>
      </c>
      <c r="H162" s="44">
        <v>1</v>
      </c>
      <c r="I162" s="27">
        <f>G162*0.001</f>
        <v>24</v>
      </c>
      <c r="J162" s="38">
        <f t="shared" si="8"/>
        <v>2.4E-2</v>
      </c>
      <c r="K162" s="29" t="s">
        <v>255</v>
      </c>
      <c r="L162" s="29" t="s">
        <v>255</v>
      </c>
      <c r="M162" s="29" t="s">
        <v>255</v>
      </c>
    </row>
    <row r="163" spans="2:13" x14ac:dyDescent="0.2">
      <c r="B163" s="67"/>
      <c r="C163" s="29">
        <v>13</v>
      </c>
      <c r="D163" s="29" t="s">
        <v>205</v>
      </c>
      <c r="E163" s="67"/>
      <c r="F163" s="29" t="s">
        <v>7</v>
      </c>
      <c r="G163" s="44">
        <v>63360</v>
      </c>
      <c r="H163" s="44">
        <v>5</v>
      </c>
      <c r="I163" s="27">
        <f>G163*0.001</f>
        <v>63.36</v>
      </c>
      <c r="J163" s="38">
        <f t="shared" si="8"/>
        <v>6.336E-2</v>
      </c>
      <c r="K163" s="29" t="s">
        <v>255</v>
      </c>
      <c r="L163" s="29" t="s">
        <v>255</v>
      </c>
      <c r="M163" s="29" t="s">
        <v>255</v>
      </c>
    </row>
    <row r="164" spans="2:13" x14ac:dyDescent="0.2">
      <c r="B164" s="67"/>
      <c r="C164" s="29">
        <v>14</v>
      </c>
      <c r="D164" s="29" t="s">
        <v>206</v>
      </c>
      <c r="E164" s="67"/>
      <c r="F164" s="29" t="s">
        <v>7</v>
      </c>
      <c r="G164" s="44">
        <v>285120</v>
      </c>
      <c r="H164" s="44">
        <v>7</v>
      </c>
      <c r="I164" s="27">
        <f>G164*0.001</f>
        <v>285.12</v>
      </c>
      <c r="J164" s="38">
        <f t="shared" si="8"/>
        <v>0.28511999999999998</v>
      </c>
      <c r="K164" s="29" t="s">
        <v>255</v>
      </c>
      <c r="L164" s="29" t="s">
        <v>255</v>
      </c>
      <c r="M164" s="29" t="s">
        <v>255</v>
      </c>
    </row>
    <row r="165" spans="2:13" x14ac:dyDescent="0.2">
      <c r="B165" s="67"/>
      <c r="C165" s="29">
        <v>15</v>
      </c>
      <c r="D165" s="29" t="s">
        <v>207</v>
      </c>
      <c r="E165" s="67"/>
      <c r="F165" s="29" t="s">
        <v>7</v>
      </c>
      <c r="G165" s="44">
        <v>29760</v>
      </c>
      <c r="H165" s="44">
        <v>4</v>
      </c>
      <c r="I165" s="27">
        <f>G165*0.002</f>
        <v>59.52</v>
      </c>
      <c r="J165" s="38">
        <f t="shared" si="8"/>
        <v>5.9520000000000003E-2</v>
      </c>
      <c r="K165" s="29" t="s">
        <v>255</v>
      </c>
      <c r="L165" s="29" t="s">
        <v>255</v>
      </c>
      <c r="M165" s="29" t="s">
        <v>255</v>
      </c>
    </row>
    <row r="166" spans="2:13" x14ac:dyDescent="0.2">
      <c r="B166" s="67"/>
      <c r="C166" s="29">
        <v>16</v>
      </c>
      <c r="D166" s="29" t="s">
        <v>208</v>
      </c>
      <c r="E166" s="67"/>
      <c r="F166" s="29" t="s">
        <v>7</v>
      </c>
      <c r="G166" s="44">
        <v>27840</v>
      </c>
      <c r="H166" s="44">
        <v>3</v>
      </c>
      <c r="I166" s="27">
        <f>G166*0.002</f>
        <v>55.68</v>
      </c>
      <c r="J166" s="38">
        <f t="shared" si="8"/>
        <v>5.568E-2</v>
      </c>
      <c r="K166" s="29" t="s">
        <v>255</v>
      </c>
      <c r="L166" s="29" t="s">
        <v>255</v>
      </c>
      <c r="M166" s="29" t="s">
        <v>255</v>
      </c>
    </row>
    <row r="167" spans="2:13" x14ac:dyDescent="0.2">
      <c r="B167" s="67"/>
      <c r="C167" s="29">
        <v>17</v>
      </c>
      <c r="D167" s="29" t="s">
        <v>209</v>
      </c>
      <c r="E167" s="67"/>
      <c r="F167" s="29" t="s">
        <v>7</v>
      </c>
      <c r="G167" s="44">
        <v>560640</v>
      </c>
      <c r="H167" s="44">
        <v>5</v>
      </c>
      <c r="I167" s="27">
        <f>G167*0.001</f>
        <v>560.64</v>
      </c>
      <c r="J167" s="38">
        <f t="shared" si="8"/>
        <v>0.56064000000000003</v>
      </c>
      <c r="K167" s="29" t="s">
        <v>255</v>
      </c>
      <c r="L167" s="29" t="s">
        <v>255</v>
      </c>
      <c r="M167" s="29" t="s">
        <v>255</v>
      </c>
    </row>
    <row r="168" spans="2:13" x14ac:dyDescent="0.2">
      <c r="B168" s="67"/>
      <c r="C168" s="29">
        <v>18</v>
      </c>
      <c r="D168" s="29" t="s">
        <v>210</v>
      </c>
      <c r="E168" s="67"/>
      <c r="F168" s="29" t="s">
        <v>7</v>
      </c>
      <c r="G168" s="44">
        <v>1121280</v>
      </c>
      <c r="H168" s="44">
        <v>10</v>
      </c>
      <c r="I168" s="27">
        <f>G168*0.001</f>
        <v>1121.28</v>
      </c>
      <c r="J168" s="38">
        <f t="shared" si="8"/>
        <v>1.1212800000000001</v>
      </c>
      <c r="K168" s="29" t="s">
        <v>255</v>
      </c>
      <c r="L168" s="29" t="s">
        <v>255</v>
      </c>
      <c r="M168" s="29" t="s">
        <v>255</v>
      </c>
    </row>
    <row r="169" spans="2:13" x14ac:dyDescent="0.2">
      <c r="B169" s="67"/>
      <c r="C169" s="29">
        <v>19</v>
      </c>
      <c r="D169" s="29" t="s">
        <v>211</v>
      </c>
      <c r="E169" s="67"/>
      <c r="F169" s="29" t="s">
        <v>7</v>
      </c>
      <c r="G169" s="44">
        <v>307200</v>
      </c>
      <c r="H169" s="44">
        <v>1</v>
      </c>
      <c r="I169" s="27">
        <f>G169*0.001</f>
        <v>307.2</v>
      </c>
      <c r="J169" s="38">
        <f t="shared" si="8"/>
        <v>0.30719999999999997</v>
      </c>
      <c r="K169" s="29" t="s">
        <v>255</v>
      </c>
      <c r="L169" s="29" t="s">
        <v>255</v>
      </c>
      <c r="M169" s="29" t="s">
        <v>255</v>
      </c>
    </row>
    <row r="170" spans="2:13" x14ac:dyDescent="0.2">
      <c r="B170" s="67"/>
      <c r="C170" s="29">
        <v>20</v>
      </c>
      <c r="D170" s="29" t="s">
        <v>210</v>
      </c>
      <c r="E170" s="67"/>
      <c r="F170" s="29" t="s">
        <v>7</v>
      </c>
      <c r="G170" s="44">
        <v>100</v>
      </c>
      <c r="H170" s="44">
        <v>1</v>
      </c>
      <c r="I170" s="27">
        <f>G170*0.001</f>
        <v>0.1</v>
      </c>
      <c r="J170" s="38">
        <f t="shared" si="8"/>
        <v>1E-4</v>
      </c>
      <c r="K170" s="29" t="s">
        <v>255</v>
      </c>
      <c r="L170" s="29" t="s">
        <v>255</v>
      </c>
      <c r="M170" s="29" t="s">
        <v>255</v>
      </c>
    </row>
    <row r="171" spans="2:13" x14ac:dyDescent="0.2">
      <c r="B171" s="67"/>
      <c r="C171" s="29">
        <v>21</v>
      </c>
      <c r="D171" s="29" t="s">
        <v>212</v>
      </c>
      <c r="E171" s="67"/>
      <c r="F171" s="29" t="s">
        <v>7</v>
      </c>
      <c r="G171" s="44">
        <v>446400</v>
      </c>
      <c r="H171" s="44">
        <v>7</v>
      </c>
      <c r="I171" s="27">
        <f>G171*0.001</f>
        <v>446.40000000000003</v>
      </c>
      <c r="J171" s="38">
        <f t="shared" si="8"/>
        <v>0.44640000000000002</v>
      </c>
      <c r="K171" s="29" t="s">
        <v>255</v>
      </c>
      <c r="L171" s="29" t="s">
        <v>255</v>
      </c>
      <c r="M171" s="29" t="s">
        <v>255</v>
      </c>
    </row>
    <row r="172" spans="2:13" x14ac:dyDescent="0.2">
      <c r="B172" s="67"/>
      <c r="C172" s="29">
        <v>22</v>
      </c>
      <c r="D172" s="29" t="s">
        <v>213</v>
      </c>
      <c r="E172" s="67"/>
      <c r="F172" s="29" t="s">
        <v>7</v>
      </c>
      <c r="G172" s="44">
        <v>119040</v>
      </c>
      <c r="H172" s="44">
        <v>10</v>
      </c>
      <c r="I172" s="27">
        <f>G172*0.002</f>
        <v>238.08</v>
      </c>
      <c r="J172" s="38">
        <f t="shared" si="8"/>
        <v>0.23808000000000001</v>
      </c>
      <c r="K172" s="29" t="s">
        <v>255</v>
      </c>
      <c r="L172" s="29" t="s">
        <v>255</v>
      </c>
      <c r="M172" s="29" t="s">
        <v>255</v>
      </c>
    </row>
    <row r="173" spans="2:13" x14ac:dyDescent="0.2">
      <c r="B173" s="67"/>
      <c r="C173" s="29">
        <v>23</v>
      </c>
      <c r="D173" s="29" t="s">
        <v>214</v>
      </c>
      <c r="E173" s="67"/>
      <c r="F173" s="29" t="s">
        <v>7</v>
      </c>
      <c r="G173" s="44">
        <v>156480</v>
      </c>
      <c r="H173" s="44">
        <v>4</v>
      </c>
      <c r="I173" s="27">
        <f>G173*0.002</f>
        <v>312.95999999999998</v>
      </c>
      <c r="J173" s="38">
        <f t="shared" si="8"/>
        <v>0.31295999999999996</v>
      </c>
      <c r="K173" s="29" t="s">
        <v>255</v>
      </c>
      <c r="L173" s="29" t="s">
        <v>255</v>
      </c>
      <c r="M173" s="29" t="s">
        <v>255</v>
      </c>
    </row>
    <row r="174" spans="2:13" x14ac:dyDescent="0.2">
      <c r="B174" s="67"/>
      <c r="C174" s="29">
        <v>24</v>
      </c>
      <c r="D174" s="29" t="s">
        <v>215</v>
      </c>
      <c r="E174" s="67"/>
      <c r="F174" s="29" t="s">
        <v>7</v>
      </c>
      <c r="G174" s="44">
        <v>403200</v>
      </c>
      <c r="H174" s="44">
        <v>5</v>
      </c>
      <c r="I174" s="27">
        <f>G174*0.001</f>
        <v>403.2</v>
      </c>
      <c r="J174" s="38">
        <f t="shared" si="8"/>
        <v>0.4032</v>
      </c>
      <c r="K174" s="29" t="s">
        <v>255</v>
      </c>
      <c r="L174" s="29" t="s">
        <v>255</v>
      </c>
      <c r="M174" s="29" t="s">
        <v>255</v>
      </c>
    </row>
    <row r="175" spans="2:13" x14ac:dyDescent="0.2">
      <c r="B175" s="67"/>
      <c r="C175" s="29">
        <v>25</v>
      </c>
      <c r="D175" s="29" t="s">
        <v>216</v>
      </c>
      <c r="E175" s="67"/>
      <c r="F175" s="29" t="s">
        <v>7</v>
      </c>
      <c r="G175" s="44">
        <v>187200</v>
      </c>
      <c r="H175" s="44">
        <v>8</v>
      </c>
      <c r="I175" s="27">
        <f>G175*0.002</f>
        <v>374.40000000000003</v>
      </c>
      <c r="J175" s="38">
        <f t="shared" si="8"/>
        <v>0.37440000000000001</v>
      </c>
      <c r="K175" s="29" t="s">
        <v>255</v>
      </c>
      <c r="L175" s="29" t="s">
        <v>255</v>
      </c>
      <c r="M175" s="29" t="s">
        <v>255</v>
      </c>
    </row>
    <row r="176" spans="2:13" x14ac:dyDescent="0.2">
      <c r="B176" s="67"/>
      <c r="C176" s="29">
        <v>26</v>
      </c>
      <c r="D176" s="29" t="s">
        <v>217</v>
      </c>
      <c r="E176" s="67"/>
      <c r="F176" s="29" t="s">
        <v>7</v>
      </c>
      <c r="G176" s="44">
        <v>1925760</v>
      </c>
      <c r="H176" s="44">
        <v>39</v>
      </c>
      <c r="I176" s="27">
        <f>G176*0.001</f>
        <v>1925.76</v>
      </c>
      <c r="J176" s="38">
        <f t="shared" si="8"/>
        <v>1.9257599999999999</v>
      </c>
      <c r="K176" s="29" t="s">
        <v>255</v>
      </c>
      <c r="L176" s="29" t="s">
        <v>255</v>
      </c>
      <c r="M176" s="29" t="s">
        <v>255</v>
      </c>
    </row>
    <row r="177" spans="2:13" x14ac:dyDescent="0.2">
      <c r="B177" s="67"/>
      <c r="C177" s="29">
        <v>27</v>
      </c>
      <c r="D177" s="29" t="s">
        <v>218</v>
      </c>
      <c r="E177" s="67"/>
      <c r="F177" s="29" t="s">
        <v>7</v>
      </c>
      <c r="G177" s="44">
        <v>74</v>
      </c>
      <c r="H177" s="44">
        <v>1</v>
      </c>
      <c r="I177" s="27">
        <f>G177*0.002</f>
        <v>0.14799999999999999</v>
      </c>
      <c r="J177" s="38">
        <f t="shared" si="8"/>
        <v>1.4799999999999999E-4</v>
      </c>
      <c r="K177" s="29" t="s">
        <v>255</v>
      </c>
      <c r="L177" s="29" t="s">
        <v>255</v>
      </c>
      <c r="M177" s="29" t="s">
        <v>255</v>
      </c>
    </row>
    <row r="178" spans="2:13" x14ac:dyDescent="0.2">
      <c r="B178" s="67"/>
      <c r="C178" s="29">
        <v>28</v>
      </c>
      <c r="D178" s="29" t="s">
        <v>219</v>
      </c>
      <c r="E178" s="67"/>
      <c r="F178" s="29" t="s">
        <v>7</v>
      </c>
      <c r="G178" s="44">
        <v>250</v>
      </c>
      <c r="H178" s="44">
        <v>1</v>
      </c>
      <c r="I178" s="27">
        <f>G178*0.001</f>
        <v>0.25</v>
      </c>
      <c r="J178" s="38">
        <f t="shared" si="8"/>
        <v>2.5000000000000001E-4</v>
      </c>
      <c r="K178" s="29" t="s">
        <v>255</v>
      </c>
      <c r="L178" s="29" t="s">
        <v>255</v>
      </c>
      <c r="M178" s="29" t="s">
        <v>255</v>
      </c>
    </row>
    <row r="179" spans="2:13" x14ac:dyDescent="0.2">
      <c r="B179" s="67"/>
      <c r="C179" s="29">
        <v>29</v>
      </c>
      <c r="D179" s="29" t="s">
        <v>220</v>
      </c>
      <c r="E179" s="67"/>
      <c r="F179" s="29" t="s">
        <v>7</v>
      </c>
      <c r="G179" s="44">
        <v>78720</v>
      </c>
      <c r="H179" s="44">
        <v>5</v>
      </c>
      <c r="I179" s="27">
        <f>G179*0.001</f>
        <v>78.72</v>
      </c>
      <c r="J179" s="38">
        <f t="shared" si="8"/>
        <v>7.8719999999999998E-2</v>
      </c>
      <c r="K179" s="29" t="s">
        <v>255</v>
      </c>
      <c r="L179" s="29" t="s">
        <v>255</v>
      </c>
      <c r="M179" s="29" t="s">
        <v>255</v>
      </c>
    </row>
    <row r="180" spans="2:13" x14ac:dyDescent="0.2">
      <c r="B180" s="68" t="s">
        <v>221</v>
      </c>
      <c r="C180" s="29">
        <v>1</v>
      </c>
      <c r="D180" s="29" t="s">
        <v>222</v>
      </c>
      <c r="E180" s="72" t="s">
        <v>7</v>
      </c>
      <c r="F180" s="29" t="s">
        <v>7</v>
      </c>
      <c r="G180" s="44">
        <v>759500</v>
      </c>
      <c r="H180" s="44">
        <v>23</v>
      </c>
      <c r="I180" s="27">
        <f>G180*0.002</f>
        <v>1519</v>
      </c>
      <c r="J180" s="38">
        <f t="shared" si="8"/>
        <v>1.5189999999999999</v>
      </c>
      <c r="K180" s="29" t="s">
        <v>255</v>
      </c>
      <c r="L180" s="29" t="s">
        <v>255</v>
      </c>
      <c r="M180" s="29" t="s">
        <v>255</v>
      </c>
    </row>
    <row r="181" spans="2:13" x14ac:dyDescent="0.2">
      <c r="B181" s="69"/>
      <c r="C181" s="29">
        <v>2</v>
      </c>
      <c r="D181" s="29" t="s">
        <v>223</v>
      </c>
      <c r="E181" s="73"/>
      <c r="F181" s="29" t="s">
        <v>7</v>
      </c>
      <c r="G181" s="44">
        <v>2186000</v>
      </c>
      <c r="H181" s="44">
        <v>57</v>
      </c>
      <c r="I181" s="27">
        <f>G181*0.002</f>
        <v>4372</v>
      </c>
      <c r="J181" s="38">
        <f t="shared" si="8"/>
        <v>4.3719999999999999</v>
      </c>
      <c r="K181" s="29" t="s">
        <v>255</v>
      </c>
      <c r="L181" s="29" t="s">
        <v>255</v>
      </c>
      <c r="M181" s="29" t="s">
        <v>255</v>
      </c>
    </row>
    <row r="182" spans="2:13" x14ac:dyDescent="0.2">
      <c r="B182" s="69"/>
      <c r="C182" s="29">
        <v>3</v>
      </c>
      <c r="D182" s="29" t="s">
        <v>224</v>
      </c>
      <c r="E182" s="73"/>
      <c r="F182" s="29" t="s">
        <v>7</v>
      </c>
      <c r="G182" s="44">
        <v>2699200</v>
      </c>
      <c r="H182" s="44">
        <v>81</v>
      </c>
      <c r="I182" s="27">
        <f>G182*0.002</f>
        <v>5398.4000000000005</v>
      </c>
      <c r="J182" s="38">
        <f t="shared" si="8"/>
        <v>5.3984000000000005</v>
      </c>
      <c r="K182" s="29" t="s">
        <v>255</v>
      </c>
      <c r="L182" s="29" t="s">
        <v>255</v>
      </c>
      <c r="M182" s="29" t="s">
        <v>255</v>
      </c>
    </row>
    <row r="183" spans="2:13" x14ac:dyDescent="0.2">
      <c r="B183" s="69"/>
      <c r="C183" s="29">
        <v>4</v>
      </c>
      <c r="D183" s="29" t="s">
        <v>225</v>
      </c>
      <c r="E183" s="73"/>
      <c r="F183" s="29" t="s">
        <v>7</v>
      </c>
      <c r="G183" s="44">
        <v>1442650</v>
      </c>
      <c r="H183" s="44">
        <v>51</v>
      </c>
      <c r="I183" s="27">
        <f>G183*0.006</f>
        <v>8655.9</v>
      </c>
      <c r="J183" s="38">
        <f t="shared" si="8"/>
        <v>8.655899999999999</v>
      </c>
      <c r="K183" s="29" t="s">
        <v>255</v>
      </c>
      <c r="L183" s="29" t="s">
        <v>255</v>
      </c>
      <c r="M183" s="29" t="s">
        <v>255</v>
      </c>
    </row>
    <row r="184" spans="2:13" x14ac:dyDescent="0.2">
      <c r="B184" s="69"/>
      <c r="C184" s="29">
        <v>5</v>
      </c>
      <c r="D184" s="29" t="s">
        <v>226</v>
      </c>
      <c r="E184" s="73"/>
      <c r="F184" s="29" t="s">
        <v>7</v>
      </c>
      <c r="G184" s="44">
        <v>642240</v>
      </c>
      <c r="H184" s="44">
        <v>11</v>
      </c>
      <c r="I184" s="27">
        <f>G184*0.002</f>
        <v>1284.48</v>
      </c>
      <c r="J184" s="38">
        <f t="shared" si="8"/>
        <v>1.2844800000000001</v>
      </c>
      <c r="K184" s="29" t="s">
        <v>255</v>
      </c>
      <c r="L184" s="29" t="s">
        <v>255</v>
      </c>
      <c r="M184" s="29" t="s">
        <v>255</v>
      </c>
    </row>
    <row r="185" spans="2:13" x14ac:dyDescent="0.2">
      <c r="B185" s="69"/>
      <c r="C185" s="29">
        <v>6</v>
      </c>
      <c r="D185" s="29" t="s">
        <v>227</v>
      </c>
      <c r="E185" s="73"/>
      <c r="F185" s="29" t="s">
        <v>7</v>
      </c>
      <c r="G185" s="44">
        <v>15</v>
      </c>
      <c r="H185" s="44">
        <v>1</v>
      </c>
      <c r="I185" s="27">
        <f>G185*0.003</f>
        <v>4.4999999999999998E-2</v>
      </c>
      <c r="J185" s="38">
        <f t="shared" si="8"/>
        <v>4.4999999999999996E-5</v>
      </c>
      <c r="K185" s="29" t="s">
        <v>255</v>
      </c>
      <c r="L185" s="29" t="s">
        <v>255</v>
      </c>
      <c r="M185" s="29" t="s">
        <v>255</v>
      </c>
    </row>
    <row r="186" spans="2:13" x14ac:dyDescent="0.2">
      <c r="B186" s="69"/>
      <c r="C186" s="29">
        <v>7</v>
      </c>
      <c r="D186" s="29" t="s">
        <v>228</v>
      </c>
      <c r="E186" s="73"/>
      <c r="F186" s="29" t="s">
        <v>7</v>
      </c>
      <c r="G186" s="44">
        <v>5</v>
      </c>
      <c r="H186" s="44">
        <v>1</v>
      </c>
      <c r="I186" s="27">
        <f>G186*0.003</f>
        <v>1.4999999999999999E-2</v>
      </c>
      <c r="J186" s="38">
        <f t="shared" si="8"/>
        <v>1.4999999999999999E-5</v>
      </c>
      <c r="K186" s="29" t="s">
        <v>255</v>
      </c>
      <c r="L186" s="29" t="s">
        <v>255</v>
      </c>
      <c r="M186" s="29" t="s">
        <v>255</v>
      </c>
    </row>
    <row r="187" spans="2:13" x14ac:dyDescent="0.2">
      <c r="B187" s="69"/>
      <c r="C187" s="29">
        <v>8</v>
      </c>
      <c r="D187" s="29" t="s">
        <v>229</v>
      </c>
      <c r="E187" s="73"/>
      <c r="F187" s="29" t="s">
        <v>7</v>
      </c>
      <c r="G187" s="44">
        <v>29</v>
      </c>
      <c r="H187" s="44">
        <v>1</v>
      </c>
      <c r="I187" s="27">
        <f>G187*0.003</f>
        <v>8.7000000000000008E-2</v>
      </c>
      <c r="J187" s="38">
        <f t="shared" si="8"/>
        <v>8.7000000000000014E-5</v>
      </c>
      <c r="K187" s="29" t="s">
        <v>255</v>
      </c>
      <c r="L187" s="29" t="s">
        <v>255</v>
      </c>
      <c r="M187" s="29" t="s">
        <v>255</v>
      </c>
    </row>
    <row r="188" spans="2:13" x14ac:dyDescent="0.2">
      <c r="B188" s="69"/>
      <c r="C188" s="29">
        <v>9</v>
      </c>
      <c r="D188" s="29" t="s">
        <v>230</v>
      </c>
      <c r="E188" s="73"/>
      <c r="F188" s="29" t="s">
        <v>7</v>
      </c>
      <c r="G188" s="44">
        <v>2</v>
      </c>
      <c r="H188" s="44">
        <v>1</v>
      </c>
      <c r="I188" s="27">
        <f>G188*0.003</f>
        <v>6.0000000000000001E-3</v>
      </c>
      <c r="J188" s="38">
        <f t="shared" si="8"/>
        <v>6.0000000000000002E-6</v>
      </c>
      <c r="K188" s="29" t="s">
        <v>255</v>
      </c>
      <c r="L188" s="29" t="s">
        <v>255</v>
      </c>
      <c r="M188" s="29" t="s">
        <v>255</v>
      </c>
    </row>
    <row r="189" spans="2:13" x14ac:dyDescent="0.2">
      <c r="B189" s="71"/>
      <c r="C189" s="29">
        <v>10</v>
      </c>
      <c r="D189" s="29" t="s">
        <v>231</v>
      </c>
      <c r="E189" s="74"/>
      <c r="F189" s="29" t="s">
        <v>7</v>
      </c>
      <c r="G189" s="44">
        <v>7</v>
      </c>
      <c r="H189" s="44">
        <v>1</v>
      </c>
      <c r="I189" s="27">
        <f>G189*0.003</f>
        <v>2.1000000000000001E-2</v>
      </c>
      <c r="J189" s="38">
        <f t="shared" si="8"/>
        <v>2.1000000000000002E-5</v>
      </c>
      <c r="K189" s="29" t="s">
        <v>255</v>
      </c>
      <c r="L189" s="29" t="s">
        <v>255</v>
      </c>
      <c r="M189" s="29" t="s">
        <v>255</v>
      </c>
    </row>
    <row r="190" spans="2:13" x14ac:dyDescent="0.2">
      <c r="B190" s="67" t="s">
        <v>232</v>
      </c>
      <c r="C190" s="29">
        <v>1</v>
      </c>
      <c r="D190" s="29" t="s">
        <v>233</v>
      </c>
      <c r="E190" s="72" t="s">
        <v>7</v>
      </c>
      <c r="F190" s="29" t="s">
        <v>7</v>
      </c>
      <c r="G190" s="44">
        <v>97185</v>
      </c>
      <c r="H190" s="44">
        <v>50</v>
      </c>
      <c r="I190" s="27">
        <f>G190*0.05508</f>
        <v>5352.9497999999994</v>
      </c>
      <c r="J190" s="38">
        <f t="shared" si="8"/>
        <v>5.3529497999999993</v>
      </c>
      <c r="K190" s="29" t="s">
        <v>255</v>
      </c>
      <c r="L190" s="29" t="s">
        <v>255</v>
      </c>
      <c r="M190" s="29" t="s">
        <v>255</v>
      </c>
    </row>
    <row r="191" spans="2:13" x14ac:dyDescent="0.2">
      <c r="B191" s="67"/>
      <c r="C191" s="29">
        <v>2</v>
      </c>
      <c r="D191" s="29" t="s">
        <v>234</v>
      </c>
      <c r="E191" s="73"/>
      <c r="F191" s="29" t="s">
        <v>7</v>
      </c>
      <c r="G191" s="44">
        <v>61991</v>
      </c>
      <c r="H191" s="44">
        <v>33</v>
      </c>
      <c r="I191" s="27">
        <f>G191*0.0501</f>
        <v>3105.7491</v>
      </c>
      <c r="J191" s="38">
        <f t="shared" si="8"/>
        <v>3.1057491000000002</v>
      </c>
      <c r="K191" s="29" t="s">
        <v>255</v>
      </c>
      <c r="L191" s="29" t="s">
        <v>255</v>
      </c>
      <c r="M191" s="29" t="s">
        <v>255</v>
      </c>
    </row>
    <row r="192" spans="2:13" x14ac:dyDescent="0.2">
      <c r="B192" s="67"/>
      <c r="C192" s="29">
        <v>3</v>
      </c>
      <c r="D192" s="29" t="s">
        <v>235</v>
      </c>
      <c r="E192" s="73"/>
      <c r="F192" s="29" t="s">
        <v>7</v>
      </c>
      <c r="G192" s="44">
        <v>90</v>
      </c>
      <c r="H192" s="44">
        <v>1</v>
      </c>
      <c r="I192" s="27">
        <f>G192*0.06273</f>
        <v>5.6456999999999997</v>
      </c>
      <c r="J192" s="38">
        <f t="shared" si="8"/>
        <v>5.6457E-3</v>
      </c>
      <c r="K192" s="29" t="s">
        <v>255</v>
      </c>
      <c r="L192" s="29" t="s">
        <v>255</v>
      </c>
      <c r="M192" s="29" t="s">
        <v>255</v>
      </c>
    </row>
    <row r="193" spans="2:13" x14ac:dyDescent="0.2">
      <c r="B193" s="67"/>
      <c r="C193" s="29">
        <v>4</v>
      </c>
      <c r="D193" s="29" t="s">
        <v>236</v>
      </c>
      <c r="E193" s="73"/>
      <c r="F193" s="29" t="s">
        <v>7</v>
      </c>
      <c r="G193" s="44">
        <v>24592</v>
      </c>
      <c r="H193" s="44">
        <v>18</v>
      </c>
      <c r="I193" s="27">
        <f>G193*0.075</f>
        <v>1844.3999999999999</v>
      </c>
      <c r="J193" s="38">
        <f t="shared" si="8"/>
        <v>1.8443999999999998</v>
      </c>
      <c r="K193" s="29" t="s">
        <v>255</v>
      </c>
      <c r="L193" s="29" t="s">
        <v>255</v>
      </c>
      <c r="M193" s="29" t="s">
        <v>255</v>
      </c>
    </row>
    <row r="194" spans="2:13" x14ac:dyDescent="0.2">
      <c r="B194" s="67"/>
      <c r="C194" s="29">
        <v>5</v>
      </c>
      <c r="D194" s="29" t="s">
        <v>237</v>
      </c>
      <c r="E194" s="73"/>
      <c r="F194" s="29" t="s">
        <v>7</v>
      </c>
      <c r="G194" s="44">
        <v>98180</v>
      </c>
      <c r="H194" s="44">
        <v>44</v>
      </c>
      <c r="I194" s="27">
        <f>G194*0.075</f>
        <v>7363.5</v>
      </c>
      <c r="J194" s="38">
        <f t="shared" si="8"/>
        <v>7.3635000000000002</v>
      </c>
      <c r="K194" s="29" t="s">
        <v>255</v>
      </c>
      <c r="L194" s="29" t="s">
        <v>255</v>
      </c>
      <c r="M194" s="29" t="s">
        <v>255</v>
      </c>
    </row>
    <row r="195" spans="2:13" x14ac:dyDescent="0.2">
      <c r="B195" s="67"/>
      <c r="C195" s="29">
        <v>6</v>
      </c>
      <c r="D195" s="29" t="s">
        <v>238</v>
      </c>
      <c r="E195" s="73"/>
      <c r="F195" s="29" t="s">
        <v>7</v>
      </c>
      <c r="G195" s="44">
        <v>3300</v>
      </c>
      <c r="H195" s="44">
        <v>1</v>
      </c>
      <c r="I195" s="27">
        <f>G195*0.1107</f>
        <v>365.31</v>
      </c>
      <c r="J195" s="38">
        <f t="shared" si="8"/>
        <v>0.36531000000000002</v>
      </c>
      <c r="K195" s="29" t="s">
        <v>255</v>
      </c>
      <c r="L195" s="29" t="s">
        <v>255</v>
      </c>
      <c r="M195" s="29" t="s">
        <v>255</v>
      </c>
    </row>
    <row r="196" spans="2:13" x14ac:dyDescent="0.2">
      <c r="B196" s="67"/>
      <c r="C196" s="29">
        <v>7</v>
      </c>
      <c r="D196" s="29" t="s">
        <v>239</v>
      </c>
      <c r="E196" s="73"/>
      <c r="F196" s="29" t="s">
        <v>7</v>
      </c>
      <c r="G196" s="44">
        <v>1900</v>
      </c>
      <c r="H196" s="44">
        <v>5</v>
      </c>
      <c r="I196" s="27">
        <f>G196*0.15</f>
        <v>285</v>
      </c>
      <c r="J196" s="38">
        <f t="shared" si="8"/>
        <v>0.28499999999999998</v>
      </c>
      <c r="K196" s="29" t="s">
        <v>255</v>
      </c>
      <c r="L196" s="29" t="s">
        <v>255</v>
      </c>
      <c r="M196" s="29" t="s">
        <v>255</v>
      </c>
    </row>
    <row r="197" spans="2:13" x14ac:dyDescent="0.2">
      <c r="B197" s="67"/>
      <c r="C197" s="29">
        <v>8</v>
      </c>
      <c r="D197" s="29" t="s">
        <v>240</v>
      </c>
      <c r="E197" s="73"/>
      <c r="F197" s="29" t="s">
        <v>7</v>
      </c>
      <c r="G197" s="44">
        <v>1800</v>
      </c>
      <c r="H197" s="44">
        <v>1</v>
      </c>
      <c r="I197" s="27">
        <f>G197*0.02124</f>
        <v>38.231999999999999</v>
      </c>
      <c r="J197" s="38">
        <f t="shared" si="8"/>
        <v>3.8232000000000002E-2</v>
      </c>
      <c r="K197" s="29" t="s">
        <v>255</v>
      </c>
      <c r="L197" s="29" t="s">
        <v>255</v>
      </c>
      <c r="M197" s="29" t="s">
        <v>255</v>
      </c>
    </row>
    <row r="198" spans="2:13" x14ac:dyDescent="0.2">
      <c r="B198" s="67"/>
      <c r="C198" s="29">
        <v>9</v>
      </c>
      <c r="D198" s="29" t="s">
        <v>241</v>
      </c>
      <c r="E198" s="73"/>
      <c r="F198" s="29" t="s">
        <v>7</v>
      </c>
      <c r="G198" s="44">
        <v>550</v>
      </c>
      <c r="H198" s="44">
        <v>1</v>
      </c>
      <c r="I198" s="27">
        <f>G198*0.15</f>
        <v>82.5</v>
      </c>
      <c r="J198" s="38">
        <f t="shared" si="8"/>
        <v>8.2500000000000004E-2</v>
      </c>
      <c r="K198" s="29" t="s">
        <v>255</v>
      </c>
      <c r="L198" s="29" t="s">
        <v>255</v>
      </c>
      <c r="M198" s="29" t="s">
        <v>255</v>
      </c>
    </row>
    <row r="199" spans="2:13" x14ac:dyDescent="0.2">
      <c r="B199" s="67"/>
      <c r="C199" s="29">
        <v>10</v>
      </c>
      <c r="D199" s="29" t="s">
        <v>242</v>
      </c>
      <c r="E199" s="74"/>
      <c r="F199" s="29" t="s">
        <v>7</v>
      </c>
      <c r="G199" s="44">
        <v>100</v>
      </c>
      <c r="H199" s="44">
        <v>1</v>
      </c>
      <c r="I199" s="27">
        <f>G199*0.997903214</f>
        <v>99.79032140000001</v>
      </c>
      <c r="J199" s="38">
        <f t="shared" si="8"/>
        <v>9.9790321400000007E-2</v>
      </c>
      <c r="K199" s="29" t="s">
        <v>255</v>
      </c>
      <c r="L199" s="29" t="s">
        <v>255</v>
      </c>
      <c r="M199" s="29" t="s">
        <v>255</v>
      </c>
    </row>
    <row r="200" spans="2:13" x14ac:dyDescent="0.2">
      <c r="B200" s="29" t="s">
        <v>243</v>
      </c>
      <c r="C200" s="29">
        <v>1</v>
      </c>
      <c r="D200" s="29" t="s">
        <v>244</v>
      </c>
      <c r="E200" s="29" t="s">
        <v>7</v>
      </c>
      <c r="F200" s="29" t="s">
        <v>7</v>
      </c>
      <c r="G200" s="44">
        <v>2215140</v>
      </c>
      <c r="H200" s="44">
        <v>99</v>
      </c>
      <c r="I200" s="27">
        <f>G200*0.001</f>
        <v>2215.14</v>
      </c>
      <c r="J200" s="38">
        <f t="shared" si="8"/>
        <v>2.2151399999999999</v>
      </c>
      <c r="K200" s="29" t="s">
        <v>255</v>
      </c>
      <c r="L200" s="29" t="s">
        <v>255</v>
      </c>
      <c r="M200" s="29" t="s">
        <v>255</v>
      </c>
    </row>
    <row r="201" spans="2:13" x14ac:dyDescent="0.2">
      <c r="B201" s="29" t="s">
        <v>245</v>
      </c>
      <c r="C201" s="29">
        <v>1</v>
      </c>
      <c r="D201" s="29" t="s">
        <v>246</v>
      </c>
      <c r="E201" s="29" t="s">
        <v>7</v>
      </c>
      <c r="F201" s="29" t="s">
        <v>7</v>
      </c>
      <c r="G201" s="44">
        <v>70000</v>
      </c>
      <c r="H201" s="44">
        <v>3</v>
      </c>
      <c r="I201" s="27">
        <f>G201*0.007</f>
        <v>490</v>
      </c>
      <c r="J201" s="38">
        <f t="shared" si="8"/>
        <v>0.49</v>
      </c>
      <c r="K201" s="29" t="s">
        <v>255</v>
      </c>
      <c r="L201" s="29" t="s">
        <v>255</v>
      </c>
      <c r="M201" s="29" t="s">
        <v>255</v>
      </c>
    </row>
    <row r="202" spans="2:13" x14ac:dyDescent="0.2">
      <c r="B202" s="67" t="s">
        <v>247</v>
      </c>
      <c r="C202" s="29">
        <v>1</v>
      </c>
      <c r="D202" s="29" t="s">
        <v>248</v>
      </c>
      <c r="E202" s="72" t="s">
        <v>7</v>
      </c>
      <c r="F202" s="29" t="s">
        <v>7</v>
      </c>
      <c r="G202" s="10">
        <v>1777</v>
      </c>
      <c r="H202" s="10">
        <v>63</v>
      </c>
      <c r="I202" s="33">
        <f>G202*0.15</f>
        <v>266.55</v>
      </c>
      <c r="J202" s="38">
        <f t="shared" si="8"/>
        <v>0.26655000000000001</v>
      </c>
      <c r="K202" s="29" t="s">
        <v>255</v>
      </c>
      <c r="L202" s="29" t="s">
        <v>255</v>
      </c>
      <c r="M202" s="29" t="s">
        <v>255</v>
      </c>
    </row>
    <row r="203" spans="2:13" x14ac:dyDescent="0.2">
      <c r="B203" s="67"/>
      <c r="C203" s="29">
        <v>2</v>
      </c>
      <c r="D203" s="29" t="s">
        <v>249</v>
      </c>
      <c r="E203" s="73"/>
      <c r="F203" s="29" t="s">
        <v>7</v>
      </c>
      <c r="G203" s="10">
        <v>997</v>
      </c>
      <c r="H203" s="10">
        <v>22</v>
      </c>
      <c r="I203" s="33">
        <f>G203*0.15</f>
        <v>149.54999999999998</v>
      </c>
      <c r="J203" s="38">
        <f t="shared" si="8"/>
        <v>0.14954999999999999</v>
      </c>
      <c r="K203" s="29" t="s">
        <v>255</v>
      </c>
      <c r="L203" s="29" t="s">
        <v>255</v>
      </c>
      <c r="M203" s="29" t="s">
        <v>255</v>
      </c>
    </row>
    <row r="204" spans="2:13" x14ac:dyDescent="0.2">
      <c r="B204" s="67"/>
      <c r="C204" s="29">
        <v>3</v>
      </c>
      <c r="D204" s="29" t="s">
        <v>250</v>
      </c>
      <c r="E204" s="73"/>
      <c r="F204" s="29" t="s">
        <v>7</v>
      </c>
      <c r="G204" s="10">
        <v>53586</v>
      </c>
      <c r="H204" s="10">
        <v>20</v>
      </c>
      <c r="I204" s="33">
        <f>G204*0.15</f>
        <v>8037.9</v>
      </c>
      <c r="J204" s="38">
        <f t="shared" si="8"/>
        <v>8.0379000000000005</v>
      </c>
      <c r="K204" s="29" t="s">
        <v>255</v>
      </c>
      <c r="L204" s="29" t="s">
        <v>255</v>
      </c>
      <c r="M204" s="29" t="s">
        <v>255</v>
      </c>
    </row>
    <row r="205" spans="2:13" x14ac:dyDescent="0.2">
      <c r="B205" s="67"/>
      <c r="C205" s="29">
        <v>4</v>
      </c>
      <c r="D205" s="29" t="s">
        <v>251</v>
      </c>
      <c r="E205" s="73"/>
      <c r="F205" s="29" t="s">
        <v>7</v>
      </c>
      <c r="G205" s="10">
        <v>91</v>
      </c>
      <c r="H205" s="10">
        <v>8</v>
      </c>
      <c r="I205" s="33">
        <f>G205*0.15</f>
        <v>13.65</v>
      </c>
      <c r="J205" s="38">
        <f t="shared" si="8"/>
        <v>1.3650000000000001E-2</v>
      </c>
      <c r="K205" s="29" t="s">
        <v>255</v>
      </c>
      <c r="L205" s="29" t="s">
        <v>255</v>
      </c>
      <c r="M205" s="29" t="s">
        <v>255</v>
      </c>
    </row>
    <row r="206" spans="2:13" x14ac:dyDescent="0.2">
      <c r="B206" s="67"/>
      <c r="C206" s="29">
        <v>5</v>
      </c>
      <c r="D206" s="29" t="s">
        <v>252</v>
      </c>
      <c r="E206" s="73"/>
      <c r="F206" s="29" t="s">
        <v>7</v>
      </c>
      <c r="G206" s="10">
        <v>15480</v>
      </c>
      <c r="H206" s="10">
        <v>8</v>
      </c>
      <c r="I206" s="33">
        <f>G206*0.15</f>
        <v>2322</v>
      </c>
      <c r="J206" s="38">
        <f t="shared" si="8"/>
        <v>2.3220000000000001</v>
      </c>
      <c r="K206" s="29" t="s">
        <v>255</v>
      </c>
      <c r="L206" s="29" t="s">
        <v>255</v>
      </c>
      <c r="M206" s="29" t="s">
        <v>255</v>
      </c>
    </row>
    <row r="207" spans="2:13" x14ac:dyDescent="0.2">
      <c r="B207" s="67"/>
      <c r="C207" s="29">
        <v>6</v>
      </c>
      <c r="D207" s="29" t="s">
        <v>253</v>
      </c>
      <c r="E207" s="73"/>
      <c r="F207" s="29" t="s">
        <v>7</v>
      </c>
      <c r="G207" s="10">
        <v>287</v>
      </c>
      <c r="H207" s="10">
        <v>16</v>
      </c>
      <c r="I207" s="33">
        <f>G207*0.002</f>
        <v>0.57400000000000007</v>
      </c>
      <c r="J207" s="38">
        <f t="shared" si="8"/>
        <v>5.7400000000000007E-4</v>
      </c>
      <c r="K207" s="29" t="s">
        <v>255</v>
      </c>
      <c r="L207" s="29" t="s">
        <v>255</v>
      </c>
      <c r="M207" s="29" t="s">
        <v>255</v>
      </c>
    </row>
    <row r="208" spans="2:13" x14ac:dyDescent="0.2">
      <c r="B208" s="67"/>
      <c r="C208" s="29">
        <v>7</v>
      </c>
      <c r="D208" s="29" t="s">
        <v>254</v>
      </c>
      <c r="E208" s="74"/>
      <c r="F208" s="29" t="s">
        <v>7</v>
      </c>
      <c r="G208" s="10">
        <v>15</v>
      </c>
      <c r="H208" s="10">
        <v>5</v>
      </c>
      <c r="I208" s="33">
        <f>G208</f>
        <v>15</v>
      </c>
      <c r="J208" s="38">
        <f t="shared" si="8"/>
        <v>1.4999999999999999E-2</v>
      </c>
      <c r="K208" s="29" t="s">
        <v>255</v>
      </c>
      <c r="L208" s="29" t="s">
        <v>255</v>
      </c>
      <c r="M208" s="29" t="s">
        <v>255</v>
      </c>
    </row>
    <row r="209" spans="2:13" x14ac:dyDescent="0.2">
      <c r="B209" s="67" t="s">
        <v>282</v>
      </c>
      <c r="C209" s="29">
        <v>1</v>
      </c>
      <c r="D209" s="29" t="s">
        <v>256</v>
      </c>
      <c r="E209" s="68" t="s">
        <v>7</v>
      </c>
      <c r="F209" s="29" t="s">
        <v>7</v>
      </c>
      <c r="G209" s="10">
        <v>10</v>
      </c>
      <c r="H209" s="10">
        <v>2</v>
      </c>
      <c r="I209" s="33">
        <f>(1.3*10)</f>
        <v>13</v>
      </c>
      <c r="J209" s="27">
        <f t="shared" ref="J209:J231" si="9">I209/1000</f>
        <v>1.2999999999999999E-2</v>
      </c>
      <c r="K209" s="29" t="s">
        <v>255</v>
      </c>
      <c r="L209" s="29" t="s">
        <v>255</v>
      </c>
      <c r="M209" s="29" t="s">
        <v>255</v>
      </c>
    </row>
    <row r="210" spans="2:13" x14ac:dyDescent="0.2">
      <c r="B210" s="67"/>
      <c r="C210" s="29">
        <v>2</v>
      </c>
      <c r="D210" s="29" t="s">
        <v>257</v>
      </c>
      <c r="E210" s="69"/>
      <c r="F210" s="29" t="s">
        <v>7</v>
      </c>
      <c r="G210" s="10">
        <v>40</v>
      </c>
      <c r="H210" s="10">
        <v>3</v>
      </c>
      <c r="I210" s="33">
        <f>(40*10)</f>
        <v>400</v>
      </c>
      <c r="J210" s="27">
        <f t="shared" si="9"/>
        <v>0.4</v>
      </c>
      <c r="K210" s="29" t="s">
        <v>255</v>
      </c>
      <c r="L210" s="29" t="s">
        <v>255</v>
      </c>
      <c r="M210" s="29" t="s">
        <v>255</v>
      </c>
    </row>
    <row r="211" spans="2:13" x14ac:dyDescent="0.2">
      <c r="B211" s="67"/>
      <c r="C211" s="29">
        <v>3</v>
      </c>
      <c r="D211" s="29" t="s">
        <v>258</v>
      </c>
      <c r="E211" s="69"/>
      <c r="F211" s="29" t="s">
        <v>7</v>
      </c>
      <c r="G211" s="10">
        <v>32</v>
      </c>
      <c r="H211" s="10">
        <v>2</v>
      </c>
      <c r="I211" s="33">
        <f>(32*2.5)</f>
        <v>80</v>
      </c>
      <c r="J211" s="27">
        <f t="shared" si="9"/>
        <v>0.08</v>
      </c>
      <c r="K211" s="29" t="s">
        <v>255</v>
      </c>
      <c r="L211" s="29" t="s">
        <v>255</v>
      </c>
      <c r="M211" s="29" t="s">
        <v>255</v>
      </c>
    </row>
    <row r="212" spans="2:13" x14ac:dyDescent="0.2">
      <c r="B212" s="67"/>
      <c r="C212" s="29">
        <v>4</v>
      </c>
      <c r="D212" s="29" t="s">
        <v>259</v>
      </c>
      <c r="E212" s="69"/>
      <c r="F212" s="29" t="s">
        <v>7</v>
      </c>
      <c r="G212" s="10">
        <v>20</v>
      </c>
      <c r="H212" s="10">
        <v>4</v>
      </c>
      <c r="I212" s="33">
        <f>(20*50)</f>
        <v>1000</v>
      </c>
      <c r="J212" s="27">
        <f t="shared" si="9"/>
        <v>1</v>
      </c>
      <c r="K212" s="29" t="s">
        <v>255</v>
      </c>
      <c r="L212" s="29" t="s">
        <v>255</v>
      </c>
      <c r="M212" s="29" t="s">
        <v>255</v>
      </c>
    </row>
    <row r="213" spans="2:13" x14ac:dyDescent="0.2">
      <c r="B213" s="67"/>
      <c r="C213" s="55">
        <v>5</v>
      </c>
      <c r="D213" s="35" t="s">
        <v>260</v>
      </c>
      <c r="E213" s="69"/>
      <c r="F213" s="29" t="s">
        <v>7</v>
      </c>
      <c r="G213" s="10">
        <v>95</v>
      </c>
      <c r="H213" s="10">
        <v>1</v>
      </c>
      <c r="I213" s="33">
        <f>(95*0.05)</f>
        <v>4.75</v>
      </c>
      <c r="J213" s="27">
        <f t="shared" si="9"/>
        <v>4.7499999999999999E-3</v>
      </c>
      <c r="K213" s="29" t="s">
        <v>255</v>
      </c>
      <c r="L213" s="29" t="s">
        <v>255</v>
      </c>
      <c r="M213" s="29" t="s">
        <v>255</v>
      </c>
    </row>
    <row r="214" spans="2:13" x14ac:dyDescent="0.2">
      <c r="B214" s="67"/>
      <c r="C214" s="55">
        <v>6</v>
      </c>
      <c r="D214" s="29" t="s">
        <v>261</v>
      </c>
      <c r="E214" s="69"/>
      <c r="F214" s="29" t="s">
        <v>7</v>
      </c>
      <c r="G214" s="10">
        <v>62</v>
      </c>
      <c r="H214" s="10">
        <v>8</v>
      </c>
      <c r="I214" s="33">
        <f>(62*2.5)</f>
        <v>155</v>
      </c>
      <c r="J214" s="27">
        <f t="shared" si="9"/>
        <v>0.155</v>
      </c>
      <c r="K214" s="29" t="s">
        <v>255</v>
      </c>
      <c r="L214" s="29" t="s">
        <v>255</v>
      </c>
      <c r="M214" s="29" t="s">
        <v>255</v>
      </c>
    </row>
    <row r="215" spans="2:13" x14ac:dyDescent="0.2">
      <c r="B215" s="67"/>
      <c r="C215" s="55">
        <v>7</v>
      </c>
      <c r="D215" s="29" t="s">
        <v>262</v>
      </c>
      <c r="E215" s="69"/>
      <c r="F215" s="29" t="s">
        <v>7</v>
      </c>
      <c r="G215" s="10">
        <v>83</v>
      </c>
      <c r="H215" s="10">
        <v>11</v>
      </c>
      <c r="I215" s="33">
        <f>(83*7)</f>
        <v>581</v>
      </c>
      <c r="J215" s="27">
        <f t="shared" si="9"/>
        <v>0.58099999999999996</v>
      </c>
      <c r="K215" s="29" t="s">
        <v>255</v>
      </c>
      <c r="L215" s="29" t="s">
        <v>255</v>
      </c>
      <c r="M215" s="29" t="s">
        <v>255</v>
      </c>
    </row>
    <row r="216" spans="2:13" x14ac:dyDescent="0.2">
      <c r="B216" s="67"/>
      <c r="C216" s="55">
        <v>8</v>
      </c>
      <c r="D216" s="29" t="s">
        <v>263</v>
      </c>
      <c r="E216" s="69"/>
      <c r="F216" s="29" t="s">
        <v>7</v>
      </c>
      <c r="G216" s="10">
        <v>15055</v>
      </c>
      <c r="H216" s="10">
        <v>34</v>
      </c>
      <c r="I216" s="33">
        <f>(15055*0.05)+(150*1)</f>
        <v>902.75</v>
      </c>
      <c r="J216" s="27">
        <f t="shared" si="9"/>
        <v>0.90275000000000005</v>
      </c>
      <c r="K216" s="29" t="s">
        <v>255</v>
      </c>
      <c r="L216" s="29" t="s">
        <v>255</v>
      </c>
      <c r="M216" s="29" t="s">
        <v>255</v>
      </c>
    </row>
    <row r="217" spans="2:13" x14ac:dyDescent="0.2">
      <c r="B217" s="67"/>
      <c r="C217" s="55">
        <v>9</v>
      </c>
      <c r="D217" s="29" t="s">
        <v>264</v>
      </c>
      <c r="E217" s="69"/>
      <c r="F217" s="29" t="s">
        <v>7</v>
      </c>
      <c r="G217" s="10">
        <v>71250</v>
      </c>
      <c r="H217" s="10">
        <v>3</v>
      </c>
      <c r="I217" s="33">
        <f>(71250*0.004)+(712*1)</f>
        <v>997</v>
      </c>
      <c r="J217" s="27">
        <f t="shared" si="9"/>
        <v>0.997</v>
      </c>
      <c r="K217" s="29" t="s">
        <v>255</v>
      </c>
      <c r="L217" s="29" t="s">
        <v>255</v>
      </c>
      <c r="M217" s="29" t="s">
        <v>255</v>
      </c>
    </row>
    <row r="218" spans="2:13" x14ac:dyDescent="0.2">
      <c r="B218" s="67"/>
      <c r="C218" s="55">
        <v>10</v>
      </c>
      <c r="D218" s="29" t="s">
        <v>265</v>
      </c>
      <c r="E218" s="69"/>
      <c r="F218" s="29" t="s">
        <v>7</v>
      </c>
      <c r="G218" s="10">
        <v>6100</v>
      </c>
      <c r="H218" s="10">
        <v>2</v>
      </c>
      <c r="I218" s="33">
        <f>(6100*0.1)+61*1</f>
        <v>671</v>
      </c>
      <c r="J218" s="27">
        <f t="shared" si="9"/>
        <v>0.67100000000000004</v>
      </c>
      <c r="K218" s="29" t="s">
        <v>255</v>
      </c>
      <c r="L218" s="29" t="s">
        <v>255</v>
      </c>
      <c r="M218" s="29" t="s">
        <v>255</v>
      </c>
    </row>
    <row r="219" spans="2:13" x14ac:dyDescent="0.2">
      <c r="B219" s="67"/>
      <c r="C219" s="55">
        <v>11</v>
      </c>
      <c r="D219" s="29" t="s">
        <v>266</v>
      </c>
      <c r="E219" s="69"/>
      <c r="F219" s="29" t="s">
        <v>7</v>
      </c>
      <c r="G219" s="10">
        <v>71250</v>
      </c>
      <c r="H219" s="10">
        <v>4</v>
      </c>
      <c r="I219" s="33">
        <f>(71250*0.004)+(712*1)</f>
        <v>997</v>
      </c>
      <c r="J219" s="27">
        <f t="shared" si="9"/>
        <v>0.997</v>
      </c>
      <c r="K219" s="29" t="s">
        <v>255</v>
      </c>
      <c r="L219" s="29" t="s">
        <v>255</v>
      </c>
      <c r="M219" s="29" t="s">
        <v>255</v>
      </c>
    </row>
    <row r="220" spans="2:13" x14ac:dyDescent="0.2">
      <c r="B220" s="67"/>
      <c r="C220" s="55">
        <v>12</v>
      </c>
      <c r="D220" s="29" t="s">
        <v>267</v>
      </c>
      <c r="E220" s="69"/>
      <c r="F220" s="29" t="s">
        <v>7</v>
      </c>
      <c r="G220" s="10">
        <v>17</v>
      </c>
      <c r="H220" s="10">
        <v>6</v>
      </c>
      <c r="I220" s="33">
        <f>(17*30)</f>
        <v>510</v>
      </c>
      <c r="J220" s="27">
        <f t="shared" si="9"/>
        <v>0.51</v>
      </c>
      <c r="K220" s="29" t="s">
        <v>255</v>
      </c>
      <c r="L220" s="29" t="s">
        <v>255</v>
      </c>
      <c r="M220" s="29" t="s">
        <v>255</v>
      </c>
    </row>
    <row r="221" spans="2:13" x14ac:dyDescent="0.2">
      <c r="B221" s="67"/>
      <c r="C221" s="55">
        <v>13</v>
      </c>
      <c r="D221" s="29" t="s">
        <v>268</v>
      </c>
      <c r="E221" s="69"/>
      <c r="F221" s="29" t="s">
        <v>7</v>
      </c>
      <c r="G221" s="10">
        <v>3546</v>
      </c>
      <c r="H221" s="10">
        <v>3</v>
      </c>
      <c r="I221" s="33">
        <f>(3546*0.15) +(35*1)</f>
        <v>566.9</v>
      </c>
      <c r="J221" s="27">
        <f t="shared" si="9"/>
        <v>0.56689999999999996</v>
      </c>
      <c r="K221" s="29" t="s">
        <v>255</v>
      </c>
      <c r="L221" s="29" t="s">
        <v>255</v>
      </c>
      <c r="M221" s="29" t="s">
        <v>255</v>
      </c>
    </row>
    <row r="222" spans="2:13" x14ac:dyDescent="0.2">
      <c r="B222" s="67"/>
      <c r="C222" s="55">
        <v>14</v>
      </c>
      <c r="D222" s="29" t="s">
        <v>269</v>
      </c>
      <c r="E222" s="69"/>
      <c r="F222" s="29" t="s">
        <v>7</v>
      </c>
      <c r="G222" s="10">
        <v>126</v>
      </c>
      <c r="H222" s="10">
        <v>1</v>
      </c>
      <c r="I222" s="33">
        <f>(126*0.15)</f>
        <v>18.899999999999999</v>
      </c>
      <c r="J222" s="27">
        <f t="shared" si="9"/>
        <v>1.89E-2</v>
      </c>
      <c r="K222" s="29" t="s">
        <v>255</v>
      </c>
      <c r="L222" s="29" t="s">
        <v>255</v>
      </c>
      <c r="M222" s="29" t="s">
        <v>255</v>
      </c>
    </row>
    <row r="223" spans="2:13" x14ac:dyDescent="0.2">
      <c r="B223" s="67"/>
      <c r="C223" s="55">
        <v>15</v>
      </c>
      <c r="D223" s="29" t="s">
        <v>270</v>
      </c>
      <c r="E223" s="69"/>
      <c r="F223" s="29" t="s">
        <v>7</v>
      </c>
      <c r="G223" s="10">
        <v>1795000</v>
      </c>
      <c r="H223" s="10">
        <v>21</v>
      </c>
      <c r="I223" s="33">
        <f>(1795000*0.004)+(17950*0.8)</f>
        <v>21540</v>
      </c>
      <c r="J223" s="27">
        <f t="shared" si="9"/>
        <v>21.54</v>
      </c>
      <c r="K223" s="29" t="s">
        <v>255</v>
      </c>
      <c r="L223" s="29" t="s">
        <v>255</v>
      </c>
      <c r="M223" s="29" t="s">
        <v>255</v>
      </c>
    </row>
    <row r="224" spans="2:13" x14ac:dyDescent="0.2">
      <c r="B224" s="67"/>
      <c r="C224" s="55">
        <v>16</v>
      </c>
      <c r="D224" s="29" t="s">
        <v>271</v>
      </c>
      <c r="E224" s="69"/>
      <c r="F224" s="29" t="s">
        <v>7</v>
      </c>
      <c r="G224" s="10">
        <v>9</v>
      </c>
      <c r="H224" s="10">
        <v>1</v>
      </c>
      <c r="I224" s="33">
        <f>9</f>
        <v>9</v>
      </c>
      <c r="J224" s="27">
        <f t="shared" si="9"/>
        <v>8.9999999999999993E-3</v>
      </c>
      <c r="K224" s="29" t="s">
        <v>255</v>
      </c>
      <c r="L224" s="29" t="s">
        <v>255</v>
      </c>
      <c r="M224" s="29" t="s">
        <v>255</v>
      </c>
    </row>
    <row r="225" spans="2:13" x14ac:dyDescent="0.2">
      <c r="B225" s="67"/>
      <c r="C225" s="55">
        <v>17</v>
      </c>
      <c r="D225" s="29" t="s">
        <v>272</v>
      </c>
      <c r="E225" s="69"/>
      <c r="F225" s="29" t="s">
        <v>7</v>
      </c>
      <c r="G225" s="10">
        <v>3</v>
      </c>
      <c r="H225" s="10">
        <v>1</v>
      </c>
      <c r="I225" s="33">
        <v>25</v>
      </c>
      <c r="J225" s="27">
        <f t="shared" si="9"/>
        <v>2.5000000000000001E-2</v>
      </c>
      <c r="K225" s="29" t="s">
        <v>255</v>
      </c>
      <c r="L225" s="29" t="s">
        <v>255</v>
      </c>
      <c r="M225" s="29" t="s">
        <v>255</v>
      </c>
    </row>
    <row r="226" spans="2:13" x14ac:dyDescent="0.2">
      <c r="B226" s="67"/>
      <c r="C226" s="55">
        <v>18</v>
      </c>
      <c r="D226" s="29" t="s">
        <v>273</v>
      </c>
      <c r="E226" s="69"/>
      <c r="F226" s="29" t="s">
        <v>7</v>
      </c>
      <c r="G226" s="10">
        <v>1</v>
      </c>
      <c r="H226" s="10">
        <v>1</v>
      </c>
      <c r="I226" s="33">
        <f>10</f>
        <v>10</v>
      </c>
      <c r="J226" s="27">
        <f t="shared" si="9"/>
        <v>0.01</v>
      </c>
      <c r="K226" s="29" t="s">
        <v>255</v>
      </c>
      <c r="L226" s="29" t="s">
        <v>255</v>
      </c>
      <c r="M226" s="29" t="s">
        <v>255</v>
      </c>
    </row>
    <row r="227" spans="2:13" x14ac:dyDescent="0.2">
      <c r="B227" s="67"/>
      <c r="C227" s="55">
        <v>19</v>
      </c>
      <c r="D227" s="29" t="s">
        <v>274</v>
      </c>
      <c r="E227" s="69"/>
      <c r="F227" s="29" t="s">
        <v>7</v>
      </c>
      <c r="G227" s="10">
        <v>100</v>
      </c>
      <c r="H227" s="10">
        <v>1</v>
      </c>
      <c r="I227" s="33">
        <v>30</v>
      </c>
      <c r="J227" s="27">
        <f t="shared" si="9"/>
        <v>0.03</v>
      </c>
      <c r="K227" s="29" t="s">
        <v>255</v>
      </c>
      <c r="L227" s="29" t="s">
        <v>255</v>
      </c>
      <c r="M227" s="29" t="s">
        <v>255</v>
      </c>
    </row>
    <row r="228" spans="2:13" x14ac:dyDescent="0.2">
      <c r="B228" s="67"/>
      <c r="C228" s="55">
        <v>20</v>
      </c>
      <c r="D228" s="29" t="s">
        <v>275</v>
      </c>
      <c r="E228" s="69"/>
      <c r="F228" s="29" t="s">
        <v>7</v>
      </c>
      <c r="G228" s="10">
        <v>23</v>
      </c>
      <c r="H228" s="10">
        <v>23</v>
      </c>
      <c r="I228" s="33">
        <f>(23*25)</f>
        <v>575</v>
      </c>
      <c r="J228" s="27">
        <f t="shared" si="9"/>
        <v>0.57499999999999996</v>
      </c>
      <c r="K228" s="29" t="s">
        <v>255</v>
      </c>
      <c r="L228" s="29" t="s">
        <v>255</v>
      </c>
      <c r="M228" s="29" t="s">
        <v>255</v>
      </c>
    </row>
    <row r="229" spans="2:13" x14ac:dyDescent="0.2">
      <c r="B229" s="67"/>
      <c r="C229" s="55">
        <v>21</v>
      </c>
      <c r="D229" s="29" t="s">
        <v>276</v>
      </c>
      <c r="E229" s="69"/>
      <c r="F229" s="29" t="s">
        <v>7</v>
      </c>
      <c r="G229" s="10">
        <v>2</v>
      </c>
      <c r="H229" s="10">
        <v>1</v>
      </c>
      <c r="I229" s="33">
        <f>(2*8)</f>
        <v>16</v>
      </c>
      <c r="J229" s="27">
        <f t="shared" si="9"/>
        <v>1.6E-2</v>
      </c>
      <c r="K229" s="29" t="s">
        <v>255</v>
      </c>
      <c r="L229" s="29" t="s">
        <v>255</v>
      </c>
      <c r="M229" s="29" t="s">
        <v>255</v>
      </c>
    </row>
    <row r="230" spans="2:13" x14ac:dyDescent="0.2">
      <c r="B230" s="67"/>
      <c r="C230" s="55">
        <v>22</v>
      </c>
      <c r="D230" s="29" t="s">
        <v>277</v>
      </c>
      <c r="E230" s="69"/>
      <c r="F230" s="29" t="s">
        <v>7</v>
      </c>
      <c r="G230" s="10">
        <v>10</v>
      </c>
      <c r="H230" s="10">
        <v>1</v>
      </c>
      <c r="I230" s="33">
        <f>(10*3)</f>
        <v>30</v>
      </c>
      <c r="J230" s="27">
        <f t="shared" si="9"/>
        <v>0.03</v>
      </c>
      <c r="K230" s="29" t="s">
        <v>255</v>
      </c>
      <c r="L230" s="29" t="s">
        <v>255</v>
      </c>
      <c r="M230" s="29" t="s">
        <v>255</v>
      </c>
    </row>
    <row r="231" spans="2:13" x14ac:dyDescent="0.2">
      <c r="B231" s="67"/>
      <c r="C231" s="55">
        <v>23</v>
      </c>
      <c r="D231" s="29" t="s">
        <v>278</v>
      </c>
      <c r="E231" s="69"/>
      <c r="F231" s="29" t="s">
        <v>7</v>
      </c>
      <c r="G231" s="10">
        <f>391680-232704</f>
        <v>158976</v>
      </c>
      <c r="H231" s="10">
        <f>18-12</f>
        <v>6</v>
      </c>
      <c r="I231" s="33">
        <f>(G231*0.02)</f>
        <v>3179.52</v>
      </c>
      <c r="J231" s="27">
        <f t="shared" si="9"/>
        <v>3.1795200000000001</v>
      </c>
      <c r="K231" s="29" t="s">
        <v>255</v>
      </c>
      <c r="L231" s="29" t="s">
        <v>255</v>
      </c>
      <c r="M231" s="29" t="s">
        <v>255</v>
      </c>
    </row>
    <row r="232" spans="2:13" x14ac:dyDescent="0.2">
      <c r="B232" s="67"/>
      <c r="C232" s="55">
        <v>24</v>
      </c>
      <c r="D232" s="29" t="s">
        <v>279</v>
      </c>
      <c r="E232" s="69"/>
      <c r="F232" s="29" t="s">
        <v>7</v>
      </c>
      <c r="G232" s="44">
        <f>3200-1800</f>
        <v>1400</v>
      </c>
      <c r="H232" s="44">
        <f>5-3</f>
        <v>2</v>
      </c>
      <c r="I232" s="27">
        <f>(3200*5)</f>
        <v>16000</v>
      </c>
      <c r="J232" s="27">
        <f>I232/1000</f>
        <v>16</v>
      </c>
      <c r="K232" s="29" t="s">
        <v>255</v>
      </c>
      <c r="L232" s="29" t="s">
        <v>255</v>
      </c>
      <c r="M232" s="29" t="s">
        <v>255</v>
      </c>
    </row>
    <row r="233" spans="2:13" x14ac:dyDescent="0.2">
      <c r="B233" s="67"/>
      <c r="C233" s="55">
        <v>25</v>
      </c>
      <c r="D233" s="29" t="s">
        <v>280</v>
      </c>
      <c r="E233" s="69"/>
      <c r="F233" s="29" t="s">
        <v>7</v>
      </c>
      <c r="G233" s="10">
        <v>12</v>
      </c>
      <c r="H233" s="10">
        <v>2</v>
      </c>
      <c r="I233" s="33">
        <f>100</f>
        <v>100</v>
      </c>
      <c r="J233" s="27">
        <f t="shared" ref="J233:J234" si="10">I233/1000</f>
        <v>0.1</v>
      </c>
      <c r="K233" s="29" t="s">
        <v>255</v>
      </c>
      <c r="L233" s="29" t="s">
        <v>255</v>
      </c>
      <c r="M233" s="29" t="s">
        <v>255</v>
      </c>
    </row>
    <row r="234" spans="2:13" x14ac:dyDescent="0.2">
      <c r="B234" s="67"/>
      <c r="C234" s="55">
        <v>26</v>
      </c>
      <c r="D234" s="29" t="s">
        <v>281</v>
      </c>
      <c r="E234" s="71"/>
      <c r="F234" s="29" t="s">
        <v>7</v>
      </c>
      <c r="G234" s="10">
        <v>3</v>
      </c>
      <c r="H234" s="10">
        <v>1</v>
      </c>
      <c r="I234" s="33">
        <v>25</v>
      </c>
      <c r="J234" s="27">
        <f t="shared" si="10"/>
        <v>2.5000000000000001E-2</v>
      </c>
      <c r="K234" s="29" t="s">
        <v>255</v>
      </c>
      <c r="L234" s="29" t="s">
        <v>255</v>
      </c>
      <c r="M234" s="29" t="s">
        <v>255</v>
      </c>
    </row>
    <row r="236" spans="2:13" x14ac:dyDescent="0.2">
      <c r="B236" s="34" t="s">
        <v>297</v>
      </c>
    </row>
    <row r="237" spans="2:13" x14ac:dyDescent="0.2">
      <c r="B237" s="31" t="s">
        <v>295</v>
      </c>
    </row>
  </sheetData>
  <mergeCells count="49">
    <mergeCell ref="B84:M85"/>
    <mergeCell ref="B87:B90"/>
    <mergeCell ref="C87:C89"/>
    <mergeCell ref="B103:M104"/>
    <mergeCell ref="B106:B113"/>
    <mergeCell ref="E106:E113"/>
    <mergeCell ref="F106:F113"/>
    <mergeCell ref="B91:B92"/>
    <mergeCell ref="B93:B94"/>
    <mergeCell ref="B34:B43"/>
    <mergeCell ref="C37:C39"/>
    <mergeCell ref="C41:C42"/>
    <mergeCell ref="B71:M72"/>
    <mergeCell ref="B74:B79"/>
    <mergeCell ref="C74:C76"/>
    <mergeCell ref="B44:B66"/>
    <mergeCell ref="C44:C50"/>
    <mergeCell ref="C51:C61"/>
    <mergeCell ref="E55:E61"/>
    <mergeCell ref="C62:C63"/>
    <mergeCell ref="C65:C66"/>
    <mergeCell ref="C24:C31"/>
    <mergeCell ref="C32:C33"/>
    <mergeCell ref="B3:M4"/>
    <mergeCell ref="B6:B33"/>
    <mergeCell ref="C8:C11"/>
    <mergeCell ref="C12:C16"/>
    <mergeCell ref="C17:C21"/>
    <mergeCell ref="B209:B234"/>
    <mergeCell ref="E209:E234"/>
    <mergeCell ref="B180:B189"/>
    <mergeCell ref="E180:E189"/>
    <mergeCell ref="B190:B199"/>
    <mergeCell ref="E190:E199"/>
    <mergeCell ref="B202:B208"/>
    <mergeCell ref="E202:E208"/>
    <mergeCell ref="B151:B179"/>
    <mergeCell ref="E151:E179"/>
    <mergeCell ref="B134:B138"/>
    <mergeCell ref="E134:E138"/>
    <mergeCell ref="B139:B146"/>
    <mergeCell ref="E139:E146"/>
    <mergeCell ref="B147:B150"/>
    <mergeCell ref="E147:E150"/>
    <mergeCell ref="B131:M132"/>
    <mergeCell ref="B118:M119"/>
    <mergeCell ref="E121:E126"/>
    <mergeCell ref="F121:F126"/>
    <mergeCell ref="B121:B126"/>
  </mergeCells>
  <pageMargins left="0.7" right="0.7" top="0.75" bottom="0.75" header="0.3" footer="0.3"/>
  <pageSetup paperSize="9" orientation="portrait" horizontalDpi="90" verticalDpi="90"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7</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Braun, M.J. (Michel)</dc:creator>
  <cp:lastModifiedBy>Braun, M.J. (Michel)</cp:lastModifiedBy>
  <dcterms:created xsi:type="dcterms:W3CDTF">2023-01-27T07:52:19Z</dcterms:created>
  <dcterms:modified xsi:type="dcterms:W3CDTF">2023-06-29T13:20:12Z</dcterms:modified>
</cp:coreProperties>
</file>