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OPO-R\Aanbesteding 2023\Uitlever\"/>
    </mc:Choice>
  </mc:AlternateContent>
  <xr:revisionPtr revIDLastSave="0" documentId="13_ncr:1_{D44CF4FF-F3BA-454A-AF70-45EDA0E9EF90}" xr6:coauthVersionLast="47" xr6:coauthVersionMax="47" xr10:uidLastSave="{00000000-0000-0000-0000-000000000000}"/>
  <bookViews>
    <workbookView xWindow="24468" yWindow="816" windowWidth="23256" windowHeight="12456" firstSheet="9" activeTab="14" xr2:uid="{9499B514-0B46-49E0-AB9E-9C344FFAF03C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Glas per locatie" sheetId="14" r:id="rId14"/>
    <sheet name="Totaal" sheetId="15" r:id="rId15"/>
  </sheets>
  <definedNames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1">Categorienormen!$1:$3</definedName>
    <definedName name="_xlnm.Print_Titles" localSheetId="12">Glas!$1:$3</definedName>
    <definedName name="_xlnm.Print_Titles" localSheetId="13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1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4">Totaal!$1:$3</definedName>
    <definedName name="_xlnm.Print_Titles" localSheetId="7">'Totaalblad Objecten'!$1:$3</definedName>
    <definedName name="catdw_1_BKHB_1">Categorienormen!$F$6</definedName>
    <definedName name="catdw_1_BKHV_40">Categorienormen!$F$7</definedName>
    <definedName name="catdw_1_BKHV_47">Categorienormen!$F$8</definedName>
    <definedName name="catdw_1_BKZB_1">Categorienormen!$F$9</definedName>
    <definedName name="catdw_1_BKZV_2">Categorienormen!$F$10</definedName>
    <definedName name="catdw_1_BKZV_40">Categorienormen!$F$11</definedName>
    <definedName name="catdw_1_GSHB_1">Categorienormen!$F$39</definedName>
    <definedName name="catdw_1_GSHV_2">Categorienormen!$F$40</definedName>
    <definedName name="catdw_1_GSHV_40">Categorienormen!$F$41</definedName>
    <definedName name="catdw_1_KAHB_1">Categorienormen!$F$42</definedName>
    <definedName name="catdw_1_KAHV_40">Categorienormen!$F$43</definedName>
    <definedName name="catdw_1_KAZB_1">Categorienormen!$F$44</definedName>
    <definedName name="catdw_1_KAZV_40">Categorienormen!$F$45</definedName>
    <definedName name="catdw_1_KDHB_1">Categorienormen!$F$12</definedName>
    <definedName name="catdw_1_KDHV_40">Categorienormen!$F$13</definedName>
    <definedName name="catdw_1_KDZB_1">Categorienormen!$F$14</definedName>
    <definedName name="catdw_1_KDZV_40">Categorienormen!$F$15</definedName>
    <definedName name="catdw_1_KPHB_1">Categorienormen!$F$46</definedName>
    <definedName name="catdw_1_KPHV_40">Categorienormen!$F$47</definedName>
    <definedName name="catdw_1_LLHB_1">Categorienormen!$F$16</definedName>
    <definedName name="catdw_1_LLHV_12">Categorienormen!$F$17</definedName>
    <definedName name="catdw_1_LLHV_40">Categorienormen!$F$18</definedName>
    <definedName name="catdw_1_LLZB_1">Categorienormen!$F$19</definedName>
    <definedName name="catdw_1_LLZV_40">Categorienormen!$F$20</definedName>
    <definedName name="catdw_1_LOHB_1">Categorienormen!$F$21</definedName>
    <definedName name="catdw_1_LOHV_40">Categorienormen!$F$22</definedName>
    <definedName name="catdw_1_MAHB_1">Categorienormen!$F$23</definedName>
    <definedName name="catdw_1_MAHV_40">Categorienormen!$F$24</definedName>
    <definedName name="catdw_1_MAZV_2">Categorienormen!$F$25</definedName>
    <definedName name="catdw_1_OAHB_1">Categorienormen!$F$48</definedName>
    <definedName name="catdw_1_OAHV_40">Categorienormen!$F$49</definedName>
    <definedName name="catdw_1_OAHV_47">Categorienormen!$F$50</definedName>
    <definedName name="catdw_1_PAHB_1">Categorienormen!$F$26</definedName>
    <definedName name="catdw_1_PAHV_40">Categorienormen!$F$27</definedName>
    <definedName name="catdw_1_PAZB_1">Categorienormen!$F$28</definedName>
    <definedName name="catdw_1_PAZV_40">Categorienormen!$F$29</definedName>
    <definedName name="catdw_1_SDHB_1">Categorienormen!$F$30</definedName>
    <definedName name="catdw_1_SDHV_40">Categorienormen!$F$31</definedName>
    <definedName name="catdw_1_SKHB_1">Categorienormen!$F$32</definedName>
    <definedName name="catdw_1_SKHV_40">Categorienormen!$F$33</definedName>
    <definedName name="catdw_1_STHB_1">Categorienormen!$F$34</definedName>
    <definedName name="catdw_1_STHV_40">Categorienormen!$F$35</definedName>
    <definedName name="catdw_1_STHV_47">Categorienormen!$F$36</definedName>
    <definedName name="catdw_1_SWHB_1">Categorienormen!$F$37</definedName>
    <definedName name="catdw_1_SWHV_40">Categorienormen!$F$38</definedName>
    <definedName name="catdw_1_VAHB_1">Categorienormen!$F$51</definedName>
    <definedName name="catdw_1_VAHV_40">Categorienormen!$F$52</definedName>
    <definedName name="catdw_1_VAHV_47">Categorienormen!$F$53</definedName>
    <definedName name="catdw_1_VAZB_1">Categorienormen!$F$54</definedName>
    <definedName name="catdw_1_VAZV_40">Categorienormen!$F$55</definedName>
    <definedName name="catdw_1_VEHB_1">Categorienormen!$F$56</definedName>
    <definedName name="catdw_1_VEHV_40">Categorienormen!$F$57</definedName>
    <definedName name="catdw_1_VEZB_1">Categorienormen!$F$58</definedName>
    <definedName name="catdw_1_VEZV_40">Categorienormen!$F$59</definedName>
    <definedName name="catdw_1_VEZV_47">Categorienormen!$F$60</definedName>
    <definedName name="catdw_1_VOHB_1">Categorienormen!$F$61</definedName>
    <definedName name="catdw_1_VOHV_40">Categorienormen!$F$62</definedName>
    <definedName name="catdw_1_VSHB_1">Categorienormen!$F$63</definedName>
    <definedName name="catdw_1_VSHV_40">Categorienormen!$F$64</definedName>
    <definedName name="catdw_1_VSHV_52">Categorienormen!$F$65</definedName>
    <definedName name="catdw_1_VTHB_1">Categorienormen!$F$66</definedName>
    <definedName name="catdw_1_VTHV_40">Categorienormen!$F$67</definedName>
    <definedName name="catfd_1_BKHB_1">Categorienormen!$C$6</definedName>
    <definedName name="catfd_1_BKHV_40">Categorienormen!$C$7</definedName>
    <definedName name="catfd_1_BKHV_47">Categorienormen!$C$8</definedName>
    <definedName name="catfd_1_BKZB_1">Categorienormen!$C$9</definedName>
    <definedName name="catfd_1_BKZV_2">Categorienormen!$C$10</definedName>
    <definedName name="catfd_1_BKZV_40">Categorienormen!$C$11</definedName>
    <definedName name="catfd_1_GSHB_1">Categorienormen!$C$39</definedName>
    <definedName name="catfd_1_GSHV_2">Categorienormen!$C$40</definedName>
    <definedName name="catfd_1_GSHV_40">Categorienormen!$C$41</definedName>
    <definedName name="catfd_1_KAHB_1">Categorienormen!$C$42</definedName>
    <definedName name="catfd_1_KAHV_40">Categorienormen!$C$43</definedName>
    <definedName name="catfd_1_KAZB_1">Categorienormen!$C$44</definedName>
    <definedName name="catfd_1_KAZV_40">Categorienormen!$C$45</definedName>
    <definedName name="catfd_1_KDHB_1">Categorienormen!$C$12</definedName>
    <definedName name="catfd_1_KDHV_40">Categorienormen!$C$13</definedName>
    <definedName name="catfd_1_KDZB_1">Categorienormen!$C$14</definedName>
    <definedName name="catfd_1_KDZV_40">Categorienormen!$C$15</definedName>
    <definedName name="catfd_1_KPHB_1">Categorienormen!$C$46</definedName>
    <definedName name="catfd_1_KPHV_40">Categorienormen!$C$47</definedName>
    <definedName name="catfd_1_LLHB_1">Categorienormen!$C$16</definedName>
    <definedName name="catfd_1_LLHV_12">Categorienormen!$C$17</definedName>
    <definedName name="catfd_1_LLHV_40">Categorienormen!$C$18</definedName>
    <definedName name="catfd_1_LLZB_1">Categorienormen!$C$19</definedName>
    <definedName name="catfd_1_LLZV_40">Categorienormen!$C$20</definedName>
    <definedName name="catfd_1_LOHB_1">Categorienormen!$C$21</definedName>
    <definedName name="catfd_1_LOHV_40">Categorienormen!$C$22</definedName>
    <definedName name="catfd_1_MAHB_1">Categorienormen!$C$23</definedName>
    <definedName name="catfd_1_MAHV_40">Categorienormen!$C$24</definedName>
    <definedName name="catfd_1_MAZV_2">Categorienormen!$C$25</definedName>
    <definedName name="catfd_1_OAHB_1">Categorienormen!$C$48</definedName>
    <definedName name="catfd_1_OAHV_40">Categorienormen!$C$49</definedName>
    <definedName name="catfd_1_OAHV_47">Categorienormen!$C$50</definedName>
    <definedName name="catfd_1_PAHB_1">Categorienormen!$C$26</definedName>
    <definedName name="catfd_1_PAHV_40">Categorienormen!$C$27</definedName>
    <definedName name="catfd_1_PAZB_1">Categorienormen!$C$28</definedName>
    <definedName name="catfd_1_PAZV_40">Categorienormen!$C$29</definedName>
    <definedName name="catfd_1_SDHB_1">Categorienormen!$C$30</definedName>
    <definedName name="catfd_1_SDHV_40">Categorienormen!$C$31</definedName>
    <definedName name="catfd_1_SKHB_1">Categorienormen!$C$32</definedName>
    <definedName name="catfd_1_SKHV_40">Categorienormen!$C$33</definedName>
    <definedName name="catfd_1_STHB_1">Categorienormen!$C$34</definedName>
    <definedName name="catfd_1_STHV_40">Categorienormen!$C$35</definedName>
    <definedName name="catfd_1_STHV_47">Categorienormen!$C$36</definedName>
    <definedName name="catfd_1_SWHB_1">Categorienormen!$C$37</definedName>
    <definedName name="catfd_1_SWHV_40">Categorienormen!$C$38</definedName>
    <definedName name="catfd_1_VAHB_1">Categorienormen!$C$51</definedName>
    <definedName name="catfd_1_VAHV_40">Categorienormen!$C$52</definedName>
    <definedName name="catfd_1_VAHV_47">Categorienormen!$C$53</definedName>
    <definedName name="catfd_1_VAZB_1">Categorienormen!$C$54</definedName>
    <definedName name="catfd_1_VAZV_40">Categorienormen!$C$55</definedName>
    <definedName name="catfd_1_VEHB_1">Categorienormen!$C$56</definedName>
    <definedName name="catfd_1_VEHV_40">Categorienormen!$C$57</definedName>
    <definedName name="catfd_1_VEZB_1">Categorienormen!$C$58</definedName>
    <definedName name="catfd_1_VEZV_40">Categorienormen!$C$59</definedName>
    <definedName name="catfd_1_VEZV_47">Categorienormen!$C$60</definedName>
    <definedName name="catfd_1_VOHB_1">Categorienormen!$C$61</definedName>
    <definedName name="catfd_1_VOHV_40">Categorienormen!$C$62</definedName>
    <definedName name="catfd_1_VSHB_1">Categorienormen!$C$63</definedName>
    <definedName name="catfd_1_VSHV_40">Categorienormen!$C$64</definedName>
    <definedName name="catfd_1_VSHV_52">Categorienormen!$C$65</definedName>
    <definedName name="catfd_1_VTHB_1">Categorienormen!$C$66</definedName>
    <definedName name="catfd_1_VTHV_40">Categorienormen!$C$67</definedName>
    <definedName name="catpn_1_BKHB_1">Categorienormen!$E$6</definedName>
    <definedName name="catpn_1_BKHV_40">Categorienormen!$E$7</definedName>
    <definedName name="catpn_1_BKHV_47">Categorienormen!$E$8</definedName>
    <definedName name="catpn_1_BKZB_1">Categorienormen!$E$9</definedName>
    <definedName name="catpn_1_BKZV_2">Categorienormen!$E$10</definedName>
    <definedName name="catpn_1_BKZV_40">Categorienormen!$E$11</definedName>
    <definedName name="catpn_1_GSHB_1">Categorienormen!$E$39</definedName>
    <definedName name="catpn_1_GSHV_2">Categorienormen!$E$40</definedName>
    <definedName name="catpn_1_GSHV_40">Categorienormen!$E$41</definedName>
    <definedName name="catpn_1_KAHB_1">Categorienormen!$E$42</definedName>
    <definedName name="catpn_1_KAHV_40">Categorienormen!$E$43</definedName>
    <definedName name="catpn_1_KAZB_1">Categorienormen!$E$44</definedName>
    <definedName name="catpn_1_KAZV_40">Categorienormen!$E$45</definedName>
    <definedName name="catpn_1_KDHB_1">Categorienormen!$E$12</definedName>
    <definedName name="catpn_1_KDHV_40">Categorienormen!$E$13</definedName>
    <definedName name="catpn_1_KDZB_1">Categorienormen!$E$14</definedName>
    <definedName name="catpn_1_KDZV_40">Categorienormen!$E$15</definedName>
    <definedName name="catpn_1_KPHB_1">Categorienormen!$E$46</definedName>
    <definedName name="catpn_1_KPHV_40">Categorienormen!$E$47</definedName>
    <definedName name="catpn_1_LLHB_1">Categorienormen!$E$16</definedName>
    <definedName name="catpn_1_LLHV_12">Categorienormen!$E$17</definedName>
    <definedName name="catpn_1_LLHV_40">Categorienormen!$E$18</definedName>
    <definedName name="catpn_1_LLZB_1">Categorienormen!$E$19</definedName>
    <definedName name="catpn_1_LLZV_40">Categorienormen!$E$20</definedName>
    <definedName name="catpn_1_LOHB_1">Categorienormen!$E$21</definedName>
    <definedName name="catpn_1_LOHV_40">Categorienormen!$E$22</definedName>
    <definedName name="catpn_1_MAHB_1">Categorienormen!$E$23</definedName>
    <definedName name="catpn_1_MAHV_40">Categorienormen!$E$24</definedName>
    <definedName name="catpn_1_MAZV_2">Categorienormen!$E$25</definedName>
    <definedName name="catpn_1_OAHB_1">Categorienormen!$E$48</definedName>
    <definedName name="catpn_1_OAHV_40">Categorienormen!$E$49</definedName>
    <definedName name="catpn_1_OAHV_47">Categorienormen!$E$50</definedName>
    <definedName name="catpn_1_PAHB_1">Categorienormen!$E$26</definedName>
    <definedName name="catpn_1_PAHV_40">Categorienormen!$E$27</definedName>
    <definedName name="catpn_1_PAZB_1">Categorienormen!$E$28</definedName>
    <definedName name="catpn_1_PAZV_40">Categorienormen!$E$29</definedName>
    <definedName name="catpn_1_SDHB_1">Categorienormen!$E$30</definedName>
    <definedName name="catpn_1_SDHV_40">Categorienormen!$E$31</definedName>
    <definedName name="catpn_1_SKHB_1">Categorienormen!$E$32</definedName>
    <definedName name="catpn_1_SKHV_40">Categorienormen!$E$33</definedName>
    <definedName name="catpn_1_STHB_1">Categorienormen!$E$34</definedName>
    <definedName name="catpn_1_STHV_40">Categorienormen!$E$35</definedName>
    <definedName name="catpn_1_STHV_47">Categorienormen!$E$36</definedName>
    <definedName name="catpn_1_SWHB_1">Categorienormen!$E$37</definedName>
    <definedName name="catpn_1_SWHV_40">Categorienormen!$E$38</definedName>
    <definedName name="catpn_1_VAHB_1">Categorienormen!$E$51</definedName>
    <definedName name="catpn_1_VAHV_40">Categorienormen!$E$52</definedName>
    <definedName name="catpn_1_VAHV_47">Categorienormen!$E$53</definedName>
    <definedName name="catpn_1_VAZB_1">Categorienormen!$E$54</definedName>
    <definedName name="catpn_1_VAZV_40">Categorienormen!$E$55</definedName>
    <definedName name="catpn_1_VEHB_1">Categorienormen!$E$56</definedName>
    <definedName name="catpn_1_VEHV_40">Categorienormen!$E$57</definedName>
    <definedName name="catpn_1_VEZB_1">Categorienormen!$E$58</definedName>
    <definedName name="catpn_1_VEZV_40">Categorienormen!$E$59</definedName>
    <definedName name="catpn_1_VEZV_47">Categorienormen!$E$60</definedName>
    <definedName name="catpn_1_VOHB_1">Categorienormen!$E$61</definedName>
    <definedName name="catpn_1_VOHV_40">Categorienormen!$E$62</definedName>
    <definedName name="catpn_1_VSHB_1">Categorienormen!$E$63</definedName>
    <definedName name="catpn_1_VSHV_40">Categorienormen!$E$64</definedName>
    <definedName name="catpn_1_VSHV_52">Categorienormen!$E$65</definedName>
    <definedName name="catpn_1_VTHB_1">Categorienormen!$E$66</definedName>
    <definedName name="catpn_1_VTHV_40">Categorienormen!$E$67</definedName>
    <definedName name="cattf_1_BKHB_1">Categorienormen!$H$6</definedName>
    <definedName name="cattf_1_BKHV_40">Categorienormen!$H$7</definedName>
    <definedName name="cattf_1_BKHV_47">Categorienormen!$H$8</definedName>
    <definedName name="cattf_1_BKZB_1">Categorienormen!$H$9</definedName>
    <definedName name="cattf_1_BKZV_2">Categorienormen!$H$10</definedName>
    <definedName name="cattf_1_BKZV_40">Categorienormen!$H$11</definedName>
    <definedName name="cattf_1_GSHB_1">Categorienormen!$H$39</definedName>
    <definedName name="cattf_1_GSHV_2">Categorienormen!$H$40</definedName>
    <definedName name="cattf_1_GSHV_40">Categorienormen!$H$41</definedName>
    <definedName name="cattf_1_KAHB_1">Categorienormen!$H$42</definedName>
    <definedName name="cattf_1_KAHV_40">Categorienormen!$H$43</definedName>
    <definedName name="cattf_1_KAZB_1">Categorienormen!$H$44</definedName>
    <definedName name="cattf_1_KAZV_40">Categorienormen!$H$45</definedName>
    <definedName name="cattf_1_KDHB_1">Categorienormen!$H$12</definedName>
    <definedName name="cattf_1_KDHV_40">Categorienormen!$H$13</definedName>
    <definedName name="cattf_1_KDZB_1">Categorienormen!$H$14</definedName>
    <definedName name="cattf_1_KDZV_40">Categorienormen!$H$15</definedName>
    <definedName name="cattf_1_KPHB_1">Categorienormen!$H$46</definedName>
    <definedName name="cattf_1_KPHV_40">Categorienormen!$H$47</definedName>
    <definedName name="cattf_1_LLHB_1">Categorienormen!$H$16</definedName>
    <definedName name="cattf_1_LLHV_12">Categorienormen!$H$17</definedName>
    <definedName name="cattf_1_LLHV_40">Categorienormen!$H$18</definedName>
    <definedName name="cattf_1_LLZB_1">Categorienormen!$H$19</definedName>
    <definedName name="cattf_1_LLZV_40">Categorienormen!$H$20</definedName>
    <definedName name="cattf_1_LOHB_1">Categorienormen!$H$21</definedName>
    <definedName name="cattf_1_LOHV_40">Categorienormen!$H$22</definedName>
    <definedName name="cattf_1_MAHB_1">Categorienormen!$H$23</definedName>
    <definedName name="cattf_1_MAHV_40">Categorienormen!$H$24</definedName>
    <definedName name="cattf_1_MAZV_2">Categorienormen!$H$25</definedName>
    <definedName name="cattf_1_OAHB_1">Categorienormen!$H$48</definedName>
    <definedName name="cattf_1_OAHV_40">Categorienormen!$H$49</definedName>
    <definedName name="cattf_1_OAHV_47">Categorienormen!$H$50</definedName>
    <definedName name="cattf_1_PAHB_1">Categorienormen!$H$26</definedName>
    <definedName name="cattf_1_PAHV_40">Categorienormen!$H$27</definedName>
    <definedName name="cattf_1_PAZB_1">Categorienormen!$H$28</definedName>
    <definedName name="cattf_1_PAZV_40">Categorienormen!$H$29</definedName>
    <definedName name="cattf_1_SDHB_1">Categorienormen!$H$30</definedName>
    <definedName name="cattf_1_SDHV_40">Categorienormen!$H$31</definedName>
    <definedName name="cattf_1_SKHB_1">Categorienormen!$H$32</definedName>
    <definedName name="cattf_1_SKHV_40">Categorienormen!$H$33</definedName>
    <definedName name="cattf_1_STHB_1">Categorienormen!$H$34</definedName>
    <definedName name="cattf_1_STHV_40">Categorienormen!$H$35</definedName>
    <definedName name="cattf_1_STHV_47">Categorienormen!$H$36</definedName>
    <definedName name="cattf_1_SWHB_1">Categorienormen!$H$37</definedName>
    <definedName name="cattf_1_SWHV_40">Categorienormen!$H$38</definedName>
    <definedName name="cattf_1_VAHB_1">Categorienormen!$H$51</definedName>
    <definedName name="cattf_1_VAHV_40">Categorienormen!$H$52</definedName>
    <definedName name="cattf_1_VAHV_47">Categorienormen!$H$53</definedName>
    <definedName name="cattf_1_VAZB_1">Categorienormen!$H$54</definedName>
    <definedName name="cattf_1_VAZV_40">Categorienormen!$H$55</definedName>
    <definedName name="cattf_1_VEHB_1">Categorienormen!$H$56</definedName>
    <definedName name="cattf_1_VEHV_40">Categorienormen!$H$57</definedName>
    <definedName name="cattf_1_VEZB_1">Categorienormen!$H$58</definedName>
    <definedName name="cattf_1_VEZV_40">Categorienormen!$H$59</definedName>
    <definedName name="cattf_1_VEZV_47">Categorienormen!$H$60</definedName>
    <definedName name="cattf_1_VOHB_1">Categorienormen!$H$61</definedName>
    <definedName name="cattf_1_VOHV_40">Categorienormen!$H$62</definedName>
    <definedName name="cattf_1_VSHB_1">Categorienormen!$H$63</definedName>
    <definedName name="cattf_1_VSHV_40">Categorienormen!$H$64</definedName>
    <definedName name="cattf_1_VSHV_52">Categorienormen!$H$65</definedName>
    <definedName name="cattf_1_VTHB_1">Categorienormen!$H$66</definedName>
    <definedName name="cattf_1_VTHV_40">Categorienormen!$H$67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Omreken!$A$13:$B$32</definedName>
    <definedName name="dagsoorttabel2">Omreken!$D$13:$E$24</definedName>
    <definedName name="dagsoorttabel3">Omreken!$G$13:$H$15</definedName>
    <definedName name="dagwerk13">'Regulier werk'!$H$59</definedName>
    <definedName name="dagwerk14">'Regulier werk'!$H$6</definedName>
    <definedName name="dagwerk15">'Regulier werk'!$H$7</definedName>
    <definedName name="dagwerk16">'Regulier werk'!$H$8</definedName>
    <definedName name="dagwerk17">'Regulier werk'!$H$9</definedName>
    <definedName name="dagwerk18">'Regulier werk'!$H$10</definedName>
    <definedName name="dagwerk19">'Regulier werk'!$H$11</definedName>
    <definedName name="dagwerk20">'Regulier werk'!$H$12</definedName>
    <definedName name="dagwerk21">'Regulier werk'!$H$13</definedName>
    <definedName name="dagwerk22">'Regulier werk'!$H$14</definedName>
    <definedName name="dagwerk23">'Regulier werk'!$H$15</definedName>
    <definedName name="dagwerk24">'Regulier werk'!$H$16</definedName>
    <definedName name="dagwerk25">'Regulier werk'!$H$17</definedName>
    <definedName name="dagwerk26">'Regulier werk'!$H$18</definedName>
    <definedName name="dagwerk27">'Regulier werk'!$H$19</definedName>
    <definedName name="dagwerk28">'Regulier werk'!$H$20</definedName>
    <definedName name="dagwerk29">'Regulier werk'!$H$21</definedName>
    <definedName name="dagwerk30">'Regulier werk'!$H$22</definedName>
    <definedName name="dagwerk31">'Regulier werk'!$H$23</definedName>
    <definedName name="dagwerk32">'Regulier werk'!$H$24</definedName>
    <definedName name="dagwerk33">'Regulier werk'!$H$25</definedName>
    <definedName name="dagwerk34">'Regulier werk'!$H$26</definedName>
    <definedName name="dagwerk35">'Regulier werk'!$H$27</definedName>
    <definedName name="dagwerk36">'Regulier werk'!$H$28</definedName>
    <definedName name="dagwerk37">'Regulier werk'!$H$29</definedName>
    <definedName name="dagwerk38">'Regulier werk'!$H$30</definedName>
    <definedName name="dagwerk39">'Regulier werk'!$H$31</definedName>
    <definedName name="dagwerk40">'Regulier werk'!$H$32</definedName>
    <definedName name="dagwerk41">'Regulier werk'!$H$33</definedName>
    <definedName name="dagwerk42">'Regulier werk'!$H$34</definedName>
    <definedName name="dagwerk43">'Regulier werk'!$H$35</definedName>
    <definedName name="dagwerk44">'Regulier werk'!$H$36</definedName>
    <definedName name="dagwerk45">'Regulier werk'!$H$37</definedName>
    <definedName name="dagwerk46">'Regulier werk'!$H$38</definedName>
    <definedName name="dagwerk47">'Regulier werk'!$H$39</definedName>
    <definedName name="dagwerk48">'Regulier werk'!$H$40</definedName>
    <definedName name="dagwerk49">'Regulier werk'!$H$41</definedName>
    <definedName name="dagwerk50">'Regulier werk'!$H$42</definedName>
    <definedName name="dagwerk51">'Regulier werk'!$H$43</definedName>
    <definedName name="dagwerk52">'Regulier werk'!$H$44</definedName>
    <definedName name="dagwerk53">'Regulier werk'!$H$45</definedName>
    <definedName name="dagwerk54">'Regulier werk'!$H$46</definedName>
    <definedName name="dagwerk55">'Regulier werk'!$H$47</definedName>
    <definedName name="dagwerk56">'Regulier werk'!$H$48</definedName>
    <definedName name="dagwerk57">'Regulier werk'!$H$49</definedName>
    <definedName name="dagwerk58">'Regulier werk'!$H$50</definedName>
    <definedName name="dagwerk59">'Regulier werk'!$H$51</definedName>
    <definedName name="dagwerk60">'Regulier werk'!$H$52</definedName>
    <definedName name="dagwerk61">'Regulier werk'!$H$53</definedName>
    <definedName name="dagwerk62">'Regulier werk'!$H$54</definedName>
    <definedName name="dagwerk63">'Regulier werk'!$H$55</definedName>
    <definedName name="dagwerk64">'Regulier werk'!$H$56</definedName>
    <definedName name="dagwerk65">'Regulier werk'!$H$57</definedName>
    <definedName name="dagwerk66">'Regulier werk'!$H$58</definedName>
    <definedName name="dagwerktabel1">Objectinformatie!$H$5:$H$58</definedName>
    <definedName name="gemuurtarief1">'Regulier werk'!$J$62</definedName>
    <definedName name="kengetaltabel1">Objectinformatie!$G$5:$G$58</definedName>
    <definedName name="object1_gemuurtarief1">'Ruimten werkdag'!$P$59</definedName>
    <definedName name="object1_opptabel1">Objectinformatie!$J$5:$J$58</definedName>
    <definedName name="object1_prijsdag1">'Ruimten werkdag'!$S$59</definedName>
    <definedName name="object1_prijsjaar1">'Ruimten werkdag'!$U$59</definedName>
    <definedName name="object1_urendag1">'Ruimten werkdag'!$Q$59</definedName>
    <definedName name="object1_urendaghf1">'Ruimten werkdag'!$R$59</definedName>
    <definedName name="object1_urenjaar1">'Ruimten werkdag'!$T$59</definedName>
    <definedName name="object10_gemuurtarief1">'Ruimten werkdag'!$P$416</definedName>
    <definedName name="object10_opptabel1">Objectinformatie!$S$5:$S$58</definedName>
    <definedName name="object10_prijsdag1">'Ruimten werkdag'!$S$416</definedName>
    <definedName name="object10_prijsjaar1">'Ruimten werkdag'!$U$416</definedName>
    <definedName name="object10_urendag1">'Ruimten werkdag'!$Q$416</definedName>
    <definedName name="object10_urendaghf1">'Ruimten werkdag'!$R$416</definedName>
    <definedName name="object10_urenjaar1">'Ruimten werkdag'!$T$416</definedName>
    <definedName name="object2_gemuurtarief1">'Ruimten werkdag'!$P$95</definedName>
    <definedName name="object2_opptabel1">Objectinformatie!$K$5:$K$58</definedName>
    <definedName name="object2_prijsdag1">'Ruimten werkdag'!$S$95</definedName>
    <definedName name="object2_prijsjaar1">'Ruimten werkdag'!$U$95</definedName>
    <definedName name="object2_urendag1">'Ruimten werkdag'!$Q$95</definedName>
    <definedName name="object2_urendaghf1">'Ruimten werkdag'!$R$95</definedName>
    <definedName name="object2_urenjaar1">'Ruimten werkdag'!$T$95</definedName>
    <definedName name="object3_gemuurtarief1">'Ruimten werkdag'!$P$136</definedName>
    <definedName name="object3_opptabel1">Objectinformatie!$L$5:$L$58</definedName>
    <definedName name="object3_prijsdag1">'Ruimten werkdag'!$S$136</definedName>
    <definedName name="object3_prijsjaar1">'Ruimten werkdag'!$U$136</definedName>
    <definedName name="object3_urendag1">'Ruimten werkdag'!$Q$136</definedName>
    <definedName name="object3_urendaghf1">'Ruimten werkdag'!$R$136</definedName>
    <definedName name="object3_urenjaar1">'Ruimten werkdag'!$T$136</definedName>
    <definedName name="object4_gemuurtarief1">'Ruimten werkdag'!$P$180</definedName>
    <definedName name="object4_opptabel1">Objectinformatie!$M$5:$M$58</definedName>
    <definedName name="object4_prijsdag1">'Ruimten werkdag'!$S$180</definedName>
    <definedName name="object4_prijsjaar1">'Ruimten werkdag'!$U$180</definedName>
    <definedName name="object4_urendag1">'Ruimten werkdag'!$Q$180</definedName>
    <definedName name="object4_urendaghf1">'Ruimten werkdag'!$R$180</definedName>
    <definedName name="object4_urenjaar1">'Ruimten werkdag'!$T$180</definedName>
    <definedName name="object5_gemuurtarief1">'Ruimten werkdag'!$P$222</definedName>
    <definedName name="object5_opptabel1">Objectinformatie!$N$5:$N$58</definedName>
    <definedName name="object5_prijsdag1">'Ruimten werkdag'!$S$222</definedName>
    <definedName name="object5_prijsjaar1">'Ruimten werkdag'!$U$222</definedName>
    <definedName name="object5_urendag1">'Ruimten werkdag'!$Q$222</definedName>
    <definedName name="object5_urendaghf1">'Ruimten werkdag'!$R$222</definedName>
    <definedName name="object5_urenjaar1">'Ruimten werkdag'!$T$222</definedName>
    <definedName name="object6_gemuurtarief1">'Ruimten werkdag'!$P$257</definedName>
    <definedName name="object6_opptabel1">Objectinformatie!$O$5:$O$58</definedName>
    <definedName name="object6_prijsdag1">'Ruimten werkdag'!$S$257</definedName>
    <definedName name="object6_prijsjaar1">'Ruimten werkdag'!$U$257</definedName>
    <definedName name="object6_urendag1">'Ruimten werkdag'!$Q$257</definedName>
    <definedName name="object6_urendaghf1">'Ruimten werkdag'!$R$257</definedName>
    <definedName name="object6_urenjaar1">'Ruimten werkdag'!$T$257</definedName>
    <definedName name="object7_gemuurtarief1">'Ruimten werkdag'!$P$293</definedName>
    <definedName name="object7_opptabel1">Objectinformatie!$P$5:$P$58</definedName>
    <definedName name="object7_prijsdag1">'Ruimten werkdag'!$S$293</definedName>
    <definedName name="object7_prijsjaar1">'Ruimten werkdag'!$U$293</definedName>
    <definedName name="object7_urendag1">'Ruimten werkdag'!$Q$293</definedName>
    <definedName name="object7_urendaghf1">'Ruimten werkdag'!$R$293</definedName>
    <definedName name="object7_urenjaar1">'Ruimten werkdag'!$T$293</definedName>
    <definedName name="object8_gemuurtarief1">'Ruimten werkdag'!$P$316</definedName>
    <definedName name="object8_opptabel1">Objectinformatie!$Q$5:$Q$58</definedName>
    <definedName name="object8_prijsdag1">'Ruimten werkdag'!$S$316</definedName>
    <definedName name="object8_prijsjaar1">'Ruimten werkdag'!$U$316</definedName>
    <definedName name="object8_urendag1">'Ruimten werkdag'!$Q$316</definedName>
    <definedName name="object8_urendaghf1">'Ruimten werkdag'!$R$316</definedName>
    <definedName name="object8_urenjaar1">'Ruimten werkdag'!$T$316</definedName>
    <definedName name="object9_gemuurtarief1">'Ruimten werkdag'!$P$405</definedName>
    <definedName name="object9_opptabel1">Objectinformatie!$R$5:$R$58</definedName>
    <definedName name="object9_prijsdag1">'Ruimten werkdag'!$S$405</definedName>
    <definedName name="object9_prijsjaar1">'Ruimten werkdag'!$U$405</definedName>
    <definedName name="object9_urendag1">'Ruimten werkdag'!$Q$405</definedName>
    <definedName name="object9_urendaghf1">'Ruimten werkdag'!$R$405</definedName>
    <definedName name="object9_urenjaar1">'Ruimten werkdag'!$T$405</definedName>
    <definedName name="objectprijs1_1">Objecten!$Q$6</definedName>
    <definedName name="objectprijs10_1">Objecten!$Q$15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werk'!$L$60</definedName>
    <definedName name="prijsjaar">'Regulier werk'!$N$65</definedName>
    <definedName name="prijsjaar1">'Regulier werk'!$N$60</definedName>
    <definedName name="prijsjaaradditioneel">'Additioneel werk'!$K$9</definedName>
    <definedName name="prijsjaaradditioneel1">'Additioneel werk'!$K$7</definedName>
    <definedName name="prijsjaarglas">Glas!$K$18</definedName>
    <definedName name="prijsjaarglas1">Glas!$K$16</definedName>
    <definedName name="prijsjaarnietmeewerkend">'Niet-meewerkende objectleiding'!$J$99</definedName>
    <definedName name="prijsjaarregie">Regiewerk!$K$10</definedName>
    <definedName name="prijsjaarregie1">Regiewerk!$K$8</definedName>
    <definedName name="prijsjaartotaal">Objecten!$Q$19</definedName>
    <definedName name="prijsjaartotaal1">Objecten!$Q$16</definedName>
    <definedName name="prijsjaartotaaloverzicht">'Totaalblad Objecten'!$G$15</definedName>
    <definedName name="prodnorm13">'Regulier werk'!$G$59</definedName>
    <definedName name="prodnorm14">'Regulier werk'!$G$6</definedName>
    <definedName name="prodnorm15">'Regulier werk'!$G$7</definedName>
    <definedName name="prodnorm16">'Regulier werk'!$G$8</definedName>
    <definedName name="prodnorm17">'Regulier werk'!$G$9</definedName>
    <definedName name="prodnorm18">'Regulier werk'!$G$10</definedName>
    <definedName name="prodnorm19">'Regulier werk'!$G$11</definedName>
    <definedName name="prodnorm20">'Regulier werk'!$G$12</definedName>
    <definedName name="prodnorm21">'Regulier werk'!$G$13</definedName>
    <definedName name="prodnorm22">'Regulier werk'!$G$14</definedName>
    <definedName name="prodnorm23">'Regulier werk'!$G$15</definedName>
    <definedName name="prodnorm24">'Regulier werk'!$G$16</definedName>
    <definedName name="prodnorm25">'Regulier werk'!$G$17</definedName>
    <definedName name="prodnorm26">'Regulier werk'!$G$18</definedName>
    <definedName name="prodnorm27">'Regulier werk'!$G$19</definedName>
    <definedName name="prodnorm28">'Regulier werk'!$G$20</definedName>
    <definedName name="prodnorm29">'Regulier werk'!$G$21</definedName>
    <definedName name="prodnorm30">'Regulier werk'!$G$22</definedName>
    <definedName name="prodnorm31">'Regulier werk'!$G$23</definedName>
    <definedName name="prodnorm32">'Regulier werk'!$G$24</definedName>
    <definedName name="prodnorm33">'Regulier werk'!$G$25</definedName>
    <definedName name="prodnorm34">'Regulier werk'!$G$26</definedName>
    <definedName name="prodnorm35">'Regulier werk'!$G$27</definedName>
    <definedName name="prodnorm36">'Regulier werk'!$G$28</definedName>
    <definedName name="prodnorm37">'Regulier werk'!$G$29</definedName>
    <definedName name="prodnorm38">'Regulier werk'!$G$30</definedName>
    <definedName name="prodnorm39">'Regulier werk'!$G$31</definedName>
    <definedName name="prodnorm40">'Regulier werk'!$G$32</definedName>
    <definedName name="prodnorm41">'Regulier werk'!$G$33</definedName>
    <definedName name="prodnorm42">'Regulier werk'!$G$34</definedName>
    <definedName name="prodnorm43">'Regulier werk'!$G$35</definedName>
    <definedName name="prodnorm44">'Regulier werk'!$G$36</definedName>
    <definedName name="prodnorm45">'Regulier werk'!$G$37</definedName>
    <definedName name="prodnorm46">'Regulier werk'!$G$38</definedName>
    <definedName name="prodnorm47">'Regulier werk'!$G$39</definedName>
    <definedName name="prodnorm48">'Regulier werk'!$G$40</definedName>
    <definedName name="prodnorm49">'Regulier werk'!$G$41</definedName>
    <definedName name="prodnorm50">'Regulier werk'!$G$42</definedName>
    <definedName name="prodnorm51">'Regulier werk'!$G$43</definedName>
    <definedName name="prodnorm52">'Regulier werk'!$G$44</definedName>
    <definedName name="prodnorm53">'Regulier werk'!$G$45</definedName>
    <definedName name="prodnorm54">'Regulier werk'!$G$46</definedName>
    <definedName name="prodnorm55">'Regulier werk'!$G$47</definedName>
    <definedName name="prodnorm56">'Regulier werk'!$G$48</definedName>
    <definedName name="prodnorm57">'Regulier werk'!$G$49</definedName>
    <definedName name="prodnorm58">'Regulier werk'!$G$50</definedName>
    <definedName name="prodnorm59">'Regulier werk'!$G$51</definedName>
    <definedName name="prodnorm60">'Regulier werk'!$G$52</definedName>
    <definedName name="prodnorm61">'Regulier werk'!$G$53</definedName>
    <definedName name="prodnorm62">'Regulier werk'!$G$54</definedName>
    <definedName name="prodnorm63">'Regulier werk'!$G$55</definedName>
    <definedName name="prodnorm64">'Regulier werk'!$G$56</definedName>
    <definedName name="prodnorm65">'Regulier werk'!$G$57</definedName>
    <definedName name="prodnorm66">'Regulier werk'!$G$58</definedName>
    <definedName name="taakfreqtabel1">Objectinformatie!$E$5:$E$58</definedName>
    <definedName name="tabeltype">Omreken!$B$5:$B$5</definedName>
    <definedName name="tarieftabel1">Objectinformatie!$I$5:$I$58</definedName>
    <definedName name="tzpjt1">'Niet-meewerkende objectleiding'!$J$96</definedName>
    <definedName name="tzpjt1_1">'Niet-meewerkende objectleiding'!$J$13</definedName>
    <definedName name="tzpjt10_1">'Niet-meewerkende objectleiding'!$J$94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ujt1">'Niet-meewerkende objectleiding'!$H$96</definedName>
    <definedName name="tzujt1_1">'Niet-meewerkende objectleiding'!$H$13</definedName>
    <definedName name="tzujt10_1">'Niet-meewerkende objectleiding'!$H$94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werk'!$K$60</definedName>
    <definedName name="urenjaar">'Regulier werk'!$M$65</definedName>
    <definedName name="urenjaar1">'Regulier werk'!$M$60</definedName>
    <definedName name="urenjaarnietmeewerkend">'Niet-meewerkende objectleiding'!$H$99</definedName>
    <definedName name="urenjaartotaal">Objecten!$P$19</definedName>
    <definedName name="urenjaartotaal1">Objecten!$P$16</definedName>
    <definedName name="urenjaartotaalhf">Objecten!$O$19</definedName>
    <definedName name="urenjaartotaalhf1">Objecten!$O$16</definedName>
    <definedName name="urenjaartotaaloverzicht">'Totaalblad Objecten'!$F$15</definedName>
    <definedName name="urenjaartotaaloverzichthf">'Totaalblad Objecten'!$E$15</definedName>
    <definedName name="uurfactortabel1">Objectinformatie!$F$5:$F$58</definedName>
    <definedName name="uurtarief13">'Regulier werk'!$J$59</definedName>
    <definedName name="uurtarief14">'Regulier werk'!$J$6</definedName>
    <definedName name="uurtarief15">'Regulier werk'!$J$7</definedName>
    <definedName name="uurtarief16">'Regulier werk'!$J$8</definedName>
    <definedName name="uurtarief17">'Regulier werk'!$J$9</definedName>
    <definedName name="uurtarief18">'Regulier werk'!$J$10</definedName>
    <definedName name="uurtarief19">'Regulier werk'!$J$11</definedName>
    <definedName name="uurtarief20">'Regulier werk'!$J$12</definedName>
    <definedName name="uurtarief21">'Regulier werk'!$J$13</definedName>
    <definedName name="uurtarief22">'Regulier werk'!$J$14</definedName>
    <definedName name="uurtarief23">'Regulier werk'!$J$15</definedName>
    <definedName name="uurtarief24">'Regulier werk'!$J$16</definedName>
    <definedName name="uurtarief25">'Regulier werk'!$J$17</definedName>
    <definedName name="uurtarief26">'Regulier werk'!$J$18</definedName>
    <definedName name="uurtarief27">'Regulier werk'!$J$19</definedName>
    <definedName name="uurtarief28">'Regulier werk'!$J$20</definedName>
    <definedName name="uurtarief29">'Regulier werk'!$J$21</definedName>
    <definedName name="uurtarief30">'Regulier werk'!$J$22</definedName>
    <definedName name="uurtarief31">'Regulier werk'!$J$23</definedName>
    <definedName name="uurtarief32">'Regulier werk'!$J$24</definedName>
    <definedName name="uurtarief33">'Regulier werk'!$J$25</definedName>
    <definedName name="uurtarief34">'Regulier werk'!$J$26</definedName>
    <definedName name="uurtarief35">'Regulier werk'!$J$27</definedName>
    <definedName name="uurtarief36">'Regulier werk'!$J$28</definedName>
    <definedName name="uurtarief37">'Regulier werk'!$J$29</definedName>
    <definedName name="uurtarief38">'Regulier werk'!$J$30</definedName>
    <definedName name="uurtarief39">'Regulier werk'!$J$31</definedName>
    <definedName name="uurtarief40">'Regulier werk'!$J$32</definedName>
    <definedName name="uurtarief41">'Regulier werk'!$J$33</definedName>
    <definedName name="uurtarief42">'Regulier werk'!$J$34</definedName>
    <definedName name="uurtarief43">'Regulier werk'!$J$35</definedName>
    <definedName name="uurtarief44">'Regulier werk'!$J$36</definedName>
    <definedName name="uurtarief45">'Regulier werk'!$J$37</definedName>
    <definedName name="uurtarief46">'Regulier werk'!$J$38</definedName>
    <definedName name="uurtarief47">'Regulier werk'!$J$39</definedName>
    <definedName name="uurtarief48">'Regulier werk'!$J$40</definedName>
    <definedName name="uurtarief49">'Regulier werk'!$J$41</definedName>
    <definedName name="uurtarief50">'Regulier werk'!$J$42</definedName>
    <definedName name="uurtarief51">'Regulier werk'!$J$43</definedName>
    <definedName name="uurtarief52">'Regulier werk'!$J$44</definedName>
    <definedName name="uurtarief53">'Regulier werk'!$J$45</definedName>
    <definedName name="uurtarief54">'Regulier werk'!$J$46</definedName>
    <definedName name="uurtarief55">'Regulier werk'!$J$47</definedName>
    <definedName name="uurtarief56">'Regulier werk'!$J$48</definedName>
    <definedName name="uurtarief57">'Regulier werk'!$J$49</definedName>
    <definedName name="uurtarief58">'Regulier werk'!$J$50</definedName>
    <definedName name="uurtarief59">'Regulier werk'!$J$51</definedName>
    <definedName name="uurtarief60">'Regulier werk'!$J$52</definedName>
    <definedName name="uurtarief61">'Regulier werk'!$J$53</definedName>
    <definedName name="uurtarief62">'Regulier werk'!$J$54</definedName>
    <definedName name="uurtarief63">'Regulier werk'!$J$55</definedName>
    <definedName name="uurtarief64">'Regulier werk'!$J$56</definedName>
    <definedName name="uurtarief65">'Regulier werk'!$J$57</definedName>
    <definedName name="uurtarief66">'Regulier werk'!$J$58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2" l="1"/>
  <c r="E19" i="15"/>
  <c r="E17" i="15"/>
  <c r="A1" i="15"/>
  <c r="J81" i="14"/>
  <c r="K81" i="14" s="1"/>
  <c r="H81" i="14"/>
  <c r="J80" i="14"/>
  <c r="K80" i="14" s="1"/>
  <c r="H80" i="14"/>
  <c r="J79" i="14"/>
  <c r="K79" i="14" s="1"/>
  <c r="K82" i="14" s="1"/>
  <c r="H79" i="14"/>
  <c r="J75" i="14"/>
  <c r="K75" i="14" s="1"/>
  <c r="H75" i="14"/>
  <c r="J74" i="14"/>
  <c r="K74" i="14" s="1"/>
  <c r="H74" i="14"/>
  <c r="J73" i="14"/>
  <c r="K73" i="14" s="1"/>
  <c r="H73" i="14"/>
  <c r="J72" i="14"/>
  <c r="K72" i="14" s="1"/>
  <c r="H72" i="14"/>
  <c r="J71" i="14"/>
  <c r="K71" i="14" s="1"/>
  <c r="H71" i="14"/>
  <c r="J70" i="14"/>
  <c r="K70" i="14" s="1"/>
  <c r="K76" i="14" s="1"/>
  <c r="H70" i="14"/>
  <c r="J66" i="14"/>
  <c r="K66" i="14" s="1"/>
  <c r="H66" i="14"/>
  <c r="J65" i="14"/>
  <c r="K65" i="14" s="1"/>
  <c r="H65" i="14"/>
  <c r="J64" i="14"/>
  <c r="K64" i="14" s="1"/>
  <c r="H64" i="14"/>
  <c r="J63" i="14"/>
  <c r="K63" i="14" s="1"/>
  <c r="H63" i="14"/>
  <c r="J62" i="14"/>
  <c r="K62" i="14" s="1"/>
  <c r="K67" i="14" s="1"/>
  <c r="H62" i="14"/>
  <c r="J58" i="14"/>
  <c r="K58" i="14" s="1"/>
  <c r="H58" i="14"/>
  <c r="J57" i="14"/>
  <c r="K57" i="14" s="1"/>
  <c r="H57" i="14"/>
  <c r="J56" i="14"/>
  <c r="K56" i="14" s="1"/>
  <c r="K59" i="14" s="1"/>
  <c r="H56" i="14"/>
  <c r="J52" i="14"/>
  <c r="K52" i="14" s="1"/>
  <c r="H52" i="14"/>
  <c r="J51" i="14"/>
  <c r="K51" i="14" s="1"/>
  <c r="H51" i="14"/>
  <c r="J50" i="14"/>
  <c r="K50" i="14" s="1"/>
  <c r="H50" i="14"/>
  <c r="J49" i="14"/>
  <c r="K49" i="14" s="1"/>
  <c r="K53" i="14" s="1"/>
  <c r="H49" i="14"/>
  <c r="J45" i="14"/>
  <c r="K45" i="14" s="1"/>
  <c r="H45" i="14"/>
  <c r="J44" i="14"/>
  <c r="K44" i="14" s="1"/>
  <c r="H44" i="14"/>
  <c r="J43" i="14"/>
  <c r="K43" i="14" s="1"/>
  <c r="H43" i="14"/>
  <c r="J42" i="14"/>
  <c r="K42" i="14" s="1"/>
  <c r="H42" i="14"/>
  <c r="J41" i="14"/>
  <c r="K41" i="14" s="1"/>
  <c r="H41" i="14"/>
  <c r="J40" i="14"/>
  <c r="K40" i="14" s="1"/>
  <c r="H40" i="14"/>
  <c r="J39" i="14"/>
  <c r="K39" i="14" s="1"/>
  <c r="K46" i="14" s="1"/>
  <c r="H39" i="14"/>
  <c r="J35" i="14"/>
  <c r="K35" i="14" s="1"/>
  <c r="H35" i="14"/>
  <c r="J34" i="14"/>
  <c r="K34" i="14" s="1"/>
  <c r="H34" i="14"/>
  <c r="J33" i="14"/>
  <c r="K33" i="14" s="1"/>
  <c r="H33" i="14"/>
  <c r="J32" i="14"/>
  <c r="K32" i="14" s="1"/>
  <c r="H32" i="14"/>
  <c r="J31" i="14"/>
  <c r="K31" i="14" s="1"/>
  <c r="H31" i="14"/>
  <c r="J30" i="14"/>
  <c r="K30" i="14" s="1"/>
  <c r="K36" i="14" s="1"/>
  <c r="H30" i="14"/>
  <c r="J26" i="14"/>
  <c r="K26" i="14" s="1"/>
  <c r="H26" i="14"/>
  <c r="J25" i="14"/>
  <c r="K25" i="14" s="1"/>
  <c r="H25" i="14"/>
  <c r="J24" i="14"/>
  <c r="K24" i="14" s="1"/>
  <c r="H24" i="14"/>
  <c r="J23" i="14"/>
  <c r="K23" i="14" s="1"/>
  <c r="H23" i="14"/>
  <c r="J22" i="14"/>
  <c r="K22" i="14" s="1"/>
  <c r="K27" i="14" s="1"/>
  <c r="H22" i="14"/>
  <c r="J18" i="14"/>
  <c r="K18" i="14" s="1"/>
  <c r="H18" i="14"/>
  <c r="J17" i="14"/>
  <c r="K17" i="14" s="1"/>
  <c r="H17" i="14"/>
  <c r="J16" i="14"/>
  <c r="K16" i="14" s="1"/>
  <c r="H16" i="14"/>
  <c r="J15" i="14"/>
  <c r="K15" i="14" s="1"/>
  <c r="K19" i="14" s="1"/>
  <c r="H15" i="14"/>
  <c r="J11" i="14"/>
  <c r="K11" i="14" s="1"/>
  <c r="H11" i="14"/>
  <c r="J10" i="14"/>
  <c r="K10" i="14" s="1"/>
  <c r="H10" i="14"/>
  <c r="J9" i="14"/>
  <c r="K9" i="14" s="1"/>
  <c r="H9" i="14"/>
  <c r="J8" i="14"/>
  <c r="K8" i="14" s="1"/>
  <c r="H8" i="14"/>
  <c r="J7" i="14"/>
  <c r="K7" i="14" s="1"/>
  <c r="H7" i="14"/>
  <c r="J6" i="14"/>
  <c r="K6" i="14" s="1"/>
  <c r="K12" i="14" s="1"/>
  <c r="H6" i="14"/>
  <c r="A1" i="14"/>
  <c r="J15" i="13"/>
  <c r="J14" i="13"/>
  <c r="J13" i="13"/>
  <c r="J12" i="13"/>
  <c r="J11" i="13"/>
  <c r="J10" i="13"/>
  <c r="J9" i="13"/>
  <c r="J8" i="13"/>
  <c r="J7" i="13"/>
  <c r="J6" i="13"/>
  <c r="A1" i="13"/>
  <c r="J7" i="12"/>
  <c r="J6" i="12"/>
  <c r="A1" i="11"/>
  <c r="I38" i="10"/>
  <c r="H38" i="10"/>
  <c r="I34" i="10"/>
  <c r="H34" i="10"/>
  <c r="I30" i="10"/>
  <c r="H30" i="10"/>
  <c r="I26" i="10"/>
  <c r="H26" i="10"/>
  <c r="I22" i="10"/>
  <c r="H22" i="10"/>
  <c r="I18" i="10"/>
  <c r="H18" i="10"/>
  <c r="I14" i="10"/>
  <c r="H14" i="10"/>
  <c r="I10" i="10"/>
  <c r="H10" i="10"/>
  <c r="I6" i="10"/>
  <c r="H6" i="10"/>
  <c r="A1" i="10"/>
  <c r="J6" i="9"/>
  <c r="A1" i="9"/>
  <c r="A1" i="8"/>
  <c r="J93" i="7"/>
  <c r="H93" i="7"/>
  <c r="C93" i="7"/>
  <c r="I93" i="7" s="1"/>
  <c r="J92" i="7"/>
  <c r="H92" i="7"/>
  <c r="C92" i="7"/>
  <c r="I92" i="7" s="1"/>
  <c r="J91" i="7"/>
  <c r="H91" i="7"/>
  <c r="C91" i="7"/>
  <c r="I91" i="7" s="1"/>
  <c r="J90" i="7"/>
  <c r="H90" i="7"/>
  <c r="C90" i="7"/>
  <c r="I90" i="7" s="1"/>
  <c r="J89" i="7"/>
  <c r="J94" i="7" s="1"/>
  <c r="I13" i="8" s="1"/>
  <c r="H89" i="7"/>
  <c r="H94" i="7" s="1"/>
  <c r="H13" i="8" s="1"/>
  <c r="J84" i="7"/>
  <c r="H84" i="7"/>
  <c r="C84" i="7"/>
  <c r="I84" i="7" s="1"/>
  <c r="J83" i="7"/>
  <c r="H83" i="7"/>
  <c r="C83" i="7"/>
  <c r="I83" i="7" s="1"/>
  <c r="J82" i="7"/>
  <c r="H82" i="7"/>
  <c r="C82" i="7"/>
  <c r="I82" i="7" s="1"/>
  <c r="J81" i="7"/>
  <c r="H81" i="7"/>
  <c r="C81" i="7"/>
  <c r="I81" i="7" s="1"/>
  <c r="J80" i="7"/>
  <c r="J85" i="7" s="1"/>
  <c r="I12" i="8" s="1"/>
  <c r="H80" i="7"/>
  <c r="H85" i="7" s="1"/>
  <c r="H12" i="8" s="1"/>
  <c r="J75" i="7"/>
  <c r="H75" i="7"/>
  <c r="C75" i="7"/>
  <c r="I75" i="7" s="1"/>
  <c r="J74" i="7"/>
  <c r="H74" i="7"/>
  <c r="C74" i="7"/>
  <c r="I74" i="7" s="1"/>
  <c r="J73" i="7"/>
  <c r="H73" i="7"/>
  <c r="C73" i="7"/>
  <c r="I73" i="7" s="1"/>
  <c r="J72" i="7"/>
  <c r="H72" i="7"/>
  <c r="C72" i="7"/>
  <c r="I72" i="7" s="1"/>
  <c r="J71" i="7"/>
  <c r="J76" i="7" s="1"/>
  <c r="I11" i="8" s="1"/>
  <c r="H71" i="7"/>
  <c r="H76" i="7" s="1"/>
  <c r="H11" i="8" s="1"/>
  <c r="J66" i="7"/>
  <c r="H66" i="7"/>
  <c r="C66" i="7"/>
  <c r="I66" i="7" s="1"/>
  <c r="J65" i="7"/>
  <c r="H65" i="7"/>
  <c r="C65" i="7"/>
  <c r="I65" i="7" s="1"/>
  <c r="J64" i="7"/>
  <c r="H64" i="7"/>
  <c r="C64" i="7"/>
  <c r="I64" i="7" s="1"/>
  <c r="J63" i="7"/>
  <c r="H63" i="7"/>
  <c r="C63" i="7"/>
  <c r="I63" i="7" s="1"/>
  <c r="J62" i="7"/>
  <c r="J67" i="7" s="1"/>
  <c r="I10" i="8" s="1"/>
  <c r="H62" i="7"/>
  <c r="H67" i="7" s="1"/>
  <c r="H10" i="8" s="1"/>
  <c r="J57" i="7"/>
  <c r="H57" i="7"/>
  <c r="C57" i="7"/>
  <c r="I57" i="7" s="1"/>
  <c r="J56" i="7"/>
  <c r="H56" i="7"/>
  <c r="C56" i="7"/>
  <c r="I56" i="7" s="1"/>
  <c r="J55" i="7"/>
  <c r="H55" i="7"/>
  <c r="C55" i="7"/>
  <c r="I55" i="7" s="1"/>
  <c r="J54" i="7"/>
  <c r="H54" i="7"/>
  <c r="C54" i="7"/>
  <c r="I54" i="7" s="1"/>
  <c r="J53" i="7"/>
  <c r="J58" i="7" s="1"/>
  <c r="I9" i="8" s="1"/>
  <c r="H53" i="7"/>
  <c r="H58" i="7" s="1"/>
  <c r="H9" i="8" s="1"/>
  <c r="J48" i="7"/>
  <c r="H48" i="7"/>
  <c r="C48" i="7"/>
  <c r="I48" i="7" s="1"/>
  <c r="J47" i="7"/>
  <c r="H47" i="7"/>
  <c r="C47" i="7"/>
  <c r="I47" i="7" s="1"/>
  <c r="J46" i="7"/>
  <c r="H46" i="7"/>
  <c r="C46" i="7"/>
  <c r="I46" i="7" s="1"/>
  <c r="J45" i="7"/>
  <c r="H45" i="7"/>
  <c r="C45" i="7"/>
  <c r="I45" i="7" s="1"/>
  <c r="J44" i="7"/>
  <c r="J49" i="7" s="1"/>
  <c r="I8" i="8" s="1"/>
  <c r="H44" i="7"/>
  <c r="H49" i="7" s="1"/>
  <c r="H8" i="8" s="1"/>
  <c r="J39" i="7"/>
  <c r="H39" i="7"/>
  <c r="C39" i="7"/>
  <c r="I39" i="7" s="1"/>
  <c r="J38" i="7"/>
  <c r="H38" i="7"/>
  <c r="C38" i="7"/>
  <c r="I38" i="7" s="1"/>
  <c r="J37" i="7"/>
  <c r="H37" i="7"/>
  <c r="C37" i="7"/>
  <c r="I37" i="7" s="1"/>
  <c r="J36" i="7"/>
  <c r="H36" i="7"/>
  <c r="C36" i="7"/>
  <c r="I36" i="7" s="1"/>
  <c r="J35" i="7"/>
  <c r="J40" i="7" s="1"/>
  <c r="I7" i="8" s="1"/>
  <c r="H35" i="7"/>
  <c r="H40" i="7" s="1"/>
  <c r="H7" i="8" s="1"/>
  <c r="J30" i="7"/>
  <c r="H30" i="7"/>
  <c r="C30" i="7"/>
  <c r="I30" i="7" s="1"/>
  <c r="J29" i="7"/>
  <c r="H29" i="7"/>
  <c r="C29" i="7"/>
  <c r="I29" i="7" s="1"/>
  <c r="J28" i="7"/>
  <c r="H28" i="7"/>
  <c r="C28" i="7"/>
  <c r="I28" i="7" s="1"/>
  <c r="J27" i="7"/>
  <c r="H27" i="7"/>
  <c r="C27" i="7"/>
  <c r="I27" i="7" s="1"/>
  <c r="J26" i="7"/>
  <c r="J31" i="7" s="1"/>
  <c r="I6" i="8" s="1"/>
  <c r="H26" i="7"/>
  <c r="H31" i="7" s="1"/>
  <c r="H6" i="8" s="1"/>
  <c r="J21" i="7"/>
  <c r="H21" i="7"/>
  <c r="C21" i="7"/>
  <c r="I21" i="7" s="1"/>
  <c r="J20" i="7"/>
  <c r="H20" i="7"/>
  <c r="C20" i="7"/>
  <c r="I20" i="7" s="1"/>
  <c r="J19" i="7"/>
  <c r="H19" i="7"/>
  <c r="C19" i="7"/>
  <c r="I19" i="7" s="1"/>
  <c r="J18" i="7"/>
  <c r="H18" i="7"/>
  <c r="C18" i="7"/>
  <c r="I18" i="7" s="1"/>
  <c r="J17" i="7"/>
  <c r="J22" i="7" s="1"/>
  <c r="I5" i="8" s="1"/>
  <c r="H17" i="7"/>
  <c r="H22" i="7" s="1"/>
  <c r="H5" i="8" s="1"/>
  <c r="J12" i="7"/>
  <c r="H12" i="7"/>
  <c r="C12" i="7"/>
  <c r="I12" i="7" s="1"/>
  <c r="J11" i="7"/>
  <c r="H11" i="7"/>
  <c r="C11" i="7"/>
  <c r="I11" i="7" s="1"/>
  <c r="J10" i="7"/>
  <c r="H10" i="7"/>
  <c r="C10" i="7"/>
  <c r="I10" i="7" s="1"/>
  <c r="J9" i="7"/>
  <c r="H9" i="7"/>
  <c r="C9" i="7"/>
  <c r="I9" i="7" s="1"/>
  <c r="J8" i="7"/>
  <c r="J13" i="7" s="1"/>
  <c r="H8" i="7"/>
  <c r="H13" i="7" s="1"/>
  <c r="A1" i="7"/>
  <c r="A1" i="6"/>
  <c r="I58" i="5"/>
  <c r="H58" i="5"/>
  <c r="G58" i="5"/>
  <c r="P382" i="4"/>
  <c r="N382" i="4"/>
  <c r="M382" i="4"/>
  <c r="P380" i="4"/>
  <c r="N380" i="4"/>
  <c r="M380" i="4"/>
  <c r="P295" i="4"/>
  <c r="N295" i="4"/>
  <c r="M295" i="4"/>
  <c r="P264" i="4"/>
  <c r="N264" i="4"/>
  <c r="M264" i="4"/>
  <c r="P262" i="4"/>
  <c r="N262" i="4"/>
  <c r="M262" i="4"/>
  <c r="A1" i="4"/>
  <c r="K59" i="3"/>
  <c r="J58" i="3"/>
  <c r="H58" i="3"/>
  <c r="G58" i="3"/>
  <c r="J57" i="3"/>
  <c r="H57" i="3"/>
  <c r="G57" i="3"/>
  <c r="J56" i="3"/>
  <c r="H56" i="3"/>
  <c r="G56" i="3"/>
  <c r="J55" i="3"/>
  <c r="H55" i="3"/>
  <c r="G55" i="3"/>
  <c r="J54" i="3"/>
  <c r="H54" i="3"/>
  <c r="G54" i="3"/>
  <c r="J53" i="3"/>
  <c r="H53" i="3"/>
  <c r="G53" i="3"/>
  <c r="J52" i="3"/>
  <c r="H52" i="3"/>
  <c r="G52" i="3"/>
  <c r="J51" i="3"/>
  <c r="H51" i="3"/>
  <c r="G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54" i="5" l="1"/>
  <c r="L305" i="4"/>
  <c r="F55" i="3"/>
  <c r="C89" i="7"/>
  <c r="I89" i="7" s="1"/>
  <c r="C80" i="7"/>
  <c r="I80" i="7" s="1"/>
  <c r="C71" i="7"/>
  <c r="I71" i="7" s="1"/>
  <c r="C62" i="7"/>
  <c r="I62" i="7" s="1"/>
  <c r="C53" i="7"/>
  <c r="I53" i="7" s="1"/>
  <c r="C44" i="7"/>
  <c r="I44" i="7" s="1"/>
  <c r="C35" i="7"/>
  <c r="I35" i="7" s="1"/>
  <c r="C26" i="7"/>
  <c r="I26" i="7" s="1"/>
  <c r="C17" i="7"/>
  <c r="I17" i="7" s="1"/>
  <c r="C8" i="7"/>
  <c r="I8" i="7" s="1"/>
  <c r="E55" i="5"/>
  <c r="E53" i="5"/>
  <c r="E51" i="5"/>
  <c r="E49" i="5"/>
  <c r="E48" i="5"/>
  <c r="E47" i="5"/>
  <c r="E44" i="5"/>
  <c r="E43" i="5"/>
  <c r="E40" i="5"/>
  <c r="E38" i="5"/>
  <c r="E36" i="5"/>
  <c r="E31" i="5"/>
  <c r="E29" i="5"/>
  <c r="E25" i="5"/>
  <c r="E22" i="5"/>
  <c r="E19" i="5"/>
  <c r="E17" i="5"/>
  <c r="E16" i="5"/>
  <c r="E15" i="5"/>
  <c r="E14" i="5"/>
  <c r="E12" i="5"/>
  <c r="E8" i="5"/>
  <c r="E5" i="5"/>
  <c r="L402" i="4"/>
  <c r="L401" i="4"/>
  <c r="L400" i="4"/>
  <c r="L397" i="4"/>
  <c r="L393" i="4"/>
  <c r="L387" i="4"/>
  <c r="L386" i="4"/>
  <c r="L385" i="4"/>
  <c r="L384" i="4"/>
  <c r="L383" i="4"/>
  <c r="L381" i="4"/>
  <c r="L377" i="4"/>
  <c r="L376" i="4"/>
  <c r="L375" i="4"/>
  <c r="L374" i="4"/>
  <c r="L373" i="4"/>
  <c r="L370" i="4"/>
  <c r="L369" i="4"/>
  <c r="L368" i="4"/>
  <c r="L367" i="4"/>
  <c r="L365" i="4"/>
  <c r="L364" i="4"/>
  <c r="L362" i="4"/>
  <c r="L358" i="4"/>
  <c r="L357" i="4"/>
  <c r="L356" i="4"/>
  <c r="L355" i="4"/>
  <c r="L354" i="4"/>
  <c r="L353" i="4"/>
  <c r="L352" i="4"/>
  <c r="L348" i="4"/>
  <c r="L347" i="4"/>
  <c r="L340" i="4"/>
  <c r="L338" i="4"/>
  <c r="L336" i="4"/>
  <c r="L335" i="4"/>
  <c r="L331" i="4"/>
  <c r="L330" i="4"/>
  <c r="L328" i="4"/>
  <c r="L327" i="4"/>
  <c r="L326" i="4"/>
  <c r="L323" i="4"/>
  <c r="L321" i="4"/>
  <c r="L320" i="4"/>
  <c r="L319" i="4"/>
  <c r="L318" i="4"/>
  <c r="L315" i="4"/>
  <c r="L313" i="4"/>
  <c r="L312" i="4"/>
  <c r="L311" i="4"/>
  <c r="L310" i="4"/>
  <c r="L309" i="4"/>
  <c r="L308" i="4"/>
  <c r="L307" i="4"/>
  <c r="L306" i="4"/>
  <c r="L304" i="4"/>
  <c r="L303" i="4"/>
  <c r="L302" i="4"/>
  <c r="L301" i="4"/>
  <c r="L300" i="4"/>
  <c r="L299" i="4"/>
  <c r="L298" i="4"/>
  <c r="L297" i="4"/>
  <c r="L296" i="4"/>
  <c r="L292" i="4"/>
  <c r="L291" i="4"/>
  <c r="L289" i="4"/>
  <c r="L286" i="4"/>
  <c r="L283" i="4"/>
  <c r="L281" i="4"/>
  <c r="L280" i="4"/>
  <c r="L277" i="4"/>
  <c r="L276" i="4"/>
  <c r="L275" i="4"/>
  <c r="L274" i="4"/>
  <c r="L273" i="4"/>
  <c r="L272" i="4"/>
  <c r="L271" i="4"/>
  <c r="L270" i="4"/>
  <c r="L269" i="4"/>
  <c r="L266" i="4"/>
  <c r="L265" i="4"/>
  <c r="L263" i="4"/>
  <c r="L261" i="4"/>
  <c r="L259" i="4"/>
  <c r="L254" i="4"/>
  <c r="L252" i="4"/>
  <c r="L250" i="4"/>
  <c r="L249" i="4"/>
  <c r="L245" i="4"/>
  <c r="L244" i="4"/>
  <c r="L243" i="4"/>
  <c r="L242" i="4"/>
  <c r="L241" i="4"/>
  <c r="L240" i="4"/>
  <c r="L238" i="4"/>
  <c r="L236" i="4"/>
  <c r="L235" i="4"/>
  <c r="L234" i="4"/>
  <c r="L232" i="4"/>
  <c r="L230" i="4"/>
  <c r="L229" i="4"/>
  <c r="L228" i="4"/>
  <c r="L227" i="4"/>
  <c r="L226" i="4"/>
  <c r="L225" i="4"/>
  <c r="L224" i="4"/>
  <c r="L220" i="4"/>
  <c r="L219" i="4"/>
  <c r="L218" i="4"/>
  <c r="L217" i="4"/>
  <c r="L216" i="4"/>
  <c r="L215" i="4"/>
  <c r="L214" i="4"/>
  <c r="L213" i="4"/>
  <c r="L211" i="4"/>
  <c r="L208" i="4"/>
  <c r="L207" i="4"/>
  <c r="L206" i="4"/>
  <c r="L205" i="4"/>
  <c r="L204" i="4"/>
  <c r="L202" i="4"/>
  <c r="L201" i="4"/>
  <c r="L199" i="4"/>
  <c r="L198" i="4"/>
  <c r="L197" i="4"/>
  <c r="L196" i="4"/>
  <c r="L194" i="4"/>
  <c r="L193" i="4"/>
  <c r="L192" i="4"/>
  <c r="L191" i="4"/>
  <c r="L183" i="4"/>
  <c r="L182" i="4"/>
  <c r="L177" i="4"/>
  <c r="L176" i="4"/>
  <c r="L175" i="4"/>
  <c r="L171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3" i="4"/>
  <c r="L149" i="4"/>
  <c r="L148" i="4"/>
  <c r="L147" i="4"/>
  <c r="L146" i="4"/>
  <c r="L145" i="4"/>
  <c r="L141" i="4"/>
  <c r="L140" i="4"/>
  <c r="L139" i="4"/>
  <c r="L138" i="4"/>
  <c r="L135" i="4"/>
  <c r="L134" i="4"/>
  <c r="L131" i="4"/>
  <c r="L125" i="4"/>
  <c r="L122" i="4"/>
  <c r="L119" i="4"/>
  <c r="L116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8" i="4"/>
  <c r="L97" i="4"/>
  <c r="L93" i="4"/>
  <c r="L92" i="4"/>
  <c r="L87" i="4"/>
  <c r="L86" i="4"/>
  <c r="L85" i="4"/>
  <c r="L84" i="4"/>
  <c r="L83" i="4"/>
  <c r="L80" i="4"/>
  <c r="L79" i="4"/>
  <c r="L73" i="4"/>
  <c r="L72" i="4"/>
  <c r="L71" i="4"/>
  <c r="L70" i="4"/>
  <c r="L69" i="4"/>
  <c r="L67" i="4"/>
  <c r="L65" i="4"/>
  <c r="L64" i="4"/>
  <c r="L63" i="4"/>
  <c r="L62" i="4"/>
  <c r="L61" i="4"/>
  <c r="L58" i="4"/>
  <c r="L54" i="4"/>
  <c r="L53" i="4"/>
  <c r="L52" i="4"/>
  <c r="L50" i="4"/>
  <c r="L49" i="4"/>
  <c r="L48" i="4"/>
  <c r="L46" i="4"/>
  <c r="L44" i="4"/>
  <c r="L43" i="4"/>
  <c r="L42" i="4"/>
  <c r="L41" i="4"/>
  <c r="L36" i="4"/>
  <c r="L34" i="4"/>
  <c r="L31" i="4"/>
  <c r="L24" i="4"/>
  <c r="L23" i="4"/>
  <c r="L22" i="4"/>
  <c r="L21" i="4"/>
  <c r="L20" i="4"/>
  <c r="L19" i="4"/>
  <c r="L17" i="4"/>
  <c r="L16" i="4"/>
  <c r="L15" i="4"/>
  <c r="L14" i="4"/>
  <c r="L13" i="4"/>
  <c r="L12" i="4"/>
  <c r="L5" i="4"/>
  <c r="F56" i="3"/>
  <c r="F54" i="3"/>
  <c r="F52" i="3"/>
  <c r="F50" i="3"/>
  <c r="F49" i="3"/>
  <c r="F48" i="3"/>
  <c r="F45" i="3"/>
  <c r="F44" i="3"/>
  <c r="F41" i="3"/>
  <c r="F39" i="3"/>
  <c r="F37" i="3"/>
  <c r="F32" i="3"/>
  <c r="F30" i="3"/>
  <c r="F26" i="3"/>
  <c r="F23" i="3"/>
  <c r="F20" i="3"/>
  <c r="F18" i="3"/>
  <c r="F17" i="3"/>
  <c r="F16" i="3"/>
  <c r="F15" i="3"/>
  <c r="F13" i="3"/>
  <c r="F9" i="3"/>
  <c r="F6" i="3"/>
  <c r="E58" i="5"/>
  <c r="L382" i="4"/>
  <c r="L380" i="4"/>
  <c r="L295" i="4"/>
  <c r="L264" i="4"/>
  <c r="L262" i="4"/>
  <c r="F59" i="3"/>
  <c r="E39" i="5"/>
  <c r="E37" i="5"/>
  <c r="E11" i="5"/>
  <c r="L366" i="4"/>
  <c r="L363" i="4"/>
  <c r="L359" i="4"/>
  <c r="L325" i="4"/>
  <c r="L324" i="4"/>
  <c r="L45" i="4"/>
  <c r="F40" i="3"/>
  <c r="F38" i="3"/>
  <c r="F12" i="3"/>
  <c r="E50" i="5"/>
  <c r="E46" i="5"/>
  <c r="E42" i="5"/>
  <c r="E33" i="5"/>
  <c r="E7" i="5"/>
  <c r="L415" i="4"/>
  <c r="L414" i="4"/>
  <c r="L413" i="4"/>
  <c r="L412" i="4"/>
  <c r="L411" i="4"/>
  <c r="L410" i="4"/>
  <c r="L409" i="4"/>
  <c r="L408" i="4"/>
  <c r="L407" i="4"/>
  <c r="F51" i="3"/>
  <c r="F47" i="3"/>
  <c r="F43" i="3"/>
  <c r="F34" i="3"/>
  <c r="F8" i="3"/>
  <c r="E57" i="5"/>
  <c r="E35" i="5"/>
  <c r="E34" i="5"/>
  <c r="E28" i="5"/>
  <c r="E26" i="5"/>
  <c r="E24" i="5"/>
  <c r="E20" i="5"/>
  <c r="L396" i="4"/>
  <c r="L395" i="4"/>
  <c r="L394" i="4"/>
  <c r="L391" i="4"/>
  <c r="L390" i="4"/>
  <c r="L389" i="4"/>
  <c r="L379" i="4"/>
  <c r="L372" i="4"/>
  <c r="L371" i="4"/>
  <c r="L351" i="4"/>
  <c r="L350" i="4"/>
  <c r="L349" i="4"/>
  <c r="L334" i="4"/>
  <c r="L333" i="4"/>
  <c r="L332" i="4"/>
  <c r="L322" i="4"/>
  <c r="L290" i="4"/>
  <c r="L288" i="4"/>
  <c r="L287" i="4"/>
  <c r="L285" i="4"/>
  <c r="L284" i="4"/>
  <c r="L282" i="4"/>
  <c r="L268" i="4"/>
  <c r="L267" i="4"/>
  <c r="L260" i="4"/>
  <c r="L256" i="4"/>
  <c r="L255" i="4"/>
  <c r="L253" i="4"/>
  <c r="L248" i="4"/>
  <c r="L203" i="4"/>
  <c r="L190" i="4"/>
  <c r="L187" i="4"/>
  <c r="L186" i="4"/>
  <c r="L185" i="4"/>
  <c r="L184" i="4"/>
  <c r="L172" i="4"/>
  <c r="L170" i="4"/>
  <c r="L152" i="4"/>
  <c r="L151" i="4"/>
  <c r="L150" i="4"/>
  <c r="L144" i="4"/>
  <c r="L143" i="4"/>
  <c r="L142" i="4"/>
  <c r="L133" i="4"/>
  <c r="L132" i="4"/>
  <c r="L130" i="4"/>
  <c r="L129" i="4"/>
  <c r="L127" i="4"/>
  <c r="L126" i="4"/>
  <c r="L124" i="4"/>
  <c r="L123" i="4"/>
  <c r="L118" i="4"/>
  <c r="L117" i="4"/>
  <c r="L115" i="4"/>
  <c r="L114" i="4"/>
  <c r="L113" i="4"/>
  <c r="L112" i="4"/>
  <c r="L94" i="4"/>
  <c r="L90" i="4"/>
  <c r="L89" i="4"/>
  <c r="L88" i="4"/>
  <c r="L82" i="4"/>
  <c r="L81" i="4"/>
  <c r="L77" i="4"/>
  <c r="L76" i="4"/>
  <c r="L68" i="4"/>
  <c r="L56" i="4"/>
  <c r="L55" i="4"/>
  <c r="L51" i="4"/>
  <c r="L37" i="4"/>
  <c r="L35" i="4"/>
  <c r="L33" i="4"/>
  <c r="L29" i="4"/>
  <c r="L28" i="4"/>
  <c r="L26" i="4"/>
  <c r="L25" i="4"/>
  <c r="L10" i="4"/>
  <c r="L9" i="4"/>
  <c r="L7" i="4"/>
  <c r="L6" i="4"/>
  <c r="F58" i="3"/>
  <c r="F36" i="3"/>
  <c r="F35" i="3"/>
  <c r="F29" i="3"/>
  <c r="F27" i="3"/>
  <c r="F25" i="3"/>
  <c r="F21" i="3"/>
  <c r="E56" i="5"/>
  <c r="E52" i="5"/>
  <c r="E45" i="5"/>
  <c r="E41" i="5"/>
  <c r="E32" i="5"/>
  <c r="E27" i="5"/>
  <c r="E23" i="5"/>
  <c r="E18" i="5"/>
  <c r="E10" i="5"/>
  <c r="E6" i="5"/>
  <c r="L404" i="4"/>
  <c r="L403" i="4"/>
  <c r="L399" i="4"/>
  <c r="L398" i="4"/>
  <c r="L392" i="4"/>
  <c r="L388" i="4"/>
  <c r="L378" i="4"/>
  <c r="L361" i="4"/>
  <c r="L360" i="4"/>
  <c r="L346" i="4"/>
  <c r="L345" i="4"/>
  <c r="L344" i="4"/>
  <c r="L343" i="4"/>
  <c r="L342" i="4"/>
  <c r="L341" i="4"/>
  <c r="L339" i="4"/>
  <c r="L337" i="4"/>
  <c r="L329" i="4"/>
  <c r="L314" i="4"/>
  <c r="L279" i="4"/>
  <c r="L278" i="4"/>
  <c r="L251" i="4"/>
  <c r="L247" i="4"/>
  <c r="L246" i="4"/>
  <c r="L239" i="4"/>
  <c r="L237" i="4"/>
  <c r="L233" i="4"/>
  <c r="L231" i="4"/>
  <c r="L221" i="4"/>
  <c r="L210" i="4"/>
  <c r="L209" i="4"/>
  <c r="L200" i="4"/>
  <c r="L195" i="4"/>
  <c r="L179" i="4"/>
  <c r="L178" i="4"/>
  <c r="L174" i="4"/>
  <c r="L173" i="4"/>
  <c r="L155" i="4"/>
  <c r="L154" i="4"/>
  <c r="L128" i="4"/>
  <c r="L121" i="4"/>
  <c r="L120" i="4"/>
  <c r="L99" i="4"/>
  <c r="L91" i="4"/>
  <c r="L78" i="4"/>
  <c r="L57" i="4"/>
  <c r="L47" i="4"/>
  <c r="L40" i="4"/>
  <c r="L39" i="4"/>
  <c r="L38" i="4"/>
  <c r="L32" i="4"/>
  <c r="L30" i="4"/>
  <c r="L27" i="4"/>
  <c r="L18" i="4"/>
  <c r="L11" i="4"/>
  <c r="L8" i="4"/>
  <c r="F57" i="3"/>
  <c r="F53" i="3"/>
  <c r="F46" i="3"/>
  <c r="F42" i="3"/>
  <c r="F33" i="3"/>
  <c r="F28" i="3"/>
  <c r="F24" i="3"/>
  <c r="F19" i="3"/>
  <c r="F11" i="3"/>
  <c r="F7" i="3"/>
  <c r="E21" i="5"/>
  <c r="L212" i="4"/>
  <c r="F22" i="3"/>
  <c r="C7" i="12"/>
  <c r="K7" i="12" s="1"/>
  <c r="C6" i="12"/>
  <c r="K6" i="12" s="1"/>
  <c r="K8" i="12" s="1"/>
  <c r="K10" i="12" s="1"/>
  <c r="E7" i="15" s="1"/>
  <c r="F7" i="15" s="1"/>
  <c r="C81" i="14"/>
  <c r="L81" i="14" s="1"/>
  <c r="C80" i="14"/>
  <c r="L80" i="14" s="1"/>
  <c r="C79" i="14"/>
  <c r="L79" i="14" s="1"/>
  <c r="L82" i="14" s="1"/>
  <c r="C75" i="14"/>
  <c r="L75" i="14" s="1"/>
  <c r="C74" i="14"/>
  <c r="L74" i="14" s="1"/>
  <c r="C73" i="14"/>
  <c r="L73" i="14" s="1"/>
  <c r="C72" i="14"/>
  <c r="L72" i="14" s="1"/>
  <c r="C71" i="14"/>
  <c r="L71" i="14" s="1"/>
  <c r="C70" i="14"/>
  <c r="L70" i="14" s="1"/>
  <c r="L76" i="14" s="1"/>
  <c r="C66" i="14"/>
  <c r="L66" i="14" s="1"/>
  <c r="C65" i="14"/>
  <c r="L65" i="14" s="1"/>
  <c r="C64" i="14"/>
  <c r="L64" i="14" s="1"/>
  <c r="C63" i="14"/>
  <c r="L63" i="14" s="1"/>
  <c r="C62" i="14"/>
  <c r="L62" i="14" s="1"/>
  <c r="L67" i="14" s="1"/>
  <c r="C58" i="14"/>
  <c r="L58" i="14" s="1"/>
  <c r="C57" i="14"/>
  <c r="L57" i="14" s="1"/>
  <c r="C56" i="14"/>
  <c r="L56" i="14" s="1"/>
  <c r="L59" i="14" s="1"/>
  <c r="C52" i="14"/>
  <c r="L52" i="14" s="1"/>
  <c r="C51" i="14"/>
  <c r="L51" i="14" s="1"/>
  <c r="C50" i="14"/>
  <c r="L50" i="14" s="1"/>
  <c r="C49" i="14"/>
  <c r="L49" i="14" s="1"/>
  <c r="L53" i="14" s="1"/>
  <c r="C45" i="14"/>
  <c r="L45" i="14" s="1"/>
  <c r="C44" i="14"/>
  <c r="L44" i="14" s="1"/>
  <c r="C43" i="14"/>
  <c r="L43" i="14" s="1"/>
  <c r="C42" i="14"/>
  <c r="L42" i="14" s="1"/>
  <c r="C41" i="14"/>
  <c r="L41" i="14" s="1"/>
  <c r="C40" i="14"/>
  <c r="L40" i="14" s="1"/>
  <c r="C39" i="14"/>
  <c r="L39" i="14" s="1"/>
  <c r="L46" i="14" s="1"/>
  <c r="C35" i="14"/>
  <c r="L35" i="14" s="1"/>
  <c r="C34" i="14"/>
  <c r="L34" i="14" s="1"/>
  <c r="C33" i="14"/>
  <c r="L33" i="14" s="1"/>
  <c r="C32" i="14"/>
  <c r="L32" i="14" s="1"/>
  <c r="C31" i="14"/>
  <c r="L31" i="14" s="1"/>
  <c r="C30" i="14"/>
  <c r="L30" i="14" s="1"/>
  <c r="L36" i="14" s="1"/>
  <c r="C26" i="14"/>
  <c r="L26" i="14" s="1"/>
  <c r="C25" i="14"/>
  <c r="L25" i="14" s="1"/>
  <c r="C24" i="14"/>
  <c r="L24" i="14" s="1"/>
  <c r="C23" i="14"/>
  <c r="L23" i="14" s="1"/>
  <c r="C22" i="14"/>
  <c r="L22" i="14" s="1"/>
  <c r="L27" i="14" s="1"/>
  <c r="C18" i="14"/>
  <c r="L18" i="14" s="1"/>
  <c r="C17" i="14"/>
  <c r="L17" i="14" s="1"/>
  <c r="C16" i="14"/>
  <c r="L16" i="14" s="1"/>
  <c r="C15" i="14"/>
  <c r="L15" i="14" s="1"/>
  <c r="L19" i="14" s="1"/>
  <c r="C11" i="14"/>
  <c r="L11" i="14" s="1"/>
  <c r="C10" i="14"/>
  <c r="L10" i="14" s="1"/>
  <c r="C9" i="14"/>
  <c r="L9" i="14" s="1"/>
  <c r="C8" i="14"/>
  <c r="L8" i="14" s="1"/>
  <c r="C7" i="14"/>
  <c r="L7" i="14" s="1"/>
  <c r="C6" i="14"/>
  <c r="L6" i="14" s="1"/>
  <c r="L12" i="14" s="1"/>
  <c r="C15" i="13"/>
  <c r="K15" i="13" s="1"/>
  <c r="C14" i="13"/>
  <c r="K14" i="13" s="1"/>
  <c r="C13" i="13"/>
  <c r="K13" i="13" s="1"/>
  <c r="C12" i="13"/>
  <c r="K12" i="13" s="1"/>
  <c r="C11" i="13"/>
  <c r="K11" i="13" s="1"/>
  <c r="C10" i="13"/>
  <c r="K10" i="13" s="1"/>
  <c r="C9" i="13"/>
  <c r="K9" i="13" s="1"/>
  <c r="C8" i="13"/>
  <c r="K8" i="13" s="1"/>
  <c r="C7" i="13"/>
  <c r="K7" i="13" s="1"/>
  <c r="C6" i="13"/>
  <c r="K6" i="13" s="1"/>
  <c r="E30" i="5"/>
  <c r="E13" i="5"/>
  <c r="E9" i="5"/>
  <c r="L189" i="4"/>
  <c r="L188" i="4"/>
  <c r="L75" i="4"/>
  <c r="L74" i="4"/>
  <c r="L66" i="4"/>
  <c r="F31" i="3"/>
  <c r="F14" i="3"/>
  <c r="F10" i="3"/>
  <c r="C38" i="10"/>
  <c r="C34" i="10"/>
  <c r="C30" i="10"/>
  <c r="C26" i="10"/>
  <c r="C22" i="10"/>
  <c r="C18" i="10"/>
  <c r="C14" i="10"/>
  <c r="C10" i="10"/>
  <c r="C6" i="10"/>
  <c r="C6" i="9"/>
  <c r="K6" i="9" s="1"/>
  <c r="K7" i="9" s="1"/>
  <c r="K9" i="9" s="1"/>
  <c r="E6" i="15" s="1"/>
  <c r="F6" i="15" s="1"/>
  <c r="G5" i="5"/>
  <c r="M302" i="4"/>
  <c r="K6" i="3"/>
  <c r="H5" i="5"/>
  <c r="N302" i="4"/>
  <c r="I5" i="5"/>
  <c r="P302" i="4"/>
  <c r="L6" i="3"/>
  <c r="G6" i="5"/>
  <c r="M404" i="4"/>
  <c r="M399" i="4"/>
  <c r="M388" i="4"/>
  <c r="M339" i="4"/>
  <c r="M314" i="4"/>
  <c r="M247" i="4"/>
  <c r="M246" i="4"/>
  <c r="M237" i="4"/>
  <c r="M233" i="4"/>
  <c r="M231" i="4"/>
  <c r="M209" i="4"/>
  <c r="M91" i="4"/>
  <c r="M47" i="4"/>
  <c r="M40" i="4"/>
  <c r="M39" i="4"/>
  <c r="M38" i="4"/>
  <c r="M32" i="4"/>
  <c r="K7" i="3"/>
  <c r="M7" i="3" s="1"/>
  <c r="N7" i="3" s="1"/>
  <c r="H6" i="5"/>
  <c r="N404" i="4"/>
  <c r="N399" i="4"/>
  <c r="N388" i="4"/>
  <c r="N339" i="4"/>
  <c r="N314" i="4"/>
  <c r="N247" i="4"/>
  <c r="N246" i="4"/>
  <c r="N237" i="4"/>
  <c r="N233" i="4"/>
  <c r="N231" i="4"/>
  <c r="N209" i="4"/>
  <c r="N91" i="4"/>
  <c r="N47" i="4"/>
  <c r="N40" i="4"/>
  <c r="N39" i="4"/>
  <c r="N38" i="4"/>
  <c r="N32" i="4"/>
  <c r="I6" i="5"/>
  <c r="P404" i="4"/>
  <c r="P399" i="4"/>
  <c r="P388" i="4"/>
  <c r="P339" i="4"/>
  <c r="P314" i="4"/>
  <c r="P247" i="4"/>
  <c r="P246" i="4"/>
  <c r="P237" i="4"/>
  <c r="P233" i="4"/>
  <c r="P231" i="4"/>
  <c r="P209" i="4"/>
  <c r="P91" i="4"/>
  <c r="P47" i="4"/>
  <c r="P40" i="4"/>
  <c r="P39" i="4"/>
  <c r="P38" i="4"/>
  <c r="P32" i="4"/>
  <c r="L7" i="3"/>
  <c r="G7" i="5"/>
  <c r="M414" i="4"/>
  <c r="M411" i="4"/>
  <c r="M410" i="4"/>
  <c r="M409" i="4"/>
  <c r="M408" i="4"/>
  <c r="K8" i="3"/>
  <c r="M8" i="3" s="1"/>
  <c r="N8" i="3" s="1"/>
  <c r="H7" i="5"/>
  <c r="N414" i="4"/>
  <c r="N411" i="4"/>
  <c r="N410" i="4"/>
  <c r="N409" i="4"/>
  <c r="N408" i="4"/>
  <c r="I7" i="5"/>
  <c r="P414" i="4"/>
  <c r="P411" i="4"/>
  <c r="P410" i="4"/>
  <c r="P409" i="4"/>
  <c r="P408" i="4"/>
  <c r="L8" i="3"/>
  <c r="G8" i="5"/>
  <c r="M377" i="4"/>
  <c r="M171" i="4"/>
  <c r="K9" i="3"/>
  <c r="M9" i="3" s="1"/>
  <c r="N9" i="3" s="1"/>
  <c r="H8" i="5"/>
  <c r="N377" i="4"/>
  <c r="N171" i="4"/>
  <c r="I8" i="5"/>
  <c r="P377" i="4"/>
  <c r="P171" i="4"/>
  <c r="L9" i="3"/>
  <c r="G9" i="5"/>
  <c r="M189" i="4"/>
  <c r="M188" i="4"/>
  <c r="M75" i="4"/>
  <c r="K10" i="3"/>
  <c r="M10" i="3" s="1"/>
  <c r="N10" i="3" s="1"/>
  <c r="H9" i="5"/>
  <c r="N189" i="4"/>
  <c r="N188" i="4"/>
  <c r="N75" i="4"/>
  <c r="I9" i="5"/>
  <c r="P189" i="4"/>
  <c r="P188" i="4"/>
  <c r="P75" i="4"/>
  <c r="L10" i="3"/>
  <c r="G10" i="5"/>
  <c r="M378" i="4"/>
  <c r="M360" i="4"/>
  <c r="M346" i="4"/>
  <c r="M345" i="4"/>
  <c r="M344" i="4"/>
  <c r="M343" i="4"/>
  <c r="M342" i="4"/>
  <c r="M341" i="4"/>
  <c r="M337" i="4"/>
  <c r="M329" i="4"/>
  <c r="M279" i="4"/>
  <c r="M278" i="4"/>
  <c r="M210" i="4"/>
  <c r="M195" i="4"/>
  <c r="M179" i="4"/>
  <c r="M178" i="4"/>
  <c r="M174" i="4"/>
  <c r="M173" i="4"/>
  <c r="M155" i="4"/>
  <c r="M154" i="4"/>
  <c r="M121" i="4"/>
  <c r="M120" i="4"/>
  <c r="M99" i="4"/>
  <c r="M78" i="4"/>
  <c r="K11" i="3"/>
  <c r="M11" i="3" s="1"/>
  <c r="N11" i="3" s="1"/>
  <c r="H10" i="5"/>
  <c r="N378" i="4"/>
  <c r="N360" i="4"/>
  <c r="N346" i="4"/>
  <c r="N345" i="4"/>
  <c r="N344" i="4"/>
  <c r="N343" i="4"/>
  <c r="N342" i="4"/>
  <c r="N341" i="4"/>
  <c r="N337" i="4"/>
  <c r="N329" i="4"/>
  <c r="N279" i="4"/>
  <c r="N278" i="4"/>
  <c r="N210" i="4"/>
  <c r="N195" i="4"/>
  <c r="N179" i="4"/>
  <c r="N178" i="4"/>
  <c r="N174" i="4"/>
  <c r="N173" i="4"/>
  <c r="N155" i="4"/>
  <c r="N154" i="4"/>
  <c r="N121" i="4"/>
  <c r="N120" i="4"/>
  <c r="N99" i="4"/>
  <c r="N78" i="4"/>
  <c r="I10" i="5"/>
  <c r="P378" i="4"/>
  <c r="P360" i="4"/>
  <c r="P346" i="4"/>
  <c r="P345" i="4"/>
  <c r="P344" i="4"/>
  <c r="P343" i="4"/>
  <c r="P342" i="4"/>
  <c r="P341" i="4"/>
  <c r="P337" i="4"/>
  <c r="P329" i="4"/>
  <c r="P279" i="4"/>
  <c r="P278" i="4"/>
  <c r="P210" i="4"/>
  <c r="P195" i="4"/>
  <c r="P179" i="4"/>
  <c r="P178" i="4"/>
  <c r="P174" i="4"/>
  <c r="P173" i="4"/>
  <c r="P155" i="4"/>
  <c r="P154" i="4"/>
  <c r="P121" i="4"/>
  <c r="P120" i="4"/>
  <c r="P99" i="4"/>
  <c r="P78" i="4"/>
  <c r="L11" i="3"/>
  <c r="G11" i="5"/>
  <c r="M363" i="4"/>
  <c r="M324" i="4"/>
  <c r="M45" i="4"/>
  <c r="K12" i="3"/>
  <c r="M12" i="3" s="1"/>
  <c r="N12" i="3" s="1"/>
  <c r="H11" i="5"/>
  <c r="N363" i="4"/>
  <c r="N324" i="4"/>
  <c r="N45" i="4"/>
  <c r="I11" i="5"/>
  <c r="P363" i="4"/>
  <c r="P324" i="4"/>
  <c r="P45" i="4"/>
  <c r="L12" i="3"/>
  <c r="G12" i="5"/>
  <c r="M364" i="4"/>
  <c r="M274" i="4"/>
  <c r="M234" i="4"/>
  <c r="M145" i="4"/>
  <c r="M109" i="4"/>
  <c r="M73" i="4"/>
  <c r="M44" i="4"/>
  <c r="K13" i="3"/>
  <c r="M13" i="3" s="1"/>
  <c r="N13" i="3" s="1"/>
  <c r="H12" i="5"/>
  <c r="N364" i="4"/>
  <c r="N274" i="4"/>
  <c r="N234" i="4"/>
  <c r="N145" i="4"/>
  <c r="N109" i="4"/>
  <c r="N73" i="4"/>
  <c r="N44" i="4"/>
  <c r="I12" i="5"/>
  <c r="P364" i="4"/>
  <c r="P274" i="4"/>
  <c r="P234" i="4"/>
  <c r="P145" i="4"/>
  <c r="P109" i="4"/>
  <c r="P73" i="4"/>
  <c r="P44" i="4"/>
  <c r="L13" i="3"/>
  <c r="G13" i="5"/>
  <c r="M74" i="4"/>
  <c r="K14" i="3"/>
  <c r="M14" i="3" s="1"/>
  <c r="N14" i="3" s="1"/>
  <c r="H13" i="5"/>
  <c r="N74" i="4"/>
  <c r="I13" i="5"/>
  <c r="P74" i="4"/>
  <c r="L14" i="3"/>
  <c r="G14" i="5"/>
  <c r="M373" i="4"/>
  <c r="M217" i="4"/>
  <c r="M216" i="4"/>
  <c r="M158" i="4"/>
  <c r="M111" i="4"/>
  <c r="M46" i="4"/>
  <c r="K15" i="3"/>
  <c r="M15" i="3" s="1"/>
  <c r="N15" i="3" s="1"/>
  <c r="H14" i="5"/>
  <c r="N373" i="4"/>
  <c r="N217" i="4"/>
  <c r="N216" i="4"/>
  <c r="N158" i="4"/>
  <c r="N111" i="4"/>
  <c r="N46" i="4"/>
  <c r="I14" i="5"/>
  <c r="P373" i="4"/>
  <c r="P217" i="4"/>
  <c r="P216" i="4"/>
  <c r="P158" i="4"/>
  <c r="P111" i="4"/>
  <c r="P46" i="4"/>
  <c r="L15" i="3"/>
  <c r="G15" i="5"/>
  <c r="M215" i="4"/>
  <c r="M110" i="4"/>
  <c r="K16" i="3"/>
  <c r="M16" i="3" s="1"/>
  <c r="N16" i="3" s="1"/>
  <c r="H15" i="5"/>
  <c r="N215" i="4"/>
  <c r="N110" i="4"/>
  <c r="I15" i="5"/>
  <c r="P215" i="4"/>
  <c r="P110" i="4"/>
  <c r="L16" i="3"/>
  <c r="G16" i="5"/>
  <c r="M245" i="4"/>
  <c r="M135" i="4"/>
  <c r="M79" i="4"/>
  <c r="M31" i="4"/>
  <c r="K17" i="3"/>
  <c r="M17" i="3" s="1"/>
  <c r="N17" i="3" s="1"/>
  <c r="H16" i="5"/>
  <c r="N245" i="4"/>
  <c r="N135" i="4"/>
  <c r="N79" i="4"/>
  <c r="N31" i="4"/>
  <c r="I16" i="5"/>
  <c r="P245" i="4"/>
  <c r="P135" i="4"/>
  <c r="P79" i="4"/>
  <c r="P31" i="4"/>
  <c r="L17" i="3"/>
  <c r="G17" i="5"/>
  <c r="M280" i="4"/>
  <c r="M134" i="4"/>
  <c r="K18" i="3"/>
  <c r="M18" i="3" s="1"/>
  <c r="N18" i="3" s="1"/>
  <c r="H17" i="5"/>
  <c r="N280" i="4"/>
  <c r="N134" i="4"/>
  <c r="I17" i="5"/>
  <c r="P280" i="4"/>
  <c r="P134" i="4"/>
  <c r="L18" i="3"/>
  <c r="G18" i="5"/>
  <c r="M200" i="4"/>
  <c r="K19" i="3"/>
  <c r="M19" i="3" s="1"/>
  <c r="N19" i="3" s="1"/>
  <c r="H18" i="5"/>
  <c r="N200" i="4"/>
  <c r="I18" i="5"/>
  <c r="P200" i="4"/>
  <c r="L19" i="3"/>
  <c r="G19" i="5"/>
  <c r="M340" i="4"/>
  <c r="M275" i="4"/>
  <c r="M242" i="4"/>
  <c r="M220" i="4"/>
  <c r="M201" i="4"/>
  <c r="M157" i="4"/>
  <c r="M80" i="4"/>
  <c r="M41" i="4"/>
  <c r="K20" i="3"/>
  <c r="M20" i="3" s="1"/>
  <c r="N20" i="3" s="1"/>
  <c r="H19" i="5"/>
  <c r="N340" i="4"/>
  <c r="N275" i="4"/>
  <c r="N242" i="4"/>
  <c r="N220" i="4"/>
  <c r="N201" i="4"/>
  <c r="N157" i="4"/>
  <c r="N80" i="4"/>
  <c r="N41" i="4"/>
  <c r="I19" i="5"/>
  <c r="P340" i="4"/>
  <c r="P275" i="4"/>
  <c r="P242" i="4"/>
  <c r="P220" i="4"/>
  <c r="P201" i="4"/>
  <c r="P157" i="4"/>
  <c r="P80" i="4"/>
  <c r="P41" i="4"/>
  <c r="L20" i="3"/>
  <c r="G20" i="5"/>
  <c r="M56" i="4"/>
  <c r="M51" i="4"/>
  <c r="K21" i="3"/>
  <c r="M21" i="3" s="1"/>
  <c r="N21" i="3" s="1"/>
  <c r="H20" i="5"/>
  <c r="N56" i="4"/>
  <c r="N51" i="4"/>
  <c r="I20" i="5"/>
  <c r="P56" i="4"/>
  <c r="P51" i="4"/>
  <c r="L21" i="3"/>
  <c r="G21" i="5"/>
  <c r="M212" i="4"/>
  <c r="K22" i="3"/>
  <c r="M22" i="3" s="1"/>
  <c r="N22" i="3" s="1"/>
  <c r="H21" i="5"/>
  <c r="N212" i="4"/>
  <c r="I21" i="5"/>
  <c r="P212" i="4"/>
  <c r="L22" i="3"/>
  <c r="G22" i="5"/>
  <c r="M383" i="4"/>
  <c r="M381" i="4"/>
  <c r="M319" i="4"/>
  <c r="M318" i="4"/>
  <c r="M311" i="4"/>
  <c r="M310" i="4"/>
  <c r="M308" i="4"/>
  <c r="M298" i="4"/>
  <c r="M296" i="4"/>
  <c r="M265" i="4"/>
  <c r="M263" i="4"/>
  <c r="M240" i="4"/>
  <c r="M238" i="4"/>
  <c r="M208" i="4"/>
  <c r="M207" i="4"/>
  <c r="M166" i="4"/>
  <c r="M165" i="4"/>
  <c r="M164" i="4"/>
  <c r="M106" i="4"/>
  <c r="M103" i="4"/>
  <c r="M71" i="4"/>
  <c r="M70" i="4"/>
  <c r="M65" i="4"/>
  <c r="M50" i="4"/>
  <c r="M24" i="4"/>
  <c r="M22" i="4"/>
  <c r="M14" i="4"/>
  <c r="M12" i="4"/>
  <c r="K23" i="3"/>
  <c r="M23" i="3" s="1"/>
  <c r="N23" i="3" s="1"/>
  <c r="H22" i="5"/>
  <c r="N383" i="4"/>
  <c r="N381" i="4"/>
  <c r="N319" i="4"/>
  <c r="N318" i="4"/>
  <c r="N311" i="4"/>
  <c r="N310" i="4"/>
  <c r="N308" i="4"/>
  <c r="N298" i="4"/>
  <c r="N296" i="4"/>
  <c r="N265" i="4"/>
  <c r="N263" i="4"/>
  <c r="N240" i="4"/>
  <c r="N238" i="4"/>
  <c r="N208" i="4"/>
  <c r="N207" i="4"/>
  <c r="N166" i="4"/>
  <c r="N165" i="4"/>
  <c r="N164" i="4"/>
  <c r="N106" i="4"/>
  <c r="N103" i="4"/>
  <c r="N71" i="4"/>
  <c r="N70" i="4"/>
  <c r="N65" i="4"/>
  <c r="N50" i="4"/>
  <c r="N24" i="4"/>
  <c r="N22" i="4"/>
  <c r="N14" i="4"/>
  <c r="N12" i="4"/>
  <c r="I22" i="5"/>
  <c r="P383" i="4"/>
  <c r="P381" i="4"/>
  <c r="P319" i="4"/>
  <c r="P318" i="4"/>
  <c r="P311" i="4"/>
  <c r="P310" i="4"/>
  <c r="P308" i="4"/>
  <c r="P298" i="4"/>
  <c r="P296" i="4"/>
  <c r="P265" i="4"/>
  <c r="P263" i="4"/>
  <c r="P240" i="4"/>
  <c r="P238" i="4"/>
  <c r="P208" i="4"/>
  <c r="P207" i="4"/>
  <c r="P166" i="4"/>
  <c r="P165" i="4"/>
  <c r="P164" i="4"/>
  <c r="P106" i="4"/>
  <c r="P103" i="4"/>
  <c r="P71" i="4"/>
  <c r="P70" i="4"/>
  <c r="P65" i="4"/>
  <c r="P50" i="4"/>
  <c r="P24" i="4"/>
  <c r="P22" i="4"/>
  <c r="P14" i="4"/>
  <c r="P12" i="4"/>
  <c r="L23" i="3"/>
  <c r="G23" i="5"/>
  <c r="M403" i="4"/>
  <c r="M398" i="4"/>
  <c r="M30" i="4"/>
  <c r="M27" i="4"/>
  <c r="M11" i="4"/>
  <c r="M8" i="4"/>
  <c r="K24" i="3"/>
  <c r="M24" i="3" s="1"/>
  <c r="N24" i="3" s="1"/>
  <c r="H23" i="5"/>
  <c r="N403" i="4"/>
  <c r="N398" i="4"/>
  <c r="N30" i="4"/>
  <c r="N27" i="4"/>
  <c r="N11" i="4"/>
  <c r="N8" i="4"/>
  <c r="I23" i="5"/>
  <c r="P403" i="4"/>
  <c r="P398" i="4"/>
  <c r="P30" i="4"/>
  <c r="P27" i="4"/>
  <c r="P11" i="4"/>
  <c r="P8" i="4"/>
  <c r="L24" i="3"/>
  <c r="G24" i="5"/>
  <c r="M396" i="4"/>
  <c r="M395" i="4"/>
  <c r="M394" i="4"/>
  <c r="M391" i="4"/>
  <c r="M390" i="4"/>
  <c r="M389" i="4"/>
  <c r="M379" i="4"/>
  <c r="M351" i="4"/>
  <c r="M350" i="4"/>
  <c r="M349" i="4"/>
  <c r="M333" i="4"/>
  <c r="M332" i="4"/>
  <c r="M290" i="4"/>
  <c r="M288" i="4"/>
  <c r="M287" i="4"/>
  <c r="M285" i="4"/>
  <c r="M284" i="4"/>
  <c r="M282" i="4"/>
  <c r="M268" i="4"/>
  <c r="M267" i="4"/>
  <c r="M256" i="4"/>
  <c r="M255" i="4"/>
  <c r="M253" i="4"/>
  <c r="M248" i="4"/>
  <c r="M152" i="4"/>
  <c r="M151" i="4"/>
  <c r="M150" i="4"/>
  <c r="M144" i="4"/>
  <c r="M143" i="4"/>
  <c r="M142" i="4"/>
  <c r="M133" i="4"/>
  <c r="M130" i="4"/>
  <c r="M127" i="4"/>
  <c r="M124" i="4"/>
  <c r="M115" i="4"/>
  <c r="M113" i="4"/>
  <c r="M94" i="4"/>
  <c r="M90" i="4"/>
  <c r="M89" i="4"/>
  <c r="M88" i="4"/>
  <c r="M82" i="4"/>
  <c r="M81" i="4"/>
  <c r="M77" i="4"/>
  <c r="M76" i="4"/>
  <c r="M68" i="4"/>
  <c r="M55" i="4"/>
  <c r="M37" i="4"/>
  <c r="M35" i="4"/>
  <c r="M33" i="4"/>
  <c r="M28" i="4"/>
  <c r="M25" i="4"/>
  <c r="M9" i="4"/>
  <c r="M6" i="4"/>
  <c r="K25" i="3"/>
  <c r="M25" i="3" s="1"/>
  <c r="N25" i="3" s="1"/>
  <c r="H24" i="5"/>
  <c r="N396" i="4"/>
  <c r="N395" i="4"/>
  <c r="N394" i="4"/>
  <c r="N391" i="4"/>
  <c r="N390" i="4"/>
  <c r="N389" i="4"/>
  <c r="N379" i="4"/>
  <c r="N351" i="4"/>
  <c r="N350" i="4"/>
  <c r="N349" i="4"/>
  <c r="N333" i="4"/>
  <c r="N332" i="4"/>
  <c r="N290" i="4"/>
  <c r="N288" i="4"/>
  <c r="N287" i="4"/>
  <c r="N285" i="4"/>
  <c r="N284" i="4"/>
  <c r="N282" i="4"/>
  <c r="N268" i="4"/>
  <c r="N267" i="4"/>
  <c r="N256" i="4"/>
  <c r="N255" i="4"/>
  <c r="N253" i="4"/>
  <c r="N248" i="4"/>
  <c r="N152" i="4"/>
  <c r="N151" i="4"/>
  <c r="N150" i="4"/>
  <c r="N144" i="4"/>
  <c r="N143" i="4"/>
  <c r="N142" i="4"/>
  <c r="N133" i="4"/>
  <c r="N130" i="4"/>
  <c r="N127" i="4"/>
  <c r="N124" i="4"/>
  <c r="N115" i="4"/>
  <c r="N113" i="4"/>
  <c r="N94" i="4"/>
  <c r="N90" i="4"/>
  <c r="N89" i="4"/>
  <c r="N88" i="4"/>
  <c r="N82" i="4"/>
  <c r="N81" i="4"/>
  <c r="N77" i="4"/>
  <c r="N76" i="4"/>
  <c r="N68" i="4"/>
  <c r="N55" i="4"/>
  <c r="N37" i="4"/>
  <c r="N35" i="4"/>
  <c r="N33" i="4"/>
  <c r="N28" i="4"/>
  <c r="N25" i="4"/>
  <c r="N9" i="4"/>
  <c r="N6" i="4"/>
  <c r="I24" i="5"/>
  <c r="P396" i="4"/>
  <c r="P395" i="4"/>
  <c r="P394" i="4"/>
  <c r="P391" i="4"/>
  <c r="P390" i="4"/>
  <c r="P389" i="4"/>
  <c r="P379" i="4"/>
  <c r="P351" i="4"/>
  <c r="P350" i="4"/>
  <c r="P349" i="4"/>
  <c r="P333" i="4"/>
  <c r="P332" i="4"/>
  <c r="P290" i="4"/>
  <c r="P288" i="4"/>
  <c r="P287" i="4"/>
  <c r="P285" i="4"/>
  <c r="P284" i="4"/>
  <c r="P282" i="4"/>
  <c r="P268" i="4"/>
  <c r="P267" i="4"/>
  <c r="P256" i="4"/>
  <c r="P255" i="4"/>
  <c r="P253" i="4"/>
  <c r="P248" i="4"/>
  <c r="P152" i="4"/>
  <c r="P151" i="4"/>
  <c r="P150" i="4"/>
  <c r="P144" i="4"/>
  <c r="P143" i="4"/>
  <c r="P142" i="4"/>
  <c r="P133" i="4"/>
  <c r="P130" i="4"/>
  <c r="P127" i="4"/>
  <c r="P124" i="4"/>
  <c r="P115" i="4"/>
  <c r="P113" i="4"/>
  <c r="P94" i="4"/>
  <c r="P90" i="4"/>
  <c r="P89" i="4"/>
  <c r="P88" i="4"/>
  <c r="P82" i="4"/>
  <c r="P81" i="4"/>
  <c r="P77" i="4"/>
  <c r="P76" i="4"/>
  <c r="P68" i="4"/>
  <c r="P55" i="4"/>
  <c r="P37" i="4"/>
  <c r="P35" i="4"/>
  <c r="P33" i="4"/>
  <c r="P28" i="4"/>
  <c r="P25" i="4"/>
  <c r="P9" i="4"/>
  <c r="P6" i="4"/>
  <c r="L25" i="3"/>
  <c r="G25" i="5"/>
  <c r="M105" i="4"/>
  <c r="M102" i="4"/>
  <c r="K26" i="3"/>
  <c r="M26" i="3" s="1"/>
  <c r="N26" i="3" s="1"/>
  <c r="H25" i="5"/>
  <c r="N105" i="4"/>
  <c r="N102" i="4"/>
  <c r="I25" i="5"/>
  <c r="P105" i="4"/>
  <c r="P102" i="4"/>
  <c r="L26" i="3"/>
  <c r="G26" i="5"/>
  <c r="M203" i="4"/>
  <c r="M190" i="4"/>
  <c r="M187" i="4"/>
  <c r="M186" i="4"/>
  <c r="M185" i="4"/>
  <c r="M184" i="4"/>
  <c r="M172" i="4"/>
  <c r="M170" i="4"/>
  <c r="M132" i="4"/>
  <c r="M129" i="4"/>
  <c r="M126" i="4"/>
  <c r="M123" i="4"/>
  <c r="M114" i="4"/>
  <c r="M112" i="4"/>
  <c r="K27" i="3"/>
  <c r="M27" i="3" s="1"/>
  <c r="N27" i="3" s="1"/>
  <c r="H26" i="5"/>
  <c r="N203" i="4"/>
  <c r="N190" i="4"/>
  <c r="N187" i="4"/>
  <c r="N186" i="4"/>
  <c r="N185" i="4"/>
  <c r="N184" i="4"/>
  <c r="N172" i="4"/>
  <c r="N170" i="4"/>
  <c r="N132" i="4"/>
  <c r="N129" i="4"/>
  <c r="N126" i="4"/>
  <c r="N123" i="4"/>
  <c r="N114" i="4"/>
  <c r="N112" i="4"/>
  <c r="I26" i="5"/>
  <c r="P203" i="4"/>
  <c r="P190" i="4"/>
  <c r="P187" i="4"/>
  <c r="P186" i="4"/>
  <c r="P185" i="4"/>
  <c r="P184" i="4"/>
  <c r="P172" i="4"/>
  <c r="P170" i="4"/>
  <c r="P132" i="4"/>
  <c r="P129" i="4"/>
  <c r="P126" i="4"/>
  <c r="P123" i="4"/>
  <c r="P114" i="4"/>
  <c r="P112" i="4"/>
  <c r="L27" i="3"/>
  <c r="G27" i="5"/>
  <c r="M239" i="4"/>
  <c r="K28" i="3"/>
  <c r="M28" i="3" s="1"/>
  <c r="N28" i="3" s="1"/>
  <c r="H27" i="5"/>
  <c r="N239" i="4"/>
  <c r="I27" i="5"/>
  <c r="P239" i="4"/>
  <c r="L28" i="3"/>
  <c r="G28" i="5"/>
  <c r="M334" i="4"/>
  <c r="K29" i="3"/>
  <c r="M29" i="3" s="1"/>
  <c r="N29" i="3" s="1"/>
  <c r="H28" i="5"/>
  <c r="N334" i="4"/>
  <c r="I28" i="5"/>
  <c r="P334" i="4"/>
  <c r="L29" i="3"/>
  <c r="G29" i="5"/>
  <c r="M335" i="4"/>
  <c r="M204" i="4"/>
  <c r="M48" i="4"/>
  <c r="K30" i="3"/>
  <c r="M30" i="3" s="1"/>
  <c r="N30" i="3" s="1"/>
  <c r="H29" i="5"/>
  <c r="N335" i="4"/>
  <c r="N204" i="4"/>
  <c r="N48" i="4"/>
  <c r="I29" i="5"/>
  <c r="P335" i="4"/>
  <c r="P204" i="4"/>
  <c r="P48" i="4"/>
  <c r="L30" i="3"/>
  <c r="G30" i="5"/>
  <c r="M66" i="4"/>
  <c r="K31" i="3"/>
  <c r="M31" i="3" s="1"/>
  <c r="N31" i="3" s="1"/>
  <c r="H30" i="5"/>
  <c r="N66" i="4"/>
  <c r="I30" i="5"/>
  <c r="P66" i="4"/>
  <c r="L31" i="3"/>
  <c r="G31" i="5"/>
  <c r="M232" i="4"/>
  <c r="K32" i="3"/>
  <c r="M32" i="3" s="1"/>
  <c r="N32" i="3" s="1"/>
  <c r="H31" i="5"/>
  <c r="N232" i="4"/>
  <c r="I31" i="5"/>
  <c r="P232" i="4"/>
  <c r="L32" i="3"/>
  <c r="G32" i="5"/>
  <c r="M57" i="4"/>
  <c r="M18" i="4"/>
  <c r="K33" i="3"/>
  <c r="M33" i="3" s="1"/>
  <c r="N33" i="3" s="1"/>
  <c r="H32" i="5"/>
  <c r="N57" i="4"/>
  <c r="N18" i="4"/>
  <c r="I32" i="5"/>
  <c r="P57" i="4"/>
  <c r="P18" i="4"/>
  <c r="L33" i="3"/>
  <c r="G33" i="5"/>
  <c r="M413" i="4"/>
  <c r="K34" i="3"/>
  <c r="M34" i="3" s="1"/>
  <c r="N34" i="3" s="1"/>
  <c r="H33" i="5"/>
  <c r="N413" i="4"/>
  <c r="I33" i="5"/>
  <c r="P413" i="4"/>
  <c r="L34" i="3"/>
  <c r="G34" i="5"/>
  <c r="M372" i="4"/>
  <c r="M371" i="4"/>
  <c r="M260" i="4"/>
  <c r="M118" i="4"/>
  <c r="K35" i="3"/>
  <c r="M35" i="3" s="1"/>
  <c r="N35" i="3" s="1"/>
  <c r="H34" i="5"/>
  <c r="N372" i="4"/>
  <c r="N371" i="4"/>
  <c r="N260" i="4"/>
  <c r="N118" i="4"/>
  <c r="I34" i="5"/>
  <c r="P372" i="4"/>
  <c r="P371" i="4"/>
  <c r="P260" i="4"/>
  <c r="P118" i="4"/>
  <c r="L35" i="3"/>
  <c r="G35" i="5"/>
  <c r="M117" i="4"/>
  <c r="K36" i="3"/>
  <c r="M36" i="3" s="1"/>
  <c r="N36" i="3" s="1"/>
  <c r="H35" i="5"/>
  <c r="N117" i="4"/>
  <c r="I35" i="5"/>
  <c r="P117" i="4"/>
  <c r="L36" i="3"/>
  <c r="G36" i="5"/>
  <c r="M213" i="4"/>
  <c r="M54" i="4"/>
  <c r="K37" i="3"/>
  <c r="M37" i="3" s="1"/>
  <c r="N37" i="3" s="1"/>
  <c r="H36" i="5"/>
  <c r="N213" i="4"/>
  <c r="N54" i="4"/>
  <c r="I36" i="5"/>
  <c r="P213" i="4"/>
  <c r="P54" i="4"/>
  <c r="L37" i="3"/>
  <c r="G37" i="5"/>
  <c r="M359" i="4"/>
  <c r="K38" i="3"/>
  <c r="M38" i="3" s="1"/>
  <c r="N38" i="3" s="1"/>
  <c r="H37" i="5"/>
  <c r="N359" i="4"/>
  <c r="I37" i="5"/>
  <c r="P359" i="4"/>
  <c r="L38" i="3"/>
  <c r="G38" i="5"/>
  <c r="M365" i="4"/>
  <c r="M362" i="4"/>
  <c r="K39" i="3"/>
  <c r="M39" i="3" s="1"/>
  <c r="N39" i="3" s="1"/>
  <c r="H38" i="5"/>
  <c r="N365" i="4"/>
  <c r="N362" i="4"/>
  <c r="I38" i="5"/>
  <c r="P365" i="4"/>
  <c r="P362" i="4"/>
  <c r="L39" i="3"/>
  <c r="G39" i="5"/>
  <c r="M366" i="4"/>
  <c r="M325" i="4"/>
  <c r="K40" i="3"/>
  <c r="M40" i="3" s="1"/>
  <c r="N40" i="3" s="1"/>
  <c r="H39" i="5"/>
  <c r="N366" i="4"/>
  <c r="N325" i="4"/>
  <c r="I39" i="5"/>
  <c r="P366" i="4"/>
  <c r="P325" i="4"/>
  <c r="L40" i="3"/>
  <c r="G40" i="5"/>
  <c r="M402" i="4"/>
  <c r="M401" i="4"/>
  <c r="M387" i="4"/>
  <c r="M386" i="4"/>
  <c r="M376" i="4"/>
  <c r="M375" i="4"/>
  <c r="M374" i="4"/>
  <c r="M370" i="4"/>
  <c r="M369" i="4"/>
  <c r="M358" i="4"/>
  <c r="M356" i="4"/>
  <c r="M355" i="4"/>
  <c r="M354" i="4"/>
  <c r="M353" i="4"/>
  <c r="M331" i="4"/>
  <c r="M330" i="4"/>
  <c r="M320" i="4"/>
  <c r="M309" i="4"/>
  <c r="M307" i="4"/>
  <c r="M306" i="4"/>
  <c r="M301" i="4"/>
  <c r="M299" i="4"/>
  <c r="M289" i="4"/>
  <c r="M286" i="4"/>
  <c r="M283" i="4"/>
  <c r="M276" i="4"/>
  <c r="M269" i="4"/>
  <c r="M266" i="4"/>
  <c r="M261" i="4"/>
  <c r="M252" i="4"/>
  <c r="M250" i="4"/>
  <c r="M243" i="4"/>
  <c r="M236" i="4"/>
  <c r="M235" i="4"/>
  <c r="M219" i="4"/>
  <c r="M218" i="4"/>
  <c r="M214" i="4"/>
  <c r="M211" i="4"/>
  <c r="M199" i="4"/>
  <c r="M197" i="4"/>
  <c r="M196" i="4"/>
  <c r="M177" i="4"/>
  <c r="M168" i="4"/>
  <c r="M167" i="4"/>
  <c r="M161" i="4"/>
  <c r="M160" i="4"/>
  <c r="M159" i="4"/>
  <c r="M156" i="4"/>
  <c r="M147" i="4"/>
  <c r="M146" i="4"/>
  <c r="M140" i="4"/>
  <c r="M139" i="4"/>
  <c r="M131" i="4"/>
  <c r="M122" i="4"/>
  <c r="M116" i="4"/>
  <c r="M104" i="4"/>
  <c r="M101" i="4"/>
  <c r="M100" i="4"/>
  <c r="M93" i="4"/>
  <c r="M92" i="4"/>
  <c r="M84" i="4"/>
  <c r="M83" i="4"/>
  <c r="M69" i="4"/>
  <c r="M64" i="4"/>
  <c r="M63" i="4"/>
  <c r="M53" i="4"/>
  <c r="M43" i="4"/>
  <c r="M42" i="4"/>
  <c r="M36" i="4"/>
  <c r="M34" i="4"/>
  <c r="M17" i="4"/>
  <c r="M16" i="4"/>
  <c r="M15" i="4"/>
  <c r="K41" i="3"/>
  <c r="M41" i="3" s="1"/>
  <c r="N41" i="3" s="1"/>
  <c r="H40" i="5"/>
  <c r="N402" i="4"/>
  <c r="N401" i="4"/>
  <c r="N387" i="4"/>
  <c r="N386" i="4"/>
  <c r="N376" i="4"/>
  <c r="N375" i="4"/>
  <c r="N374" i="4"/>
  <c r="N370" i="4"/>
  <c r="N369" i="4"/>
  <c r="N358" i="4"/>
  <c r="N356" i="4"/>
  <c r="N355" i="4"/>
  <c r="N354" i="4"/>
  <c r="N353" i="4"/>
  <c r="N331" i="4"/>
  <c r="N330" i="4"/>
  <c r="N320" i="4"/>
  <c r="N309" i="4"/>
  <c r="N307" i="4"/>
  <c r="N306" i="4"/>
  <c r="N301" i="4"/>
  <c r="N299" i="4"/>
  <c r="N289" i="4"/>
  <c r="N286" i="4"/>
  <c r="N283" i="4"/>
  <c r="N276" i="4"/>
  <c r="N269" i="4"/>
  <c r="N266" i="4"/>
  <c r="N261" i="4"/>
  <c r="N252" i="4"/>
  <c r="N250" i="4"/>
  <c r="N243" i="4"/>
  <c r="N236" i="4"/>
  <c r="N235" i="4"/>
  <c r="N219" i="4"/>
  <c r="N218" i="4"/>
  <c r="N214" i="4"/>
  <c r="N211" i="4"/>
  <c r="N199" i="4"/>
  <c r="N197" i="4"/>
  <c r="N196" i="4"/>
  <c r="N177" i="4"/>
  <c r="N168" i="4"/>
  <c r="N167" i="4"/>
  <c r="N161" i="4"/>
  <c r="N160" i="4"/>
  <c r="N159" i="4"/>
  <c r="N156" i="4"/>
  <c r="N147" i="4"/>
  <c r="N146" i="4"/>
  <c r="N140" i="4"/>
  <c r="N139" i="4"/>
  <c r="N131" i="4"/>
  <c r="N122" i="4"/>
  <c r="N116" i="4"/>
  <c r="N104" i="4"/>
  <c r="N101" i="4"/>
  <c r="N100" i="4"/>
  <c r="N93" i="4"/>
  <c r="N92" i="4"/>
  <c r="N84" i="4"/>
  <c r="N83" i="4"/>
  <c r="N69" i="4"/>
  <c r="N64" i="4"/>
  <c r="N63" i="4"/>
  <c r="N53" i="4"/>
  <c r="N43" i="4"/>
  <c r="N42" i="4"/>
  <c r="N36" i="4"/>
  <c r="N34" i="4"/>
  <c r="N17" i="4"/>
  <c r="N16" i="4"/>
  <c r="N15" i="4"/>
  <c r="I40" i="5"/>
  <c r="P402" i="4"/>
  <c r="P401" i="4"/>
  <c r="P387" i="4"/>
  <c r="P386" i="4"/>
  <c r="P376" i="4"/>
  <c r="P375" i="4"/>
  <c r="P374" i="4"/>
  <c r="P370" i="4"/>
  <c r="P369" i="4"/>
  <c r="P358" i="4"/>
  <c r="P356" i="4"/>
  <c r="P355" i="4"/>
  <c r="P354" i="4"/>
  <c r="P353" i="4"/>
  <c r="P331" i="4"/>
  <c r="P330" i="4"/>
  <c r="P320" i="4"/>
  <c r="P309" i="4"/>
  <c r="P307" i="4"/>
  <c r="P306" i="4"/>
  <c r="P301" i="4"/>
  <c r="P299" i="4"/>
  <c r="P289" i="4"/>
  <c r="P286" i="4"/>
  <c r="P283" i="4"/>
  <c r="P276" i="4"/>
  <c r="P269" i="4"/>
  <c r="P266" i="4"/>
  <c r="P261" i="4"/>
  <c r="P252" i="4"/>
  <c r="P250" i="4"/>
  <c r="P243" i="4"/>
  <c r="P236" i="4"/>
  <c r="P235" i="4"/>
  <c r="P219" i="4"/>
  <c r="P218" i="4"/>
  <c r="P214" i="4"/>
  <c r="P211" i="4"/>
  <c r="P199" i="4"/>
  <c r="P197" i="4"/>
  <c r="P196" i="4"/>
  <c r="P177" i="4"/>
  <c r="P168" i="4"/>
  <c r="P167" i="4"/>
  <c r="P161" i="4"/>
  <c r="P160" i="4"/>
  <c r="P159" i="4"/>
  <c r="P156" i="4"/>
  <c r="P147" i="4"/>
  <c r="P146" i="4"/>
  <c r="P140" i="4"/>
  <c r="P139" i="4"/>
  <c r="P131" i="4"/>
  <c r="P122" i="4"/>
  <c r="P116" i="4"/>
  <c r="P104" i="4"/>
  <c r="P101" i="4"/>
  <c r="P100" i="4"/>
  <c r="P93" i="4"/>
  <c r="P92" i="4"/>
  <c r="P84" i="4"/>
  <c r="P83" i="4"/>
  <c r="P69" i="4"/>
  <c r="P64" i="4"/>
  <c r="P63" i="4"/>
  <c r="P53" i="4"/>
  <c r="P43" i="4"/>
  <c r="P42" i="4"/>
  <c r="P36" i="4"/>
  <c r="P34" i="4"/>
  <c r="P17" i="4"/>
  <c r="P16" i="4"/>
  <c r="P15" i="4"/>
  <c r="L41" i="3"/>
  <c r="G41" i="5"/>
  <c r="M128" i="4"/>
  <c r="K42" i="3"/>
  <c r="M42" i="3" s="1"/>
  <c r="N42" i="3" s="1"/>
  <c r="H41" i="5"/>
  <c r="N128" i="4"/>
  <c r="I41" i="5"/>
  <c r="P128" i="4"/>
  <c r="L42" i="3"/>
  <c r="G42" i="5"/>
  <c r="M412" i="4"/>
  <c r="K43" i="3"/>
  <c r="M43" i="3" s="1"/>
  <c r="N43" i="3" s="1"/>
  <c r="H42" i="5"/>
  <c r="N412" i="4"/>
  <c r="I42" i="5"/>
  <c r="P412" i="4"/>
  <c r="L43" i="3"/>
  <c r="G43" i="5"/>
  <c r="M241" i="4"/>
  <c r="K44" i="3"/>
  <c r="M44" i="3" s="1"/>
  <c r="N44" i="3" s="1"/>
  <c r="H43" i="5"/>
  <c r="N241" i="4"/>
  <c r="I43" i="5"/>
  <c r="P241" i="4"/>
  <c r="L44" i="3"/>
  <c r="G44" i="5"/>
  <c r="M400" i="4"/>
  <c r="M397" i="4"/>
  <c r="M368" i="4"/>
  <c r="M367" i="4"/>
  <c r="M357" i="4"/>
  <c r="M352" i="4"/>
  <c r="M328" i="4"/>
  <c r="M326" i="4"/>
  <c r="M321" i="4"/>
  <c r="M312" i="4"/>
  <c r="M304" i="4"/>
  <c r="M303" i="4"/>
  <c r="M300" i="4"/>
  <c r="M292" i="4"/>
  <c r="M277" i="4"/>
  <c r="M273" i="4"/>
  <c r="M271" i="4"/>
  <c r="M206" i="4"/>
  <c r="M205" i="4"/>
  <c r="M202" i="4"/>
  <c r="M194" i="4"/>
  <c r="M191" i="4"/>
  <c r="M176" i="4"/>
  <c r="M169" i="4"/>
  <c r="M162" i="4"/>
  <c r="M149" i="4"/>
  <c r="M141" i="4"/>
  <c r="M125" i="4"/>
  <c r="M119" i="4"/>
  <c r="M87" i="4"/>
  <c r="M85" i="4"/>
  <c r="M72" i="4"/>
  <c r="M58" i="4"/>
  <c r="M20" i="4"/>
  <c r="M19" i="4"/>
  <c r="K45" i="3"/>
  <c r="M45" i="3" s="1"/>
  <c r="N45" i="3" s="1"/>
  <c r="H44" i="5"/>
  <c r="N400" i="4"/>
  <c r="N397" i="4"/>
  <c r="N368" i="4"/>
  <c r="N367" i="4"/>
  <c r="N357" i="4"/>
  <c r="N352" i="4"/>
  <c r="N328" i="4"/>
  <c r="N326" i="4"/>
  <c r="N321" i="4"/>
  <c r="N312" i="4"/>
  <c r="N304" i="4"/>
  <c r="N303" i="4"/>
  <c r="N300" i="4"/>
  <c r="N292" i="4"/>
  <c r="N277" i="4"/>
  <c r="N273" i="4"/>
  <c r="N271" i="4"/>
  <c r="N206" i="4"/>
  <c r="N205" i="4"/>
  <c r="N202" i="4"/>
  <c r="N194" i="4"/>
  <c r="N191" i="4"/>
  <c r="N176" i="4"/>
  <c r="N169" i="4"/>
  <c r="N162" i="4"/>
  <c r="N149" i="4"/>
  <c r="N141" i="4"/>
  <c r="N125" i="4"/>
  <c r="N119" i="4"/>
  <c r="N87" i="4"/>
  <c r="N85" i="4"/>
  <c r="N72" i="4"/>
  <c r="N58" i="4"/>
  <c r="N20" i="4"/>
  <c r="N19" i="4"/>
  <c r="I44" i="5"/>
  <c r="P400" i="4"/>
  <c r="P397" i="4"/>
  <c r="P368" i="4"/>
  <c r="P367" i="4"/>
  <c r="P357" i="4"/>
  <c r="P352" i="4"/>
  <c r="P328" i="4"/>
  <c r="P326" i="4"/>
  <c r="P321" i="4"/>
  <c r="P312" i="4"/>
  <c r="P304" i="4"/>
  <c r="P303" i="4"/>
  <c r="P300" i="4"/>
  <c r="P292" i="4"/>
  <c r="P277" i="4"/>
  <c r="P273" i="4"/>
  <c r="P271" i="4"/>
  <c r="P206" i="4"/>
  <c r="P205" i="4"/>
  <c r="P202" i="4"/>
  <c r="P194" i="4"/>
  <c r="P191" i="4"/>
  <c r="P176" i="4"/>
  <c r="P169" i="4"/>
  <c r="P162" i="4"/>
  <c r="P149" i="4"/>
  <c r="P141" i="4"/>
  <c r="P125" i="4"/>
  <c r="P119" i="4"/>
  <c r="P87" i="4"/>
  <c r="P85" i="4"/>
  <c r="P72" i="4"/>
  <c r="P58" i="4"/>
  <c r="P20" i="4"/>
  <c r="P19" i="4"/>
  <c r="L45" i="3"/>
  <c r="G45" i="5"/>
  <c r="M361" i="4"/>
  <c r="K46" i="3"/>
  <c r="M46" i="3" s="1"/>
  <c r="N46" i="3" s="1"/>
  <c r="H45" i="5"/>
  <c r="N361" i="4"/>
  <c r="I45" i="5"/>
  <c r="P361" i="4"/>
  <c r="L46" i="3"/>
  <c r="G46" i="5"/>
  <c r="M415" i="4"/>
  <c r="K47" i="3"/>
  <c r="M47" i="3" s="1"/>
  <c r="N47" i="3" s="1"/>
  <c r="H46" i="5"/>
  <c r="N415" i="4"/>
  <c r="I46" i="5"/>
  <c r="P415" i="4"/>
  <c r="L47" i="3"/>
  <c r="G47" i="5"/>
  <c r="M153" i="4"/>
  <c r="M108" i="4"/>
  <c r="M98" i="4"/>
  <c r="K48" i="3"/>
  <c r="M48" i="3" s="1"/>
  <c r="N48" i="3" s="1"/>
  <c r="H47" i="5"/>
  <c r="N153" i="4"/>
  <c r="N108" i="4"/>
  <c r="N98" i="4"/>
  <c r="I47" i="5"/>
  <c r="P153" i="4"/>
  <c r="P108" i="4"/>
  <c r="P98" i="4"/>
  <c r="L48" i="3"/>
  <c r="G48" i="5"/>
  <c r="M384" i="4"/>
  <c r="M348" i="4"/>
  <c r="M338" i="4"/>
  <c r="M327" i="4"/>
  <c r="M313" i="4"/>
  <c r="M297" i="4"/>
  <c r="M193" i="4"/>
  <c r="M192" i="4"/>
  <c r="M183" i="4"/>
  <c r="M182" i="4"/>
  <c r="M49" i="4"/>
  <c r="K49" i="3"/>
  <c r="M49" i="3" s="1"/>
  <c r="N49" i="3" s="1"/>
  <c r="H48" i="5"/>
  <c r="N384" i="4"/>
  <c r="N348" i="4"/>
  <c r="N338" i="4"/>
  <c r="N327" i="4"/>
  <c r="N313" i="4"/>
  <c r="N297" i="4"/>
  <c r="N193" i="4"/>
  <c r="N192" i="4"/>
  <c r="N183" i="4"/>
  <c r="N182" i="4"/>
  <c r="N49" i="4"/>
  <c r="I48" i="5"/>
  <c r="P384" i="4"/>
  <c r="P348" i="4"/>
  <c r="P338" i="4"/>
  <c r="P327" i="4"/>
  <c r="P313" i="4"/>
  <c r="P297" i="4"/>
  <c r="P193" i="4"/>
  <c r="P192" i="4"/>
  <c r="P183" i="4"/>
  <c r="P182" i="4"/>
  <c r="P49" i="4"/>
  <c r="L49" i="3"/>
  <c r="G49" i="5"/>
  <c r="M347" i="4"/>
  <c r="M323" i="4"/>
  <c r="M272" i="4"/>
  <c r="M259" i="4"/>
  <c r="M229" i="4"/>
  <c r="M225" i="4"/>
  <c r="M224" i="4"/>
  <c r="M175" i="4"/>
  <c r="M163" i="4"/>
  <c r="M148" i="4"/>
  <c r="M138" i="4"/>
  <c r="M107" i="4"/>
  <c r="M97" i="4"/>
  <c r="M86" i="4"/>
  <c r="M67" i="4"/>
  <c r="M61" i="4"/>
  <c r="M5" i="4"/>
  <c r="K50" i="3"/>
  <c r="M50" i="3" s="1"/>
  <c r="N50" i="3" s="1"/>
  <c r="H49" i="5"/>
  <c r="N347" i="4"/>
  <c r="N323" i="4"/>
  <c r="N272" i="4"/>
  <c r="N259" i="4"/>
  <c r="N229" i="4"/>
  <c r="N225" i="4"/>
  <c r="N224" i="4"/>
  <c r="N175" i="4"/>
  <c r="N163" i="4"/>
  <c r="N148" i="4"/>
  <c r="N138" i="4"/>
  <c r="N107" i="4"/>
  <c r="N97" i="4"/>
  <c r="N86" i="4"/>
  <c r="N67" i="4"/>
  <c r="N61" i="4"/>
  <c r="N5" i="4"/>
  <c r="I49" i="5"/>
  <c r="P347" i="4"/>
  <c r="P323" i="4"/>
  <c r="P272" i="4"/>
  <c r="P259" i="4"/>
  <c r="P229" i="4"/>
  <c r="P225" i="4"/>
  <c r="P224" i="4"/>
  <c r="P175" i="4"/>
  <c r="P163" i="4"/>
  <c r="P148" i="4"/>
  <c r="P138" i="4"/>
  <c r="P107" i="4"/>
  <c r="P97" i="4"/>
  <c r="P86" i="4"/>
  <c r="P67" i="4"/>
  <c r="P61" i="4"/>
  <c r="P5" i="4"/>
  <c r="L50" i="3"/>
  <c r="G50" i="5"/>
  <c r="M407" i="4"/>
  <c r="K51" i="3"/>
  <c r="M51" i="3" s="1"/>
  <c r="N51" i="3" s="1"/>
  <c r="H50" i="5"/>
  <c r="N407" i="4"/>
  <c r="I50" i="5"/>
  <c r="P407" i="4"/>
  <c r="L51" i="3"/>
  <c r="G51" i="5"/>
  <c r="M336" i="4"/>
  <c r="M315" i="4"/>
  <c r="M228" i="4"/>
  <c r="M227" i="4"/>
  <c r="M198" i="4"/>
  <c r="K52" i="3"/>
  <c r="M52" i="3" s="1"/>
  <c r="N52" i="3" s="1"/>
  <c r="H51" i="5"/>
  <c r="N336" i="4"/>
  <c r="N315" i="4"/>
  <c r="N228" i="4"/>
  <c r="N227" i="4"/>
  <c r="N198" i="4"/>
  <c r="I51" i="5"/>
  <c r="P336" i="4"/>
  <c r="P315" i="4"/>
  <c r="P228" i="4"/>
  <c r="P227" i="4"/>
  <c r="P198" i="4"/>
  <c r="L52" i="3"/>
  <c r="G52" i="5"/>
  <c r="M392" i="4"/>
  <c r="M251" i="4"/>
  <c r="K53" i="3"/>
  <c r="M53" i="3" s="1"/>
  <c r="N53" i="3" s="1"/>
  <c r="H52" i="5"/>
  <c r="N392" i="4"/>
  <c r="N251" i="4"/>
  <c r="I52" i="5"/>
  <c r="P392" i="4"/>
  <c r="P251" i="4"/>
  <c r="L53" i="3"/>
  <c r="G53" i="5"/>
  <c r="M270" i="4"/>
  <c r="M244" i="4"/>
  <c r="M52" i="4"/>
  <c r="K54" i="3"/>
  <c r="M54" i="3" s="1"/>
  <c r="N54" i="3" s="1"/>
  <c r="H53" i="5"/>
  <c r="N270" i="4"/>
  <c r="N244" i="4"/>
  <c r="N52" i="4"/>
  <c r="I53" i="5"/>
  <c r="P270" i="4"/>
  <c r="P244" i="4"/>
  <c r="P52" i="4"/>
  <c r="L54" i="3"/>
  <c r="G54" i="5"/>
  <c r="M305" i="4"/>
  <c r="K55" i="3"/>
  <c r="M55" i="3" s="1"/>
  <c r="N55" i="3" s="1"/>
  <c r="H54" i="5"/>
  <c r="N305" i="4"/>
  <c r="I54" i="5"/>
  <c r="P305" i="4"/>
  <c r="L55" i="3"/>
  <c r="G55" i="5"/>
  <c r="M393" i="4"/>
  <c r="M385" i="4"/>
  <c r="M291" i="4"/>
  <c r="M281" i="4"/>
  <c r="M254" i="4"/>
  <c r="M249" i="4"/>
  <c r="M230" i="4"/>
  <c r="M226" i="4"/>
  <c r="M62" i="4"/>
  <c r="M23" i="4"/>
  <c r="M21" i="4"/>
  <c r="M13" i="4"/>
  <c r="K56" i="3"/>
  <c r="M56" i="3" s="1"/>
  <c r="N56" i="3" s="1"/>
  <c r="H55" i="5"/>
  <c r="N393" i="4"/>
  <c r="N385" i="4"/>
  <c r="N291" i="4"/>
  <c r="N281" i="4"/>
  <c r="N254" i="4"/>
  <c r="N249" i="4"/>
  <c r="N230" i="4"/>
  <c r="N226" i="4"/>
  <c r="N62" i="4"/>
  <c r="N23" i="4"/>
  <c r="N21" i="4"/>
  <c r="N13" i="4"/>
  <c r="I55" i="5"/>
  <c r="P393" i="4"/>
  <c r="P385" i="4"/>
  <c r="P291" i="4"/>
  <c r="P281" i="4"/>
  <c r="P254" i="4"/>
  <c r="P249" i="4"/>
  <c r="P230" i="4"/>
  <c r="P226" i="4"/>
  <c r="P62" i="4"/>
  <c r="P23" i="4"/>
  <c r="P21" i="4"/>
  <c r="P13" i="4"/>
  <c r="L56" i="3"/>
  <c r="G56" i="5"/>
  <c r="M221" i="4"/>
  <c r="K57" i="3"/>
  <c r="M57" i="3" s="1"/>
  <c r="N57" i="3" s="1"/>
  <c r="H56" i="5"/>
  <c r="N221" i="4"/>
  <c r="I56" i="5"/>
  <c r="P221" i="4"/>
  <c r="L57" i="3"/>
  <c r="G57" i="5"/>
  <c r="M322" i="4"/>
  <c r="M29" i="4"/>
  <c r="M26" i="4"/>
  <c r="M10" i="4"/>
  <c r="M7" i="4"/>
  <c r="K58" i="3"/>
  <c r="M58" i="3" s="1"/>
  <c r="N58" i="3" s="1"/>
  <c r="H57" i="5"/>
  <c r="N322" i="4"/>
  <c r="N29" i="4"/>
  <c r="N26" i="4"/>
  <c r="N10" i="4"/>
  <c r="N7" i="4"/>
  <c r="I57" i="5"/>
  <c r="P322" i="4"/>
  <c r="P29" i="4"/>
  <c r="P26" i="4"/>
  <c r="P10" i="4"/>
  <c r="P7" i="4"/>
  <c r="L58" i="3"/>
  <c r="M59" i="3"/>
  <c r="N59" i="3" s="1"/>
  <c r="L59" i="3"/>
  <c r="Q262" i="4"/>
  <c r="S262" i="4"/>
  <c r="Q264" i="4"/>
  <c r="S264" i="4"/>
  <c r="Q295" i="4"/>
  <c r="S295" i="4"/>
  <c r="S316" i="4" s="1"/>
  <c r="Q380" i="4"/>
  <c r="S380" i="4"/>
  <c r="Q382" i="4"/>
  <c r="S382" i="4"/>
  <c r="H4" i="8"/>
  <c r="H15" i="8" s="1"/>
  <c r="H96" i="7"/>
  <c r="H99" i="7" s="1"/>
  <c r="D5" i="15" s="1"/>
  <c r="D10" i="15" s="1"/>
  <c r="I4" i="8"/>
  <c r="I15" i="8" s="1"/>
  <c r="J96" i="7"/>
  <c r="J99" i="7" s="1"/>
  <c r="K6" i="10"/>
  <c r="K7" i="10" s="1"/>
  <c r="K10" i="10"/>
  <c r="K11" i="10" s="1"/>
  <c r="K14" i="10"/>
  <c r="K15" i="10" s="1"/>
  <c r="K18" i="10"/>
  <c r="K19" i="10" s="1"/>
  <c r="K22" i="10"/>
  <c r="K23" i="10" s="1"/>
  <c r="K26" i="10"/>
  <c r="K27" i="10" s="1"/>
  <c r="K30" i="10"/>
  <c r="K31" i="10" s="1"/>
  <c r="K34" i="10"/>
  <c r="K35" i="10" s="1"/>
  <c r="K38" i="10"/>
  <c r="K39" i="10" s="1"/>
  <c r="E5" i="15" l="1"/>
  <c r="F5" i="15" s="1"/>
  <c r="J101" i="7"/>
  <c r="T382" i="4"/>
  <c r="U382" i="4" s="1"/>
  <c r="R382" i="4"/>
  <c r="T380" i="4"/>
  <c r="U380" i="4" s="1"/>
  <c r="R380" i="4"/>
  <c r="Q316" i="4"/>
  <c r="T295" i="4"/>
  <c r="R295" i="4"/>
  <c r="R316" i="4" s="1"/>
  <c r="T264" i="4"/>
  <c r="U264" i="4" s="1"/>
  <c r="R264" i="4"/>
  <c r="T262" i="4"/>
  <c r="U262" i="4" s="1"/>
  <c r="R262" i="4"/>
  <c r="Q7" i="4"/>
  <c r="Q10" i="4"/>
  <c r="Q26" i="4"/>
  <c r="Q29" i="4"/>
  <c r="Q322" i="4"/>
  <c r="Q221" i="4"/>
  <c r="Q13" i="4"/>
  <c r="Q21" i="4"/>
  <c r="Q23" i="4"/>
  <c r="Q62" i="4"/>
  <c r="Q226" i="4"/>
  <c r="Q230" i="4"/>
  <c r="Q249" i="4"/>
  <c r="Q254" i="4"/>
  <c r="Q281" i="4"/>
  <c r="Q291" i="4"/>
  <c r="Q385" i="4"/>
  <c r="Q393" i="4"/>
  <c r="Q305" i="4"/>
  <c r="Q52" i="4"/>
  <c r="Q244" i="4"/>
  <c r="Q270" i="4"/>
  <c r="Q251" i="4"/>
  <c r="Q392" i="4"/>
  <c r="Q198" i="4"/>
  <c r="Q227" i="4"/>
  <c r="Q228" i="4"/>
  <c r="Q315" i="4"/>
  <c r="Q336" i="4"/>
  <c r="Q407" i="4"/>
  <c r="Q5" i="4"/>
  <c r="Q61" i="4"/>
  <c r="Q67" i="4"/>
  <c r="Q86" i="4"/>
  <c r="Q97" i="4"/>
  <c r="Q107" i="4"/>
  <c r="Q138" i="4"/>
  <c r="Q148" i="4"/>
  <c r="Q163" i="4"/>
  <c r="Q175" i="4"/>
  <c r="Q224" i="4"/>
  <c r="Q225" i="4"/>
  <c r="Q229" i="4"/>
  <c r="Q259" i="4"/>
  <c r="Q272" i="4"/>
  <c r="Q323" i="4"/>
  <c r="Q347" i="4"/>
  <c r="Q49" i="4"/>
  <c r="Q182" i="4"/>
  <c r="Q183" i="4"/>
  <c r="Q192" i="4"/>
  <c r="Q193" i="4"/>
  <c r="Q297" i="4"/>
  <c r="Q313" i="4"/>
  <c r="Q327" i="4"/>
  <c r="Q338" i="4"/>
  <c r="Q348" i="4"/>
  <c r="Q384" i="4"/>
  <c r="Q98" i="4"/>
  <c r="Q108" i="4"/>
  <c r="Q153" i="4"/>
  <c r="Q415" i="4"/>
  <c r="Q361" i="4"/>
  <c r="Q19" i="4"/>
  <c r="Q20" i="4"/>
  <c r="Q58" i="4"/>
  <c r="Q72" i="4"/>
  <c r="Q85" i="4"/>
  <c r="Q87" i="4"/>
  <c r="Q119" i="4"/>
  <c r="Q125" i="4"/>
  <c r="Q141" i="4"/>
  <c r="Q149" i="4"/>
  <c r="Q162" i="4"/>
  <c r="Q169" i="4"/>
  <c r="Q176" i="4"/>
  <c r="Q191" i="4"/>
  <c r="Q194" i="4"/>
  <c r="Q202" i="4"/>
  <c r="Q205" i="4"/>
  <c r="Q206" i="4"/>
  <c r="Q271" i="4"/>
  <c r="Q273" i="4"/>
  <c r="Q277" i="4"/>
  <c r="Q292" i="4"/>
  <c r="Q300" i="4"/>
  <c r="Q303" i="4"/>
  <c r="Q304" i="4"/>
  <c r="Q312" i="4"/>
  <c r="Q321" i="4"/>
  <c r="Q326" i="4"/>
  <c r="Q328" i="4"/>
  <c r="Q352" i="4"/>
  <c r="Q357" i="4"/>
  <c r="Q367" i="4"/>
  <c r="Q368" i="4"/>
  <c r="Q397" i="4"/>
  <c r="Q400" i="4"/>
  <c r="Q241" i="4"/>
  <c r="Q412" i="4"/>
  <c r="Q128" i="4"/>
  <c r="Q15" i="4"/>
  <c r="Q16" i="4"/>
  <c r="Q17" i="4"/>
  <c r="Q34" i="4"/>
  <c r="Q36" i="4"/>
  <c r="Q42" i="4"/>
  <c r="Q43" i="4"/>
  <c r="Q53" i="4"/>
  <c r="Q63" i="4"/>
  <c r="Q64" i="4"/>
  <c r="Q69" i="4"/>
  <c r="Q83" i="4"/>
  <c r="Q84" i="4"/>
  <c r="Q92" i="4"/>
  <c r="Q93" i="4"/>
  <c r="Q100" i="4"/>
  <c r="Q101" i="4"/>
  <c r="Q104" i="4"/>
  <c r="Q116" i="4"/>
  <c r="Q122" i="4"/>
  <c r="Q131" i="4"/>
  <c r="Q139" i="4"/>
  <c r="Q140" i="4"/>
  <c r="Q146" i="4"/>
  <c r="Q147" i="4"/>
  <c r="Q156" i="4"/>
  <c r="Q159" i="4"/>
  <c r="Q160" i="4"/>
  <c r="Q161" i="4"/>
  <c r="Q167" i="4"/>
  <c r="Q168" i="4"/>
  <c r="Q177" i="4"/>
  <c r="Q196" i="4"/>
  <c r="Q197" i="4"/>
  <c r="Q199" i="4"/>
  <c r="Q211" i="4"/>
  <c r="Q214" i="4"/>
  <c r="Q218" i="4"/>
  <c r="Q219" i="4"/>
  <c r="Q235" i="4"/>
  <c r="Q236" i="4"/>
  <c r="Q243" i="4"/>
  <c r="Q250" i="4"/>
  <c r="Q252" i="4"/>
  <c r="Q261" i="4"/>
  <c r="Q266" i="4"/>
  <c r="Q269" i="4"/>
  <c r="Q276" i="4"/>
  <c r="Q283" i="4"/>
  <c r="Q286" i="4"/>
  <c r="Q289" i="4"/>
  <c r="Q299" i="4"/>
  <c r="Q301" i="4"/>
  <c r="Q306" i="4"/>
  <c r="Q307" i="4"/>
  <c r="Q309" i="4"/>
  <c r="Q320" i="4"/>
  <c r="Q330" i="4"/>
  <c r="Q331" i="4"/>
  <c r="Q353" i="4"/>
  <c r="Q354" i="4"/>
  <c r="Q355" i="4"/>
  <c r="Q356" i="4"/>
  <c r="Q358" i="4"/>
  <c r="Q369" i="4"/>
  <c r="Q370" i="4"/>
  <c r="Q374" i="4"/>
  <c r="Q375" i="4"/>
  <c r="Q376" i="4"/>
  <c r="Q386" i="4"/>
  <c r="Q387" i="4"/>
  <c r="Q401" i="4"/>
  <c r="Q402" i="4"/>
  <c r="Q325" i="4"/>
  <c r="Q366" i="4"/>
  <c r="Q362" i="4"/>
  <c r="Q365" i="4"/>
  <c r="Q359" i="4"/>
  <c r="Q54" i="4"/>
  <c r="Q213" i="4"/>
  <c r="Q117" i="4"/>
  <c r="Q118" i="4"/>
  <c r="Q260" i="4"/>
  <c r="Q371" i="4"/>
  <c r="Q372" i="4"/>
  <c r="Q413" i="4"/>
  <c r="Q18" i="4"/>
  <c r="Q57" i="4"/>
  <c r="Q232" i="4"/>
  <c r="Q66" i="4"/>
  <c r="Q48" i="4"/>
  <c r="Q204" i="4"/>
  <c r="Q335" i="4"/>
  <c r="Q334" i="4"/>
  <c r="Q239" i="4"/>
  <c r="Q112" i="4"/>
  <c r="Q114" i="4"/>
  <c r="Q123" i="4"/>
  <c r="Q126" i="4"/>
  <c r="Q129" i="4"/>
  <c r="Q132" i="4"/>
  <c r="Q170" i="4"/>
  <c r="Q172" i="4"/>
  <c r="Q184" i="4"/>
  <c r="Q185" i="4"/>
  <c r="Q186" i="4"/>
  <c r="Q187" i="4"/>
  <c r="Q190" i="4"/>
  <c r="Q203" i="4"/>
  <c r="Q102" i="4"/>
  <c r="Q105" i="4"/>
  <c r="Q6" i="4"/>
  <c r="Q9" i="4"/>
  <c r="Q25" i="4"/>
  <c r="Q28" i="4"/>
  <c r="Q33" i="4"/>
  <c r="Q35" i="4"/>
  <c r="Q37" i="4"/>
  <c r="Q55" i="4"/>
  <c r="Q68" i="4"/>
  <c r="Q76" i="4"/>
  <c r="Q77" i="4"/>
  <c r="Q81" i="4"/>
  <c r="Q82" i="4"/>
  <c r="Q88" i="4"/>
  <c r="Q89" i="4"/>
  <c r="Q90" i="4"/>
  <c r="Q94" i="4"/>
  <c r="Q113" i="4"/>
  <c r="Q115" i="4"/>
  <c r="Q124" i="4"/>
  <c r="Q127" i="4"/>
  <c r="Q130" i="4"/>
  <c r="Q133" i="4"/>
  <c r="Q142" i="4"/>
  <c r="Q143" i="4"/>
  <c r="Q144" i="4"/>
  <c r="Q150" i="4"/>
  <c r="Q151" i="4"/>
  <c r="Q152" i="4"/>
  <c r="Q248" i="4"/>
  <c r="Q253" i="4"/>
  <c r="Q255" i="4"/>
  <c r="Q256" i="4"/>
  <c r="Q267" i="4"/>
  <c r="Q268" i="4"/>
  <c r="Q282" i="4"/>
  <c r="Q284" i="4"/>
  <c r="Q285" i="4"/>
  <c r="Q287" i="4"/>
  <c r="Q288" i="4"/>
  <c r="Q290" i="4"/>
  <c r="Q332" i="4"/>
  <c r="Q333" i="4"/>
  <c r="Q349" i="4"/>
  <c r="Q350" i="4"/>
  <c r="Q351" i="4"/>
  <c r="Q379" i="4"/>
  <c r="Q389" i="4"/>
  <c r="Q390" i="4"/>
  <c r="Q391" i="4"/>
  <c r="Q394" i="4"/>
  <c r="Q395" i="4"/>
  <c r="Q396" i="4"/>
  <c r="Q8" i="4"/>
  <c r="Q11" i="4"/>
  <c r="Q27" i="4"/>
  <c r="Q30" i="4"/>
  <c r="Q398" i="4"/>
  <c r="Q403" i="4"/>
  <c r="Q12" i="4"/>
  <c r="Q14" i="4"/>
  <c r="Q22" i="4"/>
  <c r="Q24" i="4"/>
  <c r="Q50" i="4"/>
  <c r="Q65" i="4"/>
  <c r="Q70" i="4"/>
  <c r="Q71" i="4"/>
  <c r="Q103" i="4"/>
  <c r="Q106" i="4"/>
  <c r="Q164" i="4"/>
  <c r="Q165" i="4"/>
  <c r="Q166" i="4"/>
  <c r="Q207" i="4"/>
  <c r="Q208" i="4"/>
  <c r="Q238" i="4"/>
  <c r="Q240" i="4"/>
  <c r="Q263" i="4"/>
  <c r="Q265" i="4"/>
  <c r="Q296" i="4"/>
  <c r="Q298" i="4"/>
  <c r="Q308" i="4"/>
  <c r="Q310" i="4"/>
  <c r="Q311" i="4"/>
  <c r="Q318" i="4"/>
  <c r="Q319" i="4"/>
  <c r="Q381" i="4"/>
  <c r="Q383" i="4"/>
  <c r="Q212" i="4"/>
  <c r="Q51" i="4"/>
  <c r="Q56" i="4"/>
  <c r="Q41" i="4"/>
  <c r="Q80" i="4"/>
  <c r="Q157" i="4"/>
  <c r="Q201" i="4"/>
  <c r="Q220" i="4"/>
  <c r="Q242" i="4"/>
  <c r="Q275" i="4"/>
  <c r="Q340" i="4"/>
  <c r="Q200" i="4"/>
  <c r="Q134" i="4"/>
  <c r="Q280" i="4"/>
  <c r="Q31" i="4"/>
  <c r="Q79" i="4"/>
  <c r="Q135" i="4"/>
  <c r="Q245" i="4"/>
  <c r="Q110" i="4"/>
  <c r="Q215" i="4"/>
  <c r="Q46" i="4"/>
  <c r="Q111" i="4"/>
  <c r="Q158" i="4"/>
  <c r="Q216" i="4"/>
  <c r="Q217" i="4"/>
  <c r="Q373" i="4"/>
  <c r="Q74" i="4"/>
  <c r="Q44" i="4"/>
  <c r="Q73" i="4"/>
  <c r="Q109" i="4"/>
  <c r="Q145" i="4"/>
  <c r="Q234" i="4"/>
  <c r="Q274" i="4"/>
  <c r="Q364" i="4"/>
  <c r="Q45" i="4"/>
  <c r="Q324" i="4"/>
  <c r="Q363" i="4"/>
  <c r="Q78" i="4"/>
  <c r="Q99" i="4"/>
  <c r="Q120" i="4"/>
  <c r="Q121" i="4"/>
  <c r="Q154" i="4"/>
  <c r="Q155" i="4"/>
  <c r="Q173" i="4"/>
  <c r="Q174" i="4"/>
  <c r="Q178" i="4"/>
  <c r="Q179" i="4"/>
  <c r="Q195" i="4"/>
  <c r="Q210" i="4"/>
  <c r="Q278" i="4"/>
  <c r="Q279" i="4"/>
  <c r="Q329" i="4"/>
  <c r="Q337" i="4"/>
  <c r="Q341" i="4"/>
  <c r="Q342" i="4"/>
  <c r="Q343" i="4"/>
  <c r="Q344" i="4"/>
  <c r="Q345" i="4"/>
  <c r="Q346" i="4"/>
  <c r="Q360" i="4"/>
  <c r="Q378" i="4"/>
  <c r="Q75" i="4"/>
  <c r="Q188" i="4"/>
  <c r="Q189" i="4"/>
  <c r="Q171" i="4"/>
  <c r="Q377" i="4"/>
  <c r="Q408" i="4"/>
  <c r="Q409" i="4"/>
  <c r="Q410" i="4"/>
  <c r="Q411" i="4"/>
  <c r="Q414" i="4"/>
  <c r="Q32" i="4"/>
  <c r="Q38" i="4"/>
  <c r="Q39" i="4"/>
  <c r="Q40" i="4"/>
  <c r="Q47" i="4"/>
  <c r="Q91" i="4"/>
  <c r="Q209" i="4"/>
  <c r="Q231" i="4"/>
  <c r="Q233" i="4"/>
  <c r="Q237" i="4"/>
  <c r="Q246" i="4"/>
  <c r="Q247" i="4"/>
  <c r="Q314" i="4"/>
  <c r="Q339" i="4"/>
  <c r="Q388" i="4"/>
  <c r="Q399" i="4"/>
  <c r="Q404" i="4"/>
  <c r="L60" i="3"/>
  <c r="K60" i="3"/>
  <c r="M6" i="3"/>
  <c r="Q302" i="4"/>
  <c r="L6" i="10"/>
  <c r="L7" i="10" s="1"/>
  <c r="L10" i="10"/>
  <c r="L11" i="10" s="1"/>
  <c r="L14" i="10"/>
  <c r="L15" i="10" s="1"/>
  <c r="L18" i="10"/>
  <c r="L19" i="10" s="1"/>
  <c r="L22" i="10"/>
  <c r="L23" i="10" s="1"/>
  <c r="L26" i="10"/>
  <c r="L27" i="10" s="1"/>
  <c r="L30" i="10"/>
  <c r="L31" i="10" s="1"/>
  <c r="L34" i="10"/>
  <c r="L35" i="10" s="1"/>
  <c r="L38" i="10"/>
  <c r="L39" i="10" s="1"/>
  <c r="K16" i="13"/>
  <c r="K18" i="13" s="1"/>
  <c r="E8" i="15" s="1"/>
  <c r="F8" i="15" s="1"/>
  <c r="T302" i="4" l="1"/>
  <c r="U302" i="4" s="1"/>
  <c r="S302" i="4"/>
  <c r="R302" i="4"/>
  <c r="M60" i="3"/>
  <c r="N6" i="3"/>
  <c r="N60" i="3" s="1"/>
  <c r="N65" i="3" s="1"/>
  <c r="T404" i="4"/>
  <c r="U404" i="4" s="1"/>
  <c r="S404" i="4"/>
  <c r="R404" i="4"/>
  <c r="T399" i="4"/>
  <c r="U399" i="4" s="1"/>
  <c r="S399" i="4"/>
  <c r="R399" i="4"/>
  <c r="T388" i="4"/>
  <c r="U388" i="4" s="1"/>
  <c r="S388" i="4"/>
  <c r="R388" i="4"/>
  <c r="T339" i="4"/>
  <c r="U339" i="4" s="1"/>
  <c r="S339" i="4"/>
  <c r="R339" i="4"/>
  <c r="T314" i="4"/>
  <c r="U314" i="4" s="1"/>
  <c r="S314" i="4"/>
  <c r="R314" i="4"/>
  <c r="T247" i="4"/>
  <c r="U247" i="4" s="1"/>
  <c r="S247" i="4"/>
  <c r="R247" i="4"/>
  <c r="T246" i="4"/>
  <c r="U246" i="4" s="1"/>
  <c r="S246" i="4"/>
  <c r="R246" i="4"/>
  <c r="T237" i="4"/>
  <c r="U237" i="4" s="1"/>
  <c r="S237" i="4"/>
  <c r="R237" i="4"/>
  <c r="T233" i="4"/>
  <c r="U233" i="4" s="1"/>
  <c r="S233" i="4"/>
  <c r="R233" i="4"/>
  <c r="T231" i="4"/>
  <c r="U231" i="4" s="1"/>
  <c r="S231" i="4"/>
  <c r="R231" i="4"/>
  <c r="T209" i="4"/>
  <c r="U209" i="4" s="1"/>
  <c r="S209" i="4"/>
  <c r="R209" i="4"/>
  <c r="T91" i="4"/>
  <c r="U91" i="4" s="1"/>
  <c r="S91" i="4"/>
  <c r="R91" i="4"/>
  <c r="T47" i="4"/>
  <c r="U47" i="4" s="1"/>
  <c r="S47" i="4"/>
  <c r="R47" i="4"/>
  <c r="T40" i="4"/>
  <c r="U40" i="4" s="1"/>
  <c r="S40" i="4"/>
  <c r="R40" i="4"/>
  <c r="T39" i="4"/>
  <c r="U39" i="4" s="1"/>
  <c r="S39" i="4"/>
  <c r="R39" i="4"/>
  <c r="T38" i="4"/>
  <c r="U38" i="4" s="1"/>
  <c r="S38" i="4"/>
  <c r="R38" i="4"/>
  <c r="T32" i="4"/>
  <c r="U32" i="4" s="1"/>
  <c r="S32" i="4"/>
  <c r="R32" i="4"/>
  <c r="T414" i="4"/>
  <c r="U414" i="4" s="1"/>
  <c r="S414" i="4"/>
  <c r="R414" i="4"/>
  <c r="T411" i="4"/>
  <c r="U411" i="4" s="1"/>
  <c r="S411" i="4"/>
  <c r="R411" i="4"/>
  <c r="T410" i="4"/>
  <c r="U410" i="4" s="1"/>
  <c r="S410" i="4"/>
  <c r="R410" i="4"/>
  <c r="T409" i="4"/>
  <c r="U409" i="4" s="1"/>
  <c r="S409" i="4"/>
  <c r="R409" i="4"/>
  <c r="T408" i="4"/>
  <c r="U408" i="4" s="1"/>
  <c r="S408" i="4"/>
  <c r="R408" i="4"/>
  <c r="T377" i="4"/>
  <c r="U377" i="4" s="1"/>
  <c r="S377" i="4"/>
  <c r="R377" i="4"/>
  <c r="T171" i="4"/>
  <c r="U171" i="4" s="1"/>
  <c r="S171" i="4"/>
  <c r="R171" i="4"/>
  <c r="T189" i="4"/>
  <c r="U189" i="4" s="1"/>
  <c r="S189" i="4"/>
  <c r="R189" i="4"/>
  <c r="T188" i="4"/>
  <c r="U188" i="4" s="1"/>
  <c r="S188" i="4"/>
  <c r="R188" i="4"/>
  <c r="T75" i="4"/>
  <c r="U75" i="4" s="1"/>
  <c r="S75" i="4"/>
  <c r="R75" i="4"/>
  <c r="T378" i="4"/>
  <c r="U378" i="4" s="1"/>
  <c r="S378" i="4"/>
  <c r="R378" i="4"/>
  <c r="T360" i="4"/>
  <c r="U360" i="4" s="1"/>
  <c r="S360" i="4"/>
  <c r="R360" i="4"/>
  <c r="T346" i="4"/>
  <c r="U346" i="4" s="1"/>
  <c r="S346" i="4"/>
  <c r="R346" i="4"/>
  <c r="T345" i="4"/>
  <c r="U345" i="4" s="1"/>
  <c r="S345" i="4"/>
  <c r="R345" i="4"/>
  <c r="T344" i="4"/>
  <c r="U344" i="4" s="1"/>
  <c r="S344" i="4"/>
  <c r="R344" i="4"/>
  <c r="T343" i="4"/>
  <c r="U343" i="4" s="1"/>
  <c r="S343" i="4"/>
  <c r="R343" i="4"/>
  <c r="T342" i="4"/>
  <c r="U342" i="4" s="1"/>
  <c r="S342" i="4"/>
  <c r="R342" i="4"/>
  <c r="T341" i="4"/>
  <c r="U341" i="4" s="1"/>
  <c r="S341" i="4"/>
  <c r="R341" i="4"/>
  <c r="T337" i="4"/>
  <c r="U337" i="4" s="1"/>
  <c r="S337" i="4"/>
  <c r="R337" i="4"/>
  <c r="T329" i="4"/>
  <c r="U329" i="4" s="1"/>
  <c r="S329" i="4"/>
  <c r="R329" i="4"/>
  <c r="T279" i="4"/>
  <c r="U279" i="4" s="1"/>
  <c r="S279" i="4"/>
  <c r="R279" i="4"/>
  <c r="T278" i="4"/>
  <c r="U278" i="4" s="1"/>
  <c r="S278" i="4"/>
  <c r="R278" i="4"/>
  <c r="T210" i="4"/>
  <c r="U210" i="4" s="1"/>
  <c r="S210" i="4"/>
  <c r="R210" i="4"/>
  <c r="T195" i="4"/>
  <c r="U195" i="4" s="1"/>
  <c r="S195" i="4"/>
  <c r="R195" i="4"/>
  <c r="T179" i="4"/>
  <c r="U179" i="4" s="1"/>
  <c r="S179" i="4"/>
  <c r="R179" i="4"/>
  <c r="T178" i="4"/>
  <c r="U178" i="4" s="1"/>
  <c r="S178" i="4"/>
  <c r="R178" i="4"/>
  <c r="T174" i="4"/>
  <c r="U174" i="4" s="1"/>
  <c r="S174" i="4"/>
  <c r="R174" i="4"/>
  <c r="T173" i="4"/>
  <c r="U173" i="4" s="1"/>
  <c r="S173" i="4"/>
  <c r="R173" i="4"/>
  <c r="T155" i="4"/>
  <c r="U155" i="4" s="1"/>
  <c r="S155" i="4"/>
  <c r="R155" i="4"/>
  <c r="T154" i="4"/>
  <c r="U154" i="4" s="1"/>
  <c r="S154" i="4"/>
  <c r="R154" i="4"/>
  <c r="T121" i="4"/>
  <c r="U121" i="4" s="1"/>
  <c r="S121" i="4"/>
  <c r="R121" i="4"/>
  <c r="T120" i="4"/>
  <c r="U120" i="4" s="1"/>
  <c r="S120" i="4"/>
  <c r="R120" i="4"/>
  <c r="T99" i="4"/>
  <c r="U99" i="4" s="1"/>
  <c r="S99" i="4"/>
  <c r="R99" i="4"/>
  <c r="T78" i="4"/>
  <c r="U78" i="4" s="1"/>
  <c r="S78" i="4"/>
  <c r="R78" i="4"/>
  <c r="T363" i="4"/>
  <c r="U363" i="4" s="1"/>
  <c r="S363" i="4"/>
  <c r="R363" i="4"/>
  <c r="T324" i="4"/>
  <c r="U324" i="4" s="1"/>
  <c r="S324" i="4"/>
  <c r="R324" i="4"/>
  <c r="T45" i="4"/>
  <c r="U45" i="4" s="1"/>
  <c r="S45" i="4"/>
  <c r="R45" i="4"/>
  <c r="T364" i="4"/>
  <c r="U364" i="4" s="1"/>
  <c r="S364" i="4"/>
  <c r="R364" i="4"/>
  <c r="T274" i="4"/>
  <c r="U274" i="4" s="1"/>
  <c r="S274" i="4"/>
  <c r="R274" i="4"/>
  <c r="T234" i="4"/>
  <c r="U234" i="4" s="1"/>
  <c r="S234" i="4"/>
  <c r="R234" i="4"/>
  <c r="T145" i="4"/>
  <c r="U145" i="4" s="1"/>
  <c r="S145" i="4"/>
  <c r="R145" i="4"/>
  <c r="T109" i="4"/>
  <c r="U109" i="4" s="1"/>
  <c r="S109" i="4"/>
  <c r="R109" i="4"/>
  <c r="T73" i="4"/>
  <c r="U73" i="4" s="1"/>
  <c r="S73" i="4"/>
  <c r="R73" i="4"/>
  <c r="T44" i="4"/>
  <c r="U44" i="4" s="1"/>
  <c r="S44" i="4"/>
  <c r="R44" i="4"/>
  <c r="T74" i="4"/>
  <c r="U74" i="4" s="1"/>
  <c r="S74" i="4"/>
  <c r="R74" i="4"/>
  <c r="T373" i="4"/>
  <c r="U373" i="4" s="1"/>
  <c r="S373" i="4"/>
  <c r="R373" i="4"/>
  <c r="T217" i="4"/>
  <c r="U217" i="4" s="1"/>
  <c r="S217" i="4"/>
  <c r="R217" i="4"/>
  <c r="T216" i="4"/>
  <c r="U216" i="4" s="1"/>
  <c r="S216" i="4"/>
  <c r="R216" i="4"/>
  <c r="T158" i="4"/>
  <c r="U158" i="4" s="1"/>
  <c r="S158" i="4"/>
  <c r="R158" i="4"/>
  <c r="T111" i="4"/>
  <c r="U111" i="4" s="1"/>
  <c r="S111" i="4"/>
  <c r="R111" i="4"/>
  <c r="T46" i="4"/>
  <c r="U46" i="4" s="1"/>
  <c r="S46" i="4"/>
  <c r="R46" i="4"/>
  <c r="T215" i="4"/>
  <c r="U215" i="4" s="1"/>
  <c r="S215" i="4"/>
  <c r="R215" i="4"/>
  <c r="T110" i="4"/>
  <c r="U110" i="4" s="1"/>
  <c r="S110" i="4"/>
  <c r="R110" i="4"/>
  <c r="T245" i="4"/>
  <c r="U245" i="4" s="1"/>
  <c r="S245" i="4"/>
  <c r="R245" i="4"/>
  <c r="T135" i="4"/>
  <c r="U135" i="4" s="1"/>
  <c r="S135" i="4"/>
  <c r="R135" i="4"/>
  <c r="T79" i="4"/>
  <c r="U79" i="4" s="1"/>
  <c r="S79" i="4"/>
  <c r="R79" i="4"/>
  <c r="T31" i="4"/>
  <c r="U31" i="4" s="1"/>
  <c r="S31" i="4"/>
  <c r="R31" i="4"/>
  <c r="T280" i="4"/>
  <c r="U280" i="4" s="1"/>
  <c r="S280" i="4"/>
  <c r="R280" i="4"/>
  <c r="T134" i="4"/>
  <c r="U134" i="4" s="1"/>
  <c r="S134" i="4"/>
  <c r="R134" i="4"/>
  <c r="T200" i="4"/>
  <c r="U200" i="4" s="1"/>
  <c r="S200" i="4"/>
  <c r="R200" i="4"/>
  <c r="T340" i="4"/>
  <c r="U340" i="4" s="1"/>
  <c r="S340" i="4"/>
  <c r="R340" i="4"/>
  <c r="T275" i="4"/>
  <c r="U275" i="4" s="1"/>
  <c r="S275" i="4"/>
  <c r="R275" i="4"/>
  <c r="T242" i="4"/>
  <c r="U242" i="4" s="1"/>
  <c r="S242" i="4"/>
  <c r="R242" i="4"/>
  <c r="T220" i="4"/>
  <c r="U220" i="4" s="1"/>
  <c r="S220" i="4"/>
  <c r="R220" i="4"/>
  <c r="T201" i="4"/>
  <c r="U201" i="4" s="1"/>
  <c r="S201" i="4"/>
  <c r="R201" i="4"/>
  <c r="T157" i="4"/>
  <c r="U157" i="4" s="1"/>
  <c r="S157" i="4"/>
  <c r="R157" i="4"/>
  <c r="T80" i="4"/>
  <c r="U80" i="4" s="1"/>
  <c r="S80" i="4"/>
  <c r="R80" i="4"/>
  <c r="T41" i="4"/>
  <c r="U41" i="4" s="1"/>
  <c r="S41" i="4"/>
  <c r="R41" i="4"/>
  <c r="T56" i="4"/>
  <c r="U56" i="4" s="1"/>
  <c r="S56" i="4"/>
  <c r="R56" i="4"/>
  <c r="T51" i="4"/>
  <c r="U51" i="4" s="1"/>
  <c r="S51" i="4"/>
  <c r="R51" i="4"/>
  <c r="T212" i="4"/>
  <c r="U212" i="4" s="1"/>
  <c r="S212" i="4"/>
  <c r="R212" i="4"/>
  <c r="T383" i="4"/>
  <c r="U383" i="4" s="1"/>
  <c r="S383" i="4"/>
  <c r="R383" i="4"/>
  <c r="T381" i="4"/>
  <c r="U381" i="4" s="1"/>
  <c r="S381" i="4"/>
  <c r="R381" i="4"/>
  <c r="T319" i="4"/>
  <c r="U319" i="4" s="1"/>
  <c r="S319" i="4"/>
  <c r="R319" i="4"/>
  <c r="Q405" i="4"/>
  <c r="T318" i="4"/>
  <c r="S318" i="4"/>
  <c r="S405" i="4" s="1"/>
  <c r="R318" i="4"/>
  <c r="R405" i="4" s="1"/>
  <c r="T311" i="4"/>
  <c r="U311" i="4" s="1"/>
  <c r="S311" i="4"/>
  <c r="R311" i="4"/>
  <c r="T310" i="4"/>
  <c r="U310" i="4" s="1"/>
  <c r="S310" i="4"/>
  <c r="R310" i="4"/>
  <c r="T308" i="4"/>
  <c r="U308" i="4" s="1"/>
  <c r="S308" i="4"/>
  <c r="R308" i="4"/>
  <c r="T298" i="4"/>
  <c r="U298" i="4" s="1"/>
  <c r="S298" i="4"/>
  <c r="R298" i="4"/>
  <c r="T296" i="4"/>
  <c r="U296" i="4" s="1"/>
  <c r="S296" i="4"/>
  <c r="R296" i="4"/>
  <c r="T265" i="4"/>
  <c r="U265" i="4" s="1"/>
  <c r="S265" i="4"/>
  <c r="R265" i="4"/>
  <c r="T263" i="4"/>
  <c r="U263" i="4" s="1"/>
  <c r="S263" i="4"/>
  <c r="R263" i="4"/>
  <c r="T240" i="4"/>
  <c r="U240" i="4" s="1"/>
  <c r="S240" i="4"/>
  <c r="R240" i="4"/>
  <c r="T238" i="4"/>
  <c r="U238" i="4" s="1"/>
  <c r="S238" i="4"/>
  <c r="R238" i="4"/>
  <c r="T208" i="4"/>
  <c r="U208" i="4" s="1"/>
  <c r="S208" i="4"/>
  <c r="R208" i="4"/>
  <c r="T207" i="4"/>
  <c r="U207" i="4" s="1"/>
  <c r="S207" i="4"/>
  <c r="R207" i="4"/>
  <c r="T166" i="4"/>
  <c r="U166" i="4" s="1"/>
  <c r="S166" i="4"/>
  <c r="R166" i="4"/>
  <c r="T165" i="4"/>
  <c r="U165" i="4" s="1"/>
  <c r="S165" i="4"/>
  <c r="R165" i="4"/>
  <c r="T164" i="4"/>
  <c r="U164" i="4" s="1"/>
  <c r="S164" i="4"/>
  <c r="R164" i="4"/>
  <c r="T106" i="4"/>
  <c r="U106" i="4" s="1"/>
  <c r="S106" i="4"/>
  <c r="R106" i="4"/>
  <c r="T103" i="4"/>
  <c r="U103" i="4" s="1"/>
  <c r="S103" i="4"/>
  <c r="R103" i="4"/>
  <c r="T71" i="4"/>
  <c r="U71" i="4" s="1"/>
  <c r="S71" i="4"/>
  <c r="R71" i="4"/>
  <c r="T70" i="4"/>
  <c r="U70" i="4" s="1"/>
  <c r="S70" i="4"/>
  <c r="R70" i="4"/>
  <c r="T65" i="4"/>
  <c r="U65" i="4" s="1"/>
  <c r="S65" i="4"/>
  <c r="R65" i="4"/>
  <c r="T50" i="4"/>
  <c r="U50" i="4" s="1"/>
  <c r="S50" i="4"/>
  <c r="R50" i="4"/>
  <c r="T24" i="4"/>
  <c r="U24" i="4" s="1"/>
  <c r="S24" i="4"/>
  <c r="R24" i="4"/>
  <c r="T22" i="4"/>
  <c r="U22" i="4" s="1"/>
  <c r="S22" i="4"/>
  <c r="R22" i="4"/>
  <c r="T14" i="4"/>
  <c r="U14" i="4" s="1"/>
  <c r="S14" i="4"/>
  <c r="R14" i="4"/>
  <c r="T12" i="4"/>
  <c r="U12" i="4" s="1"/>
  <c r="S12" i="4"/>
  <c r="R12" i="4"/>
  <c r="T403" i="4"/>
  <c r="U403" i="4" s="1"/>
  <c r="S403" i="4"/>
  <c r="R403" i="4"/>
  <c r="T398" i="4"/>
  <c r="U398" i="4" s="1"/>
  <c r="S398" i="4"/>
  <c r="R398" i="4"/>
  <c r="T30" i="4"/>
  <c r="U30" i="4" s="1"/>
  <c r="S30" i="4"/>
  <c r="R30" i="4"/>
  <c r="T27" i="4"/>
  <c r="U27" i="4" s="1"/>
  <c r="S27" i="4"/>
  <c r="R27" i="4"/>
  <c r="T11" i="4"/>
  <c r="U11" i="4" s="1"/>
  <c r="S11" i="4"/>
  <c r="R11" i="4"/>
  <c r="T8" i="4"/>
  <c r="U8" i="4" s="1"/>
  <c r="S8" i="4"/>
  <c r="R8" i="4"/>
  <c r="T396" i="4"/>
  <c r="U396" i="4" s="1"/>
  <c r="S396" i="4"/>
  <c r="R396" i="4"/>
  <c r="T395" i="4"/>
  <c r="U395" i="4" s="1"/>
  <c r="S395" i="4"/>
  <c r="R395" i="4"/>
  <c r="T394" i="4"/>
  <c r="U394" i="4" s="1"/>
  <c r="S394" i="4"/>
  <c r="R394" i="4"/>
  <c r="T391" i="4"/>
  <c r="U391" i="4" s="1"/>
  <c r="S391" i="4"/>
  <c r="R391" i="4"/>
  <c r="T390" i="4"/>
  <c r="U390" i="4" s="1"/>
  <c r="S390" i="4"/>
  <c r="R390" i="4"/>
  <c r="T389" i="4"/>
  <c r="U389" i="4" s="1"/>
  <c r="S389" i="4"/>
  <c r="R389" i="4"/>
  <c r="T379" i="4"/>
  <c r="U379" i="4" s="1"/>
  <c r="S379" i="4"/>
  <c r="R379" i="4"/>
  <c r="T351" i="4"/>
  <c r="U351" i="4" s="1"/>
  <c r="S351" i="4"/>
  <c r="R351" i="4"/>
  <c r="T350" i="4"/>
  <c r="U350" i="4" s="1"/>
  <c r="S350" i="4"/>
  <c r="R350" i="4"/>
  <c r="T349" i="4"/>
  <c r="U349" i="4" s="1"/>
  <c r="S349" i="4"/>
  <c r="R349" i="4"/>
  <c r="T333" i="4"/>
  <c r="U333" i="4" s="1"/>
  <c r="S333" i="4"/>
  <c r="R333" i="4"/>
  <c r="T332" i="4"/>
  <c r="U332" i="4" s="1"/>
  <c r="S332" i="4"/>
  <c r="R332" i="4"/>
  <c r="T290" i="4"/>
  <c r="U290" i="4" s="1"/>
  <c r="S290" i="4"/>
  <c r="R290" i="4"/>
  <c r="T288" i="4"/>
  <c r="U288" i="4" s="1"/>
  <c r="S288" i="4"/>
  <c r="R288" i="4"/>
  <c r="T287" i="4"/>
  <c r="U287" i="4" s="1"/>
  <c r="S287" i="4"/>
  <c r="R287" i="4"/>
  <c r="T285" i="4"/>
  <c r="U285" i="4" s="1"/>
  <c r="S285" i="4"/>
  <c r="R285" i="4"/>
  <c r="T284" i="4"/>
  <c r="U284" i="4" s="1"/>
  <c r="S284" i="4"/>
  <c r="R284" i="4"/>
  <c r="T282" i="4"/>
  <c r="U282" i="4" s="1"/>
  <c r="S282" i="4"/>
  <c r="R282" i="4"/>
  <c r="T268" i="4"/>
  <c r="U268" i="4" s="1"/>
  <c r="S268" i="4"/>
  <c r="R268" i="4"/>
  <c r="T267" i="4"/>
  <c r="U267" i="4" s="1"/>
  <c r="S267" i="4"/>
  <c r="R267" i="4"/>
  <c r="T256" i="4"/>
  <c r="U256" i="4" s="1"/>
  <c r="S256" i="4"/>
  <c r="R256" i="4"/>
  <c r="T255" i="4"/>
  <c r="U255" i="4" s="1"/>
  <c r="S255" i="4"/>
  <c r="R255" i="4"/>
  <c r="T253" i="4"/>
  <c r="U253" i="4" s="1"/>
  <c r="S253" i="4"/>
  <c r="R253" i="4"/>
  <c r="T248" i="4"/>
  <c r="U248" i="4" s="1"/>
  <c r="S248" i="4"/>
  <c r="R248" i="4"/>
  <c r="T152" i="4"/>
  <c r="U152" i="4" s="1"/>
  <c r="S152" i="4"/>
  <c r="R152" i="4"/>
  <c r="T151" i="4"/>
  <c r="U151" i="4" s="1"/>
  <c r="S151" i="4"/>
  <c r="R151" i="4"/>
  <c r="T150" i="4"/>
  <c r="U150" i="4" s="1"/>
  <c r="S150" i="4"/>
  <c r="R150" i="4"/>
  <c r="T144" i="4"/>
  <c r="U144" i="4" s="1"/>
  <c r="S144" i="4"/>
  <c r="R144" i="4"/>
  <c r="T143" i="4"/>
  <c r="U143" i="4" s="1"/>
  <c r="S143" i="4"/>
  <c r="R143" i="4"/>
  <c r="T142" i="4"/>
  <c r="U142" i="4" s="1"/>
  <c r="S142" i="4"/>
  <c r="R142" i="4"/>
  <c r="T133" i="4"/>
  <c r="U133" i="4" s="1"/>
  <c r="S133" i="4"/>
  <c r="R133" i="4"/>
  <c r="T130" i="4"/>
  <c r="U130" i="4" s="1"/>
  <c r="S130" i="4"/>
  <c r="R130" i="4"/>
  <c r="T127" i="4"/>
  <c r="U127" i="4" s="1"/>
  <c r="S127" i="4"/>
  <c r="R127" i="4"/>
  <c r="T124" i="4"/>
  <c r="U124" i="4" s="1"/>
  <c r="S124" i="4"/>
  <c r="R124" i="4"/>
  <c r="T115" i="4"/>
  <c r="U115" i="4" s="1"/>
  <c r="S115" i="4"/>
  <c r="R115" i="4"/>
  <c r="T113" i="4"/>
  <c r="U113" i="4" s="1"/>
  <c r="S113" i="4"/>
  <c r="R113" i="4"/>
  <c r="T94" i="4"/>
  <c r="U94" i="4" s="1"/>
  <c r="S94" i="4"/>
  <c r="R94" i="4"/>
  <c r="T90" i="4"/>
  <c r="U90" i="4" s="1"/>
  <c r="S90" i="4"/>
  <c r="R90" i="4"/>
  <c r="T89" i="4"/>
  <c r="U89" i="4" s="1"/>
  <c r="S89" i="4"/>
  <c r="R89" i="4"/>
  <c r="T88" i="4"/>
  <c r="U88" i="4" s="1"/>
  <c r="S88" i="4"/>
  <c r="R88" i="4"/>
  <c r="T82" i="4"/>
  <c r="U82" i="4" s="1"/>
  <c r="S82" i="4"/>
  <c r="R82" i="4"/>
  <c r="T81" i="4"/>
  <c r="U81" i="4" s="1"/>
  <c r="S81" i="4"/>
  <c r="R81" i="4"/>
  <c r="T77" i="4"/>
  <c r="U77" i="4" s="1"/>
  <c r="S77" i="4"/>
  <c r="R77" i="4"/>
  <c r="T76" i="4"/>
  <c r="U76" i="4" s="1"/>
  <c r="S76" i="4"/>
  <c r="R76" i="4"/>
  <c r="T68" i="4"/>
  <c r="U68" i="4" s="1"/>
  <c r="S68" i="4"/>
  <c r="R68" i="4"/>
  <c r="T55" i="4"/>
  <c r="U55" i="4" s="1"/>
  <c r="S55" i="4"/>
  <c r="R55" i="4"/>
  <c r="T37" i="4"/>
  <c r="U37" i="4" s="1"/>
  <c r="S37" i="4"/>
  <c r="R37" i="4"/>
  <c r="T35" i="4"/>
  <c r="U35" i="4" s="1"/>
  <c r="S35" i="4"/>
  <c r="R35" i="4"/>
  <c r="T33" i="4"/>
  <c r="U33" i="4" s="1"/>
  <c r="S33" i="4"/>
  <c r="R33" i="4"/>
  <c r="T28" i="4"/>
  <c r="U28" i="4" s="1"/>
  <c r="S28" i="4"/>
  <c r="R28" i="4"/>
  <c r="T25" i="4"/>
  <c r="U25" i="4" s="1"/>
  <c r="S25" i="4"/>
  <c r="R25" i="4"/>
  <c r="T9" i="4"/>
  <c r="U9" i="4" s="1"/>
  <c r="S9" i="4"/>
  <c r="R9" i="4"/>
  <c r="T6" i="4"/>
  <c r="U6" i="4" s="1"/>
  <c r="S6" i="4"/>
  <c r="R6" i="4"/>
  <c r="T105" i="4"/>
  <c r="U105" i="4" s="1"/>
  <c r="S105" i="4"/>
  <c r="R105" i="4"/>
  <c r="T102" i="4"/>
  <c r="U102" i="4" s="1"/>
  <c r="S102" i="4"/>
  <c r="R102" i="4"/>
  <c r="T203" i="4"/>
  <c r="U203" i="4" s="1"/>
  <c r="S203" i="4"/>
  <c r="R203" i="4"/>
  <c r="T190" i="4"/>
  <c r="U190" i="4" s="1"/>
  <c r="S190" i="4"/>
  <c r="R190" i="4"/>
  <c r="T187" i="4"/>
  <c r="U187" i="4" s="1"/>
  <c r="S187" i="4"/>
  <c r="R187" i="4"/>
  <c r="T186" i="4"/>
  <c r="U186" i="4" s="1"/>
  <c r="S186" i="4"/>
  <c r="R186" i="4"/>
  <c r="T185" i="4"/>
  <c r="U185" i="4" s="1"/>
  <c r="S185" i="4"/>
  <c r="R185" i="4"/>
  <c r="T184" i="4"/>
  <c r="U184" i="4" s="1"/>
  <c r="S184" i="4"/>
  <c r="R184" i="4"/>
  <c r="T172" i="4"/>
  <c r="U172" i="4" s="1"/>
  <c r="S172" i="4"/>
  <c r="R172" i="4"/>
  <c r="T170" i="4"/>
  <c r="U170" i="4" s="1"/>
  <c r="S170" i="4"/>
  <c r="R170" i="4"/>
  <c r="T132" i="4"/>
  <c r="U132" i="4" s="1"/>
  <c r="S132" i="4"/>
  <c r="R132" i="4"/>
  <c r="T129" i="4"/>
  <c r="U129" i="4" s="1"/>
  <c r="S129" i="4"/>
  <c r="R129" i="4"/>
  <c r="T126" i="4"/>
  <c r="U126" i="4" s="1"/>
  <c r="S126" i="4"/>
  <c r="R126" i="4"/>
  <c r="T123" i="4"/>
  <c r="U123" i="4" s="1"/>
  <c r="S123" i="4"/>
  <c r="R123" i="4"/>
  <c r="T114" i="4"/>
  <c r="U114" i="4" s="1"/>
  <c r="S114" i="4"/>
  <c r="R114" i="4"/>
  <c r="T112" i="4"/>
  <c r="U112" i="4" s="1"/>
  <c r="S112" i="4"/>
  <c r="R112" i="4"/>
  <c r="T239" i="4"/>
  <c r="U239" i="4" s="1"/>
  <c r="S239" i="4"/>
  <c r="R239" i="4"/>
  <c r="T334" i="4"/>
  <c r="U334" i="4" s="1"/>
  <c r="S334" i="4"/>
  <c r="R334" i="4"/>
  <c r="T335" i="4"/>
  <c r="U335" i="4" s="1"/>
  <c r="S335" i="4"/>
  <c r="R335" i="4"/>
  <c r="T204" i="4"/>
  <c r="U204" i="4" s="1"/>
  <c r="S204" i="4"/>
  <c r="R204" i="4"/>
  <c r="T48" i="4"/>
  <c r="U48" i="4" s="1"/>
  <c r="S48" i="4"/>
  <c r="R48" i="4"/>
  <c r="T66" i="4"/>
  <c r="U66" i="4" s="1"/>
  <c r="S66" i="4"/>
  <c r="R66" i="4"/>
  <c r="T232" i="4"/>
  <c r="U232" i="4" s="1"/>
  <c r="S232" i="4"/>
  <c r="R232" i="4"/>
  <c r="T57" i="4"/>
  <c r="U57" i="4" s="1"/>
  <c r="S57" i="4"/>
  <c r="R57" i="4"/>
  <c r="T18" i="4"/>
  <c r="U18" i="4" s="1"/>
  <c r="S18" i="4"/>
  <c r="R18" i="4"/>
  <c r="T413" i="4"/>
  <c r="U413" i="4" s="1"/>
  <c r="S413" i="4"/>
  <c r="R413" i="4"/>
  <c r="T372" i="4"/>
  <c r="U372" i="4" s="1"/>
  <c r="S372" i="4"/>
  <c r="R372" i="4"/>
  <c r="T371" i="4"/>
  <c r="U371" i="4" s="1"/>
  <c r="S371" i="4"/>
  <c r="R371" i="4"/>
  <c r="T260" i="4"/>
  <c r="U260" i="4" s="1"/>
  <c r="S260" i="4"/>
  <c r="R260" i="4"/>
  <c r="T118" i="4"/>
  <c r="U118" i="4" s="1"/>
  <c r="S118" i="4"/>
  <c r="R118" i="4"/>
  <c r="T117" i="4"/>
  <c r="U117" i="4" s="1"/>
  <c r="S117" i="4"/>
  <c r="R117" i="4"/>
  <c r="T213" i="4"/>
  <c r="U213" i="4" s="1"/>
  <c r="S213" i="4"/>
  <c r="R213" i="4"/>
  <c r="T54" i="4"/>
  <c r="U54" i="4" s="1"/>
  <c r="S54" i="4"/>
  <c r="R54" i="4"/>
  <c r="T359" i="4"/>
  <c r="U359" i="4" s="1"/>
  <c r="S359" i="4"/>
  <c r="R359" i="4"/>
  <c r="T365" i="4"/>
  <c r="U365" i="4" s="1"/>
  <c r="S365" i="4"/>
  <c r="R365" i="4"/>
  <c r="T362" i="4"/>
  <c r="U362" i="4" s="1"/>
  <c r="S362" i="4"/>
  <c r="R362" i="4"/>
  <c r="T366" i="4"/>
  <c r="U366" i="4" s="1"/>
  <c r="S366" i="4"/>
  <c r="R366" i="4"/>
  <c r="T325" i="4"/>
  <c r="U325" i="4" s="1"/>
  <c r="S325" i="4"/>
  <c r="R325" i="4"/>
  <c r="T402" i="4"/>
  <c r="U402" i="4" s="1"/>
  <c r="S402" i="4"/>
  <c r="R402" i="4"/>
  <c r="T401" i="4"/>
  <c r="U401" i="4" s="1"/>
  <c r="S401" i="4"/>
  <c r="R401" i="4"/>
  <c r="T387" i="4"/>
  <c r="U387" i="4" s="1"/>
  <c r="S387" i="4"/>
  <c r="R387" i="4"/>
  <c r="T386" i="4"/>
  <c r="U386" i="4" s="1"/>
  <c r="S386" i="4"/>
  <c r="R386" i="4"/>
  <c r="T376" i="4"/>
  <c r="U376" i="4" s="1"/>
  <c r="S376" i="4"/>
  <c r="R376" i="4"/>
  <c r="T375" i="4"/>
  <c r="U375" i="4" s="1"/>
  <c r="S375" i="4"/>
  <c r="R375" i="4"/>
  <c r="T374" i="4"/>
  <c r="U374" i="4" s="1"/>
  <c r="S374" i="4"/>
  <c r="R374" i="4"/>
  <c r="T370" i="4"/>
  <c r="U370" i="4" s="1"/>
  <c r="S370" i="4"/>
  <c r="R370" i="4"/>
  <c r="T369" i="4"/>
  <c r="U369" i="4" s="1"/>
  <c r="S369" i="4"/>
  <c r="R369" i="4"/>
  <c r="T358" i="4"/>
  <c r="U358" i="4" s="1"/>
  <c r="S358" i="4"/>
  <c r="R358" i="4"/>
  <c r="T356" i="4"/>
  <c r="U356" i="4" s="1"/>
  <c r="S356" i="4"/>
  <c r="R356" i="4"/>
  <c r="T355" i="4"/>
  <c r="U355" i="4" s="1"/>
  <c r="S355" i="4"/>
  <c r="R355" i="4"/>
  <c r="T354" i="4"/>
  <c r="U354" i="4" s="1"/>
  <c r="S354" i="4"/>
  <c r="R354" i="4"/>
  <c r="T353" i="4"/>
  <c r="U353" i="4" s="1"/>
  <c r="S353" i="4"/>
  <c r="R353" i="4"/>
  <c r="T331" i="4"/>
  <c r="U331" i="4" s="1"/>
  <c r="S331" i="4"/>
  <c r="R331" i="4"/>
  <c r="T330" i="4"/>
  <c r="U330" i="4" s="1"/>
  <c r="S330" i="4"/>
  <c r="R330" i="4"/>
  <c r="T320" i="4"/>
  <c r="U320" i="4" s="1"/>
  <c r="S320" i="4"/>
  <c r="R320" i="4"/>
  <c r="T309" i="4"/>
  <c r="U309" i="4" s="1"/>
  <c r="S309" i="4"/>
  <c r="R309" i="4"/>
  <c r="T307" i="4"/>
  <c r="U307" i="4" s="1"/>
  <c r="S307" i="4"/>
  <c r="R307" i="4"/>
  <c r="T306" i="4"/>
  <c r="U306" i="4" s="1"/>
  <c r="S306" i="4"/>
  <c r="R306" i="4"/>
  <c r="T301" i="4"/>
  <c r="U301" i="4" s="1"/>
  <c r="S301" i="4"/>
  <c r="R301" i="4"/>
  <c r="T299" i="4"/>
  <c r="U299" i="4" s="1"/>
  <c r="S299" i="4"/>
  <c r="R299" i="4"/>
  <c r="T289" i="4"/>
  <c r="U289" i="4" s="1"/>
  <c r="S289" i="4"/>
  <c r="R289" i="4"/>
  <c r="T286" i="4"/>
  <c r="U286" i="4" s="1"/>
  <c r="S286" i="4"/>
  <c r="R286" i="4"/>
  <c r="T283" i="4"/>
  <c r="U283" i="4" s="1"/>
  <c r="S283" i="4"/>
  <c r="R283" i="4"/>
  <c r="T276" i="4"/>
  <c r="U276" i="4" s="1"/>
  <c r="S276" i="4"/>
  <c r="R276" i="4"/>
  <c r="T269" i="4"/>
  <c r="U269" i="4" s="1"/>
  <c r="S269" i="4"/>
  <c r="R269" i="4"/>
  <c r="T266" i="4"/>
  <c r="U266" i="4" s="1"/>
  <c r="S266" i="4"/>
  <c r="R266" i="4"/>
  <c r="T261" i="4"/>
  <c r="U261" i="4" s="1"/>
  <c r="S261" i="4"/>
  <c r="R261" i="4"/>
  <c r="T252" i="4"/>
  <c r="U252" i="4" s="1"/>
  <c r="S252" i="4"/>
  <c r="R252" i="4"/>
  <c r="T250" i="4"/>
  <c r="U250" i="4" s="1"/>
  <c r="S250" i="4"/>
  <c r="R250" i="4"/>
  <c r="T243" i="4"/>
  <c r="U243" i="4" s="1"/>
  <c r="S243" i="4"/>
  <c r="R243" i="4"/>
  <c r="T236" i="4"/>
  <c r="U236" i="4" s="1"/>
  <c r="S236" i="4"/>
  <c r="R236" i="4"/>
  <c r="T235" i="4"/>
  <c r="U235" i="4" s="1"/>
  <c r="S235" i="4"/>
  <c r="R235" i="4"/>
  <c r="T219" i="4"/>
  <c r="U219" i="4" s="1"/>
  <c r="S219" i="4"/>
  <c r="R219" i="4"/>
  <c r="T218" i="4"/>
  <c r="U218" i="4" s="1"/>
  <c r="S218" i="4"/>
  <c r="R218" i="4"/>
  <c r="T214" i="4"/>
  <c r="U214" i="4" s="1"/>
  <c r="S214" i="4"/>
  <c r="R214" i="4"/>
  <c r="T211" i="4"/>
  <c r="U211" i="4" s="1"/>
  <c r="S211" i="4"/>
  <c r="R211" i="4"/>
  <c r="T199" i="4"/>
  <c r="U199" i="4" s="1"/>
  <c r="S199" i="4"/>
  <c r="R199" i="4"/>
  <c r="T197" i="4"/>
  <c r="U197" i="4" s="1"/>
  <c r="S197" i="4"/>
  <c r="R197" i="4"/>
  <c r="T196" i="4"/>
  <c r="U196" i="4" s="1"/>
  <c r="S196" i="4"/>
  <c r="R196" i="4"/>
  <c r="T177" i="4"/>
  <c r="U177" i="4" s="1"/>
  <c r="S177" i="4"/>
  <c r="R177" i="4"/>
  <c r="T168" i="4"/>
  <c r="U168" i="4" s="1"/>
  <c r="S168" i="4"/>
  <c r="R168" i="4"/>
  <c r="T167" i="4"/>
  <c r="U167" i="4" s="1"/>
  <c r="S167" i="4"/>
  <c r="R167" i="4"/>
  <c r="T161" i="4"/>
  <c r="U161" i="4" s="1"/>
  <c r="S161" i="4"/>
  <c r="R161" i="4"/>
  <c r="T160" i="4"/>
  <c r="U160" i="4" s="1"/>
  <c r="S160" i="4"/>
  <c r="R160" i="4"/>
  <c r="T159" i="4"/>
  <c r="U159" i="4" s="1"/>
  <c r="S159" i="4"/>
  <c r="R159" i="4"/>
  <c r="T156" i="4"/>
  <c r="U156" i="4" s="1"/>
  <c r="S156" i="4"/>
  <c r="R156" i="4"/>
  <c r="T147" i="4"/>
  <c r="U147" i="4" s="1"/>
  <c r="S147" i="4"/>
  <c r="R147" i="4"/>
  <c r="T146" i="4"/>
  <c r="U146" i="4" s="1"/>
  <c r="S146" i="4"/>
  <c r="R146" i="4"/>
  <c r="T140" i="4"/>
  <c r="U140" i="4" s="1"/>
  <c r="S140" i="4"/>
  <c r="R140" i="4"/>
  <c r="T139" i="4"/>
  <c r="U139" i="4" s="1"/>
  <c r="S139" i="4"/>
  <c r="R139" i="4"/>
  <c r="T131" i="4"/>
  <c r="U131" i="4" s="1"/>
  <c r="S131" i="4"/>
  <c r="R131" i="4"/>
  <c r="T122" i="4"/>
  <c r="U122" i="4" s="1"/>
  <c r="S122" i="4"/>
  <c r="R122" i="4"/>
  <c r="T116" i="4"/>
  <c r="U116" i="4" s="1"/>
  <c r="S116" i="4"/>
  <c r="R116" i="4"/>
  <c r="T104" i="4"/>
  <c r="U104" i="4" s="1"/>
  <c r="S104" i="4"/>
  <c r="R104" i="4"/>
  <c r="T101" i="4"/>
  <c r="U101" i="4" s="1"/>
  <c r="S101" i="4"/>
  <c r="R101" i="4"/>
  <c r="T100" i="4"/>
  <c r="U100" i="4" s="1"/>
  <c r="S100" i="4"/>
  <c r="R100" i="4"/>
  <c r="T93" i="4"/>
  <c r="U93" i="4" s="1"/>
  <c r="S93" i="4"/>
  <c r="R93" i="4"/>
  <c r="T92" i="4"/>
  <c r="U92" i="4" s="1"/>
  <c r="S92" i="4"/>
  <c r="R92" i="4"/>
  <c r="T84" i="4"/>
  <c r="U84" i="4" s="1"/>
  <c r="S84" i="4"/>
  <c r="R84" i="4"/>
  <c r="T83" i="4"/>
  <c r="U83" i="4" s="1"/>
  <c r="S83" i="4"/>
  <c r="R83" i="4"/>
  <c r="T69" i="4"/>
  <c r="U69" i="4" s="1"/>
  <c r="S69" i="4"/>
  <c r="R69" i="4"/>
  <c r="T64" i="4"/>
  <c r="U64" i="4" s="1"/>
  <c r="S64" i="4"/>
  <c r="R64" i="4"/>
  <c r="T63" i="4"/>
  <c r="U63" i="4" s="1"/>
  <c r="S63" i="4"/>
  <c r="R63" i="4"/>
  <c r="T53" i="4"/>
  <c r="U53" i="4" s="1"/>
  <c r="S53" i="4"/>
  <c r="R53" i="4"/>
  <c r="T43" i="4"/>
  <c r="U43" i="4" s="1"/>
  <c r="S43" i="4"/>
  <c r="R43" i="4"/>
  <c r="T42" i="4"/>
  <c r="U42" i="4" s="1"/>
  <c r="S42" i="4"/>
  <c r="R42" i="4"/>
  <c r="T36" i="4"/>
  <c r="U36" i="4" s="1"/>
  <c r="S36" i="4"/>
  <c r="R36" i="4"/>
  <c r="T34" i="4"/>
  <c r="U34" i="4" s="1"/>
  <c r="S34" i="4"/>
  <c r="R34" i="4"/>
  <c r="T17" i="4"/>
  <c r="U17" i="4" s="1"/>
  <c r="S17" i="4"/>
  <c r="R17" i="4"/>
  <c r="T16" i="4"/>
  <c r="U16" i="4" s="1"/>
  <c r="S16" i="4"/>
  <c r="R16" i="4"/>
  <c r="T15" i="4"/>
  <c r="U15" i="4" s="1"/>
  <c r="S15" i="4"/>
  <c r="R15" i="4"/>
  <c r="T128" i="4"/>
  <c r="U128" i="4" s="1"/>
  <c r="S128" i="4"/>
  <c r="R128" i="4"/>
  <c r="T412" i="4"/>
  <c r="U412" i="4" s="1"/>
  <c r="S412" i="4"/>
  <c r="R412" i="4"/>
  <c r="T241" i="4"/>
  <c r="U241" i="4" s="1"/>
  <c r="S241" i="4"/>
  <c r="R241" i="4"/>
  <c r="T400" i="4"/>
  <c r="U400" i="4" s="1"/>
  <c r="S400" i="4"/>
  <c r="R400" i="4"/>
  <c r="T397" i="4"/>
  <c r="U397" i="4" s="1"/>
  <c r="S397" i="4"/>
  <c r="R397" i="4"/>
  <c r="T368" i="4"/>
  <c r="U368" i="4" s="1"/>
  <c r="S368" i="4"/>
  <c r="R368" i="4"/>
  <c r="T367" i="4"/>
  <c r="U367" i="4" s="1"/>
  <c r="S367" i="4"/>
  <c r="R367" i="4"/>
  <c r="T357" i="4"/>
  <c r="U357" i="4" s="1"/>
  <c r="S357" i="4"/>
  <c r="R357" i="4"/>
  <c r="T352" i="4"/>
  <c r="U352" i="4" s="1"/>
  <c r="S352" i="4"/>
  <c r="R352" i="4"/>
  <c r="T328" i="4"/>
  <c r="U328" i="4" s="1"/>
  <c r="S328" i="4"/>
  <c r="R328" i="4"/>
  <c r="T326" i="4"/>
  <c r="U326" i="4" s="1"/>
  <c r="S326" i="4"/>
  <c r="R326" i="4"/>
  <c r="T321" i="4"/>
  <c r="U321" i="4" s="1"/>
  <c r="S321" i="4"/>
  <c r="R321" i="4"/>
  <c r="T312" i="4"/>
  <c r="U312" i="4" s="1"/>
  <c r="S312" i="4"/>
  <c r="R312" i="4"/>
  <c r="T304" i="4"/>
  <c r="U304" i="4" s="1"/>
  <c r="S304" i="4"/>
  <c r="R304" i="4"/>
  <c r="T303" i="4"/>
  <c r="U303" i="4" s="1"/>
  <c r="S303" i="4"/>
  <c r="R303" i="4"/>
  <c r="T300" i="4"/>
  <c r="U300" i="4" s="1"/>
  <c r="S300" i="4"/>
  <c r="R300" i="4"/>
  <c r="T292" i="4"/>
  <c r="U292" i="4" s="1"/>
  <c r="S292" i="4"/>
  <c r="R292" i="4"/>
  <c r="T277" i="4"/>
  <c r="U277" i="4" s="1"/>
  <c r="S277" i="4"/>
  <c r="R277" i="4"/>
  <c r="T273" i="4"/>
  <c r="U273" i="4" s="1"/>
  <c r="S273" i="4"/>
  <c r="R273" i="4"/>
  <c r="T271" i="4"/>
  <c r="U271" i="4" s="1"/>
  <c r="S271" i="4"/>
  <c r="R271" i="4"/>
  <c r="T206" i="4"/>
  <c r="U206" i="4" s="1"/>
  <c r="S206" i="4"/>
  <c r="R206" i="4"/>
  <c r="T205" i="4"/>
  <c r="U205" i="4" s="1"/>
  <c r="S205" i="4"/>
  <c r="R205" i="4"/>
  <c r="T202" i="4"/>
  <c r="U202" i="4" s="1"/>
  <c r="S202" i="4"/>
  <c r="R202" i="4"/>
  <c r="T194" i="4"/>
  <c r="U194" i="4" s="1"/>
  <c r="S194" i="4"/>
  <c r="R194" i="4"/>
  <c r="T191" i="4"/>
  <c r="U191" i="4" s="1"/>
  <c r="S191" i="4"/>
  <c r="R191" i="4"/>
  <c r="T176" i="4"/>
  <c r="U176" i="4" s="1"/>
  <c r="S176" i="4"/>
  <c r="R176" i="4"/>
  <c r="T169" i="4"/>
  <c r="U169" i="4" s="1"/>
  <c r="S169" i="4"/>
  <c r="R169" i="4"/>
  <c r="T162" i="4"/>
  <c r="U162" i="4" s="1"/>
  <c r="S162" i="4"/>
  <c r="R162" i="4"/>
  <c r="T149" i="4"/>
  <c r="U149" i="4" s="1"/>
  <c r="S149" i="4"/>
  <c r="R149" i="4"/>
  <c r="T141" i="4"/>
  <c r="U141" i="4" s="1"/>
  <c r="S141" i="4"/>
  <c r="R141" i="4"/>
  <c r="T125" i="4"/>
  <c r="U125" i="4" s="1"/>
  <c r="S125" i="4"/>
  <c r="R125" i="4"/>
  <c r="T119" i="4"/>
  <c r="U119" i="4" s="1"/>
  <c r="S119" i="4"/>
  <c r="R119" i="4"/>
  <c r="T87" i="4"/>
  <c r="U87" i="4" s="1"/>
  <c r="S87" i="4"/>
  <c r="R87" i="4"/>
  <c r="T85" i="4"/>
  <c r="U85" i="4" s="1"/>
  <c r="S85" i="4"/>
  <c r="R85" i="4"/>
  <c r="T72" i="4"/>
  <c r="U72" i="4" s="1"/>
  <c r="S72" i="4"/>
  <c r="R72" i="4"/>
  <c r="T58" i="4"/>
  <c r="U58" i="4" s="1"/>
  <c r="S58" i="4"/>
  <c r="R58" i="4"/>
  <c r="T20" i="4"/>
  <c r="U20" i="4" s="1"/>
  <c r="S20" i="4"/>
  <c r="R20" i="4"/>
  <c r="T19" i="4"/>
  <c r="U19" i="4" s="1"/>
  <c r="S19" i="4"/>
  <c r="R19" i="4"/>
  <c r="T361" i="4"/>
  <c r="U361" i="4" s="1"/>
  <c r="S361" i="4"/>
  <c r="R361" i="4"/>
  <c r="T415" i="4"/>
  <c r="U415" i="4" s="1"/>
  <c r="S415" i="4"/>
  <c r="R415" i="4"/>
  <c r="T153" i="4"/>
  <c r="U153" i="4" s="1"/>
  <c r="S153" i="4"/>
  <c r="R153" i="4"/>
  <c r="T108" i="4"/>
  <c r="U108" i="4" s="1"/>
  <c r="S108" i="4"/>
  <c r="R108" i="4"/>
  <c r="T98" i="4"/>
  <c r="U98" i="4" s="1"/>
  <c r="S98" i="4"/>
  <c r="R98" i="4"/>
  <c r="T384" i="4"/>
  <c r="U384" i="4" s="1"/>
  <c r="S384" i="4"/>
  <c r="R384" i="4"/>
  <c r="T348" i="4"/>
  <c r="U348" i="4" s="1"/>
  <c r="S348" i="4"/>
  <c r="R348" i="4"/>
  <c r="T338" i="4"/>
  <c r="U338" i="4" s="1"/>
  <c r="S338" i="4"/>
  <c r="R338" i="4"/>
  <c r="T327" i="4"/>
  <c r="U327" i="4" s="1"/>
  <c r="S327" i="4"/>
  <c r="R327" i="4"/>
  <c r="T313" i="4"/>
  <c r="U313" i="4" s="1"/>
  <c r="S313" i="4"/>
  <c r="R313" i="4"/>
  <c r="T297" i="4"/>
  <c r="U297" i="4" s="1"/>
  <c r="S297" i="4"/>
  <c r="R297" i="4"/>
  <c r="T193" i="4"/>
  <c r="U193" i="4" s="1"/>
  <c r="S193" i="4"/>
  <c r="R193" i="4"/>
  <c r="T192" i="4"/>
  <c r="U192" i="4" s="1"/>
  <c r="S192" i="4"/>
  <c r="R192" i="4"/>
  <c r="T183" i="4"/>
  <c r="U183" i="4" s="1"/>
  <c r="S183" i="4"/>
  <c r="R183" i="4"/>
  <c r="Q222" i="4"/>
  <c r="T182" i="4"/>
  <c r="S182" i="4"/>
  <c r="S222" i="4" s="1"/>
  <c r="R182" i="4"/>
  <c r="R222" i="4" s="1"/>
  <c r="T49" i="4"/>
  <c r="U49" i="4" s="1"/>
  <c r="S49" i="4"/>
  <c r="R49" i="4"/>
  <c r="T347" i="4"/>
  <c r="U347" i="4" s="1"/>
  <c r="S347" i="4"/>
  <c r="R347" i="4"/>
  <c r="T323" i="4"/>
  <c r="U323" i="4" s="1"/>
  <c r="S323" i="4"/>
  <c r="R323" i="4"/>
  <c r="T272" i="4"/>
  <c r="U272" i="4" s="1"/>
  <c r="S272" i="4"/>
  <c r="R272" i="4"/>
  <c r="Q293" i="4"/>
  <c r="T259" i="4"/>
  <c r="S259" i="4"/>
  <c r="S293" i="4" s="1"/>
  <c r="R259" i="4"/>
  <c r="R293" i="4" s="1"/>
  <c r="T229" i="4"/>
  <c r="U229" i="4" s="1"/>
  <c r="S229" i="4"/>
  <c r="R229" i="4"/>
  <c r="T225" i="4"/>
  <c r="U225" i="4" s="1"/>
  <c r="S225" i="4"/>
  <c r="R225" i="4"/>
  <c r="Q257" i="4"/>
  <c r="T224" i="4"/>
  <c r="S224" i="4"/>
  <c r="S257" i="4" s="1"/>
  <c r="R224" i="4"/>
  <c r="R257" i="4" s="1"/>
  <c r="T175" i="4"/>
  <c r="U175" i="4" s="1"/>
  <c r="S175" i="4"/>
  <c r="R175" i="4"/>
  <c r="T163" i="4"/>
  <c r="U163" i="4" s="1"/>
  <c r="S163" i="4"/>
  <c r="R163" i="4"/>
  <c r="T148" i="4"/>
  <c r="U148" i="4" s="1"/>
  <c r="S148" i="4"/>
  <c r="R148" i="4"/>
  <c r="Q180" i="4"/>
  <c r="T138" i="4"/>
  <c r="S138" i="4"/>
  <c r="S180" i="4" s="1"/>
  <c r="R138" i="4"/>
  <c r="R180" i="4" s="1"/>
  <c r="T107" i="4"/>
  <c r="U107" i="4" s="1"/>
  <c r="S107" i="4"/>
  <c r="R107" i="4"/>
  <c r="Q136" i="4"/>
  <c r="T97" i="4"/>
  <c r="S97" i="4"/>
  <c r="S136" i="4" s="1"/>
  <c r="R97" i="4"/>
  <c r="R136" i="4" s="1"/>
  <c r="T86" i="4"/>
  <c r="U86" i="4" s="1"/>
  <c r="S86" i="4"/>
  <c r="R86" i="4"/>
  <c r="T67" i="4"/>
  <c r="U67" i="4" s="1"/>
  <c r="S67" i="4"/>
  <c r="R67" i="4"/>
  <c r="Q95" i="4"/>
  <c r="T61" i="4"/>
  <c r="S61" i="4"/>
  <c r="S95" i="4" s="1"/>
  <c r="R61" i="4"/>
  <c r="R95" i="4" s="1"/>
  <c r="Q59" i="4"/>
  <c r="T5" i="4"/>
  <c r="S5" i="4"/>
  <c r="S59" i="4" s="1"/>
  <c r="R5" i="4"/>
  <c r="R59" i="4" s="1"/>
  <c r="Q416" i="4"/>
  <c r="T407" i="4"/>
  <c r="S407" i="4"/>
  <c r="S416" i="4" s="1"/>
  <c r="R407" i="4"/>
  <c r="R416" i="4" s="1"/>
  <c r="T336" i="4"/>
  <c r="U336" i="4" s="1"/>
  <c r="S336" i="4"/>
  <c r="R336" i="4"/>
  <c r="T315" i="4"/>
  <c r="U315" i="4" s="1"/>
  <c r="S315" i="4"/>
  <c r="R315" i="4"/>
  <c r="T228" i="4"/>
  <c r="U228" i="4" s="1"/>
  <c r="S228" i="4"/>
  <c r="R228" i="4"/>
  <c r="T227" i="4"/>
  <c r="U227" i="4" s="1"/>
  <c r="S227" i="4"/>
  <c r="R227" i="4"/>
  <c r="T198" i="4"/>
  <c r="U198" i="4" s="1"/>
  <c r="S198" i="4"/>
  <c r="R198" i="4"/>
  <c r="T392" i="4"/>
  <c r="U392" i="4" s="1"/>
  <c r="S392" i="4"/>
  <c r="R392" i="4"/>
  <c r="T251" i="4"/>
  <c r="U251" i="4" s="1"/>
  <c r="S251" i="4"/>
  <c r="R251" i="4"/>
  <c r="T270" i="4"/>
  <c r="U270" i="4" s="1"/>
  <c r="S270" i="4"/>
  <c r="R270" i="4"/>
  <c r="T244" i="4"/>
  <c r="U244" i="4" s="1"/>
  <c r="S244" i="4"/>
  <c r="R244" i="4"/>
  <c r="T52" i="4"/>
  <c r="U52" i="4" s="1"/>
  <c r="S52" i="4"/>
  <c r="R52" i="4"/>
  <c r="T305" i="4"/>
  <c r="U305" i="4" s="1"/>
  <c r="S305" i="4"/>
  <c r="R305" i="4"/>
  <c r="T393" i="4"/>
  <c r="U393" i="4" s="1"/>
  <c r="S393" i="4"/>
  <c r="R393" i="4"/>
  <c r="T385" i="4"/>
  <c r="U385" i="4" s="1"/>
  <c r="S385" i="4"/>
  <c r="R385" i="4"/>
  <c r="T291" i="4"/>
  <c r="U291" i="4" s="1"/>
  <c r="S291" i="4"/>
  <c r="R291" i="4"/>
  <c r="T281" i="4"/>
  <c r="U281" i="4" s="1"/>
  <c r="S281" i="4"/>
  <c r="R281" i="4"/>
  <c r="T254" i="4"/>
  <c r="U254" i="4" s="1"/>
  <c r="S254" i="4"/>
  <c r="R254" i="4"/>
  <c r="T249" i="4"/>
  <c r="U249" i="4" s="1"/>
  <c r="S249" i="4"/>
  <c r="R249" i="4"/>
  <c r="T230" i="4"/>
  <c r="U230" i="4" s="1"/>
  <c r="S230" i="4"/>
  <c r="R230" i="4"/>
  <c r="T226" i="4"/>
  <c r="U226" i="4" s="1"/>
  <c r="S226" i="4"/>
  <c r="R226" i="4"/>
  <c r="T62" i="4"/>
  <c r="U62" i="4" s="1"/>
  <c r="S62" i="4"/>
  <c r="R62" i="4"/>
  <c r="T23" i="4"/>
  <c r="U23" i="4" s="1"/>
  <c r="S23" i="4"/>
  <c r="R23" i="4"/>
  <c r="T21" i="4"/>
  <c r="U21" i="4" s="1"/>
  <c r="S21" i="4"/>
  <c r="R21" i="4"/>
  <c r="T13" i="4"/>
  <c r="U13" i="4" s="1"/>
  <c r="S13" i="4"/>
  <c r="R13" i="4"/>
  <c r="T221" i="4"/>
  <c r="U221" i="4" s="1"/>
  <c r="S221" i="4"/>
  <c r="R221" i="4"/>
  <c r="T322" i="4"/>
  <c r="U322" i="4" s="1"/>
  <c r="S322" i="4"/>
  <c r="R322" i="4"/>
  <c r="T29" i="4"/>
  <c r="U29" i="4" s="1"/>
  <c r="S29" i="4"/>
  <c r="R29" i="4"/>
  <c r="T26" i="4"/>
  <c r="U26" i="4" s="1"/>
  <c r="S26" i="4"/>
  <c r="R26" i="4"/>
  <c r="T10" i="4"/>
  <c r="U10" i="4" s="1"/>
  <c r="S10" i="4"/>
  <c r="R10" i="4"/>
  <c r="T7" i="4"/>
  <c r="U7" i="4" s="1"/>
  <c r="S7" i="4"/>
  <c r="R7" i="4"/>
  <c r="T316" i="4"/>
  <c r="P316" i="4" s="1"/>
  <c r="U295" i="4"/>
  <c r="U316" i="4" s="1"/>
  <c r="T416" i="4" l="1"/>
  <c r="P416" i="4" s="1"/>
  <c r="U407" i="4"/>
  <c r="U416" i="4" s="1"/>
  <c r="T59" i="4"/>
  <c r="P59" i="4" s="1"/>
  <c r="U5" i="4"/>
  <c r="U59" i="4" s="1"/>
  <c r="T95" i="4"/>
  <c r="P95" i="4" s="1"/>
  <c r="U61" i="4"/>
  <c r="U95" i="4" s="1"/>
  <c r="T136" i="4"/>
  <c r="P136" i="4" s="1"/>
  <c r="U97" i="4"/>
  <c r="U136" i="4" s="1"/>
  <c r="T180" i="4"/>
  <c r="P180" i="4" s="1"/>
  <c r="U138" i="4"/>
  <c r="U180" i="4" s="1"/>
  <c r="T257" i="4"/>
  <c r="P257" i="4" s="1"/>
  <c r="U224" i="4"/>
  <c r="U257" i="4" s="1"/>
  <c r="T293" i="4"/>
  <c r="P293" i="4" s="1"/>
  <c r="U259" i="4"/>
  <c r="U293" i="4" s="1"/>
  <c r="T222" i="4"/>
  <c r="P222" i="4" s="1"/>
  <c r="U182" i="4"/>
  <c r="U222" i="4" s="1"/>
  <c r="T405" i="4"/>
  <c r="P405" i="4" s="1"/>
  <c r="U318" i="4"/>
  <c r="U405" i="4" s="1"/>
  <c r="M65" i="3"/>
  <c r="J62" i="3"/>
  <c r="F15" i="6" l="1"/>
  <c r="M15" i="6" s="1"/>
  <c r="F14" i="6"/>
  <c r="M14" i="6" s="1"/>
  <c r="F13" i="6"/>
  <c r="M13" i="6" s="1"/>
  <c r="F12" i="6"/>
  <c r="M12" i="6" s="1"/>
  <c r="F11" i="6"/>
  <c r="M11" i="6" s="1"/>
  <c r="F10" i="6"/>
  <c r="M10" i="6" s="1"/>
  <c r="F9" i="6"/>
  <c r="M9" i="6" s="1"/>
  <c r="F8" i="6"/>
  <c r="M8" i="6" s="1"/>
  <c r="F7" i="6"/>
  <c r="M7" i="6" s="1"/>
  <c r="F6" i="6"/>
  <c r="M6" i="6" s="1"/>
  <c r="L15" i="6"/>
  <c r="N15" i="6"/>
  <c r="Q15" i="6"/>
  <c r="G13" i="8"/>
  <c r="J13" i="8"/>
  <c r="K13" i="8"/>
  <c r="H15" i="6"/>
  <c r="J15" i="6"/>
  <c r="O15" i="6"/>
  <c r="E13" i="8"/>
  <c r="G15" i="6"/>
  <c r="K15" i="6"/>
  <c r="P15" i="6"/>
  <c r="F13" i="8"/>
  <c r="L14" i="6"/>
  <c r="N14" i="6"/>
  <c r="Q14" i="6"/>
  <c r="G12" i="8"/>
  <c r="J12" i="8"/>
  <c r="K12" i="8"/>
  <c r="H14" i="6"/>
  <c r="J14" i="6"/>
  <c r="O14" i="6"/>
  <c r="E12" i="8"/>
  <c r="G14" i="6"/>
  <c r="K14" i="6"/>
  <c r="P14" i="6"/>
  <c r="F12" i="8"/>
  <c r="L13" i="6"/>
  <c r="N13" i="6"/>
  <c r="Q13" i="6"/>
  <c r="G11" i="8"/>
  <c r="J11" i="8"/>
  <c r="K11" i="8"/>
  <c r="H13" i="6"/>
  <c r="J13" i="6"/>
  <c r="O13" i="6"/>
  <c r="E11" i="8"/>
  <c r="G13" i="6"/>
  <c r="K13" i="6"/>
  <c r="P13" i="6"/>
  <c r="F11" i="8"/>
  <c r="L12" i="6"/>
  <c r="N12" i="6"/>
  <c r="Q12" i="6"/>
  <c r="G10" i="8"/>
  <c r="J10" i="8"/>
  <c r="K10" i="8"/>
  <c r="H12" i="6"/>
  <c r="J12" i="6"/>
  <c r="O12" i="6"/>
  <c r="E10" i="8"/>
  <c r="G12" i="6"/>
  <c r="K12" i="6"/>
  <c r="P12" i="6"/>
  <c r="F10" i="8"/>
  <c r="L11" i="6"/>
  <c r="N11" i="6"/>
  <c r="Q11" i="6"/>
  <c r="G9" i="8"/>
  <c r="J9" i="8"/>
  <c r="K9" i="8"/>
  <c r="H11" i="6"/>
  <c r="J11" i="6"/>
  <c r="O11" i="6"/>
  <c r="E9" i="8"/>
  <c r="G11" i="6"/>
  <c r="K11" i="6"/>
  <c r="P11" i="6"/>
  <c r="F9" i="8"/>
  <c r="L10" i="6"/>
  <c r="N10" i="6"/>
  <c r="Q10" i="6"/>
  <c r="G8" i="8"/>
  <c r="J8" i="8"/>
  <c r="K8" i="8"/>
  <c r="H10" i="6"/>
  <c r="J10" i="6"/>
  <c r="O10" i="6"/>
  <c r="E8" i="8"/>
  <c r="G10" i="6"/>
  <c r="K10" i="6"/>
  <c r="P10" i="6"/>
  <c r="F8" i="8"/>
  <c r="L9" i="6"/>
  <c r="N9" i="6"/>
  <c r="Q9" i="6"/>
  <c r="G7" i="8"/>
  <c r="J7" i="8"/>
  <c r="K7" i="8"/>
  <c r="H9" i="6"/>
  <c r="J9" i="6"/>
  <c r="O9" i="6"/>
  <c r="E7" i="8"/>
  <c r="G9" i="6"/>
  <c r="K9" i="6"/>
  <c r="P9" i="6"/>
  <c r="F7" i="8"/>
  <c r="L8" i="6"/>
  <c r="N8" i="6"/>
  <c r="Q8" i="6"/>
  <c r="G6" i="8"/>
  <c r="J6" i="8"/>
  <c r="K6" i="8"/>
  <c r="H8" i="6"/>
  <c r="J8" i="6"/>
  <c r="O8" i="6"/>
  <c r="E6" i="8"/>
  <c r="G8" i="6"/>
  <c r="K8" i="6"/>
  <c r="P8" i="6"/>
  <c r="F6" i="8"/>
  <c r="L7" i="6"/>
  <c r="N7" i="6"/>
  <c r="Q7" i="6"/>
  <c r="G5" i="8"/>
  <c r="J5" i="8"/>
  <c r="K5" i="8"/>
  <c r="H7" i="6"/>
  <c r="J7" i="6"/>
  <c r="O7" i="6"/>
  <c r="E5" i="8"/>
  <c r="G7" i="6"/>
  <c r="K7" i="6"/>
  <c r="P7" i="6"/>
  <c r="F5" i="8"/>
  <c r="L6" i="6"/>
  <c r="N6" i="6"/>
  <c r="Q6" i="6"/>
  <c r="Q16" i="6"/>
  <c r="Q19" i="6"/>
  <c r="Q21" i="6"/>
  <c r="G4" i="8"/>
  <c r="J4" i="8"/>
  <c r="K4" i="8"/>
  <c r="K15" i="8"/>
  <c r="J15" i="8"/>
  <c r="G15" i="8"/>
  <c r="E4" i="15"/>
  <c r="F4" i="15"/>
  <c r="E10" i="15"/>
  <c r="F10" i="15"/>
  <c r="H6" i="6"/>
  <c r="J6" i="6"/>
  <c r="O6" i="6"/>
  <c r="O16" i="6"/>
  <c r="O19" i="6"/>
  <c r="E4" i="8"/>
  <c r="E15" i="8"/>
  <c r="C4" i="15"/>
  <c r="C10" i="15"/>
  <c r="G6" i="6"/>
  <c r="K6" i="6"/>
  <c r="P6" i="6"/>
  <c r="P16" i="6"/>
  <c r="P19" i="6"/>
  <c r="F4" i="8"/>
  <c r="F15" i="8"/>
  <c r="B4" i="15"/>
  <c r="B10" i="15"/>
  <c r="B12" i="15"/>
</calcChain>
</file>

<file path=xl/sharedStrings.xml><?xml version="1.0" encoding="utf-8"?>
<sst xmlns="http://schemas.openxmlformats.org/spreadsheetml/2006/main" count="6114" uniqueCount="762">
  <si>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</si>
  <si>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</si>
  <si>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</si>
  <si>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</si>
  <si>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</si>
  <si>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</si>
  <si>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</si>
  <si>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</si>
  <si>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</si>
  <si>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255J</t>
  </si>
  <si>
    <t>5W</t>
  </si>
  <si>
    <t>200J</t>
  </si>
  <si>
    <t>4W</t>
  </si>
  <si>
    <t>160J</t>
  </si>
  <si>
    <t>3W</t>
  </si>
  <si>
    <t>120J</t>
  </si>
  <si>
    <t>94J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</si>
  <si>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</si>
  <si>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</si>
  <si>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</si>
  <si>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</si>
  <si>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</si>
  <si>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</si>
  <si>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</si>
  <si>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</si>
  <si>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</si>
  <si>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</si>
  <si>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</si>
  <si>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</si>
  <si>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</si>
  <si>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</si>
  <si>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</si>
  <si>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</si>
  <si>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</si>
  <si>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</si>
  <si>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</si>
  <si>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</si>
  <si>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</si>
  <si>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</si>
  <si>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</si>
  <si>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</si>
  <si>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</si>
  <si>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</si>
  <si>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</si>
  <si>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</si>
  <si>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</si>
  <si>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</si>
  <si>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</si>
  <si>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</si>
  <si>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</si>
  <si>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</si>
  <si>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</si>
  <si>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</si>
  <si>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</si>
  <si>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</si>
  <si>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</si>
  <si>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</si>
  <si>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</si>
  <si>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</si>
  <si>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</si>
  <si>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</si>
  <si>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</si>
  <si>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</si>
  <si>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</si>
  <si>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</si>
  <si>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</si>
  <si>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</si>
  <si>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</si>
  <si>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</si>
  <si>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</si>
  <si>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MAHB</t>
  </si>
  <si>
    <t>Mediatheek/bibliotheek- harde vloeren (basis)</t>
  </si>
  <si>
    <t>MAHV</t>
  </si>
  <si>
    <t>Mediatheek/bibliotheek- harde vloeren (volledig)</t>
  </si>
  <si>
    <t>MAZV</t>
  </si>
  <si>
    <t>Mediatheek/bibliotheek- zachte vloeren (volledig)</t>
  </si>
  <si>
    <t>PAHB</t>
  </si>
  <si>
    <t>Praktijk lokaal - harde vloeren (basis)</t>
  </si>
  <si>
    <t>PAHV</t>
  </si>
  <si>
    <t>Praktijk lokaal - harde vloeren (volledig)</t>
  </si>
  <si>
    <t>PAZB</t>
  </si>
  <si>
    <t>Praktijk lokaal - zachte vloeren (basis)</t>
  </si>
  <si>
    <t>PAZV</t>
  </si>
  <si>
    <t>Praktijk lokaal - zachte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</si>
  <si>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</si>
  <si>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</si>
  <si>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</si>
  <si>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</si>
  <si>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</si>
  <si>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</si>
  <si>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</si>
  <si>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</si>
  <si>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</si>
  <si>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</si>
  <si>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</si>
  <si>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</si>
  <si>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</si>
  <si>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</si>
  <si>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</si>
  <si>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</si>
  <si>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</si>
  <si>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GSHB</t>
  </si>
  <si>
    <t xml:space="preserve">V    </t>
  </si>
  <si>
    <t>Gymzalen/sportruimten/toestelberging - harde vloeren (basis)</t>
  </si>
  <si>
    <t>GSHV</t>
  </si>
  <si>
    <t>Gymzalen/sportruimten/toestelberging - harde vloeren (volledig)</t>
  </si>
  <si>
    <t>KAHB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</si>
  <si>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</si>
  <si>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</si>
  <si>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</si>
  <si>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</si>
  <si>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</si>
  <si>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</si>
  <si>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</si>
  <si>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</si>
  <si>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</si>
  <si>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</si>
  <si>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</si>
  <si>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</si>
  <si>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</si>
  <si>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</si>
  <si>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</si>
  <si>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</si>
  <si>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</si>
  <si>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</si>
  <si>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</si>
  <si>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</si>
  <si>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</si>
  <si>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</si>
  <si>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</si>
  <si>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</si>
  <si>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</si>
  <si>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</si>
  <si>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</si>
  <si>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</si>
  <si>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</si>
  <si>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</si>
  <si>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</si>
  <si>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VOHB</t>
  </si>
  <si>
    <t>Verkeer overigen - harde vloeren (basis)</t>
  </si>
  <si>
    <t>VOHV</t>
  </si>
  <si>
    <t>Verkeer overigen - harde vloeren (volledig)</t>
  </si>
  <si>
    <t>VSHB</t>
  </si>
  <si>
    <t>Speelzaal - harde vloeren (basis)</t>
  </si>
  <si>
    <t>VSHV</t>
  </si>
  <si>
    <t>Speelzaal - harde vloeren (volledig)</t>
  </si>
  <si>
    <t>VTHB</t>
  </si>
  <si>
    <t>Trap - harde vloeren (basis)</t>
  </si>
  <si>
    <t>VTHV</t>
  </si>
  <si>
    <t>Trap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</si>
  <si>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</si>
  <si>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</si>
  <si>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</si>
  <si>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</si>
  <si>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</si>
  <si>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</si>
  <si>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</si>
  <si>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</si>
  <si>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</si>
  <si>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</si>
  <si>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</si>
  <si>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</si>
  <si>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</si>
  <si>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</si>
  <si>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</si>
  <si>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</si>
  <si>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</si>
  <si>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</si>
  <si>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</si>
  <si>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</si>
  <si>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</si>
  <si>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</si>
  <si>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</si>
  <si>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</si>
  <si>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</si>
  <si>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</si>
  <si>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</si>
  <si>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</si>
  <si>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</si>
  <si>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</si>
  <si>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</si>
  <si>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</si>
  <si>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</si>
  <si>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</si>
  <si>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</si>
  <si>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</si>
  <si>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</si>
  <si>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</si>
  <si>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- harde vloeren</t>
  </si>
  <si>
    <t>PAZ</t>
  </si>
  <si>
    <t>Praktijklokaal - zachte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</si>
  <si>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</si>
  <si>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</si>
  <si>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</si>
  <si>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</si>
  <si>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</si>
  <si>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</si>
  <si>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</si>
  <si>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</si>
  <si>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</si>
  <si>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</si>
  <si>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</si>
  <si>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</si>
  <si>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</si>
  <si>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</si>
  <si>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</si>
  <si>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</si>
  <si>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VOH</t>
  </si>
  <si>
    <t>Verkeer overigen - harde vloeren</t>
  </si>
  <si>
    <t>VSH</t>
  </si>
  <si>
    <t>Speelzaal - harde vloeren</t>
  </si>
  <si>
    <t>VTH</t>
  </si>
  <si>
    <t>Trap - harde vloeren</t>
  </si>
  <si>
    <t>Z002</t>
  </si>
  <si>
    <t>extra</t>
  </si>
  <si>
    <t>Vloer geheel moppen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</si>
  <si>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</si>
  <si>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</si>
  <si>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</si>
  <si>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</si>
  <si>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</si>
  <si>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</si>
  <si>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</si>
  <si>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</si>
  <si>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</si>
  <si>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</si>
  <si>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</si>
  <si>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UREN HOOG-FREQUENT/ DAG</t>
  </si>
  <si>
    <t>1020 - 't Praathuis, Meerlaan 26, Culemborg</t>
  </si>
  <si>
    <t>1020</t>
  </si>
  <si>
    <t/>
  </si>
  <si>
    <t>00</t>
  </si>
  <si>
    <t>0.01</t>
  </si>
  <si>
    <t>Entree</t>
  </si>
  <si>
    <t>tapijt</t>
  </si>
  <si>
    <t>V</t>
  </si>
  <si>
    <t>0.02</t>
  </si>
  <si>
    <t>Klaslokaal</t>
  </si>
  <si>
    <t>lino</t>
  </si>
  <si>
    <t>L</t>
  </si>
  <si>
    <t>0.02a</t>
  </si>
  <si>
    <t>Trap in klaslokaal</t>
  </si>
  <si>
    <t>hout (gelakt)</t>
  </si>
  <si>
    <t>0.02b</t>
  </si>
  <si>
    <t>Vliering in klaslokaal</t>
  </si>
  <si>
    <t>0.03</t>
  </si>
  <si>
    <t>0.03a</t>
  </si>
  <si>
    <t>0.03b</t>
  </si>
  <si>
    <t>0.04</t>
  </si>
  <si>
    <t>Klaslokaal groep 1-2</t>
  </si>
  <si>
    <t>0.04a</t>
  </si>
  <si>
    <t>Trap in klaslokaal groep 1-2</t>
  </si>
  <si>
    <t>0.04b</t>
  </si>
  <si>
    <t>Vliering in klaslokaal groep 1-2</t>
  </si>
  <si>
    <t>0.07</t>
  </si>
  <si>
    <t>Toilet</t>
  </si>
  <si>
    <t>pvc</t>
  </si>
  <si>
    <t>S</t>
  </si>
  <si>
    <t>0.08</t>
  </si>
  <si>
    <t>0.09</t>
  </si>
  <si>
    <t>0.10</t>
  </si>
  <si>
    <t>Magazijn</t>
  </si>
  <si>
    <t>0.11</t>
  </si>
  <si>
    <t>Multifunctionele hal</t>
  </si>
  <si>
    <t>linoleum</t>
  </si>
  <si>
    <t>0.12</t>
  </si>
  <si>
    <t>Gang</t>
  </si>
  <si>
    <t>0.12a</t>
  </si>
  <si>
    <t>Wenteltrap</t>
  </si>
  <si>
    <t>0.13</t>
  </si>
  <si>
    <t>0.13a</t>
  </si>
  <si>
    <t>0.13b</t>
  </si>
  <si>
    <t>0.14</t>
  </si>
  <si>
    <t>0.14a</t>
  </si>
  <si>
    <t>0.14b</t>
  </si>
  <si>
    <t>0.15</t>
  </si>
  <si>
    <t>0.15a</t>
  </si>
  <si>
    <t>0.15b</t>
  </si>
  <si>
    <t>0.18</t>
  </si>
  <si>
    <t>Personeelskamer</t>
  </si>
  <si>
    <t>0.19</t>
  </si>
  <si>
    <t>Flexplek</t>
  </si>
  <si>
    <t>B</t>
  </si>
  <si>
    <t>0.21</t>
  </si>
  <si>
    <t>0.22</t>
  </si>
  <si>
    <t>0.23</t>
  </si>
  <si>
    <t>0.24</t>
  </si>
  <si>
    <t>0.25</t>
  </si>
  <si>
    <t>0.26</t>
  </si>
  <si>
    <t>0.27</t>
  </si>
  <si>
    <t>Directiekantoor</t>
  </si>
  <si>
    <t>0.28</t>
  </si>
  <si>
    <t>0.32</t>
  </si>
  <si>
    <t>Keuken</t>
  </si>
  <si>
    <t>0.33</t>
  </si>
  <si>
    <t>0.34</t>
  </si>
  <si>
    <t>Invalidentoilet</t>
  </si>
  <si>
    <t>tegel</t>
  </si>
  <si>
    <t>0.35</t>
  </si>
  <si>
    <t>Speelzaal</t>
  </si>
  <si>
    <t>descol</t>
  </si>
  <si>
    <t>0.35s</t>
  </si>
  <si>
    <t>Toestelberging</t>
  </si>
  <si>
    <t>0.36</t>
  </si>
  <si>
    <t>Podium</t>
  </si>
  <si>
    <t>01</t>
  </si>
  <si>
    <t>1.04</t>
  </si>
  <si>
    <t>1.08</t>
  </si>
  <si>
    <t>Bibliotheek</t>
  </si>
  <si>
    <t>DEP</t>
  </si>
  <si>
    <t>schoonloopmat</t>
  </si>
  <si>
    <t>Aanrecht in klas</t>
  </si>
  <si>
    <t>0.05</t>
  </si>
  <si>
    <t>Vlindertuin</t>
  </si>
  <si>
    <t>graniet</t>
  </si>
  <si>
    <t>Toiletten/Douche</t>
  </si>
  <si>
    <t>0.11a</t>
  </si>
  <si>
    <t>Berging</t>
  </si>
  <si>
    <t>Hal</t>
  </si>
  <si>
    <t>Totaal werkdag</t>
  </si>
  <si>
    <t>1030 - Parijsch, Prijsseweg 47, Culemborg</t>
  </si>
  <si>
    <t>1030</t>
  </si>
  <si>
    <t>entree</t>
  </si>
  <si>
    <t>0.01a</t>
  </si>
  <si>
    <t>trap</t>
  </si>
  <si>
    <t>steen</t>
  </si>
  <si>
    <t>toilet/miva</t>
  </si>
  <si>
    <t>leslokaal groep 1-2</t>
  </si>
  <si>
    <t>0.06</t>
  </si>
  <si>
    <t>bibliotheek</t>
  </si>
  <si>
    <t>entree/gang</t>
  </si>
  <si>
    <t>leslokaal</t>
  </si>
  <si>
    <t>toilet</t>
  </si>
  <si>
    <t>hal/centrale ruimte</t>
  </si>
  <si>
    <t>0.20</t>
  </si>
  <si>
    <t>gymzaal</t>
  </si>
  <si>
    <t>sportvloer</t>
  </si>
  <si>
    <t>0.20a</t>
  </si>
  <si>
    <t>toestellenberging</t>
  </si>
  <si>
    <t>1.01</t>
  </si>
  <si>
    <t>Zelfwerkruimte</t>
  </si>
  <si>
    <t>1.03</t>
  </si>
  <si>
    <t>1.05</t>
  </si>
  <si>
    <t>kantoor</t>
  </si>
  <si>
    <t>1.07</t>
  </si>
  <si>
    <t>lerarenkamer</t>
  </si>
  <si>
    <t>1.07a</t>
  </si>
  <si>
    <t>pantry</t>
  </si>
  <si>
    <t>1.09</t>
  </si>
  <si>
    <t>1.10</t>
  </si>
  <si>
    <t>1.11</t>
  </si>
  <si>
    <t>1.13</t>
  </si>
  <si>
    <t>1.14</t>
  </si>
  <si>
    <t>gang / centrale ruimte</t>
  </si>
  <si>
    <t>BIJ</t>
  </si>
  <si>
    <t>B.01</t>
  </si>
  <si>
    <t>mat/tapijt</t>
  </si>
  <si>
    <t>B.02</t>
  </si>
  <si>
    <t>gang</t>
  </si>
  <si>
    <t>B.03</t>
  </si>
  <si>
    <t>B.04</t>
  </si>
  <si>
    <t>B.05</t>
  </si>
  <si>
    <t>B.06</t>
  </si>
  <si>
    <t>B.07</t>
  </si>
  <si>
    <t>gietvloer</t>
  </si>
  <si>
    <t>B.08</t>
  </si>
  <si>
    <t>B.09</t>
  </si>
  <si>
    <t>2010 - Moespot, Wadensteinlaan 46, Tiel</t>
  </si>
  <si>
    <t>2010</t>
  </si>
  <si>
    <t>styzo (stoffelvloer)</t>
  </si>
  <si>
    <t>miva</t>
  </si>
  <si>
    <t>0.08a</t>
  </si>
  <si>
    <t>0.10a</t>
  </si>
  <si>
    <t>gymlokaal</t>
  </si>
  <si>
    <t>podium</t>
  </si>
  <si>
    <t>0.17</t>
  </si>
  <si>
    <t>aula</t>
  </si>
  <si>
    <t>0.18a</t>
  </si>
  <si>
    <t>0.19a</t>
  </si>
  <si>
    <t>handarbeidruimte</t>
  </si>
  <si>
    <t>0.22a</t>
  </si>
  <si>
    <t>0.31</t>
  </si>
  <si>
    <t>ib kantoor</t>
  </si>
  <si>
    <t>0.35a</t>
  </si>
  <si>
    <t>0.37</t>
  </si>
  <si>
    <t>0.37a</t>
  </si>
  <si>
    <t>0.39</t>
  </si>
  <si>
    <t>0.40</t>
  </si>
  <si>
    <t>0.40a</t>
  </si>
  <si>
    <t>0.41</t>
  </si>
  <si>
    <t>0.42</t>
  </si>
  <si>
    <t>0.42a</t>
  </si>
  <si>
    <t>0.43</t>
  </si>
  <si>
    <t>0.43a</t>
  </si>
  <si>
    <t>2020 - Molenwerf, Priorlaan 1, Tiel</t>
  </si>
  <si>
    <t>2020</t>
  </si>
  <si>
    <t>pu gietvloer</t>
  </si>
  <si>
    <t>stryzo</t>
  </si>
  <si>
    <t>hal</t>
  </si>
  <si>
    <t>0.16</t>
  </si>
  <si>
    <t>gemeentschapsruimte</t>
  </si>
  <si>
    <t>coral</t>
  </si>
  <si>
    <t>kantoor/personeelskamer</t>
  </si>
  <si>
    <t>0.30</t>
  </si>
  <si>
    <t>vergaderruimte</t>
  </si>
  <si>
    <t>0.44</t>
  </si>
  <si>
    <t>0.44a</t>
  </si>
  <si>
    <t>kantoor /spreekkamer</t>
  </si>
  <si>
    <t>0.45</t>
  </si>
  <si>
    <t>0.46</t>
  </si>
  <si>
    <t>0.46a</t>
  </si>
  <si>
    <t>0.48</t>
  </si>
  <si>
    <t>0.49</t>
  </si>
  <si>
    <t>0.50</t>
  </si>
  <si>
    <t>2030 - Montessori Tiel, Dahliastraat 27, Tiel</t>
  </si>
  <si>
    <t>2030</t>
  </si>
  <si>
    <t>klaslokaal A4</t>
  </si>
  <si>
    <t>klaslokaal A6</t>
  </si>
  <si>
    <t>klaslokaal A7</t>
  </si>
  <si>
    <t>klaslokaal A8</t>
  </si>
  <si>
    <t>kantoor B4</t>
  </si>
  <si>
    <t>kantoor B5</t>
  </si>
  <si>
    <t>klaslokaal A9</t>
  </si>
  <si>
    <t>IB Kantoor Orthotheek A10</t>
  </si>
  <si>
    <t>toiletgroep</t>
  </si>
  <si>
    <t>stryzo (troffelvloer)</t>
  </si>
  <si>
    <t>toiletgroep C4</t>
  </si>
  <si>
    <t>garderobe</t>
  </si>
  <si>
    <t>toilet Personeel C8</t>
  </si>
  <si>
    <t>personeelskamer</t>
  </si>
  <si>
    <t>keuken</t>
  </si>
  <si>
    <t>0.24a</t>
  </si>
  <si>
    <t>doorgang</t>
  </si>
  <si>
    <t>klaslokaal A11</t>
  </si>
  <si>
    <t>0.29</t>
  </si>
  <si>
    <t>klaslokaal A1 groep 1-2</t>
  </si>
  <si>
    <t>klaslokaal A2 groep 1-2</t>
  </si>
  <si>
    <t>directie</t>
  </si>
  <si>
    <t>kantoor B2</t>
  </si>
  <si>
    <t>toilet onderbouw C2</t>
  </si>
  <si>
    <t>klaslokaal A3</t>
  </si>
  <si>
    <t>douche/berging</t>
  </si>
  <si>
    <t>toiletruimte</t>
  </si>
  <si>
    <t>1.02</t>
  </si>
  <si>
    <t>toilet Dames</t>
  </si>
  <si>
    <t>toilet Heren</t>
  </si>
  <si>
    <t>trappenhuis</t>
  </si>
  <si>
    <t>2040 - Regenboog, Mr. Rinkstraat 19, Tiel</t>
  </si>
  <si>
    <t>2040</t>
  </si>
  <si>
    <t>entree PSZ</t>
  </si>
  <si>
    <t>centrale ruimte</t>
  </si>
  <si>
    <t>centrale ruimte (trap en verhoging)</t>
  </si>
  <si>
    <t>entree Consultatiebureau</t>
  </si>
  <si>
    <t>spreekkamer</t>
  </si>
  <si>
    <t>boxenkamer</t>
  </si>
  <si>
    <t>Speellokaal</t>
  </si>
  <si>
    <t>MIVA toilet</t>
  </si>
  <si>
    <t>flexplek</t>
  </si>
  <si>
    <t>leslokaal onderbouw groep 1-2</t>
  </si>
  <si>
    <t>Werkkamer</t>
  </si>
  <si>
    <t>verschoonruimte</t>
  </si>
  <si>
    <t>toiletten</t>
  </si>
  <si>
    <t>peuterspeelzaal</t>
  </si>
  <si>
    <t>personeelsruimte</t>
  </si>
  <si>
    <t>intern begeleider</t>
  </si>
  <si>
    <t>lokaal bovenbouw</t>
  </si>
  <si>
    <t>verwerkingsruimte</t>
  </si>
  <si>
    <t>2050 - Waayer, Kornoelje 1, Tiel</t>
  </si>
  <si>
    <t>2050</t>
  </si>
  <si>
    <t>leslokaal handenarbeid</t>
  </si>
  <si>
    <t>gang / speelhoek</t>
  </si>
  <si>
    <t>hout</t>
  </si>
  <si>
    <t>1.06</t>
  </si>
  <si>
    <t>1.12</t>
  </si>
  <si>
    <t>beton</t>
  </si>
  <si>
    <t>1.16</t>
  </si>
  <si>
    <t>2060 - Waayer Wadenoijen, Dreef 1d, Wadenoijen</t>
  </si>
  <si>
    <t>2060</t>
  </si>
  <si>
    <t>(Kleuter)Leslokaal</t>
  </si>
  <si>
    <t>Leslokaal</t>
  </si>
  <si>
    <t>Spreekruimte</t>
  </si>
  <si>
    <t>0.11b</t>
  </si>
  <si>
    <t>Portaal</t>
  </si>
  <si>
    <t>Kinderopvang</t>
  </si>
  <si>
    <t>Directiekamer</t>
  </si>
  <si>
    <t>Zithoek</t>
  </si>
  <si>
    <t>2070 - Wissel, W.J. Bladergroenstraat 3, Tiel</t>
  </si>
  <si>
    <t>2070</t>
  </si>
  <si>
    <t>leslokaal- nu opslag</t>
  </si>
  <si>
    <t>droogloopmat</t>
  </si>
  <si>
    <t>computerruimte</t>
  </si>
  <si>
    <t>copieruimte</t>
  </si>
  <si>
    <t>0.38</t>
  </si>
  <si>
    <t>voorruimte toilet</t>
  </si>
  <si>
    <t>kleedruimte gymleraar</t>
  </si>
  <si>
    <t>kantoor gymleraar</t>
  </si>
  <si>
    <t>0.51</t>
  </si>
  <si>
    <t>gang naar kantoor gymleraar</t>
  </si>
  <si>
    <t>0.52</t>
  </si>
  <si>
    <t>kleedlokaal</t>
  </si>
  <si>
    <t>0.53</t>
  </si>
  <si>
    <t>toestelberging</t>
  </si>
  <si>
    <t>0.54</t>
  </si>
  <si>
    <t>0.56</t>
  </si>
  <si>
    <t>kleedkamer</t>
  </si>
  <si>
    <t>0.56a</t>
  </si>
  <si>
    <t>0.58</t>
  </si>
  <si>
    <t>0.60</t>
  </si>
  <si>
    <t>0.62</t>
  </si>
  <si>
    <t>toilet heren</t>
  </si>
  <si>
    <t>0.63</t>
  </si>
  <si>
    <t>toilet dames</t>
  </si>
  <si>
    <t>0.66</t>
  </si>
  <si>
    <t>handarbeidlokaal</t>
  </si>
  <si>
    <t>0.67</t>
  </si>
  <si>
    <t>grootkeuken</t>
  </si>
  <si>
    <t>0.69</t>
  </si>
  <si>
    <t>0.72</t>
  </si>
  <si>
    <t>0.73</t>
  </si>
  <si>
    <t>0.74</t>
  </si>
  <si>
    <t>0.75</t>
  </si>
  <si>
    <t>vergaderkamer</t>
  </si>
  <si>
    <t>0.76</t>
  </si>
  <si>
    <t>0.77</t>
  </si>
  <si>
    <t>0.78</t>
  </si>
  <si>
    <t>0.79</t>
  </si>
  <si>
    <t>0.82</t>
  </si>
  <si>
    <t>repro</t>
  </si>
  <si>
    <t>1.15</t>
  </si>
  <si>
    <t>1.17</t>
  </si>
  <si>
    <t>1.18</t>
  </si>
  <si>
    <t>1.19</t>
  </si>
  <si>
    <t>1.20</t>
  </si>
  <si>
    <t>1.22</t>
  </si>
  <si>
    <t>1.23</t>
  </si>
  <si>
    <t>1.26</t>
  </si>
  <si>
    <t>1.27</t>
  </si>
  <si>
    <t>2080 - Bestuurskantoor, Wethouder Schootslaan 5, Tiel</t>
  </si>
  <si>
    <t>2080</t>
  </si>
  <si>
    <t>kantoor E</t>
  </si>
  <si>
    <t>secretariaat</t>
  </si>
  <si>
    <t>kantoor D</t>
  </si>
  <si>
    <t>kantoor C</t>
  </si>
  <si>
    <t>archief/werkkast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</si>
  <si>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</si>
  <si>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</si>
  <si>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</si>
  <si>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</si>
  <si>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</si>
  <si>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</si>
  <si>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</si>
  <si>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1020</t>
  </si>
  <si>
    <t xml:space="preserve">    1030</t>
  </si>
  <si>
    <t xml:space="preserve">    2010</t>
  </si>
  <si>
    <t xml:space="preserve">    2020</t>
  </si>
  <si>
    <t xml:space="preserve">    2030</t>
  </si>
  <si>
    <t xml:space="preserve">    2040</t>
  </si>
  <si>
    <t xml:space="preserve">    2050</t>
  </si>
  <si>
    <t xml:space="preserve">    2060</t>
  </si>
  <si>
    <t xml:space="preserve">    2070</t>
  </si>
  <si>
    <t xml:space="preserve">    2080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</si>
  <si>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</si>
  <si>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</si>
  <si>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</si>
  <si>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</si>
  <si>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</si>
  <si>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</si>
  <si>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</si>
  <si>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</si>
  <si>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</si>
  <si>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</si>
  <si>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</si>
  <si>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</si>
  <si>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</si>
  <si>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</si>
  <si>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</si>
  <si>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t Praathuis</t>
  </si>
  <si>
    <t>Meerlaan 26</t>
  </si>
  <si>
    <t>Culemborg</t>
  </si>
  <si>
    <t>Parijsch</t>
  </si>
  <si>
    <t>Prijsseweg 47</t>
  </si>
  <si>
    <t>Moespot</t>
  </si>
  <si>
    <t>Wadensteinlaan 46</t>
  </si>
  <si>
    <t>Tiel</t>
  </si>
  <si>
    <t>Molenwerf</t>
  </si>
  <si>
    <t>Priorlaan 1</t>
  </si>
  <si>
    <t>Montessori Tiel</t>
  </si>
  <si>
    <t>Dahliastraat 27</t>
  </si>
  <si>
    <t>Regenboog</t>
  </si>
  <si>
    <t>Mr. Rinkstraat 19</t>
  </si>
  <si>
    <t>Waayer</t>
  </si>
  <si>
    <t>Kornoelje 1</t>
  </si>
  <si>
    <t>Waayer Wadenoijen</t>
  </si>
  <si>
    <t>Dreef 1d</t>
  </si>
  <si>
    <t>Wadenoijen</t>
  </si>
  <si>
    <t>Wissel</t>
  </si>
  <si>
    <t>W.J. Bladergroenstraat 3</t>
  </si>
  <si>
    <t>Bestuurskantoor</t>
  </si>
  <si>
    <t>Wethouder Schootslaan 5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</si>
  <si>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</si>
  <si>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</si>
  <si>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</si>
  <si>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</si>
  <si>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</si>
  <si>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</si>
  <si>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</si>
  <si>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</si>
  <si>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</si>
  <si>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</si>
  <si>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</si>
  <si>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</si>
  <si>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</si>
  <si>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</si>
  <si>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1020 - 't Praathuis, Meerlaan 26, Culemborg</t>
  </si>
  <si>
    <t>Totaal 1030 - Parijsch, Prijsseweg 47, Culemborg</t>
  </si>
  <si>
    <t>Totaal 2010 - Moespot, Wadensteinlaan 46, Tiel</t>
  </si>
  <si>
    <t>Totaal 2020 - Molenwerf, Priorlaan 1, Tiel</t>
  </si>
  <si>
    <t>Totaal 2030 - Montessori Tiel, Dahliastraat 27, Tiel</t>
  </si>
  <si>
    <t>Totaal 2040 - Regenboog, Mr. Rinkstraat 19, Tiel</t>
  </si>
  <si>
    <t>Totaal 2050 - Waayer, Kornoelje 1, Tiel</t>
  </si>
  <si>
    <t>Totaal 2060 - Waayer Wadenoijen, Dreef 1d, Wadenoijen</t>
  </si>
  <si>
    <t>Totaal 2070 - Wissel, W.J. Bladergroenstraat 3, Tiel</t>
  </si>
  <si>
    <t>Totaal 2080 - Bestuurskantoor, Wethouder Schootslaan 5, Tiel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</si>
  <si>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</si>
  <si>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</si>
  <si>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</si>
  <si>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</si>
  <si>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</si>
  <si>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</si>
  <si>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JAAR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</si>
  <si>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</si>
  <si>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</si>
  <si>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</si>
  <si>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</si>
  <si>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</si>
  <si>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</si>
  <si>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</si>
  <si>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</si>
  <si>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</si>
  <si>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Linoleum vloeren strippen/conserveren</t>
  </si>
  <si>
    <t>tijdsnorm in vloer m²/uur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</si>
  <si>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</si>
  <si>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</si>
  <si>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</si>
  <si>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</si>
  <si>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</si>
  <si>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</si>
  <si>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</si>
  <si>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</si>
  <si>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</si>
  <si>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</si>
  <si>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</si>
  <si>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</si>
  <si>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</si>
  <si>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</si>
  <si>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</si>
  <si>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</si>
  <si>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</si>
  <si>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</si>
  <si>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</si>
  <si>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</si>
  <si>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</si>
  <si>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</si>
  <si>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4000A</t>
  </si>
  <si>
    <t>Vloer schrobben/waterzuigen</t>
  </si>
  <si>
    <t>prijs per m²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</si>
  <si>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</si>
  <si>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</si>
  <si>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</si>
  <si>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</si>
  <si>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</si>
  <si>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</si>
  <si>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</si>
  <si>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</si>
  <si>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</si>
  <si>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</si>
  <si>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</si>
  <si>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</si>
  <si>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</si>
  <si>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</si>
  <si>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</si>
  <si>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</si>
  <si>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</si>
  <si>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</si>
  <si>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</si>
  <si>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</si>
  <si>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</si>
  <si>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</si>
  <si>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</si>
  <si>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</si>
  <si>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</si>
  <si>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</si>
  <si>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</si>
  <si>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</si>
  <si>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</si>
  <si>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</si>
  <si>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</si>
  <si>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</si>
  <si>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</si>
  <si>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</si>
  <si>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</si>
  <si>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</si>
  <si>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</si>
  <si>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</si>
  <si>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</si>
  <si>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</si>
  <si>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</si>
  <si>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</si>
  <si>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reinigen d.m.v. "stomen"</t>
  </si>
  <si>
    <t>4080B</t>
  </si>
  <si>
    <t>Sanitair  reinigen d.m.v. "stomen"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</si>
  <si>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</si>
  <si>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</si>
  <si>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</si>
  <si>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</si>
  <si>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</si>
  <si>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</si>
  <si>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</si>
  <si>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</si>
  <si>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</si>
  <si>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</si>
  <si>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prijs per uur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</si>
  <si>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</si>
  <si>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</si>
  <si>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</si>
  <si>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</si>
  <si>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</si>
  <si>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</si>
  <si>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</si>
  <si>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</si>
  <si>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</si>
  <si>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8025</t>
  </si>
  <si>
    <t>Lichtkoepels buitenzijde</t>
  </si>
  <si>
    <t>8030</t>
  </si>
  <si>
    <t>Lichtkoepels binnenzijde</t>
  </si>
  <si>
    <t>8035</t>
  </si>
  <si>
    <t>Dakglas buitenzijde</t>
  </si>
  <si>
    <t>8040</t>
  </si>
  <si>
    <t>Dakglas binnenzijde</t>
  </si>
  <si>
    <t>totaalprijs</t>
  </si>
  <si>
    <t>8075</t>
  </si>
  <si>
    <t>Steiger binnen voor lichtkoepel de Wissel</t>
  </si>
  <si>
    <t>8100</t>
  </si>
  <si>
    <t>Beplating buitenzijde reinigen</t>
  </si>
  <si>
    <t>8110</t>
  </si>
  <si>
    <t>Beplating binnenzijde reinigen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</si>
  <si>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</si>
  <si>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</si>
  <si>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</si>
  <si>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</si>
  <si>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</si>
  <si>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</si>
  <si>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</si>
  <si>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</si>
  <si>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</si>
  <si>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Additioneel werk</t>
  </si>
  <si>
    <t>Regie (geschat)</t>
  </si>
  <si>
    <t>Glas</t>
  </si>
  <si>
    <t>Totaal generaal</t>
  </si>
  <si>
    <t>Percentage objectleiding</t>
  </si>
  <si>
    <t>BEGROOT BEDRAG REGULIERE WERKZAAMHEDEN (NIET HOGER DAN BUDGET)</t>
  </si>
  <si>
    <t>VERGELIJKINGSBEDRAG GLASBEWASSING/ADITIONEEL/AFROEP/REGIE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</si>
</sst>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14" xfId="0" quotePrefix="1" applyNumberFormat="1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164" fontId="0" fillId="2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FF92DB7E-58A6-45F1-9196-53117E7F8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F61F-FB94-4EF0-B4DA-F7554C35D7F2}">
  <dimension ref="A1:H32"/>
  <sheetViews>
    <sheetView workbookViewId="0"/>
  </sheetViews>
  <sheetFormatPr defaultRowHeight="12.75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29</v>
      </c>
      <c r="E7" s="5"/>
      <c r="G7" s="4" t="s">
        <v>30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200</v>
      </c>
      <c r="D9" s="2" t="s">
        <v>5</v>
      </c>
      <c r="E9" s="3">
        <v>35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 t="shared" ref="B13:B32" si="0">IF(A13="2½W",2.5/dagenperweek1,IF(RIGHT(A13,1)="W",VALUE(LEFT(A13,LEN(A13)-1))/dagenperweek1,IF(RIGHT(A13,1)="J",VALUE(LEFT(A13,LEN(A13)-1))/dagenperjaar1,"handmatig!")))</f>
        <v>1.2749999999999999</v>
      </c>
      <c r="D13" s="2" t="s">
        <v>10</v>
      </c>
      <c r="E13" s="3">
        <f t="shared" ref="E13:E24" si="1">IF(D13="2½W",2.5/dagenperweek2,IF(RIGHT(D13,1)="W",VALUE(LEFT(D13,LEN(D13)-1))/dagenperweek2,IF(RIGHT(D13,1)="J",VALUE(LEFT(D13,LEN(D13)-1))/dagenperjaar2,"handmatig!")))</f>
        <v>5</v>
      </c>
      <c r="G13" s="2" t="s">
        <v>17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 t="shared" si="0"/>
        <v>1</v>
      </c>
      <c r="D14" s="2" t="s">
        <v>12</v>
      </c>
      <c r="E14" s="3">
        <f t="shared" si="1"/>
        <v>4</v>
      </c>
      <c r="G14" s="2" t="s">
        <v>19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 t="shared" si="0"/>
        <v>1</v>
      </c>
      <c r="D15" s="2" t="s">
        <v>14</v>
      </c>
      <c r="E15" s="3">
        <f t="shared" si="1"/>
        <v>3</v>
      </c>
      <c r="G15" s="6" t="s">
        <v>28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2">
      <c r="A16" s="2" t="s">
        <v>12</v>
      </c>
      <c r="B16" s="3">
        <f t="shared" si="0"/>
        <v>0.8</v>
      </c>
      <c r="D16" s="2" t="s">
        <v>17</v>
      </c>
      <c r="E16" s="3">
        <f t="shared" si="1"/>
        <v>2</v>
      </c>
    </row>
    <row r="17" spans="1:5" x14ac:dyDescent="0.2">
      <c r="A17" s="2" t="s">
        <v>13</v>
      </c>
      <c r="B17" s="3">
        <f t="shared" si="0"/>
        <v>0.8</v>
      </c>
      <c r="D17" s="2" t="s">
        <v>19</v>
      </c>
      <c r="E17" s="3">
        <f t="shared" si="1"/>
        <v>1</v>
      </c>
    </row>
    <row r="18" spans="1:5" x14ac:dyDescent="0.2">
      <c r="A18" s="2" t="s">
        <v>14</v>
      </c>
      <c r="B18" s="3">
        <f t="shared" si="0"/>
        <v>0.6</v>
      </c>
      <c r="D18" s="2" t="s">
        <v>21</v>
      </c>
      <c r="E18" s="3">
        <f t="shared" si="1"/>
        <v>0.74285714285714288</v>
      </c>
    </row>
    <row r="19" spans="1:5" x14ac:dyDescent="0.2">
      <c r="A19" s="2" t="s">
        <v>15</v>
      </c>
      <c r="B19" s="3">
        <f t="shared" si="0"/>
        <v>0.6</v>
      </c>
      <c r="D19" s="2" t="s">
        <v>22</v>
      </c>
      <c r="E19" s="3">
        <f t="shared" si="1"/>
        <v>0.34285714285714286</v>
      </c>
    </row>
    <row r="20" spans="1:5" x14ac:dyDescent="0.2">
      <c r="A20" s="2" t="s">
        <v>16</v>
      </c>
      <c r="B20" s="3">
        <f t="shared" si="0"/>
        <v>0.47</v>
      </c>
      <c r="D20" s="2" t="s">
        <v>24</v>
      </c>
      <c r="E20" s="3">
        <f t="shared" si="1"/>
        <v>0.17142857142857143</v>
      </c>
    </row>
    <row r="21" spans="1:5" x14ac:dyDescent="0.2">
      <c r="A21" s="2" t="s">
        <v>17</v>
      </c>
      <c r="B21" s="3">
        <f t="shared" si="0"/>
        <v>0.4</v>
      </c>
      <c r="D21" s="2" t="s">
        <v>25</v>
      </c>
      <c r="E21" s="3">
        <f t="shared" si="1"/>
        <v>0.11428571428571428</v>
      </c>
    </row>
    <row r="22" spans="1:5" x14ac:dyDescent="0.2">
      <c r="A22" s="2" t="s">
        <v>18</v>
      </c>
      <c r="B22" s="3">
        <f t="shared" si="0"/>
        <v>0.4</v>
      </c>
      <c r="D22" s="2" t="s">
        <v>26</v>
      </c>
      <c r="E22" s="3">
        <f t="shared" si="1"/>
        <v>8.5714285714285715E-2</v>
      </c>
    </row>
    <row r="23" spans="1:5" x14ac:dyDescent="0.2">
      <c r="A23" s="2" t="s">
        <v>19</v>
      </c>
      <c r="B23" s="3">
        <f t="shared" si="0"/>
        <v>0.2</v>
      </c>
      <c r="D23" s="2" t="s">
        <v>27</v>
      </c>
      <c r="E23" s="3">
        <f t="shared" si="1"/>
        <v>5.7142857142857141E-2</v>
      </c>
    </row>
    <row r="24" spans="1:5" x14ac:dyDescent="0.2">
      <c r="A24" s="2" t="s">
        <v>20</v>
      </c>
      <c r="B24" s="3">
        <f t="shared" si="0"/>
        <v>0.2</v>
      </c>
      <c r="D24" s="6" t="s">
        <v>28</v>
      </c>
      <c r="E24" s="7">
        <f t="shared" si="1"/>
        <v>2.8571428571428571E-2</v>
      </c>
    </row>
    <row r="25" spans="1:5" x14ac:dyDescent="0.2">
      <c r="A25" s="2" t="s">
        <v>21</v>
      </c>
      <c r="B25" s="3">
        <f t="shared" si="0"/>
        <v>0.13</v>
      </c>
    </row>
    <row r="26" spans="1:5" x14ac:dyDescent="0.2">
      <c r="A26" s="2" t="s">
        <v>22</v>
      </c>
      <c r="B26" s="3">
        <f t="shared" si="0"/>
        <v>0.06</v>
      </c>
    </row>
    <row r="27" spans="1:5" x14ac:dyDescent="0.2">
      <c r="A27" s="2" t="s">
        <v>23</v>
      </c>
      <c r="B27" s="3">
        <f t="shared" si="0"/>
        <v>0.05</v>
      </c>
    </row>
    <row r="28" spans="1:5" x14ac:dyDescent="0.2">
      <c r="A28" s="2" t="s">
        <v>24</v>
      </c>
      <c r="B28" s="3">
        <f t="shared" si="0"/>
        <v>0.03</v>
      </c>
    </row>
    <row r="29" spans="1:5" x14ac:dyDescent="0.2">
      <c r="A29" s="2" t="s">
        <v>25</v>
      </c>
      <c r="B29" s="3">
        <f t="shared" si="0"/>
        <v>0.02</v>
      </c>
    </row>
    <row r="30" spans="1:5" x14ac:dyDescent="0.2">
      <c r="A30" s="2" t="s">
        <v>26</v>
      </c>
      <c r="B30" s="3">
        <f t="shared" si="0"/>
        <v>1.4999999999999999E-2</v>
      </c>
    </row>
    <row r="31" spans="1:5" x14ac:dyDescent="0.2">
      <c r="A31" s="2" t="s">
        <v>27</v>
      </c>
      <c r="B31" s="3">
        <f t="shared" si="0"/>
        <v>0.01</v>
      </c>
    </row>
    <row r="32" spans="1:5" x14ac:dyDescent="0.2">
      <c r="A32" s="6" t="s">
        <v>28</v>
      </c>
      <c r="B32" s="7">
        <f t="shared" si="0"/>
        <v>5.0000000000000001E-3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D84E-83EC-44E9-AC5C-6CED03F5D6F5}">
  <dimension ref="A1:L3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</cols>
  <sheetData>
    <row r="1" spans="1:12" x14ac:dyDescent="0.2">
      <c r="A1" s="1" t="str">
        <f>CONCATENATE("Bijlage H.8: ",tabeltype," additioneel werk per locatie")</f>
        <v>Bijlage H.8: Invultabel additioneel werk per locatie</v>
      </c>
    </row>
    <row r="3" spans="1:12" ht="38.25" x14ac:dyDescent="0.2">
      <c r="A3" s="8" t="s">
        <v>631</v>
      </c>
      <c r="B3" s="8" t="s">
        <v>7</v>
      </c>
      <c r="C3" s="8" t="s">
        <v>632</v>
      </c>
      <c r="D3" s="8" t="s">
        <v>545</v>
      </c>
      <c r="E3" s="8" t="s">
        <v>34</v>
      </c>
      <c r="F3" s="8" t="s">
        <v>37</v>
      </c>
      <c r="G3" s="8" t="s">
        <v>633</v>
      </c>
      <c r="H3" s="8" t="s">
        <v>634</v>
      </c>
      <c r="I3" s="8" t="s">
        <v>635</v>
      </c>
      <c r="J3" s="8" t="s">
        <v>636</v>
      </c>
      <c r="K3" s="8" t="s">
        <v>637</v>
      </c>
      <c r="L3" s="8" t="s">
        <v>157</v>
      </c>
    </row>
    <row r="5" spans="1:12" x14ac:dyDescent="0.2">
      <c r="A5" s="112" t="s">
        <v>228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13"/>
    </row>
    <row r="6" spans="1:12" x14ac:dyDescent="0.2">
      <c r="A6" s="105" t="s">
        <v>638</v>
      </c>
      <c r="B6" s="105" t="s">
        <v>28</v>
      </c>
      <c r="C6" s="106">
        <f>IF(ISBLANK(B6),0,IF(ISERROR(VALUE(B6)),VLOOKUP(B6,dagsoorttabel1,2,FALSE)*dagenperjaar1,VALUE(B6)))</f>
        <v>1</v>
      </c>
      <c r="D6" s="105" t="s">
        <v>561</v>
      </c>
      <c r="E6" s="105" t="s">
        <v>639</v>
      </c>
      <c r="F6" s="105" t="s">
        <v>640</v>
      </c>
      <c r="G6" s="107">
        <v>1076.3</v>
      </c>
      <c r="H6" s="114">
        <f>'Additioneel werk'!G6</f>
        <v>0</v>
      </c>
      <c r="I6" s="115">
        <f>'Additioneel werk'!H6</f>
        <v>0</v>
      </c>
      <c r="J6" s="110"/>
      <c r="K6" s="111" t="e">
        <f>IF(ISBLANK(I6),0,G6 / I6 * H6)</f>
        <v>#DIV/0!</v>
      </c>
      <c r="L6" s="111" t="e">
        <f>C6*K6</f>
        <v>#DIV/0!</v>
      </c>
    </row>
    <row r="7" spans="1:12" x14ac:dyDescent="0.2">
      <c r="A7" s="104" t="s">
        <v>613</v>
      </c>
      <c r="B7" s="43"/>
      <c r="C7" s="43"/>
      <c r="D7" s="43"/>
      <c r="E7" s="43"/>
      <c r="F7" s="43"/>
      <c r="G7" s="43"/>
      <c r="H7" s="43"/>
      <c r="I7" s="43"/>
      <c r="J7" s="43"/>
      <c r="K7" s="45" t="e">
        <f>SUM(K6:K6)</f>
        <v>#DIV/0!</v>
      </c>
      <c r="L7" s="45" t="e">
        <f>SUM(L6:L6)</f>
        <v>#DIV/0!</v>
      </c>
    </row>
    <row r="9" spans="1:12" x14ac:dyDescent="0.2">
      <c r="A9" s="112" t="s">
        <v>320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113"/>
    </row>
    <row r="10" spans="1:12" x14ac:dyDescent="0.2">
      <c r="A10" s="105" t="s">
        <v>638</v>
      </c>
      <c r="B10" s="105" t="s">
        <v>28</v>
      </c>
      <c r="C10" s="106">
        <f>IF(ISBLANK(B10),0,IF(ISERROR(VALUE(B10)),VLOOKUP(B10,dagsoorttabel1,2,FALSE)*dagenperjaar1,VALUE(B10)))</f>
        <v>1</v>
      </c>
      <c r="D10" s="105" t="s">
        <v>561</v>
      </c>
      <c r="E10" s="105" t="s">
        <v>639</v>
      </c>
      <c r="F10" s="105" t="s">
        <v>640</v>
      </c>
      <c r="G10" s="107">
        <v>1007.03</v>
      </c>
      <c r="H10" s="114">
        <f>'Additioneel werk'!G6</f>
        <v>0</v>
      </c>
      <c r="I10" s="115">
        <f>'Additioneel werk'!H6</f>
        <v>0</v>
      </c>
      <c r="J10" s="110"/>
      <c r="K10" s="111" t="e">
        <f>IF(ISBLANK(I10),0,G10 / I10 * H10)</f>
        <v>#DIV/0!</v>
      </c>
      <c r="L10" s="111" t="e">
        <f>C10*K10</f>
        <v>#DIV/0!</v>
      </c>
    </row>
    <row r="11" spans="1:12" x14ac:dyDescent="0.2">
      <c r="A11" s="104" t="s">
        <v>614</v>
      </c>
      <c r="B11" s="43"/>
      <c r="C11" s="43"/>
      <c r="D11" s="43"/>
      <c r="E11" s="43"/>
      <c r="F11" s="43"/>
      <c r="G11" s="43"/>
      <c r="H11" s="43"/>
      <c r="I11" s="43"/>
      <c r="J11" s="43"/>
      <c r="K11" s="45" t="e">
        <f>SUM(K10:K10)</f>
        <v>#DIV/0!</v>
      </c>
      <c r="L11" s="45" t="e">
        <f>SUM(L10:L10)</f>
        <v>#DIV/0!</v>
      </c>
    </row>
    <row r="13" spans="1:12" x14ac:dyDescent="0.2">
      <c r="A13" s="112" t="s">
        <v>367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113"/>
    </row>
    <row r="14" spans="1:12" x14ac:dyDescent="0.2">
      <c r="A14" s="105" t="s">
        <v>638</v>
      </c>
      <c r="B14" s="105" t="s">
        <v>28</v>
      </c>
      <c r="C14" s="106">
        <f>IF(ISBLANK(B14),0,IF(ISERROR(VALUE(B14)),VLOOKUP(B14,dagsoorttabel1,2,FALSE)*dagenperjaar1,VALUE(B14)))</f>
        <v>1</v>
      </c>
      <c r="D14" s="105" t="s">
        <v>561</v>
      </c>
      <c r="E14" s="105" t="s">
        <v>639</v>
      </c>
      <c r="F14" s="105" t="s">
        <v>640</v>
      </c>
      <c r="G14" s="107">
        <v>308</v>
      </c>
      <c r="H14" s="114">
        <f>'Additioneel werk'!G6</f>
        <v>0</v>
      </c>
      <c r="I14" s="115">
        <f>'Additioneel werk'!H6</f>
        <v>0</v>
      </c>
      <c r="J14" s="110"/>
      <c r="K14" s="111" t="e">
        <f>IF(ISBLANK(I14),0,G14 / I14 * H14)</f>
        <v>#DIV/0!</v>
      </c>
      <c r="L14" s="111" t="e">
        <f>C14*K14</f>
        <v>#DIV/0!</v>
      </c>
    </row>
    <row r="15" spans="1:12" x14ac:dyDescent="0.2">
      <c r="A15" s="104" t="s">
        <v>615</v>
      </c>
      <c r="B15" s="43"/>
      <c r="C15" s="43"/>
      <c r="D15" s="43"/>
      <c r="E15" s="43"/>
      <c r="F15" s="43"/>
      <c r="G15" s="43"/>
      <c r="H15" s="43"/>
      <c r="I15" s="43"/>
      <c r="J15" s="43"/>
      <c r="K15" s="45" t="e">
        <f>SUM(K14:K14)</f>
        <v>#DIV/0!</v>
      </c>
      <c r="L15" s="45" t="e">
        <f>SUM(L14:L14)</f>
        <v>#DIV/0!</v>
      </c>
    </row>
    <row r="17" spans="1:12" x14ac:dyDescent="0.2">
      <c r="A17" s="112" t="s">
        <v>394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113"/>
    </row>
    <row r="18" spans="1:12" x14ac:dyDescent="0.2">
      <c r="A18" s="105" t="s">
        <v>638</v>
      </c>
      <c r="B18" s="105" t="s">
        <v>28</v>
      </c>
      <c r="C18" s="106">
        <f>IF(ISBLANK(B18),0,IF(ISERROR(VALUE(B18)),VLOOKUP(B18,dagsoorttabel1,2,FALSE)*dagenperjaar1,VALUE(B18)))</f>
        <v>1</v>
      </c>
      <c r="D18" s="105" t="s">
        <v>561</v>
      </c>
      <c r="E18" s="105" t="s">
        <v>639</v>
      </c>
      <c r="F18" s="105" t="s">
        <v>640</v>
      </c>
      <c r="G18" s="107">
        <v>596.69999999999993</v>
      </c>
      <c r="H18" s="114">
        <f>'Additioneel werk'!G6</f>
        <v>0</v>
      </c>
      <c r="I18" s="115">
        <f>'Additioneel werk'!H6</f>
        <v>0</v>
      </c>
      <c r="J18" s="110"/>
      <c r="K18" s="111" t="e">
        <f>IF(ISBLANK(I18),0,G18 / I18 * H18)</f>
        <v>#DIV/0!</v>
      </c>
      <c r="L18" s="111" t="e">
        <f>C18*K18</f>
        <v>#DIV/0!</v>
      </c>
    </row>
    <row r="19" spans="1:12" x14ac:dyDescent="0.2">
      <c r="A19" s="104" t="s">
        <v>616</v>
      </c>
      <c r="B19" s="43"/>
      <c r="C19" s="43"/>
      <c r="D19" s="43"/>
      <c r="E19" s="43"/>
      <c r="F19" s="43"/>
      <c r="G19" s="43"/>
      <c r="H19" s="43"/>
      <c r="I19" s="43"/>
      <c r="J19" s="43"/>
      <c r="K19" s="45" t="e">
        <f>SUM(K18:K18)</f>
        <v>#DIV/0!</v>
      </c>
      <c r="L19" s="45" t="e">
        <f>SUM(L18:L18)</f>
        <v>#DIV/0!</v>
      </c>
    </row>
    <row r="21" spans="1:12" x14ac:dyDescent="0.2">
      <c r="A21" s="112" t="s">
        <v>414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113"/>
    </row>
    <row r="22" spans="1:12" x14ac:dyDescent="0.2">
      <c r="A22" s="105" t="s">
        <v>638</v>
      </c>
      <c r="B22" s="105" t="s">
        <v>28</v>
      </c>
      <c r="C22" s="106">
        <f>IF(ISBLANK(B22),0,IF(ISERROR(VALUE(B22)),VLOOKUP(B22,dagsoorttabel1,2,FALSE)*dagenperjaar1,VALUE(B22)))</f>
        <v>1</v>
      </c>
      <c r="D22" s="105" t="s">
        <v>561</v>
      </c>
      <c r="E22" s="105" t="s">
        <v>639</v>
      </c>
      <c r="F22" s="105" t="s">
        <v>640</v>
      </c>
      <c r="G22" s="107">
        <v>194.43</v>
      </c>
      <c r="H22" s="114">
        <f>'Additioneel werk'!G6</f>
        <v>0</v>
      </c>
      <c r="I22" s="115">
        <f>'Additioneel werk'!H6</f>
        <v>0</v>
      </c>
      <c r="J22" s="110"/>
      <c r="K22" s="111" t="e">
        <f>IF(ISBLANK(I22),0,G22 / I22 * H22)</f>
        <v>#DIV/0!</v>
      </c>
      <c r="L22" s="111" t="e">
        <f>C22*K22</f>
        <v>#DIV/0!</v>
      </c>
    </row>
    <row r="23" spans="1:12" x14ac:dyDescent="0.2">
      <c r="A23" s="104" t="s">
        <v>617</v>
      </c>
      <c r="B23" s="43"/>
      <c r="C23" s="43"/>
      <c r="D23" s="43"/>
      <c r="E23" s="43"/>
      <c r="F23" s="43"/>
      <c r="G23" s="43"/>
      <c r="H23" s="43"/>
      <c r="I23" s="43"/>
      <c r="J23" s="43"/>
      <c r="K23" s="45" t="e">
        <f>SUM(K22:K22)</f>
        <v>#DIV/0!</v>
      </c>
      <c r="L23" s="45" t="e">
        <f>SUM(L22:L22)</f>
        <v>#DIV/0!</v>
      </c>
    </row>
    <row r="25" spans="1:12" x14ac:dyDescent="0.2">
      <c r="A25" s="112" t="s">
        <v>447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113"/>
    </row>
    <row r="26" spans="1:12" x14ac:dyDescent="0.2">
      <c r="A26" s="105" t="s">
        <v>638</v>
      </c>
      <c r="B26" s="105" t="s">
        <v>28</v>
      </c>
      <c r="C26" s="106">
        <f>IF(ISBLANK(B26),0,IF(ISERROR(VALUE(B26)),VLOOKUP(B26,dagsoorttabel1,2,FALSE)*dagenperjaar1,VALUE(B26)))</f>
        <v>1</v>
      </c>
      <c r="D26" s="105" t="s">
        <v>561</v>
      </c>
      <c r="E26" s="105" t="s">
        <v>639</v>
      </c>
      <c r="F26" s="105" t="s">
        <v>640</v>
      </c>
      <c r="G26" s="107">
        <v>542.03</v>
      </c>
      <c r="H26" s="114">
        <f>'Additioneel werk'!G6</f>
        <v>0</v>
      </c>
      <c r="I26" s="115">
        <f>'Additioneel werk'!H6</f>
        <v>0</v>
      </c>
      <c r="J26" s="110"/>
      <c r="K26" s="111" t="e">
        <f>IF(ISBLANK(I26),0,G26 / I26 * H26)</f>
        <v>#DIV/0!</v>
      </c>
      <c r="L26" s="111" t="e">
        <f>C26*K26</f>
        <v>#DIV/0!</v>
      </c>
    </row>
    <row r="27" spans="1:12" x14ac:dyDescent="0.2">
      <c r="A27" s="104" t="s">
        <v>618</v>
      </c>
      <c r="B27" s="43"/>
      <c r="C27" s="43"/>
      <c r="D27" s="43"/>
      <c r="E27" s="43"/>
      <c r="F27" s="43"/>
      <c r="G27" s="43"/>
      <c r="H27" s="43"/>
      <c r="I27" s="43"/>
      <c r="J27" s="43"/>
      <c r="K27" s="45" t="e">
        <f>SUM(K26:K26)</f>
        <v>#DIV/0!</v>
      </c>
      <c r="L27" s="45" t="e">
        <f>SUM(L26:L26)</f>
        <v>#DIV/0!</v>
      </c>
    </row>
    <row r="29" spans="1:12" x14ac:dyDescent="0.2">
      <c r="A29" s="112" t="s">
        <v>467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113"/>
    </row>
    <row r="30" spans="1:12" x14ac:dyDescent="0.2">
      <c r="A30" s="105" t="s">
        <v>638</v>
      </c>
      <c r="B30" s="105" t="s">
        <v>28</v>
      </c>
      <c r="C30" s="106">
        <f>IF(ISBLANK(B30),0,IF(ISERROR(VALUE(B30)),VLOOKUP(B30,dagsoorttabel1,2,FALSE)*dagenperjaar1,VALUE(B30)))</f>
        <v>1</v>
      </c>
      <c r="D30" s="105" t="s">
        <v>561</v>
      </c>
      <c r="E30" s="105" t="s">
        <v>639</v>
      </c>
      <c r="F30" s="105" t="s">
        <v>640</v>
      </c>
      <c r="G30" s="107">
        <v>1036.27</v>
      </c>
      <c r="H30" s="114">
        <f>'Additioneel werk'!G6</f>
        <v>0</v>
      </c>
      <c r="I30" s="115">
        <f>'Additioneel werk'!H6</f>
        <v>0</v>
      </c>
      <c r="J30" s="110"/>
      <c r="K30" s="111" t="e">
        <f>IF(ISBLANK(I30),0,G30 / I30 * H30)</f>
        <v>#DIV/0!</v>
      </c>
      <c r="L30" s="111" t="e">
        <f>C30*K30</f>
        <v>#DIV/0!</v>
      </c>
    </row>
    <row r="31" spans="1:12" x14ac:dyDescent="0.2">
      <c r="A31" s="104" t="s">
        <v>619</v>
      </c>
      <c r="B31" s="43"/>
      <c r="C31" s="43"/>
      <c r="D31" s="43"/>
      <c r="E31" s="43"/>
      <c r="F31" s="43"/>
      <c r="G31" s="43"/>
      <c r="H31" s="43"/>
      <c r="I31" s="43"/>
      <c r="J31" s="43"/>
      <c r="K31" s="45" t="e">
        <f>SUM(K30:K30)</f>
        <v>#DIV/0!</v>
      </c>
      <c r="L31" s="45" t="e">
        <f>SUM(L30:L30)</f>
        <v>#DIV/0!</v>
      </c>
    </row>
    <row r="33" spans="1:12" x14ac:dyDescent="0.2">
      <c r="A33" s="112" t="s">
        <v>476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113"/>
    </row>
    <row r="34" spans="1:12" x14ac:dyDescent="0.2">
      <c r="A34" s="105" t="s">
        <v>638</v>
      </c>
      <c r="B34" s="105" t="s">
        <v>28</v>
      </c>
      <c r="C34" s="106">
        <f>IF(ISBLANK(B34),0,IF(ISERROR(VALUE(B34)),VLOOKUP(B34,dagsoorttabel1,2,FALSE)*dagenperjaar1,VALUE(B34)))</f>
        <v>1</v>
      </c>
      <c r="D34" s="105" t="s">
        <v>561</v>
      </c>
      <c r="E34" s="105" t="s">
        <v>639</v>
      </c>
      <c r="F34" s="105" t="s">
        <v>640</v>
      </c>
      <c r="G34" s="107">
        <v>520.1</v>
      </c>
      <c r="H34" s="114">
        <f>'Additioneel werk'!G6</f>
        <v>0</v>
      </c>
      <c r="I34" s="115">
        <f>'Additioneel werk'!H6</f>
        <v>0</v>
      </c>
      <c r="J34" s="110"/>
      <c r="K34" s="111" t="e">
        <f>IF(ISBLANK(I34),0,G34 / I34 * H34)</f>
        <v>#DIV/0!</v>
      </c>
      <c r="L34" s="111" t="e">
        <f>C34*K34</f>
        <v>#DIV/0!</v>
      </c>
    </row>
    <row r="35" spans="1:12" x14ac:dyDescent="0.2">
      <c r="A35" s="104" t="s">
        <v>620</v>
      </c>
      <c r="B35" s="43"/>
      <c r="C35" s="43"/>
      <c r="D35" s="43"/>
      <c r="E35" s="43"/>
      <c r="F35" s="43"/>
      <c r="G35" s="43"/>
      <c r="H35" s="43"/>
      <c r="I35" s="43"/>
      <c r="J35" s="43"/>
      <c r="K35" s="45" t="e">
        <f>SUM(K34:K34)</f>
        <v>#DIV/0!</v>
      </c>
      <c r="L35" s="45" t="e">
        <f>SUM(L34:L34)</f>
        <v>#DIV/0!</v>
      </c>
    </row>
    <row r="37" spans="1:12" x14ac:dyDescent="0.2">
      <c r="A37" s="112" t="s">
        <v>486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113"/>
    </row>
    <row r="38" spans="1:12" x14ac:dyDescent="0.2">
      <c r="A38" s="105" t="s">
        <v>638</v>
      </c>
      <c r="B38" s="105" t="s">
        <v>28</v>
      </c>
      <c r="C38" s="106">
        <f>IF(ISBLANK(B38),0,IF(ISERROR(VALUE(B38)),VLOOKUP(B38,dagsoorttabel1,2,FALSE)*dagenperjaar1,VALUE(B38)))</f>
        <v>1</v>
      </c>
      <c r="D38" s="105" t="s">
        <v>561</v>
      </c>
      <c r="E38" s="105" t="s">
        <v>639</v>
      </c>
      <c r="F38" s="105" t="s">
        <v>640</v>
      </c>
      <c r="G38" s="107">
        <v>1125.0999999999999</v>
      </c>
      <c r="H38" s="114">
        <f>'Additioneel werk'!G6</f>
        <v>0</v>
      </c>
      <c r="I38" s="115">
        <f>'Additioneel werk'!H6</f>
        <v>0</v>
      </c>
      <c r="J38" s="110"/>
      <c r="K38" s="111" t="e">
        <f>IF(ISBLANK(I38),0,G38 / I38 * H38)</f>
        <v>#DIV/0!</v>
      </c>
      <c r="L38" s="111" t="e">
        <f>C38*K38</f>
        <v>#DIV/0!</v>
      </c>
    </row>
    <row r="39" spans="1:12" x14ac:dyDescent="0.2">
      <c r="A39" s="104" t="s">
        <v>621</v>
      </c>
      <c r="B39" s="43"/>
      <c r="C39" s="43"/>
      <c r="D39" s="43"/>
      <c r="E39" s="43"/>
      <c r="F39" s="43"/>
      <c r="G39" s="43"/>
      <c r="H39" s="43"/>
      <c r="I39" s="43"/>
      <c r="J39" s="43"/>
      <c r="K39" s="45" t="e">
        <f>SUM(K38:K38)</f>
        <v>#DIV/0!</v>
      </c>
      <c r="L39" s="45" t="e">
        <f>SUM(L38:L38)</f>
        <v>#DIV/0!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3CAF-751E-496D-8690-7B26D5C7B036}">
  <dimension ref="A1:E6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H.9: ",tabeltype," afroep incidenteel")</f>
        <v>Bijlage H.9: Invultabel afroep incidenteel</v>
      </c>
    </row>
    <row r="3" spans="1:5" ht="38.25" x14ac:dyDescent="0.2">
      <c r="A3" s="8" t="s">
        <v>631</v>
      </c>
      <c r="B3" s="8" t="s">
        <v>34</v>
      </c>
      <c r="C3" s="8" t="s">
        <v>37</v>
      </c>
      <c r="D3" s="8" t="s">
        <v>642</v>
      </c>
      <c r="E3" s="8" t="s">
        <v>636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39</v>
      </c>
      <c r="B5" s="13"/>
      <c r="C5" s="13"/>
      <c r="D5" s="13"/>
      <c r="E5" s="14"/>
    </row>
    <row r="6" spans="1:5" x14ac:dyDescent="0.2">
      <c r="A6" s="15" t="s">
        <v>643</v>
      </c>
      <c r="B6" s="15" t="s">
        <v>644</v>
      </c>
      <c r="C6" s="15" t="s">
        <v>645</v>
      </c>
      <c r="D6" s="15" t="s">
        <v>646</v>
      </c>
      <c r="E6" s="19"/>
    </row>
    <row r="7" spans="1:5" x14ac:dyDescent="0.2">
      <c r="A7" s="20" t="s">
        <v>647</v>
      </c>
      <c r="B7" s="20" t="s">
        <v>644</v>
      </c>
      <c r="C7" s="20" t="s">
        <v>645</v>
      </c>
      <c r="D7" s="20" t="s">
        <v>648</v>
      </c>
      <c r="E7" s="24"/>
    </row>
    <row r="8" spans="1:5" x14ac:dyDescent="0.2">
      <c r="A8" s="20" t="s">
        <v>649</v>
      </c>
      <c r="B8" s="20" t="s">
        <v>644</v>
      </c>
      <c r="C8" s="20" t="s">
        <v>645</v>
      </c>
      <c r="D8" s="20" t="s">
        <v>650</v>
      </c>
      <c r="E8" s="24"/>
    </row>
    <row r="9" spans="1:5" x14ac:dyDescent="0.2">
      <c r="A9" s="20" t="s">
        <v>651</v>
      </c>
      <c r="B9" s="20" t="s">
        <v>644</v>
      </c>
      <c r="C9" s="20" t="s">
        <v>645</v>
      </c>
      <c r="D9" s="20" t="s">
        <v>652</v>
      </c>
      <c r="E9" s="24"/>
    </row>
    <row r="10" spans="1:5" x14ac:dyDescent="0.2">
      <c r="A10" s="20" t="s">
        <v>653</v>
      </c>
      <c r="B10" s="20" t="s">
        <v>654</v>
      </c>
      <c r="C10" s="20" t="s">
        <v>645</v>
      </c>
      <c r="D10" s="20" t="s">
        <v>646</v>
      </c>
      <c r="E10" s="24"/>
    </row>
    <row r="11" spans="1:5" x14ac:dyDescent="0.2">
      <c r="A11" s="20" t="s">
        <v>655</v>
      </c>
      <c r="B11" s="20" t="s">
        <v>654</v>
      </c>
      <c r="C11" s="20" t="s">
        <v>645</v>
      </c>
      <c r="D11" s="20" t="s">
        <v>648</v>
      </c>
      <c r="E11" s="24"/>
    </row>
    <row r="12" spans="1:5" x14ac:dyDescent="0.2">
      <c r="A12" s="20" t="s">
        <v>656</v>
      </c>
      <c r="B12" s="20" t="s">
        <v>654</v>
      </c>
      <c r="C12" s="20" t="s">
        <v>645</v>
      </c>
      <c r="D12" s="20" t="s">
        <v>650</v>
      </c>
      <c r="E12" s="24"/>
    </row>
    <row r="13" spans="1:5" x14ac:dyDescent="0.2">
      <c r="A13" s="20" t="s">
        <v>657</v>
      </c>
      <c r="B13" s="20" t="s">
        <v>654</v>
      </c>
      <c r="C13" s="20" t="s">
        <v>645</v>
      </c>
      <c r="D13" s="20" t="s">
        <v>652</v>
      </c>
      <c r="E13" s="24"/>
    </row>
    <row r="14" spans="1:5" x14ac:dyDescent="0.2">
      <c r="A14" s="20" t="s">
        <v>658</v>
      </c>
      <c r="B14" s="20" t="s">
        <v>659</v>
      </c>
      <c r="C14" s="20" t="s">
        <v>645</v>
      </c>
      <c r="D14" s="20" t="s">
        <v>646</v>
      </c>
      <c r="E14" s="24"/>
    </row>
    <row r="15" spans="1:5" x14ac:dyDescent="0.2">
      <c r="A15" s="20" t="s">
        <v>660</v>
      </c>
      <c r="B15" s="20" t="s">
        <v>659</v>
      </c>
      <c r="C15" s="20" t="s">
        <v>645</v>
      </c>
      <c r="D15" s="20" t="s">
        <v>648</v>
      </c>
      <c r="E15" s="24"/>
    </row>
    <row r="16" spans="1:5" x14ac:dyDescent="0.2">
      <c r="A16" s="20" t="s">
        <v>661</v>
      </c>
      <c r="B16" s="20" t="s">
        <v>659</v>
      </c>
      <c r="C16" s="20" t="s">
        <v>645</v>
      </c>
      <c r="D16" s="20" t="s">
        <v>650</v>
      </c>
      <c r="E16" s="24"/>
    </row>
    <row r="17" spans="1:5" x14ac:dyDescent="0.2">
      <c r="A17" s="20" t="s">
        <v>662</v>
      </c>
      <c r="B17" s="20" t="s">
        <v>659</v>
      </c>
      <c r="C17" s="20" t="s">
        <v>645</v>
      </c>
      <c r="D17" s="20" t="s">
        <v>652</v>
      </c>
      <c r="E17" s="24"/>
    </row>
    <row r="18" spans="1:5" x14ac:dyDescent="0.2">
      <c r="A18" s="20" t="s">
        <v>663</v>
      </c>
      <c r="B18" s="20" t="s">
        <v>664</v>
      </c>
      <c r="C18" s="20" t="s">
        <v>665</v>
      </c>
      <c r="D18" s="20" t="s">
        <v>666</v>
      </c>
      <c r="E18" s="24"/>
    </row>
    <row r="19" spans="1:5" x14ac:dyDescent="0.2">
      <c r="A19" s="20" t="s">
        <v>667</v>
      </c>
      <c r="B19" s="20" t="s">
        <v>664</v>
      </c>
      <c r="C19" s="20" t="s">
        <v>665</v>
      </c>
      <c r="D19" s="20" t="s">
        <v>668</v>
      </c>
      <c r="E19" s="24"/>
    </row>
    <row r="20" spans="1:5" x14ac:dyDescent="0.2">
      <c r="A20" s="20" t="s">
        <v>669</v>
      </c>
      <c r="B20" s="20" t="s">
        <v>664</v>
      </c>
      <c r="C20" s="20" t="s">
        <v>665</v>
      </c>
      <c r="D20" s="20" t="s">
        <v>670</v>
      </c>
      <c r="E20" s="24"/>
    </row>
    <row r="21" spans="1:5" x14ac:dyDescent="0.2">
      <c r="A21" s="20" t="s">
        <v>671</v>
      </c>
      <c r="B21" s="20" t="s">
        <v>664</v>
      </c>
      <c r="C21" s="20" t="s">
        <v>665</v>
      </c>
      <c r="D21" s="20" t="s">
        <v>672</v>
      </c>
      <c r="E21" s="24"/>
    </row>
    <row r="22" spans="1:5" x14ac:dyDescent="0.2">
      <c r="A22" s="20" t="s">
        <v>673</v>
      </c>
      <c r="B22" s="20" t="s">
        <v>674</v>
      </c>
      <c r="C22" s="20" t="s">
        <v>665</v>
      </c>
      <c r="D22" s="20" t="s">
        <v>666</v>
      </c>
      <c r="E22" s="24"/>
    </row>
    <row r="23" spans="1:5" x14ac:dyDescent="0.2">
      <c r="A23" s="20" t="s">
        <v>675</v>
      </c>
      <c r="B23" s="20" t="s">
        <v>674</v>
      </c>
      <c r="C23" s="20" t="s">
        <v>665</v>
      </c>
      <c r="D23" s="20" t="s">
        <v>668</v>
      </c>
      <c r="E23" s="24"/>
    </row>
    <row r="24" spans="1:5" x14ac:dyDescent="0.2">
      <c r="A24" s="20" t="s">
        <v>676</v>
      </c>
      <c r="B24" s="20" t="s">
        <v>674</v>
      </c>
      <c r="C24" s="20" t="s">
        <v>665</v>
      </c>
      <c r="D24" s="20" t="s">
        <v>670</v>
      </c>
      <c r="E24" s="24"/>
    </row>
    <row r="25" spans="1:5" x14ac:dyDescent="0.2">
      <c r="A25" s="20" t="s">
        <v>677</v>
      </c>
      <c r="B25" s="20" t="s">
        <v>674</v>
      </c>
      <c r="C25" s="20" t="s">
        <v>665</v>
      </c>
      <c r="D25" s="20" t="s">
        <v>672</v>
      </c>
      <c r="E25" s="24"/>
    </row>
    <row r="26" spans="1:5" x14ac:dyDescent="0.2">
      <c r="A26" s="20" t="s">
        <v>678</v>
      </c>
      <c r="B26" s="20" t="s">
        <v>679</v>
      </c>
      <c r="C26" s="20" t="s">
        <v>665</v>
      </c>
      <c r="D26" s="20" t="s">
        <v>666</v>
      </c>
      <c r="E26" s="24"/>
    </row>
    <row r="27" spans="1:5" x14ac:dyDescent="0.2">
      <c r="A27" s="20" t="s">
        <v>680</v>
      </c>
      <c r="B27" s="20" t="s">
        <v>679</v>
      </c>
      <c r="C27" s="20" t="s">
        <v>665</v>
      </c>
      <c r="D27" s="20" t="s">
        <v>668</v>
      </c>
      <c r="E27" s="24"/>
    </row>
    <row r="28" spans="1:5" x14ac:dyDescent="0.2">
      <c r="A28" s="20" t="s">
        <v>681</v>
      </c>
      <c r="B28" s="20" t="s">
        <v>679</v>
      </c>
      <c r="C28" s="20" t="s">
        <v>665</v>
      </c>
      <c r="D28" s="20" t="s">
        <v>670</v>
      </c>
      <c r="E28" s="24"/>
    </row>
    <row r="29" spans="1:5" x14ac:dyDescent="0.2">
      <c r="A29" s="20" t="s">
        <v>682</v>
      </c>
      <c r="B29" s="20" t="s">
        <v>679</v>
      </c>
      <c r="C29" s="20" t="s">
        <v>665</v>
      </c>
      <c r="D29" s="20" t="s">
        <v>672</v>
      </c>
      <c r="E29" s="24"/>
    </row>
    <row r="30" spans="1:5" x14ac:dyDescent="0.2">
      <c r="A30" s="20" t="s">
        <v>683</v>
      </c>
      <c r="B30" s="20" t="s">
        <v>639</v>
      </c>
      <c r="C30" s="20" t="s">
        <v>665</v>
      </c>
      <c r="D30" s="20" t="s">
        <v>666</v>
      </c>
      <c r="E30" s="24"/>
    </row>
    <row r="31" spans="1:5" x14ac:dyDescent="0.2">
      <c r="A31" s="20" t="s">
        <v>684</v>
      </c>
      <c r="B31" s="20" t="s">
        <v>639</v>
      </c>
      <c r="C31" s="20" t="s">
        <v>665</v>
      </c>
      <c r="D31" s="20" t="s">
        <v>668</v>
      </c>
      <c r="E31" s="24"/>
    </row>
    <row r="32" spans="1:5" x14ac:dyDescent="0.2">
      <c r="A32" s="20" t="s">
        <v>685</v>
      </c>
      <c r="B32" s="20" t="s">
        <v>639</v>
      </c>
      <c r="C32" s="20" t="s">
        <v>665</v>
      </c>
      <c r="D32" s="20" t="s">
        <v>670</v>
      </c>
      <c r="E32" s="24"/>
    </row>
    <row r="33" spans="1:5" x14ac:dyDescent="0.2">
      <c r="A33" s="20" t="s">
        <v>686</v>
      </c>
      <c r="B33" s="20" t="s">
        <v>639</v>
      </c>
      <c r="C33" s="20" t="s">
        <v>665</v>
      </c>
      <c r="D33" s="20" t="s">
        <v>672</v>
      </c>
      <c r="E33" s="24"/>
    </row>
    <row r="34" spans="1:5" x14ac:dyDescent="0.2">
      <c r="A34" s="20" t="s">
        <v>687</v>
      </c>
      <c r="B34" s="20" t="s">
        <v>688</v>
      </c>
      <c r="C34" s="20" t="s">
        <v>665</v>
      </c>
      <c r="D34" s="20" t="s">
        <v>666</v>
      </c>
      <c r="E34" s="24"/>
    </row>
    <row r="35" spans="1:5" x14ac:dyDescent="0.2">
      <c r="A35" s="20" t="s">
        <v>689</v>
      </c>
      <c r="B35" s="20" t="s">
        <v>688</v>
      </c>
      <c r="C35" s="20" t="s">
        <v>665</v>
      </c>
      <c r="D35" s="20" t="s">
        <v>668</v>
      </c>
      <c r="E35" s="24"/>
    </row>
    <row r="36" spans="1:5" x14ac:dyDescent="0.2">
      <c r="A36" s="20" t="s">
        <v>690</v>
      </c>
      <c r="B36" s="20" t="s">
        <v>688</v>
      </c>
      <c r="C36" s="20" t="s">
        <v>665</v>
      </c>
      <c r="D36" s="20" t="s">
        <v>670</v>
      </c>
      <c r="E36" s="24"/>
    </row>
    <row r="37" spans="1:5" x14ac:dyDescent="0.2">
      <c r="A37" s="20" t="s">
        <v>691</v>
      </c>
      <c r="B37" s="20" t="s">
        <v>688</v>
      </c>
      <c r="C37" s="20" t="s">
        <v>665</v>
      </c>
      <c r="D37" s="20" t="s">
        <v>672</v>
      </c>
      <c r="E37" s="24"/>
    </row>
    <row r="38" spans="1:5" x14ac:dyDescent="0.2">
      <c r="A38" s="20" t="s">
        <v>692</v>
      </c>
      <c r="B38" s="20" t="s">
        <v>693</v>
      </c>
      <c r="C38" s="20" t="s">
        <v>665</v>
      </c>
      <c r="D38" s="20" t="s">
        <v>666</v>
      </c>
      <c r="E38" s="24"/>
    </row>
    <row r="39" spans="1:5" x14ac:dyDescent="0.2">
      <c r="A39" s="20" t="s">
        <v>694</v>
      </c>
      <c r="B39" s="20" t="s">
        <v>693</v>
      </c>
      <c r="C39" s="20" t="s">
        <v>665</v>
      </c>
      <c r="D39" s="20" t="s">
        <v>668</v>
      </c>
      <c r="E39" s="24"/>
    </row>
    <row r="40" spans="1:5" x14ac:dyDescent="0.2">
      <c r="A40" s="20" t="s">
        <v>695</v>
      </c>
      <c r="B40" s="20" t="s">
        <v>693</v>
      </c>
      <c r="C40" s="20" t="s">
        <v>665</v>
      </c>
      <c r="D40" s="20" t="s">
        <v>670</v>
      </c>
      <c r="E40" s="24"/>
    </row>
    <row r="41" spans="1:5" x14ac:dyDescent="0.2">
      <c r="A41" s="20" t="s">
        <v>696</v>
      </c>
      <c r="B41" s="20" t="s">
        <v>693</v>
      </c>
      <c r="C41" s="20" t="s">
        <v>665</v>
      </c>
      <c r="D41" s="20" t="s">
        <v>672</v>
      </c>
      <c r="E41" s="24"/>
    </row>
    <row r="42" spans="1:5" x14ac:dyDescent="0.2">
      <c r="A42" s="20" t="s">
        <v>697</v>
      </c>
      <c r="B42" s="20" t="s">
        <v>698</v>
      </c>
      <c r="C42" s="20" t="s">
        <v>665</v>
      </c>
      <c r="D42" s="20" t="s">
        <v>666</v>
      </c>
      <c r="E42" s="24"/>
    </row>
    <row r="43" spans="1:5" x14ac:dyDescent="0.2">
      <c r="A43" s="20" t="s">
        <v>699</v>
      </c>
      <c r="B43" s="20" t="s">
        <v>698</v>
      </c>
      <c r="C43" s="20" t="s">
        <v>665</v>
      </c>
      <c r="D43" s="20" t="s">
        <v>668</v>
      </c>
      <c r="E43" s="24"/>
    </row>
    <row r="44" spans="1:5" x14ac:dyDescent="0.2">
      <c r="A44" s="20" t="s">
        <v>700</v>
      </c>
      <c r="B44" s="20" t="s">
        <v>698</v>
      </c>
      <c r="C44" s="20" t="s">
        <v>665</v>
      </c>
      <c r="D44" s="20" t="s">
        <v>670</v>
      </c>
      <c r="E44" s="24"/>
    </row>
    <row r="45" spans="1:5" x14ac:dyDescent="0.2">
      <c r="A45" s="20" t="s">
        <v>701</v>
      </c>
      <c r="B45" s="20" t="s">
        <v>698</v>
      </c>
      <c r="C45" s="20" t="s">
        <v>665</v>
      </c>
      <c r="D45" s="20" t="s">
        <v>672</v>
      </c>
      <c r="E45" s="24"/>
    </row>
    <row r="46" spans="1:5" x14ac:dyDescent="0.2">
      <c r="A46" s="20" t="s">
        <v>702</v>
      </c>
      <c r="B46" s="20" t="s">
        <v>703</v>
      </c>
      <c r="C46" s="20" t="s">
        <v>665</v>
      </c>
      <c r="D46" s="20" t="s">
        <v>666</v>
      </c>
      <c r="E46" s="24"/>
    </row>
    <row r="47" spans="1:5" x14ac:dyDescent="0.2">
      <c r="A47" s="20" t="s">
        <v>704</v>
      </c>
      <c r="B47" s="20" t="s">
        <v>703</v>
      </c>
      <c r="C47" s="20" t="s">
        <v>665</v>
      </c>
      <c r="D47" s="20" t="s">
        <v>668</v>
      </c>
      <c r="E47" s="24"/>
    </row>
    <row r="48" spans="1:5" x14ac:dyDescent="0.2">
      <c r="A48" s="20" t="s">
        <v>705</v>
      </c>
      <c r="B48" s="20" t="s">
        <v>703</v>
      </c>
      <c r="C48" s="20" t="s">
        <v>665</v>
      </c>
      <c r="D48" s="20" t="s">
        <v>670</v>
      </c>
      <c r="E48" s="24"/>
    </row>
    <row r="49" spans="1:5" x14ac:dyDescent="0.2">
      <c r="A49" s="20" t="s">
        <v>706</v>
      </c>
      <c r="B49" s="20" t="s">
        <v>703</v>
      </c>
      <c r="C49" s="20" t="s">
        <v>665</v>
      </c>
      <c r="D49" s="20" t="s">
        <v>672</v>
      </c>
      <c r="E49" s="24"/>
    </row>
    <row r="50" spans="1:5" x14ac:dyDescent="0.2">
      <c r="A50" s="20" t="s">
        <v>707</v>
      </c>
      <c r="B50" s="20" t="s">
        <v>708</v>
      </c>
      <c r="C50" s="20" t="s">
        <v>665</v>
      </c>
      <c r="D50" s="20" t="s">
        <v>666</v>
      </c>
      <c r="E50" s="24"/>
    </row>
    <row r="51" spans="1:5" x14ac:dyDescent="0.2">
      <c r="A51" s="20" t="s">
        <v>709</v>
      </c>
      <c r="B51" s="20" t="s">
        <v>710</v>
      </c>
      <c r="C51" s="20" t="s">
        <v>665</v>
      </c>
      <c r="D51" s="20" t="s">
        <v>668</v>
      </c>
      <c r="E51" s="24"/>
    </row>
    <row r="52" spans="1:5" x14ac:dyDescent="0.2">
      <c r="A52" s="20" t="s">
        <v>711</v>
      </c>
      <c r="B52" s="20" t="s">
        <v>708</v>
      </c>
      <c r="C52" s="20" t="s">
        <v>665</v>
      </c>
      <c r="D52" s="20" t="s">
        <v>670</v>
      </c>
      <c r="E52" s="24"/>
    </row>
    <row r="53" spans="1:5" x14ac:dyDescent="0.2">
      <c r="A53" s="20" t="s">
        <v>712</v>
      </c>
      <c r="B53" s="20" t="s">
        <v>708</v>
      </c>
      <c r="C53" s="20" t="s">
        <v>665</v>
      </c>
      <c r="D53" s="20" t="s">
        <v>672</v>
      </c>
      <c r="E53" s="24"/>
    </row>
    <row r="54" spans="1:5" x14ac:dyDescent="0.2">
      <c r="A54" s="20" t="s">
        <v>713</v>
      </c>
      <c r="B54" s="20" t="s">
        <v>714</v>
      </c>
      <c r="C54" s="20" t="s">
        <v>645</v>
      </c>
      <c r="D54" s="20" t="s">
        <v>646</v>
      </c>
      <c r="E54" s="24"/>
    </row>
    <row r="55" spans="1:5" x14ac:dyDescent="0.2">
      <c r="A55" s="20" t="s">
        <v>715</v>
      </c>
      <c r="B55" s="20" t="s">
        <v>714</v>
      </c>
      <c r="C55" s="20" t="s">
        <v>645</v>
      </c>
      <c r="D55" s="20" t="s">
        <v>648</v>
      </c>
      <c r="E55" s="24"/>
    </row>
    <row r="56" spans="1:5" x14ac:dyDescent="0.2">
      <c r="A56" s="20" t="s">
        <v>716</v>
      </c>
      <c r="B56" s="20" t="s">
        <v>714</v>
      </c>
      <c r="C56" s="20" t="s">
        <v>645</v>
      </c>
      <c r="D56" s="20" t="s">
        <v>650</v>
      </c>
      <c r="E56" s="24"/>
    </row>
    <row r="57" spans="1:5" x14ac:dyDescent="0.2">
      <c r="A57" s="25" t="s">
        <v>717</v>
      </c>
      <c r="B57" s="25" t="s">
        <v>714</v>
      </c>
      <c r="C57" s="25" t="s">
        <v>645</v>
      </c>
      <c r="D57" s="25" t="s">
        <v>652</v>
      </c>
      <c r="E57" s="29"/>
    </row>
    <row r="58" spans="1:5" x14ac:dyDescent="0.2">
      <c r="A58" s="42" t="s">
        <v>216</v>
      </c>
      <c r="B58" s="43"/>
      <c r="C58" s="43"/>
      <c r="D58" s="43"/>
      <c r="E58" s="113"/>
    </row>
    <row r="60" spans="1:5" x14ac:dyDescent="0.2">
      <c r="A60" s="42" t="s">
        <v>718</v>
      </c>
      <c r="B60" s="43"/>
      <c r="C60" s="43"/>
      <c r="D60" s="43"/>
      <c r="E60" s="113"/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2CDA-EA54-4D47-BE14-D5CE85C86CD5}">
  <dimension ref="A1:K10"/>
  <sheetViews>
    <sheetView workbookViewId="0">
      <selection activeCell="B17" sqref="B17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H.10: ",tabeltype," regiewerk")</f>
        <v>Bijlage H.10: Invultabel regiewerk</v>
      </c>
    </row>
    <row r="3" spans="1:11" ht="38.25" x14ac:dyDescent="0.2">
      <c r="A3" s="8" t="s">
        <v>631</v>
      </c>
      <c r="B3" s="8" t="s">
        <v>7</v>
      </c>
      <c r="C3" s="8" t="s">
        <v>632</v>
      </c>
      <c r="D3" s="8" t="s">
        <v>34</v>
      </c>
      <c r="E3" s="8" t="s">
        <v>37</v>
      </c>
      <c r="F3" s="8" t="s">
        <v>633</v>
      </c>
      <c r="G3" s="8" t="s">
        <v>634</v>
      </c>
      <c r="H3" s="8" t="s">
        <v>635</v>
      </c>
      <c r="I3" s="8" t="s">
        <v>636</v>
      </c>
      <c r="J3" s="8" t="s">
        <v>637</v>
      </c>
      <c r="K3" s="8" t="s">
        <v>157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719</v>
      </c>
      <c r="B6" s="15" t="s">
        <v>23</v>
      </c>
      <c r="C6" s="16">
        <f>IF(ISBLANK(B6),0,IF(ISERROR(VALUE(B6)),VLOOKUP(B6,dagsoorttabel1,2,FALSE)*dagenperjaar1,VALUE(B6)))</f>
        <v>10</v>
      </c>
      <c r="D6" s="15" t="s">
        <v>720</v>
      </c>
      <c r="E6" s="15" t="s">
        <v>721</v>
      </c>
      <c r="F6" s="116">
        <v>15</v>
      </c>
      <c r="G6" s="19"/>
      <c r="H6" s="117"/>
      <c r="I6" s="19"/>
      <c r="J6" s="33">
        <f>IF(ISBLANK(F6),0,F6)*I6</f>
        <v>0</v>
      </c>
      <c r="K6" s="33">
        <f>C6*J6</f>
        <v>0</v>
      </c>
    </row>
    <row r="7" spans="1:11" x14ac:dyDescent="0.2">
      <c r="A7" s="25" t="s">
        <v>722</v>
      </c>
      <c r="B7" s="25" t="s">
        <v>23</v>
      </c>
      <c r="C7" s="26">
        <f>IF(ISBLANK(B7),0,IF(ISERROR(VALUE(B7)),VLOOKUP(B7,dagsoorttabel1,2,FALSE)*dagenperjaar1,VALUE(B7)))</f>
        <v>10</v>
      </c>
      <c r="D7" s="25" t="s">
        <v>723</v>
      </c>
      <c r="E7" s="25" t="s">
        <v>721</v>
      </c>
      <c r="F7" s="118">
        <v>8</v>
      </c>
      <c r="G7" s="29"/>
      <c r="H7" s="119"/>
      <c r="I7" s="29"/>
      <c r="J7" s="40">
        <f>IF(ISBLANK(F7),0,F7)*I7</f>
        <v>0</v>
      </c>
      <c r="K7" s="40">
        <f>C7*J7</f>
        <v>0</v>
      </c>
    </row>
    <row r="8" spans="1:11" x14ac:dyDescent="0.2">
      <c r="A8" s="42" t="s">
        <v>216</v>
      </c>
      <c r="B8" s="43"/>
      <c r="C8" s="43"/>
      <c r="D8" s="43"/>
      <c r="E8" s="43"/>
      <c r="F8" s="43"/>
      <c r="G8" s="43"/>
      <c r="H8" s="43"/>
      <c r="I8" s="43"/>
      <c r="J8" s="43"/>
      <c r="K8" s="45">
        <f>SUM(K6:K7)</f>
        <v>0</v>
      </c>
    </row>
    <row r="10" spans="1:11" x14ac:dyDescent="0.2">
      <c r="A10" s="42" t="s">
        <v>724</v>
      </c>
      <c r="B10" s="43"/>
      <c r="C10" s="43"/>
      <c r="D10" s="43"/>
      <c r="E10" s="43"/>
      <c r="F10" s="43"/>
      <c r="G10" s="43"/>
      <c r="H10" s="43"/>
      <c r="I10" s="43"/>
      <c r="J10" s="43"/>
      <c r="K10" s="45">
        <f>prijsjaarregie1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5697-23A0-4E34-9A6D-17A8D7A39AED}">
  <dimension ref="A1:K18"/>
  <sheetViews>
    <sheetView workbookViewId="0">
      <selection activeCell="A13" sqref="A13:XFD14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H.11: ",tabeltype," glas")</f>
        <v>Bijlage H.11: Invultabel glas</v>
      </c>
    </row>
    <row r="3" spans="1:11" ht="38.25" x14ac:dyDescent="0.2">
      <c r="A3" s="8" t="s">
        <v>631</v>
      </c>
      <c r="B3" s="8" t="s">
        <v>7</v>
      </c>
      <c r="C3" s="8" t="s">
        <v>632</v>
      </c>
      <c r="D3" s="8" t="s">
        <v>34</v>
      </c>
      <c r="E3" s="8" t="s">
        <v>37</v>
      </c>
      <c r="F3" s="8" t="s">
        <v>633</v>
      </c>
      <c r="G3" s="8" t="s">
        <v>634</v>
      </c>
      <c r="H3" s="8" t="s">
        <v>635</v>
      </c>
      <c r="I3" s="8" t="s">
        <v>636</v>
      </c>
      <c r="J3" s="8" t="s">
        <v>637</v>
      </c>
      <c r="K3" s="8" t="s">
        <v>157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20" t="s">
        <v>725</v>
      </c>
      <c r="B6" s="20" t="s">
        <v>27</v>
      </c>
      <c r="C6" s="21">
        <f t="shared" ref="C6:C15" si="0">IF(ISBLANK(B6),0,IF(ISERROR(VALUE(B6)),VLOOKUP(B6,dagsoorttabel1,2,FALSE)*dagenperjaar1,VALUE(B6)))</f>
        <v>2</v>
      </c>
      <c r="D6" s="20" t="s">
        <v>726</v>
      </c>
      <c r="E6" s="20" t="s">
        <v>665</v>
      </c>
      <c r="F6" s="120">
        <v>2237.7599999999993</v>
      </c>
      <c r="G6" s="24"/>
      <c r="H6" s="121"/>
      <c r="I6" s="24"/>
      <c r="J6" s="37">
        <f t="shared" ref="J6:J12" si="1">IF(ISBLANK(F6),0,F6)*I6</f>
        <v>0</v>
      </c>
      <c r="K6" s="37">
        <f t="shared" ref="K6:K15" si="2">C6*J6</f>
        <v>0</v>
      </c>
    </row>
    <row r="7" spans="1:11" x14ac:dyDescent="0.2">
      <c r="A7" s="20" t="s">
        <v>727</v>
      </c>
      <c r="B7" s="20" t="s">
        <v>27</v>
      </c>
      <c r="C7" s="21">
        <f t="shared" si="0"/>
        <v>2</v>
      </c>
      <c r="D7" s="20" t="s">
        <v>728</v>
      </c>
      <c r="E7" s="20" t="s">
        <v>665</v>
      </c>
      <c r="F7" s="120">
        <v>2237.0399999999995</v>
      </c>
      <c r="G7" s="24"/>
      <c r="H7" s="121"/>
      <c r="I7" s="24"/>
      <c r="J7" s="37">
        <f t="shared" si="1"/>
        <v>0</v>
      </c>
      <c r="K7" s="37">
        <f t="shared" si="2"/>
        <v>0</v>
      </c>
    </row>
    <row r="8" spans="1:11" x14ac:dyDescent="0.2">
      <c r="A8" s="20" t="s">
        <v>729</v>
      </c>
      <c r="B8" s="20" t="s">
        <v>27</v>
      </c>
      <c r="C8" s="21">
        <f t="shared" si="0"/>
        <v>2</v>
      </c>
      <c r="D8" s="20" t="s">
        <v>730</v>
      </c>
      <c r="E8" s="20" t="s">
        <v>665</v>
      </c>
      <c r="F8" s="120">
        <v>1314.3500000000001</v>
      </c>
      <c r="G8" s="24"/>
      <c r="H8" s="121"/>
      <c r="I8" s="24"/>
      <c r="J8" s="37">
        <f t="shared" si="1"/>
        <v>0</v>
      </c>
      <c r="K8" s="37">
        <f t="shared" si="2"/>
        <v>0</v>
      </c>
    </row>
    <row r="9" spans="1:11" x14ac:dyDescent="0.2">
      <c r="A9" s="20" t="s">
        <v>731</v>
      </c>
      <c r="B9" s="20" t="s">
        <v>27</v>
      </c>
      <c r="C9" s="21">
        <f t="shared" si="0"/>
        <v>2</v>
      </c>
      <c r="D9" s="20" t="s">
        <v>732</v>
      </c>
      <c r="E9" s="20" t="s">
        <v>665</v>
      </c>
      <c r="F9" s="120">
        <v>55.4</v>
      </c>
      <c r="G9" s="24"/>
      <c r="H9" s="121"/>
      <c r="I9" s="24"/>
      <c r="J9" s="37">
        <f t="shared" si="1"/>
        <v>0</v>
      </c>
      <c r="K9" s="37">
        <f t="shared" si="2"/>
        <v>0</v>
      </c>
    </row>
    <row r="10" spans="1:11" x14ac:dyDescent="0.2">
      <c r="A10" s="20" t="s">
        <v>733</v>
      </c>
      <c r="B10" s="20" t="s">
        <v>27</v>
      </c>
      <c r="C10" s="21">
        <f t="shared" si="0"/>
        <v>2</v>
      </c>
      <c r="D10" s="20" t="s">
        <v>734</v>
      </c>
      <c r="E10" s="20" t="s">
        <v>665</v>
      </c>
      <c r="F10" s="120">
        <v>55.4</v>
      </c>
      <c r="G10" s="24"/>
      <c r="H10" s="121"/>
      <c r="I10" s="24"/>
      <c r="J10" s="37">
        <f t="shared" si="1"/>
        <v>0</v>
      </c>
      <c r="K10" s="37">
        <f t="shared" si="2"/>
        <v>0</v>
      </c>
    </row>
    <row r="11" spans="1:11" x14ac:dyDescent="0.2">
      <c r="A11" s="20" t="s">
        <v>735</v>
      </c>
      <c r="B11" s="20" t="s">
        <v>27</v>
      </c>
      <c r="C11" s="21">
        <f t="shared" si="0"/>
        <v>2</v>
      </c>
      <c r="D11" s="20" t="s">
        <v>736</v>
      </c>
      <c r="E11" s="20" t="s">
        <v>665</v>
      </c>
      <c r="F11" s="120">
        <v>37.44</v>
      </c>
      <c r="G11" s="24"/>
      <c r="H11" s="121"/>
      <c r="I11" s="24"/>
      <c r="J11" s="37">
        <f t="shared" si="1"/>
        <v>0</v>
      </c>
      <c r="K11" s="37">
        <f t="shared" si="2"/>
        <v>0</v>
      </c>
    </row>
    <row r="12" spans="1:11" x14ac:dyDescent="0.2">
      <c r="A12" s="20" t="s">
        <v>737</v>
      </c>
      <c r="B12" s="20" t="s">
        <v>27</v>
      </c>
      <c r="C12" s="21">
        <f t="shared" si="0"/>
        <v>2</v>
      </c>
      <c r="D12" s="20" t="s">
        <v>738</v>
      </c>
      <c r="E12" s="20" t="s">
        <v>665</v>
      </c>
      <c r="F12" s="120">
        <v>37.44</v>
      </c>
      <c r="G12" s="24"/>
      <c r="H12" s="121"/>
      <c r="I12" s="24"/>
      <c r="J12" s="37">
        <f t="shared" si="1"/>
        <v>0</v>
      </c>
      <c r="K12" s="37">
        <f t="shared" si="2"/>
        <v>0</v>
      </c>
    </row>
    <row r="13" spans="1:11" x14ac:dyDescent="0.2">
      <c r="A13" s="20" t="s">
        <v>740</v>
      </c>
      <c r="B13" s="20" t="s">
        <v>27</v>
      </c>
      <c r="C13" s="21">
        <f t="shared" si="0"/>
        <v>2</v>
      </c>
      <c r="D13" s="20" t="s">
        <v>741</v>
      </c>
      <c r="E13" s="20" t="s">
        <v>739</v>
      </c>
      <c r="F13" s="120">
        <v>1</v>
      </c>
      <c r="G13" s="24"/>
      <c r="H13" s="121"/>
      <c r="I13" s="24"/>
      <c r="J13" s="37">
        <f>IF(ISBLANK(F13),1,F13)*I13</f>
        <v>0</v>
      </c>
      <c r="K13" s="37">
        <f t="shared" si="2"/>
        <v>0</v>
      </c>
    </row>
    <row r="14" spans="1:11" x14ac:dyDescent="0.2">
      <c r="A14" s="20" t="s">
        <v>742</v>
      </c>
      <c r="B14" s="20" t="s">
        <v>27</v>
      </c>
      <c r="C14" s="21">
        <f t="shared" si="0"/>
        <v>2</v>
      </c>
      <c r="D14" s="20" t="s">
        <v>743</v>
      </c>
      <c r="E14" s="20" t="s">
        <v>665</v>
      </c>
      <c r="F14" s="120">
        <v>142.38</v>
      </c>
      <c r="G14" s="24"/>
      <c r="H14" s="121"/>
      <c r="I14" s="24"/>
      <c r="J14" s="37">
        <f>IF(ISBLANK(F14),0,F14)*I14</f>
        <v>0</v>
      </c>
      <c r="K14" s="37">
        <f t="shared" si="2"/>
        <v>0</v>
      </c>
    </row>
    <row r="15" spans="1:11" x14ac:dyDescent="0.2">
      <c r="A15" s="25" t="s">
        <v>744</v>
      </c>
      <c r="B15" s="25" t="s">
        <v>27</v>
      </c>
      <c r="C15" s="26">
        <f t="shared" si="0"/>
        <v>2</v>
      </c>
      <c r="D15" s="25" t="s">
        <v>745</v>
      </c>
      <c r="E15" s="25" t="s">
        <v>665</v>
      </c>
      <c r="F15" s="118">
        <v>3.74</v>
      </c>
      <c r="G15" s="29"/>
      <c r="H15" s="119"/>
      <c r="I15" s="29"/>
      <c r="J15" s="40">
        <f>IF(ISBLANK(F15),0,F15)*I15</f>
        <v>0</v>
      </c>
      <c r="K15" s="40">
        <f t="shared" si="2"/>
        <v>0</v>
      </c>
    </row>
    <row r="16" spans="1:11" x14ac:dyDescent="0.2">
      <c r="A16" s="42" t="s">
        <v>216</v>
      </c>
      <c r="B16" s="43"/>
      <c r="C16" s="43"/>
      <c r="D16" s="43"/>
      <c r="E16" s="43"/>
      <c r="F16" s="43"/>
      <c r="G16" s="43"/>
      <c r="H16" s="43"/>
      <c r="I16" s="43"/>
      <c r="J16" s="43"/>
      <c r="K16" s="45">
        <f>SUM(K6:K15)</f>
        <v>0</v>
      </c>
    </row>
    <row r="18" spans="1:11" x14ac:dyDescent="0.2">
      <c r="A18" s="42" t="s">
        <v>746</v>
      </c>
      <c r="B18" s="43"/>
      <c r="C18" s="43"/>
      <c r="D18" s="43"/>
      <c r="E18" s="43"/>
      <c r="F18" s="43"/>
      <c r="G18" s="43"/>
      <c r="H18" s="43"/>
      <c r="I18" s="43"/>
      <c r="J18" s="43"/>
      <c r="K18" s="45">
        <f>prijsjaarglas1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4229-1F12-47DB-8D23-6843F0441AF0}">
  <dimension ref="A1:L8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</cols>
  <sheetData>
    <row r="1" spans="1:12" x14ac:dyDescent="0.2">
      <c r="A1" s="1" t="str">
        <f>CONCATENATE("Bijlage H.12: ",tabeltype," glas per locatie")</f>
        <v>Bijlage H.12: Invultabel glas per locatie</v>
      </c>
    </row>
    <row r="3" spans="1:12" ht="38.25" x14ac:dyDescent="0.2">
      <c r="A3" s="8" t="s">
        <v>631</v>
      </c>
      <c r="B3" s="8" t="s">
        <v>7</v>
      </c>
      <c r="C3" s="8" t="s">
        <v>632</v>
      </c>
      <c r="D3" s="8" t="s">
        <v>545</v>
      </c>
      <c r="E3" s="8" t="s">
        <v>34</v>
      </c>
      <c r="F3" s="8" t="s">
        <v>37</v>
      </c>
      <c r="G3" s="8" t="s">
        <v>633</v>
      </c>
      <c r="H3" s="8" t="s">
        <v>634</v>
      </c>
      <c r="I3" s="8" t="s">
        <v>635</v>
      </c>
      <c r="J3" s="8" t="s">
        <v>636</v>
      </c>
      <c r="K3" s="8" t="s">
        <v>637</v>
      </c>
      <c r="L3" s="8" t="s">
        <v>157</v>
      </c>
    </row>
    <row r="5" spans="1:12" x14ac:dyDescent="0.2">
      <c r="A5" s="112" t="s">
        <v>228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13"/>
    </row>
    <row r="6" spans="1:12" x14ac:dyDescent="0.2">
      <c r="A6" s="15" t="s">
        <v>725</v>
      </c>
      <c r="B6" s="15" t="s">
        <v>27</v>
      </c>
      <c r="C6" s="16">
        <f t="shared" ref="C6:C11" si="0">IF(ISBLANK(B6),0,IF(ISERROR(VALUE(B6)),VLOOKUP(B6,dagsoorttabel1,2,FALSE)*dagenperjaar1,VALUE(B6)))</f>
        <v>2</v>
      </c>
      <c r="D6" s="15" t="s">
        <v>561</v>
      </c>
      <c r="E6" s="15" t="s">
        <v>726</v>
      </c>
      <c r="F6" s="15" t="s">
        <v>665</v>
      </c>
      <c r="G6" s="116">
        <v>128.51</v>
      </c>
      <c r="H6" s="122">
        <f>Glas!G6</f>
        <v>0</v>
      </c>
      <c r="I6" s="117"/>
      <c r="J6" s="122">
        <f>Glas!I6</f>
        <v>0</v>
      </c>
      <c r="K6" s="33">
        <f t="shared" ref="K6:K11" si="1">IF(ISBLANK(G6),0,G6)*J6</f>
        <v>0</v>
      </c>
      <c r="L6" s="33">
        <f t="shared" ref="L6:L11" si="2">C6*K6</f>
        <v>0</v>
      </c>
    </row>
    <row r="7" spans="1:12" x14ac:dyDescent="0.2">
      <c r="A7" s="20" t="s">
        <v>727</v>
      </c>
      <c r="B7" s="20" t="s">
        <v>27</v>
      </c>
      <c r="C7" s="21">
        <f t="shared" si="0"/>
        <v>2</v>
      </c>
      <c r="D7" s="20" t="s">
        <v>561</v>
      </c>
      <c r="E7" s="20" t="s">
        <v>728</v>
      </c>
      <c r="F7" s="20" t="s">
        <v>665</v>
      </c>
      <c r="G7" s="120">
        <v>128.51</v>
      </c>
      <c r="H7" s="123">
        <f>Glas!G7</f>
        <v>0</v>
      </c>
      <c r="I7" s="121"/>
      <c r="J7" s="123">
        <f>Glas!I7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729</v>
      </c>
      <c r="B8" s="20" t="s">
        <v>27</v>
      </c>
      <c r="C8" s="21">
        <f t="shared" si="0"/>
        <v>2</v>
      </c>
      <c r="D8" s="20" t="s">
        <v>561</v>
      </c>
      <c r="E8" s="20" t="s">
        <v>730</v>
      </c>
      <c r="F8" s="20" t="s">
        <v>665</v>
      </c>
      <c r="G8" s="120">
        <v>211.86</v>
      </c>
      <c r="H8" s="123">
        <f>Glas!G8</f>
        <v>0</v>
      </c>
      <c r="I8" s="121"/>
      <c r="J8" s="123">
        <f>Glas!I8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731</v>
      </c>
      <c r="B9" s="20" t="s">
        <v>27</v>
      </c>
      <c r="C9" s="21">
        <f t="shared" si="0"/>
        <v>2</v>
      </c>
      <c r="D9" s="20" t="s">
        <v>561</v>
      </c>
      <c r="E9" s="20" t="s">
        <v>732</v>
      </c>
      <c r="F9" s="20" t="s">
        <v>665</v>
      </c>
      <c r="G9" s="120">
        <v>26.8</v>
      </c>
      <c r="H9" s="123">
        <f>Glas!G9</f>
        <v>0</v>
      </c>
      <c r="I9" s="121"/>
      <c r="J9" s="123">
        <f>Glas!I9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733</v>
      </c>
      <c r="B10" s="20" t="s">
        <v>27</v>
      </c>
      <c r="C10" s="21">
        <f t="shared" si="0"/>
        <v>2</v>
      </c>
      <c r="D10" s="20" t="s">
        <v>561</v>
      </c>
      <c r="E10" s="20" t="s">
        <v>734</v>
      </c>
      <c r="F10" s="20" t="s">
        <v>665</v>
      </c>
      <c r="G10" s="120">
        <v>26.8</v>
      </c>
      <c r="H10" s="123">
        <f>Glas!G10</f>
        <v>0</v>
      </c>
      <c r="I10" s="121"/>
      <c r="J10" s="123">
        <f>Glas!I10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5" t="s">
        <v>742</v>
      </c>
      <c r="B11" s="25" t="s">
        <v>27</v>
      </c>
      <c r="C11" s="26">
        <f t="shared" si="0"/>
        <v>2</v>
      </c>
      <c r="D11" s="25" t="s">
        <v>561</v>
      </c>
      <c r="E11" s="25" t="s">
        <v>743</v>
      </c>
      <c r="F11" s="25" t="s">
        <v>665</v>
      </c>
      <c r="G11" s="118">
        <v>4.0999999999999996</v>
      </c>
      <c r="H11" s="124">
        <f>Glas!G14</f>
        <v>0</v>
      </c>
      <c r="I11" s="119"/>
      <c r="J11" s="124">
        <f>Glas!I14</f>
        <v>0</v>
      </c>
      <c r="K11" s="40">
        <f t="shared" si="1"/>
        <v>0</v>
      </c>
      <c r="L11" s="40">
        <f t="shared" si="2"/>
        <v>0</v>
      </c>
    </row>
    <row r="12" spans="1:12" x14ac:dyDescent="0.2">
      <c r="A12" s="104" t="s">
        <v>613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45">
        <f>SUM(L6:L11)</f>
        <v>0</v>
      </c>
    </row>
    <row r="14" spans="1:12" x14ac:dyDescent="0.2">
      <c r="A14" s="112" t="s">
        <v>320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113"/>
    </row>
    <row r="15" spans="1:12" x14ac:dyDescent="0.2">
      <c r="A15" s="15" t="s">
        <v>725</v>
      </c>
      <c r="B15" s="15" t="s">
        <v>27</v>
      </c>
      <c r="C15" s="16">
        <f>IF(ISBLANK(B15),0,IF(ISERROR(VALUE(B15)),VLOOKUP(B15,dagsoorttabel1,2,FALSE)*dagenperjaar1,VALUE(B15)))</f>
        <v>2</v>
      </c>
      <c r="D15" s="15" t="s">
        <v>561</v>
      </c>
      <c r="E15" s="15" t="s">
        <v>726</v>
      </c>
      <c r="F15" s="15" t="s">
        <v>665</v>
      </c>
      <c r="G15" s="116">
        <v>279.89999999999998</v>
      </c>
      <c r="H15" s="122">
        <f>Glas!G6</f>
        <v>0</v>
      </c>
      <c r="I15" s="117"/>
      <c r="J15" s="122">
        <f>Glas!I6</f>
        <v>0</v>
      </c>
      <c r="K15" s="33">
        <f>IF(ISBLANK(G15),0,G15)*J15</f>
        <v>0</v>
      </c>
      <c r="L15" s="33">
        <f>C15*K15</f>
        <v>0</v>
      </c>
    </row>
    <row r="16" spans="1:12" x14ac:dyDescent="0.2">
      <c r="A16" s="20" t="s">
        <v>727</v>
      </c>
      <c r="B16" s="20" t="s">
        <v>27</v>
      </c>
      <c r="C16" s="21">
        <f>IF(ISBLANK(B16),0,IF(ISERROR(VALUE(B16)),VLOOKUP(B16,dagsoorttabel1,2,FALSE)*dagenperjaar1,VALUE(B16)))</f>
        <v>2</v>
      </c>
      <c r="D16" s="20" t="s">
        <v>561</v>
      </c>
      <c r="E16" s="20" t="s">
        <v>728</v>
      </c>
      <c r="F16" s="20" t="s">
        <v>665</v>
      </c>
      <c r="G16" s="120">
        <v>279.89999999999998</v>
      </c>
      <c r="H16" s="123">
        <f>Glas!G7</f>
        <v>0</v>
      </c>
      <c r="I16" s="121"/>
      <c r="J16" s="123">
        <f>Glas!I7</f>
        <v>0</v>
      </c>
      <c r="K16" s="37">
        <f>IF(ISBLANK(G16),0,G16)*J16</f>
        <v>0</v>
      </c>
      <c r="L16" s="37">
        <f>C16*K16</f>
        <v>0</v>
      </c>
    </row>
    <row r="17" spans="1:12" x14ac:dyDescent="0.2">
      <c r="A17" s="20" t="s">
        <v>729</v>
      </c>
      <c r="B17" s="20" t="s">
        <v>27</v>
      </c>
      <c r="C17" s="21">
        <f>IF(ISBLANK(B17),0,IF(ISERROR(VALUE(B17)),VLOOKUP(B17,dagsoorttabel1,2,FALSE)*dagenperjaar1,VALUE(B17)))</f>
        <v>2</v>
      </c>
      <c r="D17" s="20" t="s">
        <v>561</v>
      </c>
      <c r="E17" s="20" t="s">
        <v>730</v>
      </c>
      <c r="F17" s="20" t="s">
        <v>665</v>
      </c>
      <c r="G17" s="120">
        <v>101.8</v>
      </c>
      <c r="H17" s="123">
        <f>Glas!G8</f>
        <v>0</v>
      </c>
      <c r="I17" s="121"/>
      <c r="J17" s="123">
        <f>Glas!I8</f>
        <v>0</v>
      </c>
      <c r="K17" s="37">
        <f>IF(ISBLANK(G17),0,G17)*J17</f>
        <v>0</v>
      </c>
      <c r="L17" s="37">
        <f>C17*K17</f>
        <v>0</v>
      </c>
    </row>
    <row r="18" spans="1:12" x14ac:dyDescent="0.2">
      <c r="A18" s="25" t="s">
        <v>742</v>
      </c>
      <c r="B18" s="25" t="s">
        <v>27</v>
      </c>
      <c r="C18" s="26">
        <f>IF(ISBLANK(B18),0,IF(ISERROR(VALUE(B18)),VLOOKUP(B18,dagsoorttabel1,2,FALSE)*dagenperjaar1,VALUE(B18)))</f>
        <v>2</v>
      </c>
      <c r="D18" s="25" t="s">
        <v>561</v>
      </c>
      <c r="E18" s="25" t="s">
        <v>743</v>
      </c>
      <c r="F18" s="25" t="s">
        <v>665</v>
      </c>
      <c r="G18" s="118">
        <v>114.98</v>
      </c>
      <c r="H18" s="124">
        <f>Glas!G14</f>
        <v>0</v>
      </c>
      <c r="I18" s="119"/>
      <c r="J18" s="124">
        <f>Glas!I14</f>
        <v>0</v>
      </c>
      <c r="K18" s="40">
        <f>IF(ISBLANK(G18),0,G18)*J18</f>
        <v>0</v>
      </c>
      <c r="L18" s="40">
        <f>C18*K18</f>
        <v>0</v>
      </c>
    </row>
    <row r="19" spans="1:12" x14ac:dyDescent="0.2">
      <c r="A19" s="104" t="s">
        <v>614</v>
      </c>
      <c r="B19" s="43"/>
      <c r="C19" s="43"/>
      <c r="D19" s="43"/>
      <c r="E19" s="43"/>
      <c r="F19" s="43"/>
      <c r="G19" s="43"/>
      <c r="H19" s="43"/>
      <c r="I19" s="43"/>
      <c r="J19" s="43"/>
      <c r="K19" s="45">
        <f>SUM(K15:K18)</f>
        <v>0</v>
      </c>
      <c r="L19" s="45">
        <f>SUM(L15:L18)</f>
        <v>0</v>
      </c>
    </row>
    <row r="21" spans="1:12" x14ac:dyDescent="0.2">
      <c r="A21" s="112" t="s">
        <v>367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113"/>
    </row>
    <row r="22" spans="1:12" x14ac:dyDescent="0.2">
      <c r="A22" s="15" t="s">
        <v>725</v>
      </c>
      <c r="B22" s="15" t="s">
        <v>27</v>
      </c>
      <c r="C22" s="16">
        <f>IF(ISBLANK(B22),0,IF(ISERROR(VALUE(B22)),VLOOKUP(B22,dagsoorttabel1,2,FALSE)*dagenperjaar1,VALUE(B22)))</f>
        <v>2</v>
      </c>
      <c r="D22" s="15" t="s">
        <v>561</v>
      </c>
      <c r="E22" s="15" t="s">
        <v>726</v>
      </c>
      <c r="F22" s="15" t="s">
        <v>665</v>
      </c>
      <c r="G22" s="116">
        <v>152.07</v>
      </c>
      <c r="H22" s="122">
        <f>Glas!G6</f>
        <v>0</v>
      </c>
      <c r="I22" s="117"/>
      <c r="J22" s="122">
        <f>Glas!I6</f>
        <v>0</v>
      </c>
      <c r="K22" s="33">
        <f>IF(ISBLANK(G22),0,G22)*J22</f>
        <v>0</v>
      </c>
      <c r="L22" s="33">
        <f>C22*K22</f>
        <v>0</v>
      </c>
    </row>
    <row r="23" spans="1:12" x14ac:dyDescent="0.2">
      <c r="A23" s="20" t="s">
        <v>727</v>
      </c>
      <c r="B23" s="20" t="s">
        <v>27</v>
      </c>
      <c r="C23" s="21">
        <f>IF(ISBLANK(B23),0,IF(ISERROR(VALUE(B23)),VLOOKUP(B23,dagsoorttabel1,2,FALSE)*dagenperjaar1,VALUE(B23)))</f>
        <v>2</v>
      </c>
      <c r="D23" s="20" t="s">
        <v>561</v>
      </c>
      <c r="E23" s="20" t="s">
        <v>728</v>
      </c>
      <c r="F23" s="20" t="s">
        <v>665</v>
      </c>
      <c r="G23" s="120">
        <v>152.07</v>
      </c>
      <c r="H23" s="123">
        <f>Glas!G7</f>
        <v>0</v>
      </c>
      <c r="I23" s="121"/>
      <c r="J23" s="123">
        <f>Glas!I7</f>
        <v>0</v>
      </c>
      <c r="K23" s="37">
        <f>IF(ISBLANK(G23),0,G23)*J23</f>
        <v>0</v>
      </c>
      <c r="L23" s="37">
        <f>C23*K23</f>
        <v>0</v>
      </c>
    </row>
    <row r="24" spans="1:12" x14ac:dyDescent="0.2">
      <c r="A24" s="20" t="s">
        <v>729</v>
      </c>
      <c r="B24" s="20" t="s">
        <v>27</v>
      </c>
      <c r="C24" s="21">
        <f>IF(ISBLANK(B24),0,IF(ISERROR(VALUE(B24)),VLOOKUP(B24,dagsoorttabel1,2,FALSE)*dagenperjaar1,VALUE(B24)))</f>
        <v>2</v>
      </c>
      <c r="D24" s="20" t="s">
        <v>561</v>
      </c>
      <c r="E24" s="20" t="s">
        <v>730</v>
      </c>
      <c r="F24" s="20" t="s">
        <v>665</v>
      </c>
      <c r="G24" s="120">
        <v>192.82000000000002</v>
      </c>
      <c r="H24" s="123">
        <f>Glas!G8</f>
        <v>0</v>
      </c>
      <c r="I24" s="121"/>
      <c r="J24" s="123">
        <f>Glas!I8</f>
        <v>0</v>
      </c>
      <c r="K24" s="37">
        <f>IF(ISBLANK(G24),0,G24)*J24</f>
        <v>0</v>
      </c>
      <c r="L24" s="37">
        <f>C24*K24</f>
        <v>0</v>
      </c>
    </row>
    <row r="25" spans="1:12" x14ac:dyDescent="0.2">
      <c r="A25" s="20" t="s">
        <v>735</v>
      </c>
      <c r="B25" s="20" t="s">
        <v>27</v>
      </c>
      <c r="C25" s="21">
        <f>IF(ISBLANK(B25),0,IF(ISERROR(VALUE(B25)),VLOOKUP(B25,dagsoorttabel1,2,FALSE)*dagenperjaar1,VALUE(B25)))</f>
        <v>2</v>
      </c>
      <c r="D25" s="20" t="s">
        <v>561</v>
      </c>
      <c r="E25" s="20" t="s">
        <v>736</v>
      </c>
      <c r="F25" s="20" t="s">
        <v>665</v>
      </c>
      <c r="G25" s="120">
        <v>37.44</v>
      </c>
      <c r="H25" s="123">
        <f>Glas!G11</f>
        <v>0</v>
      </c>
      <c r="I25" s="121"/>
      <c r="J25" s="123">
        <f>Glas!I11</f>
        <v>0</v>
      </c>
      <c r="K25" s="37">
        <f>IF(ISBLANK(G25),0,G25)*J25</f>
        <v>0</v>
      </c>
      <c r="L25" s="37">
        <f>C25*K25</f>
        <v>0</v>
      </c>
    </row>
    <row r="26" spans="1:12" x14ac:dyDescent="0.2">
      <c r="A26" s="25" t="s">
        <v>737</v>
      </c>
      <c r="B26" s="25" t="s">
        <v>27</v>
      </c>
      <c r="C26" s="26">
        <f>IF(ISBLANK(B26),0,IF(ISERROR(VALUE(B26)),VLOOKUP(B26,dagsoorttabel1,2,FALSE)*dagenperjaar1,VALUE(B26)))</f>
        <v>2</v>
      </c>
      <c r="D26" s="25" t="s">
        <v>561</v>
      </c>
      <c r="E26" s="25" t="s">
        <v>738</v>
      </c>
      <c r="F26" s="25" t="s">
        <v>665</v>
      </c>
      <c r="G26" s="118">
        <v>37.44</v>
      </c>
      <c r="H26" s="124">
        <f>Glas!G12</f>
        <v>0</v>
      </c>
      <c r="I26" s="119"/>
      <c r="J26" s="124">
        <f>Glas!I12</f>
        <v>0</v>
      </c>
      <c r="K26" s="40">
        <f>IF(ISBLANK(G26),0,G26)*J26</f>
        <v>0</v>
      </c>
      <c r="L26" s="40">
        <f>C26*K26</f>
        <v>0</v>
      </c>
    </row>
    <row r="27" spans="1:12" x14ac:dyDescent="0.2">
      <c r="A27" s="104" t="s">
        <v>615</v>
      </c>
      <c r="B27" s="43"/>
      <c r="C27" s="43"/>
      <c r="D27" s="43"/>
      <c r="E27" s="43"/>
      <c r="F27" s="43"/>
      <c r="G27" s="43"/>
      <c r="H27" s="43"/>
      <c r="I27" s="43"/>
      <c r="J27" s="43"/>
      <c r="K27" s="45">
        <f>SUM(K22:K26)</f>
        <v>0</v>
      </c>
      <c r="L27" s="45">
        <f>SUM(L22:L26)</f>
        <v>0</v>
      </c>
    </row>
    <row r="29" spans="1:12" x14ac:dyDescent="0.2">
      <c r="A29" s="112" t="s">
        <v>394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113"/>
    </row>
    <row r="30" spans="1:12" x14ac:dyDescent="0.2">
      <c r="A30" s="15" t="s">
        <v>725</v>
      </c>
      <c r="B30" s="15" t="s">
        <v>27</v>
      </c>
      <c r="C30" s="16">
        <f t="shared" ref="C30:C35" si="3">IF(ISBLANK(B30),0,IF(ISERROR(VALUE(B30)),VLOOKUP(B30,dagsoorttabel1,2,FALSE)*dagenperjaar1,VALUE(B30)))</f>
        <v>2</v>
      </c>
      <c r="D30" s="15" t="s">
        <v>561</v>
      </c>
      <c r="E30" s="15" t="s">
        <v>726</v>
      </c>
      <c r="F30" s="15" t="s">
        <v>665</v>
      </c>
      <c r="G30" s="116">
        <v>341.42999999999995</v>
      </c>
      <c r="H30" s="122">
        <f>Glas!G6</f>
        <v>0</v>
      </c>
      <c r="I30" s="117"/>
      <c r="J30" s="122">
        <f>Glas!I6</f>
        <v>0</v>
      </c>
      <c r="K30" s="33">
        <f t="shared" ref="K30:K35" si="4">IF(ISBLANK(G30),0,G30)*J30</f>
        <v>0</v>
      </c>
      <c r="L30" s="33">
        <f t="shared" ref="L30:L35" si="5">C30*K30</f>
        <v>0</v>
      </c>
    </row>
    <row r="31" spans="1:12" x14ac:dyDescent="0.2">
      <c r="A31" s="20" t="s">
        <v>727</v>
      </c>
      <c r="B31" s="20" t="s">
        <v>27</v>
      </c>
      <c r="C31" s="21">
        <f t="shared" si="3"/>
        <v>2</v>
      </c>
      <c r="D31" s="20" t="s">
        <v>561</v>
      </c>
      <c r="E31" s="20" t="s">
        <v>728</v>
      </c>
      <c r="F31" s="20" t="s">
        <v>665</v>
      </c>
      <c r="G31" s="120">
        <v>341.42999999999995</v>
      </c>
      <c r="H31" s="123">
        <f>Glas!G7</f>
        <v>0</v>
      </c>
      <c r="I31" s="121"/>
      <c r="J31" s="123">
        <f>Glas!I7</f>
        <v>0</v>
      </c>
      <c r="K31" s="37">
        <f t="shared" si="4"/>
        <v>0</v>
      </c>
      <c r="L31" s="37">
        <f t="shared" si="5"/>
        <v>0</v>
      </c>
    </row>
    <row r="32" spans="1:12" x14ac:dyDescent="0.2">
      <c r="A32" s="20" t="s">
        <v>729</v>
      </c>
      <c r="B32" s="20" t="s">
        <v>27</v>
      </c>
      <c r="C32" s="21">
        <f t="shared" si="3"/>
        <v>2</v>
      </c>
      <c r="D32" s="20" t="s">
        <v>561</v>
      </c>
      <c r="E32" s="20" t="s">
        <v>730</v>
      </c>
      <c r="F32" s="20" t="s">
        <v>665</v>
      </c>
      <c r="G32" s="120">
        <v>276.10000000000002</v>
      </c>
      <c r="H32" s="123">
        <f>Glas!G8</f>
        <v>0</v>
      </c>
      <c r="I32" s="121"/>
      <c r="J32" s="123">
        <f>Glas!I8</f>
        <v>0</v>
      </c>
      <c r="K32" s="37">
        <f t="shared" si="4"/>
        <v>0</v>
      </c>
      <c r="L32" s="37">
        <f t="shared" si="5"/>
        <v>0</v>
      </c>
    </row>
    <row r="33" spans="1:12" x14ac:dyDescent="0.2">
      <c r="A33" s="20" t="s">
        <v>731</v>
      </c>
      <c r="B33" s="20" t="s">
        <v>27</v>
      </c>
      <c r="C33" s="21">
        <f t="shared" si="3"/>
        <v>2</v>
      </c>
      <c r="D33" s="20" t="s">
        <v>561</v>
      </c>
      <c r="E33" s="20" t="s">
        <v>732</v>
      </c>
      <c r="F33" s="20" t="s">
        <v>665</v>
      </c>
      <c r="G33" s="120">
        <v>1</v>
      </c>
      <c r="H33" s="123">
        <f>Glas!G9</f>
        <v>0</v>
      </c>
      <c r="I33" s="121"/>
      <c r="J33" s="123">
        <f>Glas!I9</f>
        <v>0</v>
      </c>
      <c r="K33" s="37">
        <f t="shared" si="4"/>
        <v>0</v>
      </c>
      <c r="L33" s="37">
        <f t="shared" si="5"/>
        <v>0</v>
      </c>
    </row>
    <row r="34" spans="1:12" x14ac:dyDescent="0.2">
      <c r="A34" s="20" t="s">
        <v>733</v>
      </c>
      <c r="B34" s="20" t="s">
        <v>27</v>
      </c>
      <c r="C34" s="21">
        <f t="shared" si="3"/>
        <v>2</v>
      </c>
      <c r="D34" s="20" t="s">
        <v>561</v>
      </c>
      <c r="E34" s="20" t="s">
        <v>734</v>
      </c>
      <c r="F34" s="20" t="s">
        <v>665</v>
      </c>
      <c r="G34" s="120">
        <v>1</v>
      </c>
      <c r="H34" s="123">
        <f>Glas!G10</f>
        <v>0</v>
      </c>
      <c r="I34" s="121"/>
      <c r="J34" s="123">
        <f>Glas!I10</f>
        <v>0</v>
      </c>
      <c r="K34" s="37">
        <f t="shared" si="4"/>
        <v>0</v>
      </c>
      <c r="L34" s="37">
        <f t="shared" si="5"/>
        <v>0</v>
      </c>
    </row>
    <row r="35" spans="1:12" x14ac:dyDescent="0.2">
      <c r="A35" s="25" t="s">
        <v>742</v>
      </c>
      <c r="B35" s="25" t="s">
        <v>27</v>
      </c>
      <c r="C35" s="26">
        <f t="shared" si="3"/>
        <v>2</v>
      </c>
      <c r="D35" s="25" t="s">
        <v>561</v>
      </c>
      <c r="E35" s="25" t="s">
        <v>743</v>
      </c>
      <c r="F35" s="25" t="s">
        <v>665</v>
      </c>
      <c r="G35" s="118">
        <v>4.1499999999999995</v>
      </c>
      <c r="H35" s="124">
        <f>Glas!G14</f>
        <v>0</v>
      </c>
      <c r="I35" s="119"/>
      <c r="J35" s="124">
        <f>Glas!I14</f>
        <v>0</v>
      </c>
      <c r="K35" s="40">
        <f t="shared" si="4"/>
        <v>0</v>
      </c>
      <c r="L35" s="40">
        <f t="shared" si="5"/>
        <v>0</v>
      </c>
    </row>
    <row r="36" spans="1:12" x14ac:dyDescent="0.2">
      <c r="A36" s="104" t="s">
        <v>616</v>
      </c>
      <c r="B36" s="43"/>
      <c r="C36" s="43"/>
      <c r="D36" s="43"/>
      <c r="E36" s="43"/>
      <c r="F36" s="43"/>
      <c r="G36" s="43"/>
      <c r="H36" s="43"/>
      <c r="I36" s="43"/>
      <c r="J36" s="43"/>
      <c r="K36" s="45">
        <f>SUM(K30:K35)</f>
        <v>0</v>
      </c>
      <c r="L36" s="45">
        <f>SUM(L30:L35)</f>
        <v>0</v>
      </c>
    </row>
    <row r="38" spans="1:12" x14ac:dyDescent="0.2">
      <c r="A38" s="112" t="s">
        <v>414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113"/>
    </row>
    <row r="39" spans="1:12" x14ac:dyDescent="0.2">
      <c r="A39" s="15" t="s">
        <v>725</v>
      </c>
      <c r="B39" s="15" t="s">
        <v>27</v>
      </c>
      <c r="C39" s="16">
        <f t="shared" ref="C39:C45" si="6">IF(ISBLANK(B39),0,IF(ISERROR(VALUE(B39)),VLOOKUP(B39,dagsoorttabel1,2,FALSE)*dagenperjaar1,VALUE(B39)))</f>
        <v>2</v>
      </c>
      <c r="D39" s="15" t="s">
        <v>561</v>
      </c>
      <c r="E39" s="15" t="s">
        <v>726</v>
      </c>
      <c r="F39" s="15" t="s">
        <v>665</v>
      </c>
      <c r="G39" s="116">
        <v>247.2</v>
      </c>
      <c r="H39" s="122">
        <f>Glas!G6</f>
        <v>0</v>
      </c>
      <c r="I39" s="117"/>
      <c r="J39" s="122">
        <f>Glas!I6</f>
        <v>0</v>
      </c>
      <c r="K39" s="33">
        <f t="shared" ref="K39:K45" si="7">IF(ISBLANK(G39),0,G39)*J39</f>
        <v>0</v>
      </c>
      <c r="L39" s="33">
        <f t="shared" ref="L39:L45" si="8">C39*K39</f>
        <v>0</v>
      </c>
    </row>
    <row r="40" spans="1:12" x14ac:dyDescent="0.2">
      <c r="A40" s="20" t="s">
        <v>727</v>
      </c>
      <c r="B40" s="20" t="s">
        <v>27</v>
      </c>
      <c r="C40" s="21">
        <f t="shared" si="6"/>
        <v>2</v>
      </c>
      <c r="D40" s="20" t="s">
        <v>561</v>
      </c>
      <c r="E40" s="20" t="s">
        <v>728</v>
      </c>
      <c r="F40" s="20" t="s">
        <v>665</v>
      </c>
      <c r="G40" s="120">
        <v>247.2</v>
      </c>
      <c r="H40" s="123">
        <f>Glas!G7</f>
        <v>0</v>
      </c>
      <c r="I40" s="121"/>
      <c r="J40" s="123">
        <f>Glas!I7</f>
        <v>0</v>
      </c>
      <c r="K40" s="37">
        <f t="shared" si="7"/>
        <v>0</v>
      </c>
      <c r="L40" s="37">
        <f t="shared" si="8"/>
        <v>0</v>
      </c>
    </row>
    <row r="41" spans="1:12" x14ac:dyDescent="0.2">
      <c r="A41" s="20" t="s">
        <v>729</v>
      </c>
      <c r="B41" s="20" t="s">
        <v>27</v>
      </c>
      <c r="C41" s="21">
        <f t="shared" si="6"/>
        <v>2</v>
      </c>
      <c r="D41" s="20" t="s">
        <v>561</v>
      </c>
      <c r="E41" s="20" t="s">
        <v>730</v>
      </c>
      <c r="F41" s="20" t="s">
        <v>665</v>
      </c>
      <c r="G41" s="120">
        <v>138.66</v>
      </c>
      <c r="H41" s="123">
        <f>Glas!G8</f>
        <v>0</v>
      </c>
      <c r="I41" s="121"/>
      <c r="J41" s="123">
        <f>Glas!I8</f>
        <v>0</v>
      </c>
      <c r="K41" s="37">
        <f t="shared" si="7"/>
        <v>0</v>
      </c>
      <c r="L41" s="37">
        <f t="shared" si="8"/>
        <v>0</v>
      </c>
    </row>
    <row r="42" spans="1:12" x14ac:dyDescent="0.2">
      <c r="A42" s="20" t="s">
        <v>731</v>
      </c>
      <c r="B42" s="20" t="s">
        <v>27</v>
      </c>
      <c r="C42" s="21">
        <f t="shared" si="6"/>
        <v>2</v>
      </c>
      <c r="D42" s="20" t="s">
        <v>561</v>
      </c>
      <c r="E42" s="20" t="s">
        <v>732</v>
      </c>
      <c r="F42" s="20" t="s">
        <v>665</v>
      </c>
      <c r="G42" s="120">
        <v>9</v>
      </c>
      <c r="H42" s="123">
        <f>Glas!G9</f>
        <v>0</v>
      </c>
      <c r="I42" s="121"/>
      <c r="J42" s="123">
        <f>Glas!I9</f>
        <v>0</v>
      </c>
      <c r="K42" s="37">
        <f t="shared" si="7"/>
        <v>0</v>
      </c>
      <c r="L42" s="37">
        <f t="shared" si="8"/>
        <v>0</v>
      </c>
    </row>
    <row r="43" spans="1:12" x14ac:dyDescent="0.2">
      <c r="A43" s="20" t="s">
        <v>733</v>
      </c>
      <c r="B43" s="20" t="s">
        <v>27</v>
      </c>
      <c r="C43" s="21">
        <f t="shared" si="6"/>
        <v>2</v>
      </c>
      <c r="D43" s="20" t="s">
        <v>561</v>
      </c>
      <c r="E43" s="20" t="s">
        <v>734</v>
      </c>
      <c r="F43" s="20" t="s">
        <v>665</v>
      </c>
      <c r="G43" s="120">
        <v>9</v>
      </c>
      <c r="H43" s="123">
        <f>Glas!G10</f>
        <v>0</v>
      </c>
      <c r="I43" s="121"/>
      <c r="J43" s="123">
        <f>Glas!I10</f>
        <v>0</v>
      </c>
      <c r="K43" s="37">
        <f t="shared" si="7"/>
        <v>0</v>
      </c>
      <c r="L43" s="37">
        <f t="shared" si="8"/>
        <v>0</v>
      </c>
    </row>
    <row r="44" spans="1:12" x14ac:dyDescent="0.2">
      <c r="A44" s="20" t="s">
        <v>742</v>
      </c>
      <c r="B44" s="20" t="s">
        <v>27</v>
      </c>
      <c r="C44" s="21">
        <f t="shared" si="6"/>
        <v>2</v>
      </c>
      <c r="D44" s="20" t="s">
        <v>561</v>
      </c>
      <c r="E44" s="20" t="s">
        <v>743</v>
      </c>
      <c r="F44" s="20" t="s">
        <v>665</v>
      </c>
      <c r="G44" s="120">
        <v>3.74</v>
      </c>
      <c r="H44" s="123">
        <f>Glas!G14</f>
        <v>0</v>
      </c>
      <c r="I44" s="121"/>
      <c r="J44" s="123">
        <f>Glas!I14</f>
        <v>0</v>
      </c>
      <c r="K44" s="37">
        <f t="shared" si="7"/>
        <v>0</v>
      </c>
      <c r="L44" s="37">
        <f t="shared" si="8"/>
        <v>0</v>
      </c>
    </row>
    <row r="45" spans="1:12" x14ac:dyDescent="0.2">
      <c r="A45" s="25" t="s">
        <v>744</v>
      </c>
      <c r="B45" s="25" t="s">
        <v>27</v>
      </c>
      <c r="C45" s="26">
        <f t="shared" si="6"/>
        <v>2</v>
      </c>
      <c r="D45" s="25" t="s">
        <v>561</v>
      </c>
      <c r="E45" s="25" t="s">
        <v>745</v>
      </c>
      <c r="F45" s="25" t="s">
        <v>665</v>
      </c>
      <c r="G45" s="118">
        <v>3.74</v>
      </c>
      <c r="H45" s="124">
        <f>Glas!G15</f>
        <v>0</v>
      </c>
      <c r="I45" s="119"/>
      <c r="J45" s="124">
        <f>Glas!I15</f>
        <v>0</v>
      </c>
      <c r="K45" s="40">
        <f t="shared" si="7"/>
        <v>0</v>
      </c>
      <c r="L45" s="40">
        <f t="shared" si="8"/>
        <v>0</v>
      </c>
    </row>
    <row r="46" spans="1:12" x14ac:dyDescent="0.2">
      <c r="A46" s="104" t="s">
        <v>617</v>
      </c>
      <c r="B46" s="43"/>
      <c r="C46" s="43"/>
      <c r="D46" s="43"/>
      <c r="E46" s="43"/>
      <c r="F46" s="43"/>
      <c r="G46" s="43"/>
      <c r="H46" s="43"/>
      <c r="I46" s="43"/>
      <c r="J46" s="43"/>
      <c r="K46" s="45">
        <f>SUM(K39:K45)</f>
        <v>0</v>
      </c>
      <c r="L46" s="45">
        <f>SUM(L39:L45)</f>
        <v>0</v>
      </c>
    </row>
    <row r="48" spans="1:12" x14ac:dyDescent="0.2">
      <c r="A48" s="112" t="s">
        <v>447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113"/>
    </row>
    <row r="49" spans="1:12" x14ac:dyDescent="0.2">
      <c r="A49" s="15" t="s">
        <v>725</v>
      </c>
      <c r="B49" s="15" t="s">
        <v>27</v>
      </c>
      <c r="C49" s="16">
        <f>IF(ISBLANK(B49),0,IF(ISERROR(VALUE(B49)),VLOOKUP(B49,dagsoorttabel1,2,FALSE)*dagenperjaar1,VALUE(B49)))</f>
        <v>2</v>
      </c>
      <c r="D49" s="15" t="s">
        <v>561</v>
      </c>
      <c r="E49" s="15" t="s">
        <v>726</v>
      </c>
      <c r="F49" s="15" t="s">
        <v>665</v>
      </c>
      <c r="G49" s="116">
        <v>292.31</v>
      </c>
      <c r="H49" s="122">
        <f>Glas!G6</f>
        <v>0</v>
      </c>
      <c r="I49" s="117"/>
      <c r="J49" s="122">
        <f>Glas!I6</f>
        <v>0</v>
      </c>
      <c r="K49" s="33">
        <f>IF(ISBLANK(G49),0,G49)*J49</f>
        <v>0</v>
      </c>
      <c r="L49" s="33">
        <f>C49*K49</f>
        <v>0</v>
      </c>
    </row>
    <row r="50" spans="1:12" x14ac:dyDescent="0.2">
      <c r="A50" s="20" t="s">
        <v>727</v>
      </c>
      <c r="B50" s="20" t="s">
        <v>27</v>
      </c>
      <c r="C50" s="21">
        <f>IF(ISBLANK(B50),0,IF(ISERROR(VALUE(B50)),VLOOKUP(B50,dagsoorttabel1,2,FALSE)*dagenperjaar1,VALUE(B50)))</f>
        <v>2</v>
      </c>
      <c r="D50" s="20" t="s">
        <v>561</v>
      </c>
      <c r="E50" s="20" t="s">
        <v>728</v>
      </c>
      <c r="F50" s="20" t="s">
        <v>665</v>
      </c>
      <c r="G50" s="120">
        <v>291.58999999999997</v>
      </c>
      <c r="H50" s="123">
        <f>Glas!G7</f>
        <v>0</v>
      </c>
      <c r="I50" s="121"/>
      <c r="J50" s="123">
        <f>Glas!I7</f>
        <v>0</v>
      </c>
      <c r="K50" s="37">
        <f>IF(ISBLANK(G50),0,G50)*J50</f>
        <v>0</v>
      </c>
      <c r="L50" s="37">
        <f>C50*K50</f>
        <v>0</v>
      </c>
    </row>
    <row r="51" spans="1:12" x14ac:dyDescent="0.2">
      <c r="A51" s="20" t="s">
        <v>729</v>
      </c>
      <c r="B51" s="20" t="s">
        <v>27</v>
      </c>
      <c r="C51" s="21">
        <f>IF(ISBLANK(B51),0,IF(ISERROR(VALUE(B51)),VLOOKUP(B51,dagsoorttabel1,2,FALSE)*dagenperjaar1,VALUE(B51)))</f>
        <v>2</v>
      </c>
      <c r="D51" s="20" t="s">
        <v>561</v>
      </c>
      <c r="E51" s="20" t="s">
        <v>730</v>
      </c>
      <c r="F51" s="20" t="s">
        <v>665</v>
      </c>
      <c r="G51" s="120">
        <v>161.78</v>
      </c>
      <c r="H51" s="123">
        <f>Glas!G8</f>
        <v>0</v>
      </c>
      <c r="I51" s="121"/>
      <c r="J51" s="123">
        <f>Glas!I8</f>
        <v>0</v>
      </c>
      <c r="K51" s="37">
        <f>IF(ISBLANK(G51),0,G51)*J51</f>
        <v>0</v>
      </c>
      <c r="L51" s="37">
        <f>C51*K51</f>
        <v>0</v>
      </c>
    </row>
    <row r="52" spans="1:12" x14ac:dyDescent="0.2">
      <c r="A52" s="25" t="s">
        <v>742</v>
      </c>
      <c r="B52" s="25" t="s">
        <v>27</v>
      </c>
      <c r="C52" s="26">
        <f>IF(ISBLANK(B52),0,IF(ISERROR(VALUE(B52)),VLOOKUP(B52,dagsoorttabel1,2,FALSE)*dagenperjaar1,VALUE(B52)))</f>
        <v>2</v>
      </c>
      <c r="D52" s="25" t="s">
        <v>561</v>
      </c>
      <c r="E52" s="25" t="s">
        <v>743</v>
      </c>
      <c r="F52" s="25" t="s">
        <v>665</v>
      </c>
      <c r="G52" s="118">
        <v>15.41</v>
      </c>
      <c r="H52" s="124">
        <f>Glas!G14</f>
        <v>0</v>
      </c>
      <c r="I52" s="119"/>
      <c r="J52" s="124">
        <f>Glas!I14</f>
        <v>0</v>
      </c>
      <c r="K52" s="40">
        <f>IF(ISBLANK(G52),0,G52)*J52</f>
        <v>0</v>
      </c>
      <c r="L52" s="40">
        <f>C52*K52</f>
        <v>0</v>
      </c>
    </row>
    <row r="53" spans="1:12" x14ac:dyDescent="0.2">
      <c r="A53" s="104" t="s">
        <v>618</v>
      </c>
      <c r="B53" s="43"/>
      <c r="C53" s="43"/>
      <c r="D53" s="43"/>
      <c r="E53" s="43"/>
      <c r="F53" s="43"/>
      <c r="G53" s="43"/>
      <c r="H53" s="43"/>
      <c r="I53" s="43"/>
      <c r="J53" s="43"/>
      <c r="K53" s="45">
        <f>SUM(K49:K52)</f>
        <v>0</v>
      </c>
      <c r="L53" s="45">
        <f>SUM(L49:L52)</f>
        <v>0</v>
      </c>
    </row>
    <row r="55" spans="1:12" x14ac:dyDescent="0.2">
      <c r="A55" s="112" t="s">
        <v>467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113"/>
    </row>
    <row r="56" spans="1:12" x14ac:dyDescent="0.2">
      <c r="A56" s="15" t="s">
        <v>725</v>
      </c>
      <c r="B56" s="15" t="s">
        <v>27</v>
      </c>
      <c r="C56" s="16">
        <f>IF(ISBLANK(B56),0,IF(ISERROR(VALUE(B56)),VLOOKUP(B56,dagsoorttabel1,2,FALSE)*dagenperjaar1,VALUE(B56)))</f>
        <v>2</v>
      </c>
      <c r="D56" s="15" t="s">
        <v>561</v>
      </c>
      <c r="E56" s="15" t="s">
        <v>726</v>
      </c>
      <c r="F56" s="15" t="s">
        <v>665</v>
      </c>
      <c r="G56" s="116">
        <v>278.55</v>
      </c>
      <c r="H56" s="122">
        <f>Glas!G6</f>
        <v>0</v>
      </c>
      <c r="I56" s="117"/>
      <c r="J56" s="122">
        <f>Glas!I6</f>
        <v>0</v>
      </c>
      <c r="K56" s="33">
        <f>IF(ISBLANK(G56),0,G56)*J56</f>
        <v>0</v>
      </c>
      <c r="L56" s="33">
        <f>C56*K56</f>
        <v>0</v>
      </c>
    </row>
    <row r="57" spans="1:12" x14ac:dyDescent="0.2">
      <c r="A57" s="20" t="s">
        <v>727</v>
      </c>
      <c r="B57" s="20" t="s">
        <v>27</v>
      </c>
      <c r="C57" s="21">
        <f>IF(ISBLANK(B57),0,IF(ISERROR(VALUE(B57)),VLOOKUP(B57,dagsoorttabel1,2,FALSE)*dagenperjaar1,VALUE(B57)))</f>
        <v>2</v>
      </c>
      <c r="D57" s="20" t="s">
        <v>561</v>
      </c>
      <c r="E57" s="20" t="s">
        <v>728</v>
      </c>
      <c r="F57" s="20" t="s">
        <v>665</v>
      </c>
      <c r="G57" s="120">
        <v>278.55</v>
      </c>
      <c r="H57" s="123">
        <f>Glas!G7</f>
        <v>0</v>
      </c>
      <c r="I57" s="121"/>
      <c r="J57" s="123">
        <f>Glas!I7</f>
        <v>0</v>
      </c>
      <c r="K57" s="37">
        <f>IF(ISBLANK(G57),0,G57)*J57</f>
        <v>0</v>
      </c>
      <c r="L57" s="37">
        <f>C57*K57</f>
        <v>0</v>
      </c>
    </row>
    <row r="58" spans="1:12" x14ac:dyDescent="0.2">
      <c r="A58" s="25" t="s">
        <v>729</v>
      </c>
      <c r="B58" s="25" t="s">
        <v>27</v>
      </c>
      <c r="C58" s="26">
        <f>IF(ISBLANK(B58),0,IF(ISERROR(VALUE(B58)),VLOOKUP(B58,dagsoorttabel1,2,FALSE)*dagenperjaar1,VALUE(B58)))</f>
        <v>2</v>
      </c>
      <c r="D58" s="25" t="s">
        <v>561</v>
      </c>
      <c r="E58" s="25" t="s">
        <v>730</v>
      </c>
      <c r="F58" s="25" t="s">
        <v>665</v>
      </c>
      <c r="G58" s="118">
        <v>141.68</v>
      </c>
      <c r="H58" s="124">
        <f>Glas!G8</f>
        <v>0</v>
      </c>
      <c r="I58" s="119"/>
      <c r="J58" s="124">
        <f>Glas!I8</f>
        <v>0</v>
      </c>
      <c r="K58" s="40">
        <f>IF(ISBLANK(G58),0,G58)*J58</f>
        <v>0</v>
      </c>
      <c r="L58" s="40">
        <f>C58*K58</f>
        <v>0</v>
      </c>
    </row>
    <row r="59" spans="1:12" x14ac:dyDescent="0.2">
      <c r="A59" s="104" t="s">
        <v>619</v>
      </c>
      <c r="B59" s="43"/>
      <c r="C59" s="43"/>
      <c r="D59" s="43"/>
      <c r="E59" s="43"/>
      <c r="F59" s="43"/>
      <c r="G59" s="43"/>
      <c r="H59" s="43"/>
      <c r="I59" s="43"/>
      <c r="J59" s="43"/>
      <c r="K59" s="45">
        <f>SUM(K56:K58)</f>
        <v>0</v>
      </c>
      <c r="L59" s="45">
        <f>SUM(L56:L58)</f>
        <v>0</v>
      </c>
    </row>
    <row r="61" spans="1:12" x14ac:dyDescent="0.2">
      <c r="A61" s="112" t="s">
        <v>476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113"/>
    </row>
    <row r="62" spans="1:12" x14ac:dyDescent="0.2">
      <c r="A62" s="15" t="s">
        <v>725</v>
      </c>
      <c r="B62" s="15" t="s">
        <v>27</v>
      </c>
      <c r="C62" s="16">
        <f>IF(ISBLANK(B62),0,IF(ISERROR(VALUE(B62)),VLOOKUP(B62,dagsoorttabel1,2,FALSE)*dagenperjaar1,VALUE(B62)))</f>
        <v>2</v>
      </c>
      <c r="D62" s="15" t="s">
        <v>561</v>
      </c>
      <c r="E62" s="15" t="s">
        <v>726</v>
      </c>
      <c r="F62" s="15" t="s">
        <v>665</v>
      </c>
      <c r="G62" s="116">
        <v>192.34</v>
      </c>
      <c r="H62" s="122">
        <f>Glas!G6</f>
        <v>0</v>
      </c>
      <c r="I62" s="117"/>
      <c r="J62" s="122">
        <f>Glas!I6</f>
        <v>0</v>
      </c>
      <c r="K62" s="33">
        <f>IF(ISBLANK(G62),0,G62)*J62</f>
        <v>0</v>
      </c>
      <c r="L62" s="33">
        <f>C62*K62</f>
        <v>0</v>
      </c>
    </row>
    <row r="63" spans="1:12" x14ac:dyDescent="0.2">
      <c r="A63" s="20" t="s">
        <v>727</v>
      </c>
      <c r="B63" s="20" t="s">
        <v>27</v>
      </c>
      <c r="C63" s="21">
        <f>IF(ISBLANK(B63),0,IF(ISERROR(VALUE(B63)),VLOOKUP(B63,dagsoorttabel1,2,FALSE)*dagenperjaar1,VALUE(B63)))</f>
        <v>2</v>
      </c>
      <c r="D63" s="20" t="s">
        <v>561</v>
      </c>
      <c r="E63" s="20" t="s">
        <v>728</v>
      </c>
      <c r="F63" s="20" t="s">
        <v>665</v>
      </c>
      <c r="G63" s="120">
        <v>192.34</v>
      </c>
      <c r="H63" s="123">
        <f>Glas!G7</f>
        <v>0</v>
      </c>
      <c r="I63" s="121"/>
      <c r="J63" s="123">
        <f>Glas!I7</f>
        <v>0</v>
      </c>
      <c r="K63" s="37">
        <f>IF(ISBLANK(G63),0,G63)*J63</f>
        <v>0</v>
      </c>
      <c r="L63" s="37">
        <f>C63*K63</f>
        <v>0</v>
      </c>
    </row>
    <row r="64" spans="1:12" x14ac:dyDescent="0.2">
      <c r="A64" s="20" t="s">
        <v>729</v>
      </c>
      <c r="B64" s="20" t="s">
        <v>27</v>
      </c>
      <c r="C64" s="21">
        <f>IF(ISBLANK(B64),0,IF(ISERROR(VALUE(B64)),VLOOKUP(B64,dagsoorttabel1,2,FALSE)*dagenperjaar1,VALUE(B64)))</f>
        <v>2</v>
      </c>
      <c r="D64" s="20" t="s">
        <v>561</v>
      </c>
      <c r="E64" s="20" t="s">
        <v>730</v>
      </c>
      <c r="F64" s="20" t="s">
        <v>665</v>
      </c>
      <c r="G64" s="120">
        <v>14.9</v>
      </c>
      <c r="H64" s="123">
        <f>Glas!G8</f>
        <v>0</v>
      </c>
      <c r="I64" s="121"/>
      <c r="J64" s="123">
        <f>Glas!I8</f>
        <v>0</v>
      </c>
      <c r="K64" s="37">
        <f>IF(ISBLANK(G64),0,G64)*J64</f>
        <v>0</v>
      </c>
      <c r="L64" s="37">
        <f>C64*K64</f>
        <v>0</v>
      </c>
    </row>
    <row r="65" spans="1:12" x14ac:dyDescent="0.2">
      <c r="A65" s="20" t="s">
        <v>731</v>
      </c>
      <c r="B65" s="20" t="s">
        <v>27</v>
      </c>
      <c r="C65" s="21">
        <f>IF(ISBLANK(B65),0,IF(ISERROR(VALUE(B65)),VLOOKUP(B65,dagsoorttabel1,2,FALSE)*dagenperjaar1,VALUE(B65)))</f>
        <v>2</v>
      </c>
      <c r="D65" s="20" t="s">
        <v>561</v>
      </c>
      <c r="E65" s="20" t="s">
        <v>732</v>
      </c>
      <c r="F65" s="20" t="s">
        <v>665</v>
      </c>
      <c r="G65" s="120">
        <v>13</v>
      </c>
      <c r="H65" s="123">
        <f>Glas!G9</f>
        <v>0</v>
      </c>
      <c r="I65" s="121"/>
      <c r="J65" s="123">
        <f>Glas!I9</f>
        <v>0</v>
      </c>
      <c r="K65" s="37">
        <f>IF(ISBLANK(G65),0,G65)*J65</f>
        <v>0</v>
      </c>
      <c r="L65" s="37">
        <f>C65*K65</f>
        <v>0</v>
      </c>
    </row>
    <row r="66" spans="1:12" x14ac:dyDescent="0.2">
      <c r="A66" s="25" t="s">
        <v>733</v>
      </c>
      <c r="B66" s="25" t="s">
        <v>27</v>
      </c>
      <c r="C66" s="26">
        <f>IF(ISBLANK(B66),0,IF(ISERROR(VALUE(B66)),VLOOKUP(B66,dagsoorttabel1,2,FALSE)*dagenperjaar1,VALUE(B66)))</f>
        <v>2</v>
      </c>
      <c r="D66" s="25" t="s">
        <v>561</v>
      </c>
      <c r="E66" s="25" t="s">
        <v>734</v>
      </c>
      <c r="F66" s="25" t="s">
        <v>665</v>
      </c>
      <c r="G66" s="118">
        <v>13</v>
      </c>
      <c r="H66" s="124">
        <f>Glas!G10</f>
        <v>0</v>
      </c>
      <c r="I66" s="119"/>
      <c r="J66" s="124">
        <f>Glas!I10</f>
        <v>0</v>
      </c>
      <c r="K66" s="40">
        <f>IF(ISBLANK(G66),0,G66)*J66</f>
        <v>0</v>
      </c>
      <c r="L66" s="40">
        <f>C66*K66</f>
        <v>0</v>
      </c>
    </row>
    <row r="67" spans="1:12" x14ac:dyDescent="0.2">
      <c r="A67" s="104" t="s">
        <v>620</v>
      </c>
      <c r="B67" s="43"/>
      <c r="C67" s="43"/>
      <c r="D67" s="43"/>
      <c r="E67" s="43"/>
      <c r="F67" s="43"/>
      <c r="G67" s="43"/>
      <c r="H67" s="43"/>
      <c r="I67" s="43"/>
      <c r="J67" s="43"/>
      <c r="K67" s="45">
        <f>SUM(K62:K66)</f>
        <v>0</v>
      </c>
      <c r="L67" s="45">
        <f>SUM(L62:L66)</f>
        <v>0</v>
      </c>
    </row>
    <row r="69" spans="1:12" x14ac:dyDescent="0.2">
      <c r="A69" s="112" t="s">
        <v>486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113"/>
    </row>
    <row r="70" spans="1:12" x14ac:dyDescent="0.2">
      <c r="A70" s="15" t="s">
        <v>725</v>
      </c>
      <c r="B70" s="15" t="s">
        <v>27</v>
      </c>
      <c r="C70" s="16">
        <f t="shared" ref="C70:C75" si="9">IF(ISBLANK(B70),0,IF(ISERROR(VALUE(B70)),VLOOKUP(B70,dagsoorttabel1,2,FALSE)*dagenperjaar1,VALUE(B70)))</f>
        <v>2</v>
      </c>
      <c r="D70" s="15" t="s">
        <v>561</v>
      </c>
      <c r="E70" s="15" t="s">
        <v>726</v>
      </c>
      <c r="F70" s="15" t="s">
        <v>665</v>
      </c>
      <c r="G70" s="116">
        <v>290.75</v>
      </c>
      <c r="H70" s="122">
        <f>Glas!G6</f>
        <v>0</v>
      </c>
      <c r="I70" s="117"/>
      <c r="J70" s="122">
        <f>Glas!I6</f>
        <v>0</v>
      </c>
      <c r="K70" s="33">
        <f>IF(ISBLANK(G70),0,G70)*J70</f>
        <v>0</v>
      </c>
      <c r="L70" s="33">
        <f t="shared" ref="L70:L75" si="10">C70*K70</f>
        <v>0</v>
      </c>
    </row>
    <row r="71" spans="1:12" x14ac:dyDescent="0.2">
      <c r="A71" s="20" t="s">
        <v>727</v>
      </c>
      <c r="B71" s="20" t="s">
        <v>27</v>
      </c>
      <c r="C71" s="21">
        <f t="shared" si="9"/>
        <v>2</v>
      </c>
      <c r="D71" s="20" t="s">
        <v>561</v>
      </c>
      <c r="E71" s="20" t="s">
        <v>728</v>
      </c>
      <c r="F71" s="20" t="s">
        <v>665</v>
      </c>
      <c r="G71" s="120">
        <v>290.75</v>
      </c>
      <c r="H71" s="123">
        <f>Glas!G7</f>
        <v>0</v>
      </c>
      <c r="I71" s="121"/>
      <c r="J71" s="123">
        <f>Glas!I7</f>
        <v>0</v>
      </c>
      <c r="K71" s="37">
        <f>IF(ISBLANK(G71),0,G71)*J71</f>
        <v>0</v>
      </c>
      <c r="L71" s="37">
        <f t="shared" si="10"/>
        <v>0</v>
      </c>
    </row>
    <row r="72" spans="1:12" x14ac:dyDescent="0.2">
      <c r="A72" s="20" t="s">
        <v>729</v>
      </c>
      <c r="B72" s="20" t="s">
        <v>27</v>
      </c>
      <c r="C72" s="21">
        <f t="shared" si="9"/>
        <v>2</v>
      </c>
      <c r="D72" s="20" t="s">
        <v>561</v>
      </c>
      <c r="E72" s="20" t="s">
        <v>730</v>
      </c>
      <c r="F72" s="20" t="s">
        <v>665</v>
      </c>
      <c r="G72" s="120">
        <v>49.75</v>
      </c>
      <c r="H72" s="123">
        <f>Glas!G8</f>
        <v>0</v>
      </c>
      <c r="I72" s="121"/>
      <c r="J72" s="123">
        <f>Glas!I8</f>
        <v>0</v>
      </c>
      <c r="K72" s="37">
        <f>IF(ISBLANK(G72),0,G72)*J72</f>
        <v>0</v>
      </c>
      <c r="L72" s="37">
        <f t="shared" si="10"/>
        <v>0</v>
      </c>
    </row>
    <row r="73" spans="1:12" x14ac:dyDescent="0.2">
      <c r="A73" s="20" t="s">
        <v>731</v>
      </c>
      <c r="B73" s="20" t="s">
        <v>27</v>
      </c>
      <c r="C73" s="21">
        <f t="shared" si="9"/>
        <v>2</v>
      </c>
      <c r="D73" s="20" t="s">
        <v>561</v>
      </c>
      <c r="E73" s="20" t="s">
        <v>732</v>
      </c>
      <c r="F73" s="20" t="s">
        <v>665</v>
      </c>
      <c r="G73" s="120">
        <v>5.6</v>
      </c>
      <c r="H73" s="123">
        <f>Glas!G9</f>
        <v>0</v>
      </c>
      <c r="I73" s="121"/>
      <c r="J73" s="123">
        <f>Glas!I9</f>
        <v>0</v>
      </c>
      <c r="K73" s="37">
        <f>IF(ISBLANK(G73),0,G73)*J73</f>
        <v>0</v>
      </c>
      <c r="L73" s="37">
        <f t="shared" si="10"/>
        <v>0</v>
      </c>
    </row>
    <row r="74" spans="1:12" x14ac:dyDescent="0.2">
      <c r="A74" s="20" t="s">
        <v>733</v>
      </c>
      <c r="B74" s="20" t="s">
        <v>27</v>
      </c>
      <c r="C74" s="21">
        <f t="shared" si="9"/>
        <v>2</v>
      </c>
      <c r="D74" s="20" t="s">
        <v>561</v>
      </c>
      <c r="E74" s="20" t="s">
        <v>734</v>
      </c>
      <c r="F74" s="20" t="s">
        <v>665</v>
      </c>
      <c r="G74" s="120">
        <v>5.6</v>
      </c>
      <c r="H74" s="123">
        <f>Glas!G10</f>
        <v>0</v>
      </c>
      <c r="I74" s="121"/>
      <c r="J74" s="123">
        <f>Glas!I10</f>
        <v>0</v>
      </c>
      <c r="K74" s="37">
        <f>IF(ISBLANK(G74),0,G74)*J74</f>
        <v>0</v>
      </c>
      <c r="L74" s="37">
        <f t="shared" si="10"/>
        <v>0</v>
      </c>
    </row>
    <row r="75" spans="1:12" x14ac:dyDescent="0.2">
      <c r="A75" s="25" t="s">
        <v>740</v>
      </c>
      <c r="B75" s="25" t="s">
        <v>27</v>
      </c>
      <c r="C75" s="26">
        <f t="shared" si="9"/>
        <v>2</v>
      </c>
      <c r="D75" s="25" t="s">
        <v>561</v>
      </c>
      <c r="E75" s="25" t="s">
        <v>741</v>
      </c>
      <c r="F75" s="25" t="s">
        <v>739</v>
      </c>
      <c r="G75" s="118">
        <v>1</v>
      </c>
      <c r="H75" s="124">
        <f>Glas!G13</f>
        <v>0</v>
      </c>
      <c r="I75" s="119"/>
      <c r="J75" s="124">
        <f>Glas!I13</f>
        <v>0</v>
      </c>
      <c r="K75" s="40">
        <f>IF(ISBLANK(G75),1,G75)*J75</f>
        <v>0</v>
      </c>
      <c r="L75" s="40">
        <f t="shared" si="10"/>
        <v>0</v>
      </c>
    </row>
    <row r="76" spans="1:12" x14ac:dyDescent="0.2">
      <c r="A76" s="104" t="s">
        <v>621</v>
      </c>
      <c r="B76" s="43"/>
      <c r="C76" s="43"/>
      <c r="D76" s="43"/>
      <c r="E76" s="43"/>
      <c r="F76" s="43"/>
      <c r="G76" s="43"/>
      <c r="H76" s="43"/>
      <c r="I76" s="43"/>
      <c r="J76" s="43"/>
      <c r="K76" s="45">
        <f>SUM(K70:K75)</f>
        <v>0</v>
      </c>
      <c r="L76" s="45">
        <f>SUM(L70:L75)</f>
        <v>0</v>
      </c>
    </row>
    <row r="78" spans="1:12" x14ac:dyDescent="0.2">
      <c r="A78" s="112" t="s">
        <v>537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113"/>
    </row>
    <row r="79" spans="1:12" x14ac:dyDescent="0.2">
      <c r="A79" s="15" t="s">
        <v>725</v>
      </c>
      <c r="B79" s="15" t="s">
        <v>27</v>
      </c>
      <c r="C79" s="16">
        <f>IF(ISBLANK(B79),0,IF(ISERROR(VALUE(B79)),VLOOKUP(B79,dagsoorttabel1,2,FALSE)*dagenperjaar1,VALUE(B79)))</f>
        <v>2</v>
      </c>
      <c r="D79" s="15" t="s">
        <v>561</v>
      </c>
      <c r="E79" s="15" t="s">
        <v>726</v>
      </c>
      <c r="F79" s="15" t="s">
        <v>665</v>
      </c>
      <c r="G79" s="116">
        <v>34.700000000000003</v>
      </c>
      <c r="H79" s="122">
        <f>Glas!G6</f>
        <v>0</v>
      </c>
      <c r="I79" s="117"/>
      <c r="J79" s="122">
        <f>Glas!I6</f>
        <v>0</v>
      </c>
      <c r="K79" s="33">
        <f>IF(ISBLANK(G79),0,G79)*J79</f>
        <v>0</v>
      </c>
      <c r="L79" s="33">
        <f>C79*K79</f>
        <v>0</v>
      </c>
    </row>
    <row r="80" spans="1:12" x14ac:dyDescent="0.2">
      <c r="A80" s="20" t="s">
        <v>727</v>
      </c>
      <c r="B80" s="20" t="s">
        <v>27</v>
      </c>
      <c r="C80" s="21">
        <f>IF(ISBLANK(B80),0,IF(ISERROR(VALUE(B80)),VLOOKUP(B80,dagsoorttabel1,2,FALSE)*dagenperjaar1,VALUE(B80)))</f>
        <v>2</v>
      </c>
      <c r="D80" s="20" t="s">
        <v>561</v>
      </c>
      <c r="E80" s="20" t="s">
        <v>728</v>
      </c>
      <c r="F80" s="20" t="s">
        <v>665</v>
      </c>
      <c r="G80" s="120">
        <v>34.700000000000003</v>
      </c>
      <c r="H80" s="123">
        <f>Glas!G7</f>
        <v>0</v>
      </c>
      <c r="I80" s="121"/>
      <c r="J80" s="123">
        <f>Glas!I7</f>
        <v>0</v>
      </c>
      <c r="K80" s="37">
        <f>IF(ISBLANK(G80),0,G80)*J80</f>
        <v>0</v>
      </c>
      <c r="L80" s="37">
        <f>C80*K80</f>
        <v>0</v>
      </c>
    </row>
    <row r="81" spans="1:12" x14ac:dyDescent="0.2">
      <c r="A81" s="25" t="s">
        <v>729</v>
      </c>
      <c r="B81" s="25" t="s">
        <v>27</v>
      </c>
      <c r="C81" s="26">
        <f>IF(ISBLANK(B81),0,IF(ISERROR(VALUE(B81)),VLOOKUP(B81,dagsoorttabel1,2,FALSE)*dagenperjaar1,VALUE(B81)))</f>
        <v>2</v>
      </c>
      <c r="D81" s="25" t="s">
        <v>561</v>
      </c>
      <c r="E81" s="25" t="s">
        <v>730</v>
      </c>
      <c r="F81" s="25" t="s">
        <v>665</v>
      </c>
      <c r="G81" s="118">
        <v>25</v>
      </c>
      <c r="H81" s="124">
        <f>Glas!G8</f>
        <v>0</v>
      </c>
      <c r="I81" s="119"/>
      <c r="J81" s="124">
        <f>Glas!I8</f>
        <v>0</v>
      </c>
      <c r="K81" s="40">
        <f>IF(ISBLANK(G81),0,G81)*J81</f>
        <v>0</v>
      </c>
      <c r="L81" s="40">
        <f>C81*K81</f>
        <v>0</v>
      </c>
    </row>
    <row r="82" spans="1:12" x14ac:dyDescent="0.2">
      <c r="A82" s="104" t="s">
        <v>622</v>
      </c>
      <c r="B82" s="43"/>
      <c r="C82" s="43"/>
      <c r="D82" s="43"/>
      <c r="E82" s="43"/>
      <c r="F82" s="43"/>
      <c r="G82" s="43"/>
      <c r="H82" s="43"/>
      <c r="I82" s="43"/>
      <c r="J82" s="43"/>
      <c r="K82" s="45">
        <f>SUM(K79:K81)</f>
        <v>0</v>
      </c>
      <c r="L82" s="45">
        <f>SUM(L79:L81)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94E9-99A9-49B0-B970-7AEBD4E560B3}">
  <dimension ref="A1:F19"/>
  <sheetViews>
    <sheetView tabSelected="1" workbookViewId="0">
      <selection activeCell="E16" sqref="E16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H.13: ",tabeltype," totaalblad schoonmaakwerk")</f>
        <v>Bijlage H.13: Invultabel totaalblad schoonmaakwerk</v>
      </c>
    </row>
    <row r="3" spans="1:6" ht="25.5" x14ac:dyDescent="0.2">
      <c r="A3" s="8" t="s">
        <v>747</v>
      </c>
      <c r="B3" s="8" t="s">
        <v>748</v>
      </c>
      <c r="C3" s="8" t="s">
        <v>749</v>
      </c>
      <c r="D3" s="8" t="s">
        <v>750</v>
      </c>
      <c r="E3" s="8" t="s">
        <v>751</v>
      </c>
      <c r="F3" s="8" t="s">
        <v>752</v>
      </c>
    </row>
    <row r="4" spans="1:6" x14ac:dyDescent="0.2">
      <c r="A4" s="125" t="s">
        <v>753</v>
      </c>
      <c r="B4" s="30">
        <f>urenjaartotaaloverzicht</f>
        <v>0</v>
      </c>
      <c r="C4" s="30">
        <f>urenjaartotaaloverzichthf</f>
        <v>0</v>
      </c>
      <c r="D4" s="96"/>
      <c r="E4" s="33">
        <f>prijsjaartotaaloverzicht</f>
        <v>0</v>
      </c>
      <c r="F4" s="33">
        <f>E4*1.21</f>
        <v>0</v>
      </c>
    </row>
    <row r="5" spans="1:6" x14ac:dyDescent="0.2">
      <c r="A5" s="126" t="s">
        <v>754</v>
      </c>
      <c r="B5" s="99"/>
      <c r="C5" s="99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26" t="s">
        <v>755</v>
      </c>
      <c r="B6" s="99"/>
      <c r="C6" s="99"/>
      <c r="D6" s="99"/>
      <c r="E6" s="37">
        <f>prijsjaaradditioneel</f>
        <v>0</v>
      </c>
      <c r="F6" s="37">
        <f>E6*1.21</f>
        <v>0</v>
      </c>
    </row>
    <row r="7" spans="1:6" x14ac:dyDescent="0.2">
      <c r="A7" s="126" t="s">
        <v>756</v>
      </c>
      <c r="B7" s="99"/>
      <c r="C7" s="99"/>
      <c r="D7" s="99"/>
      <c r="E7" s="37">
        <f>prijsjaarregie</f>
        <v>0</v>
      </c>
      <c r="F7" s="37">
        <f>E7*1.21</f>
        <v>0</v>
      </c>
    </row>
    <row r="8" spans="1:6" x14ac:dyDescent="0.2">
      <c r="A8" s="127" t="s">
        <v>757</v>
      </c>
      <c r="B8" s="128"/>
      <c r="C8" s="128"/>
      <c r="D8" s="128"/>
      <c r="E8" s="40">
        <f>prijsjaarglas</f>
        <v>0</v>
      </c>
      <c r="F8" s="40">
        <f>E8*1.21</f>
        <v>0</v>
      </c>
    </row>
    <row r="10" spans="1:6" x14ac:dyDescent="0.2">
      <c r="A10" s="8" t="s">
        <v>758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759</v>
      </c>
      <c r="B12" s="129">
        <f>IF(B10&gt;0,D10/B10,0)</f>
        <v>0</v>
      </c>
    </row>
    <row r="17" spans="1:5" ht="15" x14ac:dyDescent="0.25">
      <c r="A17" s="130" t="s">
        <v>760</v>
      </c>
      <c r="B17" s="131"/>
      <c r="C17" s="131"/>
      <c r="D17" s="131"/>
      <c r="E17" s="132">
        <f>E4+E5</f>
        <v>0</v>
      </c>
    </row>
    <row r="18" spans="1:5" ht="15" x14ac:dyDescent="0.25">
      <c r="A18" s="131"/>
      <c r="B18" s="131"/>
      <c r="C18" s="131"/>
      <c r="D18" s="131"/>
      <c r="E18" s="131"/>
    </row>
    <row r="19" spans="1:5" ht="15" x14ac:dyDescent="0.25">
      <c r="A19" s="130" t="s">
        <v>761</v>
      </c>
      <c r="B19" s="131"/>
      <c r="C19" s="131"/>
      <c r="D19" s="131"/>
      <c r="E19" s="132">
        <f>E6+E7+E8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8C56-9FE5-49FE-820E-9B01967631F3}">
  <dimension ref="A1:H67"/>
  <sheetViews>
    <sheetView workbookViewId="0">
      <selection activeCell="D10" sqref="D10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31</v>
      </c>
      <c r="B3" s="8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37</v>
      </c>
      <c r="H3" s="8" t="s">
        <v>38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39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40</v>
      </c>
      <c r="B6" s="16" t="s">
        <v>41</v>
      </c>
      <c r="C6" s="15">
        <v>1</v>
      </c>
      <c r="D6" s="15" t="s">
        <v>42</v>
      </c>
      <c r="E6" s="17"/>
      <c r="F6" s="18"/>
      <c r="G6" s="15" t="s">
        <v>43</v>
      </c>
      <c r="H6" s="19"/>
    </row>
    <row r="7" spans="1:8" x14ac:dyDescent="0.2">
      <c r="A7" s="20" t="s">
        <v>44</v>
      </c>
      <c r="B7" s="21" t="s">
        <v>41</v>
      </c>
      <c r="C7" s="20">
        <v>40</v>
      </c>
      <c r="D7" s="20" t="s">
        <v>45</v>
      </c>
      <c r="E7" s="22"/>
      <c r="F7" s="23"/>
      <c r="G7" s="20" t="s">
        <v>43</v>
      </c>
      <c r="H7" s="24"/>
    </row>
    <row r="8" spans="1:8" x14ac:dyDescent="0.2">
      <c r="A8" s="20" t="s">
        <v>44</v>
      </c>
      <c r="B8" s="21" t="s">
        <v>41</v>
      </c>
      <c r="C8" s="20">
        <v>47</v>
      </c>
      <c r="D8" s="20" t="s">
        <v>45</v>
      </c>
      <c r="E8" s="22"/>
      <c r="F8" s="23"/>
      <c r="G8" s="20" t="s">
        <v>43</v>
      </c>
      <c r="H8" s="24"/>
    </row>
    <row r="9" spans="1:8" x14ac:dyDescent="0.2">
      <c r="A9" s="20" t="s">
        <v>46</v>
      </c>
      <c r="B9" s="21" t="s">
        <v>41</v>
      </c>
      <c r="C9" s="20">
        <v>1</v>
      </c>
      <c r="D9" s="20" t="s">
        <v>47</v>
      </c>
      <c r="E9" s="22"/>
      <c r="F9" s="23"/>
      <c r="G9" s="20" t="s">
        <v>43</v>
      </c>
      <c r="H9" s="24"/>
    </row>
    <row r="10" spans="1:8" x14ac:dyDescent="0.2">
      <c r="A10" s="20" t="s">
        <v>48</v>
      </c>
      <c r="B10" s="21" t="s">
        <v>41</v>
      </c>
      <c r="C10" s="20">
        <v>2</v>
      </c>
      <c r="D10" s="20" t="s">
        <v>49</v>
      </c>
      <c r="E10" s="22"/>
      <c r="F10" s="23"/>
      <c r="G10" s="20" t="s">
        <v>43</v>
      </c>
      <c r="H10" s="24"/>
    </row>
    <row r="11" spans="1:8" x14ac:dyDescent="0.2">
      <c r="A11" s="20" t="s">
        <v>48</v>
      </c>
      <c r="B11" s="21" t="s">
        <v>41</v>
      </c>
      <c r="C11" s="20">
        <v>40</v>
      </c>
      <c r="D11" s="20" t="s">
        <v>49</v>
      </c>
      <c r="E11" s="22"/>
      <c r="F11" s="23"/>
      <c r="G11" s="20" t="s">
        <v>43</v>
      </c>
      <c r="H11" s="24"/>
    </row>
    <row r="12" spans="1:8" x14ac:dyDescent="0.2">
      <c r="A12" s="20" t="s">
        <v>50</v>
      </c>
      <c r="B12" s="21" t="s">
        <v>41</v>
      </c>
      <c r="C12" s="20">
        <v>1</v>
      </c>
      <c r="D12" s="20" t="s">
        <v>51</v>
      </c>
      <c r="E12" s="22"/>
      <c r="F12" s="23"/>
      <c r="G12" s="20" t="s">
        <v>43</v>
      </c>
      <c r="H12" s="24"/>
    </row>
    <row r="13" spans="1:8" x14ac:dyDescent="0.2">
      <c r="A13" s="20" t="s">
        <v>52</v>
      </c>
      <c r="B13" s="21" t="s">
        <v>41</v>
      </c>
      <c r="C13" s="20">
        <v>40</v>
      </c>
      <c r="D13" s="20" t="s">
        <v>53</v>
      </c>
      <c r="E13" s="22"/>
      <c r="F13" s="23"/>
      <c r="G13" s="20" t="s">
        <v>43</v>
      </c>
      <c r="H13" s="24"/>
    </row>
    <row r="14" spans="1:8" x14ac:dyDescent="0.2">
      <c r="A14" s="20" t="s">
        <v>54</v>
      </c>
      <c r="B14" s="21" t="s">
        <v>41</v>
      </c>
      <c r="C14" s="20">
        <v>1</v>
      </c>
      <c r="D14" s="20" t="s">
        <v>55</v>
      </c>
      <c r="E14" s="22"/>
      <c r="F14" s="23"/>
      <c r="G14" s="20" t="s">
        <v>43</v>
      </c>
      <c r="H14" s="24"/>
    </row>
    <row r="15" spans="1:8" x14ac:dyDescent="0.2">
      <c r="A15" s="20" t="s">
        <v>56</v>
      </c>
      <c r="B15" s="21" t="s">
        <v>41</v>
      </c>
      <c r="C15" s="20">
        <v>40</v>
      </c>
      <c r="D15" s="20" t="s">
        <v>57</v>
      </c>
      <c r="E15" s="22"/>
      <c r="F15" s="23"/>
      <c r="G15" s="20" t="s">
        <v>43</v>
      </c>
      <c r="H15" s="24"/>
    </row>
    <row r="16" spans="1:8" x14ac:dyDescent="0.2">
      <c r="A16" s="20" t="s">
        <v>58</v>
      </c>
      <c r="B16" s="21" t="s">
        <v>41</v>
      </c>
      <c r="C16" s="20">
        <v>1</v>
      </c>
      <c r="D16" s="20" t="s">
        <v>59</v>
      </c>
      <c r="E16" s="22"/>
      <c r="F16" s="23"/>
      <c r="G16" s="20" t="s">
        <v>43</v>
      </c>
      <c r="H16" s="24"/>
    </row>
    <row r="17" spans="1:8" x14ac:dyDescent="0.2">
      <c r="A17" s="20" t="s">
        <v>60</v>
      </c>
      <c r="B17" s="21" t="s">
        <v>41</v>
      </c>
      <c r="C17" s="20">
        <v>12</v>
      </c>
      <c r="D17" s="20" t="s">
        <v>61</v>
      </c>
      <c r="E17" s="22"/>
      <c r="F17" s="23"/>
      <c r="G17" s="20" t="s">
        <v>43</v>
      </c>
      <c r="H17" s="24"/>
    </row>
    <row r="18" spans="1:8" x14ac:dyDescent="0.2">
      <c r="A18" s="20" t="s">
        <v>60</v>
      </c>
      <c r="B18" s="21" t="s">
        <v>41</v>
      </c>
      <c r="C18" s="20">
        <v>40</v>
      </c>
      <c r="D18" s="20" t="s">
        <v>61</v>
      </c>
      <c r="E18" s="22"/>
      <c r="F18" s="23"/>
      <c r="G18" s="20" t="s">
        <v>43</v>
      </c>
      <c r="H18" s="24"/>
    </row>
    <row r="19" spans="1:8" x14ac:dyDescent="0.2">
      <c r="A19" s="20" t="s">
        <v>62</v>
      </c>
      <c r="B19" s="21" t="s">
        <v>41</v>
      </c>
      <c r="C19" s="20">
        <v>1</v>
      </c>
      <c r="D19" s="20" t="s">
        <v>63</v>
      </c>
      <c r="E19" s="22"/>
      <c r="F19" s="23"/>
      <c r="G19" s="20" t="s">
        <v>43</v>
      </c>
      <c r="H19" s="24"/>
    </row>
    <row r="20" spans="1:8" x14ac:dyDescent="0.2">
      <c r="A20" s="20" t="s">
        <v>64</v>
      </c>
      <c r="B20" s="21" t="s">
        <v>41</v>
      </c>
      <c r="C20" s="20">
        <v>40</v>
      </c>
      <c r="D20" s="20" t="s">
        <v>65</v>
      </c>
      <c r="E20" s="22"/>
      <c r="F20" s="23"/>
      <c r="G20" s="20" t="s">
        <v>43</v>
      </c>
      <c r="H20" s="24"/>
    </row>
    <row r="21" spans="1:8" x14ac:dyDescent="0.2">
      <c r="A21" s="20" t="s">
        <v>66</v>
      </c>
      <c r="B21" s="21" t="s">
        <v>41</v>
      </c>
      <c r="C21" s="20">
        <v>1</v>
      </c>
      <c r="D21" s="20" t="s">
        <v>67</v>
      </c>
      <c r="E21" s="22"/>
      <c r="F21" s="23"/>
      <c r="G21" s="20" t="s">
        <v>43</v>
      </c>
      <c r="H21" s="24"/>
    </row>
    <row r="22" spans="1:8" x14ac:dyDescent="0.2">
      <c r="A22" s="20" t="s">
        <v>68</v>
      </c>
      <c r="B22" s="21" t="s">
        <v>41</v>
      </c>
      <c r="C22" s="20">
        <v>40</v>
      </c>
      <c r="D22" s="20" t="s">
        <v>69</v>
      </c>
      <c r="E22" s="22"/>
      <c r="F22" s="23"/>
      <c r="G22" s="20" t="s">
        <v>43</v>
      </c>
      <c r="H22" s="24"/>
    </row>
    <row r="23" spans="1:8" x14ac:dyDescent="0.2">
      <c r="A23" s="20" t="s">
        <v>70</v>
      </c>
      <c r="B23" s="21" t="s">
        <v>41</v>
      </c>
      <c r="C23" s="20">
        <v>1</v>
      </c>
      <c r="D23" s="20" t="s">
        <v>71</v>
      </c>
      <c r="E23" s="22"/>
      <c r="F23" s="23"/>
      <c r="G23" s="20" t="s">
        <v>43</v>
      </c>
      <c r="H23" s="24"/>
    </row>
    <row r="24" spans="1:8" x14ac:dyDescent="0.2">
      <c r="A24" s="20" t="s">
        <v>72</v>
      </c>
      <c r="B24" s="21" t="s">
        <v>41</v>
      </c>
      <c r="C24" s="20">
        <v>40</v>
      </c>
      <c r="D24" s="20" t="s">
        <v>73</v>
      </c>
      <c r="E24" s="22"/>
      <c r="F24" s="23"/>
      <c r="G24" s="20" t="s">
        <v>43</v>
      </c>
      <c r="H24" s="24"/>
    </row>
    <row r="25" spans="1:8" x14ac:dyDescent="0.2">
      <c r="A25" s="20" t="s">
        <v>74</v>
      </c>
      <c r="B25" s="21" t="s">
        <v>41</v>
      </c>
      <c r="C25" s="20">
        <v>2</v>
      </c>
      <c r="D25" s="20" t="s">
        <v>75</v>
      </c>
      <c r="E25" s="22"/>
      <c r="F25" s="23"/>
      <c r="G25" s="20" t="s">
        <v>43</v>
      </c>
      <c r="H25" s="24"/>
    </row>
    <row r="26" spans="1:8" x14ac:dyDescent="0.2">
      <c r="A26" s="20" t="s">
        <v>76</v>
      </c>
      <c r="B26" s="21" t="s">
        <v>41</v>
      </c>
      <c r="C26" s="20">
        <v>1</v>
      </c>
      <c r="D26" s="20" t="s">
        <v>77</v>
      </c>
      <c r="E26" s="22"/>
      <c r="F26" s="23"/>
      <c r="G26" s="20" t="s">
        <v>43</v>
      </c>
      <c r="H26" s="24"/>
    </row>
    <row r="27" spans="1:8" x14ac:dyDescent="0.2">
      <c r="A27" s="20" t="s">
        <v>78</v>
      </c>
      <c r="B27" s="21" t="s">
        <v>41</v>
      </c>
      <c r="C27" s="20">
        <v>40</v>
      </c>
      <c r="D27" s="20" t="s">
        <v>79</v>
      </c>
      <c r="E27" s="22"/>
      <c r="F27" s="23"/>
      <c r="G27" s="20" t="s">
        <v>43</v>
      </c>
      <c r="H27" s="24"/>
    </row>
    <row r="28" spans="1:8" x14ac:dyDescent="0.2">
      <c r="A28" s="20" t="s">
        <v>80</v>
      </c>
      <c r="B28" s="21" t="s">
        <v>41</v>
      </c>
      <c r="C28" s="20">
        <v>1</v>
      </c>
      <c r="D28" s="20" t="s">
        <v>81</v>
      </c>
      <c r="E28" s="22"/>
      <c r="F28" s="23"/>
      <c r="G28" s="20" t="s">
        <v>43</v>
      </c>
      <c r="H28" s="24"/>
    </row>
    <row r="29" spans="1:8" x14ac:dyDescent="0.2">
      <c r="A29" s="20" t="s">
        <v>82</v>
      </c>
      <c r="B29" s="21" t="s">
        <v>41</v>
      </c>
      <c r="C29" s="20">
        <v>40</v>
      </c>
      <c r="D29" s="20" t="s">
        <v>83</v>
      </c>
      <c r="E29" s="22"/>
      <c r="F29" s="23"/>
      <c r="G29" s="20" t="s">
        <v>43</v>
      </c>
      <c r="H29" s="24"/>
    </row>
    <row r="30" spans="1:8" x14ac:dyDescent="0.2">
      <c r="A30" s="20" t="s">
        <v>84</v>
      </c>
      <c r="B30" s="21" t="s">
        <v>85</v>
      </c>
      <c r="C30" s="20">
        <v>1</v>
      </c>
      <c r="D30" s="20" t="s">
        <v>86</v>
      </c>
      <c r="E30" s="22"/>
      <c r="F30" s="23"/>
      <c r="G30" s="20" t="s">
        <v>43</v>
      </c>
      <c r="H30" s="24"/>
    </row>
    <row r="31" spans="1:8" x14ac:dyDescent="0.2">
      <c r="A31" s="20" t="s">
        <v>87</v>
      </c>
      <c r="B31" s="21" t="s">
        <v>85</v>
      </c>
      <c r="C31" s="20">
        <v>40</v>
      </c>
      <c r="D31" s="20" t="s">
        <v>88</v>
      </c>
      <c r="E31" s="22"/>
      <c r="F31" s="23"/>
      <c r="G31" s="20" t="s">
        <v>43</v>
      </c>
      <c r="H31" s="24"/>
    </row>
    <row r="32" spans="1:8" x14ac:dyDescent="0.2">
      <c r="A32" s="20" t="s">
        <v>89</v>
      </c>
      <c r="B32" s="21" t="s">
        <v>85</v>
      </c>
      <c r="C32" s="20">
        <v>1</v>
      </c>
      <c r="D32" s="20" t="s">
        <v>90</v>
      </c>
      <c r="E32" s="22"/>
      <c r="F32" s="23"/>
      <c r="G32" s="20" t="s">
        <v>43</v>
      </c>
      <c r="H32" s="24"/>
    </row>
    <row r="33" spans="1:8" x14ac:dyDescent="0.2">
      <c r="A33" s="20" t="s">
        <v>91</v>
      </c>
      <c r="B33" s="21" t="s">
        <v>85</v>
      </c>
      <c r="C33" s="20">
        <v>40</v>
      </c>
      <c r="D33" s="20" t="s">
        <v>92</v>
      </c>
      <c r="E33" s="22"/>
      <c r="F33" s="23"/>
      <c r="G33" s="20" t="s">
        <v>43</v>
      </c>
      <c r="H33" s="24"/>
    </row>
    <row r="34" spans="1:8" x14ac:dyDescent="0.2">
      <c r="A34" s="20" t="s">
        <v>93</v>
      </c>
      <c r="B34" s="21" t="s">
        <v>85</v>
      </c>
      <c r="C34" s="20">
        <v>1</v>
      </c>
      <c r="D34" s="20" t="s">
        <v>94</v>
      </c>
      <c r="E34" s="22"/>
      <c r="F34" s="23"/>
      <c r="G34" s="20" t="s">
        <v>43</v>
      </c>
      <c r="H34" s="24"/>
    </row>
    <row r="35" spans="1:8" x14ac:dyDescent="0.2">
      <c r="A35" s="20" t="s">
        <v>95</v>
      </c>
      <c r="B35" s="21" t="s">
        <v>85</v>
      </c>
      <c r="C35" s="20">
        <v>40</v>
      </c>
      <c r="D35" s="20" t="s">
        <v>96</v>
      </c>
      <c r="E35" s="22"/>
      <c r="F35" s="23"/>
      <c r="G35" s="20" t="s">
        <v>43</v>
      </c>
      <c r="H35" s="24"/>
    </row>
    <row r="36" spans="1:8" x14ac:dyDescent="0.2">
      <c r="A36" s="20" t="s">
        <v>95</v>
      </c>
      <c r="B36" s="21" t="s">
        <v>85</v>
      </c>
      <c r="C36" s="20">
        <v>47</v>
      </c>
      <c r="D36" s="20" t="s">
        <v>96</v>
      </c>
      <c r="E36" s="22"/>
      <c r="F36" s="23"/>
      <c r="G36" s="20" t="s">
        <v>43</v>
      </c>
      <c r="H36" s="24"/>
    </row>
    <row r="37" spans="1:8" x14ac:dyDescent="0.2">
      <c r="A37" s="20" t="s">
        <v>97</v>
      </c>
      <c r="B37" s="21" t="s">
        <v>85</v>
      </c>
      <c r="C37" s="20">
        <v>1</v>
      </c>
      <c r="D37" s="20" t="s">
        <v>98</v>
      </c>
      <c r="E37" s="22"/>
      <c r="F37" s="23"/>
      <c r="G37" s="20" t="s">
        <v>43</v>
      </c>
      <c r="H37" s="24"/>
    </row>
    <row r="38" spans="1:8" x14ac:dyDescent="0.2">
      <c r="A38" s="20" t="s">
        <v>99</v>
      </c>
      <c r="B38" s="21" t="s">
        <v>85</v>
      </c>
      <c r="C38" s="20">
        <v>40</v>
      </c>
      <c r="D38" s="20" t="s">
        <v>100</v>
      </c>
      <c r="E38" s="22"/>
      <c r="F38" s="23"/>
      <c r="G38" s="20" t="s">
        <v>43</v>
      </c>
      <c r="H38" s="24"/>
    </row>
    <row r="39" spans="1:8" x14ac:dyDescent="0.2">
      <c r="A39" s="20" t="s">
        <v>101</v>
      </c>
      <c r="B39" s="21" t="s">
        <v>102</v>
      </c>
      <c r="C39" s="20">
        <v>1</v>
      </c>
      <c r="D39" s="20" t="s">
        <v>103</v>
      </c>
      <c r="E39" s="22"/>
      <c r="F39" s="23"/>
      <c r="G39" s="20" t="s">
        <v>43</v>
      </c>
      <c r="H39" s="24"/>
    </row>
    <row r="40" spans="1:8" x14ac:dyDescent="0.2">
      <c r="A40" s="20" t="s">
        <v>104</v>
      </c>
      <c r="B40" s="21" t="s">
        <v>102</v>
      </c>
      <c r="C40" s="20">
        <v>2</v>
      </c>
      <c r="D40" s="20" t="s">
        <v>105</v>
      </c>
      <c r="E40" s="22"/>
      <c r="F40" s="23"/>
      <c r="G40" s="20" t="s">
        <v>43</v>
      </c>
      <c r="H40" s="24"/>
    </row>
    <row r="41" spans="1:8" x14ac:dyDescent="0.2">
      <c r="A41" s="20" t="s">
        <v>104</v>
      </c>
      <c r="B41" s="21" t="s">
        <v>102</v>
      </c>
      <c r="C41" s="20">
        <v>40</v>
      </c>
      <c r="D41" s="20" t="s">
        <v>105</v>
      </c>
      <c r="E41" s="22"/>
      <c r="F41" s="23"/>
      <c r="G41" s="20" t="s">
        <v>43</v>
      </c>
      <c r="H41" s="24"/>
    </row>
    <row r="42" spans="1:8" x14ac:dyDescent="0.2">
      <c r="A42" s="20" t="s">
        <v>106</v>
      </c>
      <c r="B42" s="21" t="s">
        <v>102</v>
      </c>
      <c r="C42" s="20">
        <v>1</v>
      </c>
      <c r="D42" s="20" t="s">
        <v>107</v>
      </c>
      <c r="E42" s="22"/>
      <c r="F42" s="23"/>
      <c r="G42" s="20" t="s">
        <v>43</v>
      </c>
      <c r="H42" s="24"/>
    </row>
    <row r="43" spans="1:8" x14ac:dyDescent="0.2">
      <c r="A43" s="20" t="s">
        <v>108</v>
      </c>
      <c r="B43" s="21" t="s">
        <v>102</v>
      </c>
      <c r="C43" s="20">
        <v>40</v>
      </c>
      <c r="D43" s="20" t="s">
        <v>109</v>
      </c>
      <c r="E43" s="22"/>
      <c r="F43" s="23"/>
      <c r="G43" s="20" t="s">
        <v>43</v>
      </c>
      <c r="H43" s="24"/>
    </row>
    <row r="44" spans="1:8" x14ac:dyDescent="0.2">
      <c r="A44" s="20" t="s">
        <v>110</v>
      </c>
      <c r="B44" s="21" t="s">
        <v>102</v>
      </c>
      <c r="C44" s="20">
        <v>1</v>
      </c>
      <c r="D44" s="20" t="s">
        <v>111</v>
      </c>
      <c r="E44" s="22"/>
      <c r="F44" s="23"/>
      <c r="G44" s="20" t="s">
        <v>43</v>
      </c>
      <c r="H44" s="24"/>
    </row>
    <row r="45" spans="1:8" x14ac:dyDescent="0.2">
      <c r="A45" s="20" t="s">
        <v>112</v>
      </c>
      <c r="B45" s="21" t="s">
        <v>102</v>
      </c>
      <c r="C45" s="20">
        <v>40</v>
      </c>
      <c r="D45" s="20" t="s">
        <v>113</v>
      </c>
      <c r="E45" s="22"/>
      <c r="F45" s="23"/>
      <c r="G45" s="20" t="s">
        <v>43</v>
      </c>
      <c r="H45" s="24"/>
    </row>
    <row r="46" spans="1:8" x14ac:dyDescent="0.2">
      <c r="A46" s="20" t="s">
        <v>114</v>
      </c>
      <c r="B46" s="21" t="s">
        <v>102</v>
      </c>
      <c r="C46" s="20">
        <v>1</v>
      </c>
      <c r="D46" s="20" t="s">
        <v>115</v>
      </c>
      <c r="E46" s="22"/>
      <c r="F46" s="23"/>
      <c r="G46" s="20" t="s">
        <v>43</v>
      </c>
      <c r="H46" s="24"/>
    </row>
    <row r="47" spans="1:8" x14ac:dyDescent="0.2">
      <c r="A47" s="20" t="s">
        <v>116</v>
      </c>
      <c r="B47" s="21" t="s">
        <v>102</v>
      </c>
      <c r="C47" s="20">
        <v>40</v>
      </c>
      <c r="D47" s="20" t="s">
        <v>117</v>
      </c>
      <c r="E47" s="22"/>
      <c r="F47" s="23"/>
      <c r="G47" s="20" t="s">
        <v>43</v>
      </c>
      <c r="H47" s="24"/>
    </row>
    <row r="48" spans="1:8" x14ac:dyDescent="0.2">
      <c r="A48" s="20" t="s">
        <v>118</v>
      </c>
      <c r="B48" s="21" t="s">
        <v>102</v>
      </c>
      <c r="C48" s="20">
        <v>1</v>
      </c>
      <c r="D48" s="20" t="s">
        <v>119</v>
      </c>
      <c r="E48" s="22"/>
      <c r="F48" s="23"/>
      <c r="G48" s="20" t="s">
        <v>43</v>
      </c>
      <c r="H48" s="24"/>
    </row>
    <row r="49" spans="1:8" x14ac:dyDescent="0.2">
      <c r="A49" s="20" t="s">
        <v>120</v>
      </c>
      <c r="B49" s="21" t="s">
        <v>102</v>
      </c>
      <c r="C49" s="20">
        <v>40</v>
      </c>
      <c r="D49" s="20" t="s">
        <v>121</v>
      </c>
      <c r="E49" s="22"/>
      <c r="F49" s="23"/>
      <c r="G49" s="20" t="s">
        <v>43</v>
      </c>
      <c r="H49" s="24"/>
    </row>
    <row r="50" spans="1:8" x14ac:dyDescent="0.2">
      <c r="A50" s="20" t="s">
        <v>120</v>
      </c>
      <c r="B50" s="21" t="s">
        <v>102</v>
      </c>
      <c r="C50" s="20">
        <v>47</v>
      </c>
      <c r="D50" s="20" t="s">
        <v>121</v>
      </c>
      <c r="E50" s="22"/>
      <c r="F50" s="23"/>
      <c r="G50" s="20" t="s">
        <v>43</v>
      </c>
      <c r="H50" s="24"/>
    </row>
    <row r="51" spans="1:8" x14ac:dyDescent="0.2">
      <c r="A51" s="20" t="s">
        <v>122</v>
      </c>
      <c r="B51" s="21" t="s">
        <v>102</v>
      </c>
      <c r="C51" s="20">
        <v>1</v>
      </c>
      <c r="D51" s="20" t="s">
        <v>123</v>
      </c>
      <c r="E51" s="22"/>
      <c r="F51" s="23"/>
      <c r="G51" s="20" t="s">
        <v>43</v>
      </c>
      <c r="H51" s="24"/>
    </row>
    <row r="52" spans="1:8" x14ac:dyDescent="0.2">
      <c r="A52" s="20" t="s">
        <v>124</v>
      </c>
      <c r="B52" s="21" t="s">
        <v>102</v>
      </c>
      <c r="C52" s="20">
        <v>40</v>
      </c>
      <c r="D52" s="20" t="s">
        <v>125</v>
      </c>
      <c r="E52" s="22"/>
      <c r="F52" s="23"/>
      <c r="G52" s="20" t="s">
        <v>43</v>
      </c>
      <c r="H52" s="24"/>
    </row>
    <row r="53" spans="1:8" x14ac:dyDescent="0.2">
      <c r="A53" s="20" t="s">
        <v>124</v>
      </c>
      <c r="B53" s="21" t="s">
        <v>102</v>
      </c>
      <c r="C53" s="20">
        <v>47</v>
      </c>
      <c r="D53" s="20" t="s">
        <v>125</v>
      </c>
      <c r="E53" s="22"/>
      <c r="F53" s="23"/>
      <c r="G53" s="20" t="s">
        <v>43</v>
      </c>
      <c r="H53" s="24"/>
    </row>
    <row r="54" spans="1:8" x14ac:dyDescent="0.2">
      <c r="A54" s="20" t="s">
        <v>126</v>
      </c>
      <c r="B54" s="21" t="s">
        <v>102</v>
      </c>
      <c r="C54" s="20">
        <v>1</v>
      </c>
      <c r="D54" s="20" t="s">
        <v>127</v>
      </c>
      <c r="E54" s="22"/>
      <c r="F54" s="23"/>
      <c r="G54" s="20" t="s">
        <v>43</v>
      </c>
      <c r="H54" s="24"/>
    </row>
    <row r="55" spans="1:8" x14ac:dyDescent="0.2">
      <c r="A55" s="20" t="s">
        <v>128</v>
      </c>
      <c r="B55" s="21" t="s">
        <v>102</v>
      </c>
      <c r="C55" s="20">
        <v>40</v>
      </c>
      <c r="D55" s="20" t="s">
        <v>129</v>
      </c>
      <c r="E55" s="22"/>
      <c r="F55" s="23"/>
      <c r="G55" s="20" t="s">
        <v>43</v>
      </c>
      <c r="H55" s="24"/>
    </row>
    <row r="56" spans="1:8" x14ac:dyDescent="0.2">
      <c r="A56" s="20" t="s">
        <v>130</v>
      </c>
      <c r="B56" s="21" t="s">
        <v>102</v>
      </c>
      <c r="C56" s="20">
        <v>1</v>
      </c>
      <c r="D56" s="20" t="s">
        <v>131</v>
      </c>
      <c r="E56" s="22"/>
      <c r="F56" s="23"/>
      <c r="G56" s="20" t="s">
        <v>43</v>
      </c>
      <c r="H56" s="24"/>
    </row>
    <row r="57" spans="1:8" x14ac:dyDescent="0.2">
      <c r="A57" s="20" t="s">
        <v>132</v>
      </c>
      <c r="B57" s="21" t="s">
        <v>102</v>
      </c>
      <c r="C57" s="20">
        <v>40</v>
      </c>
      <c r="D57" s="20" t="s">
        <v>133</v>
      </c>
      <c r="E57" s="22"/>
      <c r="F57" s="23"/>
      <c r="G57" s="20" t="s">
        <v>43</v>
      </c>
      <c r="H57" s="24"/>
    </row>
    <row r="58" spans="1:8" x14ac:dyDescent="0.2">
      <c r="A58" s="20" t="s">
        <v>134</v>
      </c>
      <c r="B58" s="21" t="s">
        <v>102</v>
      </c>
      <c r="C58" s="20">
        <v>1</v>
      </c>
      <c r="D58" s="20" t="s">
        <v>135</v>
      </c>
      <c r="E58" s="22"/>
      <c r="F58" s="23"/>
      <c r="G58" s="20" t="s">
        <v>43</v>
      </c>
      <c r="H58" s="24"/>
    </row>
    <row r="59" spans="1:8" x14ac:dyDescent="0.2">
      <c r="A59" s="20" t="s">
        <v>136</v>
      </c>
      <c r="B59" s="21" t="s">
        <v>102</v>
      </c>
      <c r="C59" s="20">
        <v>40</v>
      </c>
      <c r="D59" s="20" t="s">
        <v>137</v>
      </c>
      <c r="E59" s="22"/>
      <c r="F59" s="23"/>
      <c r="G59" s="20" t="s">
        <v>43</v>
      </c>
      <c r="H59" s="24"/>
    </row>
    <row r="60" spans="1:8" x14ac:dyDescent="0.2">
      <c r="A60" s="20" t="s">
        <v>136</v>
      </c>
      <c r="B60" s="21" t="s">
        <v>102</v>
      </c>
      <c r="C60" s="20">
        <v>47</v>
      </c>
      <c r="D60" s="20" t="s">
        <v>137</v>
      </c>
      <c r="E60" s="22"/>
      <c r="F60" s="23"/>
      <c r="G60" s="20" t="s">
        <v>43</v>
      </c>
      <c r="H60" s="24"/>
    </row>
    <row r="61" spans="1:8" x14ac:dyDescent="0.2">
      <c r="A61" s="20" t="s">
        <v>138</v>
      </c>
      <c r="B61" s="21" t="s">
        <v>102</v>
      </c>
      <c r="C61" s="20">
        <v>1</v>
      </c>
      <c r="D61" s="20" t="s">
        <v>139</v>
      </c>
      <c r="E61" s="22"/>
      <c r="F61" s="23"/>
      <c r="G61" s="20" t="s">
        <v>43</v>
      </c>
      <c r="H61" s="24"/>
    </row>
    <row r="62" spans="1:8" x14ac:dyDescent="0.2">
      <c r="A62" s="20" t="s">
        <v>140</v>
      </c>
      <c r="B62" s="21" t="s">
        <v>102</v>
      </c>
      <c r="C62" s="20">
        <v>40</v>
      </c>
      <c r="D62" s="20" t="s">
        <v>141</v>
      </c>
      <c r="E62" s="22"/>
      <c r="F62" s="23"/>
      <c r="G62" s="20" t="s">
        <v>43</v>
      </c>
      <c r="H62" s="24"/>
    </row>
    <row r="63" spans="1:8" x14ac:dyDescent="0.2">
      <c r="A63" s="20" t="s">
        <v>142</v>
      </c>
      <c r="B63" s="21" t="s">
        <v>102</v>
      </c>
      <c r="C63" s="20">
        <v>1</v>
      </c>
      <c r="D63" s="20" t="s">
        <v>143</v>
      </c>
      <c r="E63" s="22"/>
      <c r="F63" s="23"/>
      <c r="G63" s="20" t="s">
        <v>43</v>
      </c>
      <c r="H63" s="24"/>
    </row>
    <row r="64" spans="1:8" x14ac:dyDescent="0.2">
      <c r="A64" s="20" t="s">
        <v>144</v>
      </c>
      <c r="B64" s="21" t="s">
        <v>102</v>
      </c>
      <c r="C64" s="20">
        <v>40</v>
      </c>
      <c r="D64" s="20" t="s">
        <v>145</v>
      </c>
      <c r="E64" s="22"/>
      <c r="F64" s="23"/>
      <c r="G64" s="20" t="s">
        <v>43</v>
      </c>
      <c r="H64" s="24"/>
    </row>
    <row r="65" spans="1:8" x14ac:dyDescent="0.2">
      <c r="A65" s="20" t="s">
        <v>144</v>
      </c>
      <c r="B65" s="21" t="s">
        <v>102</v>
      </c>
      <c r="C65" s="20">
        <v>52</v>
      </c>
      <c r="D65" s="20" t="s">
        <v>145</v>
      </c>
      <c r="E65" s="22"/>
      <c r="F65" s="23"/>
      <c r="G65" s="20" t="s">
        <v>43</v>
      </c>
      <c r="H65" s="24"/>
    </row>
    <row r="66" spans="1:8" x14ac:dyDescent="0.2">
      <c r="A66" s="20" t="s">
        <v>146</v>
      </c>
      <c r="B66" s="21" t="s">
        <v>102</v>
      </c>
      <c r="C66" s="20">
        <v>1</v>
      </c>
      <c r="D66" s="20" t="s">
        <v>147</v>
      </c>
      <c r="E66" s="22"/>
      <c r="F66" s="23"/>
      <c r="G66" s="20" t="s">
        <v>43</v>
      </c>
      <c r="H66" s="24"/>
    </row>
    <row r="67" spans="1:8" x14ac:dyDescent="0.2">
      <c r="A67" s="25" t="s">
        <v>148</v>
      </c>
      <c r="B67" s="26" t="s">
        <v>102</v>
      </c>
      <c r="C67" s="25">
        <v>40</v>
      </c>
      <c r="D67" s="25" t="s">
        <v>149</v>
      </c>
      <c r="E67" s="27"/>
      <c r="F67" s="28"/>
      <c r="G67" s="25" t="s">
        <v>43</v>
      </c>
      <c r="H67" s="29"/>
    </row>
  </sheetData>
  <pageMargins left="0.7" right="0.7" top="0.75" bottom="0.75" header="0.3" footer="0.3"/>
  <pageSetup scale="70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58FB-DCAF-46D7-A971-867A2C27553B}">
  <dimension ref="A1:N6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150</v>
      </c>
      <c r="B3" s="8" t="s">
        <v>7</v>
      </c>
      <c r="C3" s="8" t="s">
        <v>151</v>
      </c>
      <c r="D3" s="8" t="s">
        <v>34</v>
      </c>
      <c r="E3" s="8" t="s">
        <v>152</v>
      </c>
      <c r="F3" s="8" t="s">
        <v>153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154</v>
      </c>
      <c r="L3" s="8" t="s">
        <v>155</v>
      </c>
      <c r="M3" s="8" t="s">
        <v>156</v>
      </c>
      <c r="N3" s="8" t="s">
        <v>157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158</v>
      </c>
      <c r="B6" s="15" t="s">
        <v>11</v>
      </c>
      <c r="C6" s="15" t="s">
        <v>159</v>
      </c>
      <c r="D6" s="15" t="s">
        <v>160</v>
      </c>
      <c r="E6" s="30">
        <v>9</v>
      </c>
      <c r="F6" s="30">
        <f t="shared" ref="F6:F37" si="0">E6*VLOOKUP(B6,dagsoorttabel1,2,FALSE)</f>
        <v>9</v>
      </c>
      <c r="G6" s="31">
        <f>IF(AND(catpn_1_BKHB_1&gt;0,catpn_1_BKHV_40&gt;0),(dagenperjaar1*VLOOKUP(B6,dagsoorttabel1,2,FALSE))/(((dagenperjaar1*VLOOKUP(B6,dagsoorttabel1,2,FALSE))-catfd_1_BKHV_40)/catpn_1_BKHB_1+catfd_1_BKHV_40/catpn_1_BKHV_40),0)</f>
        <v>0</v>
      </c>
      <c r="H6" s="32">
        <f>IF(AND(catpn_1_BKHB_1&gt;0,catpn_1_BKHV_40&gt;0),(catdw_1_BKHB_1*((dagenperjaar1-VLOOKUP(B6,dagsoorttabel1,2,FALSE))-catfd_1_BKHV_40)/catpn_1_BKHB_1+catdw_1_BKHV_40*catfd_1_BKHV_40/catpn_1_BKHV_40)/(((dagenperjaar1-VLOOKUP(B6,dagsoorttabel1,2,FALSE))-catfd_1_BKHV_40)/catpn_1_BKHB_1+catfd_1_BKHV_40/catpn_1_BKHV_40),0)</f>
        <v>0</v>
      </c>
      <c r="I6" s="15" t="s">
        <v>43</v>
      </c>
      <c r="J6" s="33">
        <f>IF(AND(catpn_1_BKHB_1&gt;0,catpn_1_BKHV_40&gt;0),(cattf_1_BKHB_1*((dagenperjaar1*VLOOKUP(B6,dagsoorttabel1,2,FALSE))-catfd_1_BKHV_40)/catpn_1_BKHB_1+cattf_1_BKHV_40*catfd_1_BKHV_40/catpn_1_BKHV_40)/(((dagenperjaar1*VLOOKUP(B6,dagsoorttabel1,2,FALSE))-catfd_1_BKHV_40)/catpn_1_BKHB_1+catfd_1_BKHV_40/catpn_1_BKHV_40),0)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158</v>
      </c>
      <c r="B7" s="20" t="s">
        <v>20</v>
      </c>
      <c r="C7" s="20" t="s">
        <v>159</v>
      </c>
      <c r="D7" s="20" t="s">
        <v>160</v>
      </c>
      <c r="E7" s="34">
        <v>270.47000000000003</v>
      </c>
      <c r="F7" s="34">
        <f t="shared" si="0"/>
        <v>54.094000000000008</v>
      </c>
      <c r="G7" s="35">
        <f>IF(AND(catpn_1_BKHB_1&gt;0,catpn_1_BKHV_40&gt;0),(dagenperjaar1*VLOOKUP(B7,dagsoorttabel1,2,FALSE))/(((dagenperjaar1*VLOOKUP(B7,dagsoorttabel1,2,FALSE))-catfd_1_BKHV_40)/catpn_1_BKHB_1+catfd_1_BKHV_40/catpn_1_BKHV_40),0)</f>
        <v>0</v>
      </c>
      <c r="H7" s="36">
        <f>IF(AND(catpn_1_BKHB_1&gt;0,catpn_1_BKHV_40&gt;0),(catdw_1_BKHB_1*((dagenperjaar1-VLOOKUP(B7,dagsoorttabel1,2,FALSE))-catfd_1_BKHV_40)/catpn_1_BKHB_1+catdw_1_BKHV_40*catfd_1_BKHV_40/catpn_1_BKHV_40)/(((dagenperjaar1-VLOOKUP(B7,dagsoorttabel1,2,FALSE))-catfd_1_BKHV_40)/catpn_1_BKHB_1+catfd_1_BKHV_40/catpn_1_BKHV_40),0)</f>
        <v>0</v>
      </c>
      <c r="I7" s="20" t="s">
        <v>43</v>
      </c>
      <c r="J7" s="37">
        <f>IF(AND(catpn_1_BKHB_1&gt;0,catpn_1_BKHV_40&gt;0),(cattf_1_BKHB_1*((dagenperjaar1*VLOOKUP(B7,dagsoorttabel1,2,FALSE))-catfd_1_BKHV_40)/catpn_1_BKHB_1+cattf_1_BKHV_40*catfd_1_BKHV_40/catpn_1_BKHV_40)/(((dagenperjaar1*VLOOKUP(B7,dagsoorttabel1,2,FALSE))-catfd_1_BKHV_40)/catpn_1_BKHB_1+catfd_1_BKHV_40/catpn_1_BK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158</v>
      </c>
      <c r="B8" s="20" t="s">
        <v>16</v>
      </c>
      <c r="C8" s="20" t="s">
        <v>159</v>
      </c>
      <c r="D8" s="20" t="s">
        <v>160</v>
      </c>
      <c r="E8" s="34">
        <v>84.46</v>
      </c>
      <c r="F8" s="34">
        <f t="shared" si="0"/>
        <v>39.696199999999997</v>
      </c>
      <c r="G8" s="35">
        <f>IF(AND(catpn_1_BKHB_1&gt;0,catpn_1_BKHV_47&gt;0),(dagenperjaar1*VLOOKUP(B8,dagsoorttabel1,2,FALSE))/(((dagenperjaar1*VLOOKUP(B8,dagsoorttabel1,2,FALSE))-catfd_1_BKHV_47)/catpn_1_BKHB_1+catfd_1_BKHV_47/catpn_1_BKHV_47),0)</f>
        <v>0</v>
      </c>
      <c r="H8" s="36">
        <f>IF(AND(catpn_1_BKHB_1&gt;0,catpn_1_BKHV_47&gt;0),(catdw_1_BKHB_1*((dagenperjaar1-VLOOKUP(B8,dagsoorttabel1,2,FALSE))-catfd_1_BKHV_47)/catpn_1_BKHB_1+catdw_1_BKHV_47*catfd_1_BKHV_47/catpn_1_BKHV_47)/(((dagenperjaar1-VLOOKUP(B8,dagsoorttabel1,2,FALSE))-catfd_1_BKHV_47)/catpn_1_BKHB_1+catfd_1_BKHV_47/catpn_1_BKHV_47),0)</f>
        <v>0</v>
      </c>
      <c r="I8" s="20" t="s">
        <v>43</v>
      </c>
      <c r="J8" s="37">
        <f>IF(AND(catpn_1_BKHB_1&gt;0,catpn_1_BKHV_47&gt;0),(cattf_1_BKHB_1*((dagenperjaar1*VLOOKUP(B8,dagsoorttabel1,2,FALSE))-catfd_1_BKHV_47)/catpn_1_BKHB_1+cattf_1_BKHV_47*catfd_1_BKHV_47/catpn_1_BKHV_47)/(((dagenperjaar1*VLOOKUP(B8,dagsoorttabel1,2,FALSE))-catfd_1_BKHV_47)/catpn_1_BKHB_1+catfd_1_BKHV_47/catpn_1_BKHV_47)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161</v>
      </c>
      <c r="B9" s="20" t="s">
        <v>11</v>
      </c>
      <c r="C9" s="20" t="s">
        <v>159</v>
      </c>
      <c r="D9" s="20" t="s">
        <v>162</v>
      </c>
      <c r="E9" s="34">
        <v>75.099999999999994</v>
      </c>
      <c r="F9" s="34">
        <f t="shared" si="0"/>
        <v>75.099999999999994</v>
      </c>
      <c r="G9" s="35">
        <f>IF(AND(catpn_1_BKZB_1&gt;0,catpn_1_BKZV_40&gt;0),(dagenperjaar1*VLOOKUP(B9,dagsoorttabel1,2,FALSE))/(((dagenperjaar1*VLOOKUP(B9,dagsoorttabel1,2,FALSE))-catfd_1_BKZV_40)/catpn_1_BKZB_1+catfd_1_BKZV_40/catpn_1_BKZV_40),0)</f>
        <v>0</v>
      </c>
      <c r="H9" s="36">
        <f>IF(AND(catpn_1_BKZB_1&gt;0,catpn_1_BKZV_40&gt;0),(catdw_1_BKZB_1*((dagenperjaar1-VLOOKUP(B9,dagsoorttabel1,2,FALSE))-catfd_1_BKZV_40)/catpn_1_BKZB_1+catdw_1_BKZV_40*catfd_1_BKZV_40/catpn_1_BKZV_40)/(((dagenperjaar1-VLOOKUP(B9,dagsoorttabel1,2,FALSE))-catfd_1_BKZV_40)/catpn_1_BKZB_1+catfd_1_BKZV_40/catpn_1_BKZV_40),0)</f>
        <v>0</v>
      </c>
      <c r="I9" s="20" t="s">
        <v>43</v>
      </c>
      <c r="J9" s="37">
        <f>IF(AND(catpn_1_BKZB_1&gt;0,catpn_1_BKZV_40&gt;0),(cattf_1_BKZB_1*((dagenperjaar1*VLOOKUP(B9,dagsoorttabel1,2,FALSE))-catfd_1_BKZV_40)/catpn_1_BKZB_1+cattf_1_BKZV_40*catfd_1_BKZV_40/catpn_1_BKZV_40)/(((dagenperjaar1*VLOOKUP(B9,dagsoorttabel1,2,FALSE))-catfd_1_BKZV_40)/catpn_1_BKZB_1+catfd_1_BKZV_40/catpn_1_BK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161</v>
      </c>
      <c r="B10" s="20" t="s">
        <v>27</v>
      </c>
      <c r="C10" s="20" t="s">
        <v>159</v>
      </c>
      <c r="D10" s="20" t="s">
        <v>162</v>
      </c>
      <c r="E10" s="34">
        <v>31.369999999999997</v>
      </c>
      <c r="F10" s="34">
        <f t="shared" si="0"/>
        <v>0.31369999999999998</v>
      </c>
      <c r="G10" s="35">
        <f>catpn_1_BKZV_2</f>
        <v>0</v>
      </c>
      <c r="H10" s="36">
        <f>catdw_1_BKZV_2</f>
        <v>0</v>
      </c>
      <c r="I10" s="20" t="s">
        <v>43</v>
      </c>
      <c r="J10" s="37">
        <f>cattf_1_BKZV_2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161</v>
      </c>
      <c r="B11" s="20" t="s">
        <v>20</v>
      </c>
      <c r="C11" s="20" t="s">
        <v>159</v>
      </c>
      <c r="D11" s="20" t="s">
        <v>162</v>
      </c>
      <c r="E11" s="34">
        <v>419.64</v>
      </c>
      <c r="F11" s="34">
        <f t="shared" si="0"/>
        <v>83.927999999999997</v>
      </c>
      <c r="G11" s="35">
        <f>IF(AND(catpn_1_BKZB_1&gt;0,catpn_1_BKZV_40&gt;0),(dagenperjaar1*VLOOKUP(B11,dagsoorttabel1,2,FALSE))/(((dagenperjaar1*VLOOKUP(B11,dagsoorttabel1,2,FALSE))-catfd_1_BKZV_40)/catpn_1_BKZB_1+catfd_1_BKZV_40/catpn_1_BKZV_40),0)</f>
        <v>0</v>
      </c>
      <c r="H11" s="36">
        <f>IF(AND(catpn_1_BKZB_1&gt;0,catpn_1_BKZV_40&gt;0),(catdw_1_BKZB_1*((dagenperjaar1-VLOOKUP(B11,dagsoorttabel1,2,FALSE))-catfd_1_BKZV_40)/catpn_1_BKZB_1+catdw_1_BKZV_40*catfd_1_BKZV_40/catpn_1_BKZV_40)/(((dagenperjaar1-VLOOKUP(B11,dagsoorttabel1,2,FALSE))-catfd_1_BKZV_40)/catpn_1_BKZB_1+catfd_1_BKZV_40/catpn_1_BKZV_40),0)</f>
        <v>0</v>
      </c>
      <c r="I11" s="20" t="s">
        <v>43</v>
      </c>
      <c r="J11" s="37">
        <f>IF(AND(catpn_1_BKZB_1&gt;0,catpn_1_BKZV_40&gt;0),(cattf_1_BKZB_1*((dagenperjaar1*VLOOKUP(B11,dagsoorttabel1,2,FALSE))-catfd_1_BKZV_40)/catpn_1_BKZB_1+cattf_1_BKZV_40*catfd_1_BKZV_40/catpn_1_BKZV_40)/(((dagenperjaar1*VLOOKUP(B11,dagsoorttabel1,2,FALSE))-catfd_1_BKZV_40)/catpn_1_BKZB_1+catfd_1_BKZV_40/catpn_1_BKZ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163</v>
      </c>
      <c r="B12" s="20" t="s">
        <v>15</v>
      </c>
      <c r="C12" s="20" t="s">
        <v>159</v>
      </c>
      <c r="D12" s="20" t="s">
        <v>164</v>
      </c>
      <c r="E12" s="34">
        <v>122.9</v>
      </c>
      <c r="F12" s="34">
        <f t="shared" si="0"/>
        <v>73.739999999999995</v>
      </c>
      <c r="G12" s="35">
        <f>IF(AND(catpn_1_GSHB_1&gt;0,catpn_1_GSHV_40&gt;0),(dagenperjaar1*VLOOKUP(B12,dagsoorttabel1,2,FALSE))/(((dagenperjaar1*VLOOKUP(B12,dagsoorttabel1,2,FALSE))-catfd_1_GSHV_40)/catpn_1_GSHB_1+catfd_1_GSHV_40/catpn_1_GSHV_40),0)</f>
        <v>0</v>
      </c>
      <c r="H12" s="36">
        <f>IF(AND(catpn_1_GSHB_1&gt;0,catpn_1_GSHV_40&gt;0),(catdw_1_GSHB_1*((dagenperjaar1-VLOOKUP(B12,dagsoorttabel1,2,FALSE))-catfd_1_GSHV_40)/catpn_1_GSHB_1+catdw_1_GSHV_40*catfd_1_GSHV_40/catpn_1_GSHV_40)/(((dagenperjaar1-VLOOKUP(B12,dagsoorttabel1,2,FALSE))-catfd_1_GSHV_40)/catpn_1_GSHB_1+catfd_1_GSHV_40/catpn_1_GSHV_40),0)</f>
        <v>0</v>
      </c>
      <c r="I12" s="20" t="s">
        <v>43</v>
      </c>
      <c r="J12" s="37">
        <f>IF(AND(catpn_1_GSHB_1&gt;0,catpn_1_GSHV_40&gt;0),(cattf_1_GSHB_1*((dagenperjaar1*VLOOKUP(B12,dagsoorttabel1,2,FALSE))-catfd_1_GSHV_40)/catpn_1_GSHB_1+cattf_1_GSHV_40*catfd_1_GSHV_40/catpn_1_GSHV_40)/(((dagenperjaar1*VLOOKUP(B12,dagsoorttabel1,2,FALSE))-catfd_1_GSHV_40)/catpn_1_GSHB_1+catfd_1_GSHV_40/catpn_1_GS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163</v>
      </c>
      <c r="B13" s="20" t="s">
        <v>11</v>
      </c>
      <c r="C13" s="20" t="s">
        <v>159</v>
      </c>
      <c r="D13" s="20" t="s">
        <v>164</v>
      </c>
      <c r="E13" s="34">
        <v>607.04</v>
      </c>
      <c r="F13" s="34">
        <f t="shared" si="0"/>
        <v>607.04</v>
      </c>
      <c r="G13" s="35">
        <f>IF(AND(catpn_1_GSHB_1&gt;0,catpn_1_GSHV_40&gt;0),(dagenperjaar1*VLOOKUP(B13,dagsoorttabel1,2,FALSE))/(((dagenperjaar1*VLOOKUP(B13,dagsoorttabel1,2,FALSE))-catfd_1_GSHV_40)/catpn_1_GSHB_1+catfd_1_GSHV_40/catpn_1_GSHV_40),0)</f>
        <v>0</v>
      </c>
      <c r="H13" s="36">
        <f>IF(AND(catpn_1_GSHB_1&gt;0,catpn_1_GSHV_40&gt;0),(catdw_1_GSHB_1*((dagenperjaar1-VLOOKUP(B13,dagsoorttabel1,2,FALSE))-catfd_1_GSHV_40)/catpn_1_GSHB_1+catdw_1_GSHV_40*catfd_1_GSHV_40/catpn_1_GSHV_40)/(((dagenperjaar1-VLOOKUP(B13,dagsoorttabel1,2,FALSE))-catfd_1_GSHV_40)/catpn_1_GSHB_1+catfd_1_GSHV_40/catpn_1_GSHV_40),0)</f>
        <v>0</v>
      </c>
      <c r="I13" s="20" t="s">
        <v>43</v>
      </c>
      <c r="J13" s="37">
        <f>IF(AND(catpn_1_GSHB_1&gt;0,catpn_1_GSHV_40&gt;0),(cattf_1_GSHB_1*((dagenperjaar1*VLOOKUP(B13,dagsoorttabel1,2,FALSE))-catfd_1_GSHV_40)/catpn_1_GSHB_1+cattf_1_GSHV_40*catfd_1_GSHV_40/catpn_1_GSHV_40)/(((dagenperjaar1*VLOOKUP(B13,dagsoorttabel1,2,FALSE))-catfd_1_GSHV_40)/catpn_1_GSHB_1+catfd_1_GSHV_40/catpn_1_GS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163</v>
      </c>
      <c r="B14" s="20" t="s">
        <v>27</v>
      </c>
      <c r="C14" s="20" t="s">
        <v>159</v>
      </c>
      <c r="D14" s="20" t="s">
        <v>164</v>
      </c>
      <c r="E14" s="34">
        <v>7.39</v>
      </c>
      <c r="F14" s="34">
        <f t="shared" si="0"/>
        <v>7.3899999999999993E-2</v>
      </c>
      <c r="G14" s="35">
        <f>catpn_1_GSHV_2</f>
        <v>0</v>
      </c>
      <c r="H14" s="36">
        <f>catdw_1_GSHV_2</f>
        <v>0</v>
      </c>
      <c r="I14" s="20" t="s">
        <v>43</v>
      </c>
      <c r="J14" s="37">
        <f>cattf_1_GSHV_2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165</v>
      </c>
      <c r="B15" s="20" t="s">
        <v>11</v>
      </c>
      <c r="C15" s="20" t="s">
        <v>159</v>
      </c>
      <c r="D15" s="20" t="s">
        <v>166</v>
      </c>
      <c r="E15" s="34">
        <v>491.49</v>
      </c>
      <c r="F15" s="34">
        <f t="shared" si="0"/>
        <v>491.49</v>
      </c>
      <c r="G15" s="35">
        <f>IF(AND(catpn_1_KAHB_1&gt;0,catpn_1_KAHV_40&gt;0),(dagenperjaar1*VLOOKUP(B15,dagsoorttabel1,2,FALSE))/(((dagenperjaar1*VLOOKUP(B15,dagsoorttabel1,2,FALSE))-catfd_1_KAHV_40)/catpn_1_KAHB_1+catfd_1_KAHV_40/catpn_1_KAHV_40),0)</f>
        <v>0</v>
      </c>
      <c r="H15" s="36">
        <f>IF(AND(catpn_1_KAHB_1&gt;0,catpn_1_KAHV_40&gt;0),(catdw_1_KAHB_1*((dagenperjaar1-VLOOKUP(B15,dagsoorttabel1,2,FALSE))-catfd_1_KAHV_40)/catpn_1_KAHB_1+catdw_1_KAHV_40*catfd_1_KAHV_40/catpn_1_KAHV_40)/(((dagenperjaar1-VLOOKUP(B15,dagsoorttabel1,2,FALSE))-catfd_1_KAHV_40)/catpn_1_KAHB_1+catfd_1_KAHV_40/catpn_1_KAHV_40),0)</f>
        <v>0</v>
      </c>
      <c r="I15" s="20" t="s">
        <v>43</v>
      </c>
      <c r="J15" s="37">
        <f>IF(AND(catpn_1_KAHB_1&gt;0,catpn_1_KAHV_40&gt;0),(cattf_1_KAHB_1*((dagenperjaar1*VLOOKUP(B15,dagsoorttabel1,2,FALSE))-catfd_1_KAHV_40)/catpn_1_KAHB_1+cattf_1_KAHV_40*catfd_1_KAHV_40/catpn_1_KAHV_40)/(((dagenperjaar1*VLOOKUP(B15,dagsoorttabel1,2,FALSE))-catfd_1_KAHV_40)/catpn_1_KAHB_1+catfd_1_KAHV_40/catpn_1_KA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167</v>
      </c>
      <c r="B16" s="20" t="s">
        <v>11</v>
      </c>
      <c r="C16" s="20" t="s">
        <v>159</v>
      </c>
      <c r="D16" s="20" t="s">
        <v>168</v>
      </c>
      <c r="E16" s="34">
        <v>78.58</v>
      </c>
      <c r="F16" s="34">
        <f t="shared" si="0"/>
        <v>78.58</v>
      </c>
      <c r="G16" s="35">
        <f>IF(AND(catpn_1_KAZB_1&gt;0,catpn_1_KAZV_40&gt;0),(dagenperjaar1*VLOOKUP(B16,dagsoorttabel1,2,FALSE))/(((dagenperjaar1*VLOOKUP(B16,dagsoorttabel1,2,FALSE))-catfd_1_KAZV_40)/catpn_1_KAZB_1+catfd_1_KAZV_40/catpn_1_KAZV_40),0)</f>
        <v>0</v>
      </c>
      <c r="H16" s="36">
        <f>IF(AND(catpn_1_KAZB_1&gt;0,catpn_1_KAZV_40&gt;0),(catdw_1_KAZB_1*((dagenperjaar1-VLOOKUP(B16,dagsoorttabel1,2,FALSE))-catfd_1_KAZV_40)/catpn_1_KAZB_1+catdw_1_KAZV_40*catfd_1_KAZV_40/catpn_1_KAZV_40)/(((dagenperjaar1-VLOOKUP(B16,dagsoorttabel1,2,FALSE))-catfd_1_KAZV_40)/catpn_1_KAZB_1+catfd_1_KAZV_40/catpn_1_KAZV_40),0)</f>
        <v>0</v>
      </c>
      <c r="I16" s="20" t="s">
        <v>43</v>
      </c>
      <c r="J16" s="37">
        <f>IF(AND(catpn_1_KAZB_1&gt;0,catpn_1_KAZV_40&gt;0),(cattf_1_KAZB_1*((dagenperjaar1*VLOOKUP(B16,dagsoorttabel1,2,FALSE))-catfd_1_KAZV_40)/catpn_1_KAZB_1+cattf_1_KAZV_40*catfd_1_KAZV_40/catpn_1_KAZV_40)/(((dagenperjaar1*VLOOKUP(B16,dagsoorttabel1,2,FALSE))-catfd_1_KAZV_40)/catpn_1_KAZB_1+catfd_1_KAZV_40/catpn_1_KA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169</v>
      </c>
      <c r="B17" s="20" t="s">
        <v>11</v>
      </c>
      <c r="C17" s="20" t="s">
        <v>159</v>
      </c>
      <c r="D17" s="20" t="s">
        <v>170</v>
      </c>
      <c r="E17" s="34">
        <v>119.00000000000001</v>
      </c>
      <c r="F17" s="34">
        <f t="shared" si="0"/>
        <v>119.00000000000001</v>
      </c>
      <c r="G17" s="35">
        <f>IF(AND(catpn_1_KDHB_1&gt;0,catpn_1_KDHV_40&gt;0),(dagenperjaar1*VLOOKUP(B17,dagsoorttabel1,2,FALSE))/(((dagenperjaar1*VLOOKUP(B17,dagsoorttabel1,2,FALSE))-catfd_1_KDHV_40)/catpn_1_KDHB_1+catfd_1_KDHV_40/catpn_1_KDHV_40),0)</f>
        <v>0</v>
      </c>
      <c r="H17" s="36">
        <f>IF(AND(catpn_1_KDHB_1&gt;0,catpn_1_KDHV_40&gt;0),(catdw_1_KDHB_1*((dagenperjaar1-VLOOKUP(B17,dagsoorttabel1,2,FALSE))-catfd_1_KDHV_40)/catpn_1_KDHB_1+catdw_1_KDHV_40*catfd_1_KDHV_40/catpn_1_KDHV_40)/(((dagenperjaar1-VLOOKUP(B17,dagsoorttabel1,2,FALSE))-catfd_1_KDHV_40)/catpn_1_KDHB_1+catfd_1_KDHV_40/catpn_1_KDHV_40),0)</f>
        <v>0</v>
      </c>
      <c r="I17" s="20" t="s">
        <v>43</v>
      </c>
      <c r="J17" s="37">
        <f>IF(AND(catpn_1_KDHB_1&gt;0,catpn_1_KDHV_40&gt;0),(cattf_1_KDHB_1*((dagenperjaar1*VLOOKUP(B17,dagsoorttabel1,2,FALSE))-catfd_1_KDHV_40)/catpn_1_KDHB_1+cattf_1_KDHV_40*catfd_1_KDHV_40/catpn_1_KDHV_40)/(((dagenperjaar1*VLOOKUP(B17,dagsoorttabel1,2,FALSE))-catfd_1_KDHV_40)/catpn_1_KDHB_1+catfd_1_KDHV_40/catpn_1_KD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171</v>
      </c>
      <c r="B18" s="20" t="s">
        <v>11</v>
      </c>
      <c r="C18" s="20" t="s">
        <v>159</v>
      </c>
      <c r="D18" s="20" t="s">
        <v>172</v>
      </c>
      <c r="E18" s="34">
        <v>77.400000000000006</v>
      </c>
      <c r="F18" s="34">
        <f t="shared" si="0"/>
        <v>77.400000000000006</v>
      </c>
      <c r="G18" s="35">
        <f>IF(AND(catpn_1_KDZB_1&gt;0,catpn_1_KDZV_40&gt;0),(dagenperjaar1*VLOOKUP(B18,dagsoorttabel1,2,FALSE))/(((dagenperjaar1*VLOOKUP(B18,dagsoorttabel1,2,FALSE))-catfd_1_KDZV_40)/catpn_1_KDZB_1+catfd_1_KDZV_40/catpn_1_KDZV_40),0)</f>
        <v>0</v>
      </c>
      <c r="H18" s="36">
        <f>IF(AND(catpn_1_KDZB_1&gt;0,catpn_1_KDZV_40&gt;0),(catdw_1_KDZB_1*((dagenperjaar1-VLOOKUP(B18,dagsoorttabel1,2,FALSE))-catfd_1_KDZV_40)/catpn_1_KDZB_1+catdw_1_KDZV_40*catfd_1_KDZV_40/catpn_1_KDZV_40)/(((dagenperjaar1-VLOOKUP(B18,dagsoorttabel1,2,FALSE))-catfd_1_KDZV_40)/catpn_1_KDZB_1+catfd_1_KDZV_40/catpn_1_KDZV_40),0)</f>
        <v>0</v>
      </c>
      <c r="I18" s="20" t="s">
        <v>43</v>
      </c>
      <c r="J18" s="37">
        <f>IF(AND(catpn_1_KDZB_1&gt;0,catpn_1_KDZV_40&gt;0),(cattf_1_KDZB_1*((dagenperjaar1*VLOOKUP(B18,dagsoorttabel1,2,FALSE))-catfd_1_KDZV_40)/catpn_1_KDZB_1+cattf_1_KDZV_40*catfd_1_KDZV_40/catpn_1_KDZV_40)/(((dagenperjaar1*VLOOKUP(B18,dagsoorttabel1,2,FALSE))-catfd_1_KDZV_40)/catpn_1_KDZB_1+catfd_1_KDZV_40/catpn_1_KDZ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171</v>
      </c>
      <c r="B19" s="20" t="s">
        <v>20</v>
      </c>
      <c r="C19" s="20" t="s">
        <v>159</v>
      </c>
      <c r="D19" s="20" t="s">
        <v>172</v>
      </c>
      <c r="E19" s="34">
        <v>40.299999999999997</v>
      </c>
      <c r="F19" s="34">
        <f t="shared" si="0"/>
        <v>8.06</v>
      </c>
      <c r="G19" s="35">
        <f>IF(AND(catpn_1_KDZB_1&gt;0,catpn_1_KDZV_40&gt;0),(dagenperjaar1*VLOOKUP(B19,dagsoorttabel1,2,FALSE))/(((dagenperjaar1*VLOOKUP(B19,dagsoorttabel1,2,FALSE))-catfd_1_KDZV_40)/catpn_1_KDZB_1+catfd_1_KDZV_40/catpn_1_KDZV_40),0)</f>
        <v>0</v>
      </c>
      <c r="H19" s="36">
        <f>IF(AND(catpn_1_KDZB_1&gt;0,catpn_1_KDZV_40&gt;0),(catdw_1_KDZB_1*((dagenperjaar1-VLOOKUP(B19,dagsoorttabel1,2,FALSE))-catfd_1_KDZV_40)/catpn_1_KDZB_1+catdw_1_KDZV_40*catfd_1_KDZV_40/catpn_1_KDZV_40)/(((dagenperjaar1-VLOOKUP(B19,dagsoorttabel1,2,FALSE))-catfd_1_KDZV_40)/catpn_1_KDZB_1+catfd_1_KDZV_40/catpn_1_KDZV_40),0)</f>
        <v>0</v>
      </c>
      <c r="I19" s="20" t="s">
        <v>43</v>
      </c>
      <c r="J19" s="37">
        <f>IF(AND(catpn_1_KDZB_1&gt;0,catpn_1_KDZV_40&gt;0),(cattf_1_KDZB_1*((dagenperjaar1*VLOOKUP(B19,dagsoorttabel1,2,FALSE))-catfd_1_KDZV_40)/catpn_1_KDZB_1+cattf_1_KDZV_40*catfd_1_KDZV_40/catpn_1_KDZV_40)/(((dagenperjaar1*VLOOKUP(B19,dagsoorttabel1,2,FALSE))-catfd_1_KDZV_40)/catpn_1_KDZB_1+catfd_1_KDZV_40/catpn_1_KDZ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173</v>
      </c>
      <c r="B20" s="20" t="s">
        <v>11</v>
      </c>
      <c r="C20" s="20" t="s">
        <v>159</v>
      </c>
      <c r="D20" s="20" t="s">
        <v>174</v>
      </c>
      <c r="E20" s="34">
        <v>54.96</v>
      </c>
      <c r="F20" s="34">
        <f t="shared" si="0"/>
        <v>54.96</v>
      </c>
      <c r="G20" s="35">
        <f>IF(AND(catpn_1_KPHB_1&gt;0,catpn_1_KPHV_40&gt;0),(dagenperjaar1*VLOOKUP(B20,dagsoorttabel1,2,FALSE))/(((dagenperjaar1*VLOOKUP(B20,dagsoorttabel1,2,FALSE))-catfd_1_KPHV_40)/catpn_1_KPHB_1+catfd_1_KPHV_40/catpn_1_KPHV_40),0)</f>
        <v>0</v>
      </c>
      <c r="H20" s="36">
        <f>IF(AND(catpn_1_KPHB_1&gt;0,catpn_1_KPHV_40&gt;0),(catdw_1_KPHB_1*((dagenperjaar1-VLOOKUP(B20,dagsoorttabel1,2,FALSE))-catfd_1_KPHV_40)/catpn_1_KPHB_1+catdw_1_KPHV_40*catfd_1_KPHV_40/catpn_1_KPHV_40)/(((dagenperjaar1-VLOOKUP(B20,dagsoorttabel1,2,FALSE))-catfd_1_KPHV_40)/catpn_1_KPHB_1+catfd_1_KPHV_40/catpn_1_KPHV_40),0)</f>
        <v>0</v>
      </c>
      <c r="I20" s="20" t="s">
        <v>43</v>
      </c>
      <c r="J20" s="37">
        <f>IF(AND(catpn_1_KPHB_1&gt;0,catpn_1_KPHV_40&gt;0),(cattf_1_KPHB_1*((dagenperjaar1*VLOOKUP(B20,dagsoorttabel1,2,FALSE))-catfd_1_KPHV_40)/catpn_1_KPHB_1+cattf_1_KPHV_40*catfd_1_KPHV_40/catpn_1_KPHV_40)/(((dagenperjaar1*VLOOKUP(B20,dagsoorttabel1,2,FALSE))-catfd_1_KPHV_40)/catpn_1_KPHB_1+catfd_1_KPHV_40/catpn_1_KP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173</v>
      </c>
      <c r="B21" s="20" t="s">
        <v>18</v>
      </c>
      <c r="C21" s="20" t="s">
        <v>159</v>
      </c>
      <c r="D21" s="20" t="s">
        <v>174</v>
      </c>
      <c r="E21" s="34">
        <v>15.6</v>
      </c>
      <c r="F21" s="34">
        <f t="shared" si="0"/>
        <v>6.24</v>
      </c>
      <c r="G21" s="35">
        <f>IF(AND(catpn_1_KPHB_1&gt;0,catpn_1_KPHV_40&gt;0),(dagenperjaar1*VLOOKUP(B21,dagsoorttabel1,2,FALSE))/(((dagenperjaar1*VLOOKUP(B21,dagsoorttabel1,2,FALSE))-catfd_1_KPHV_40)/catpn_1_KPHB_1+catfd_1_KPHV_40/catpn_1_KPHV_40),0)</f>
        <v>0</v>
      </c>
      <c r="H21" s="36">
        <f>IF(AND(catpn_1_KPHB_1&gt;0,catpn_1_KPHV_40&gt;0),(catdw_1_KPHB_1*((dagenperjaar1-VLOOKUP(B21,dagsoorttabel1,2,FALSE))-catfd_1_KPHV_40)/catpn_1_KPHB_1+catdw_1_KPHV_40*catfd_1_KPHV_40/catpn_1_KPHV_40)/(((dagenperjaar1-VLOOKUP(B21,dagsoorttabel1,2,FALSE))-catfd_1_KPHV_40)/catpn_1_KPHB_1+catfd_1_KPHV_40/catpn_1_KPHV_40),0)</f>
        <v>0</v>
      </c>
      <c r="I21" s="20" t="s">
        <v>43</v>
      </c>
      <c r="J21" s="37">
        <f>IF(AND(catpn_1_KPHB_1&gt;0,catpn_1_KPHV_40&gt;0),(cattf_1_KPHB_1*((dagenperjaar1*VLOOKUP(B21,dagsoorttabel1,2,FALSE))-catfd_1_KPHV_40)/catpn_1_KPHB_1+cattf_1_KPHV_40*catfd_1_KPHV_40/catpn_1_KPHV_40)/(((dagenperjaar1*VLOOKUP(B21,dagsoorttabel1,2,FALSE))-catfd_1_KPHV_40)/catpn_1_KPHB_1+catfd_1_KPHV_40/catpn_1_KP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175</v>
      </c>
      <c r="B22" s="20" t="s">
        <v>22</v>
      </c>
      <c r="C22" s="20" t="s">
        <v>159</v>
      </c>
      <c r="D22" s="20" t="s">
        <v>176</v>
      </c>
      <c r="E22" s="34">
        <v>48.2</v>
      </c>
      <c r="F22" s="34">
        <f t="shared" si="0"/>
        <v>2.8919999999999999</v>
      </c>
      <c r="G22" s="35">
        <f>catpn_1_LLHV_12</f>
        <v>0</v>
      </c>
      <c r="H22" s="36">
        <f>catdw_1_LLHV_12</f>
        <v>0</v>
      </c>
      <c r="I22" s="20" t="s">
        <v>43</v>
      </c>
      <c r="J22" s="37">
        <f>cattf_1_LLHV_12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175</v>
      </c>
      <c r="B23" s="20" t="s">
        <v>11</v>
      </c>
      <c r="C23" s="20" t="s">
        <v>159</v>
      </c>
      <c r="D23" s="20" t="s">
        <v>176</v>
      </c>
      <c r="E23" s="34">
        <v>1343.21</v>
      </c>
      <c r="F23" s="34">
        <f t="shared" si="0"/>
        <v>1343.21</v>
      </c>
      <c r="G23" s="35">
        <f>IF(AND(catpn_1_LLHB_1&gt;0,catpn_1_LLHV_40&gt;0),(dagenperjaar1*VLOOKUP(B23,dagsoorttabel1,2,FALSE))/(((dagenperjaar1*VLOOKUP(B23,dagsoorttabel1,2,FALSE))-catfd_1_LLHV_40)/catpn_1_LLHB_1+catfd_1_LLHV_40/catpn_1_LLHV_40),0)</f>
        <v>0</v>
      </c>
      <c r="H23" s="36">
        <f>IF(AND(catpn_1_LLHB_1&gt;0,catpn_1_LLHV_40&gt;0),(catdw_1_LLHB_1*((dagenperjaar1-VLOOKUP(B23,dagsoorttabel1,2,FALSE))-catfd_1_LLHV_40)/catpn_1_LLHB_1+catdw_1_LLHV_40*catfd_1_LLHV_40/catpn_1_LLHV_40)/(((dagenperjaar1-VLOOKUP(B23,dagsoorttabel1,2,FALSE))-catfd_1_LLHV_40)/catpn_1_LLHB_1+catfd_1_LLHV_40/catpn_1_LLHV_40),0)</f>
        <v>0</v>
      </c>
      <c r="I23" s="20" t="s">
        <v>43</v>
      </c>
      <c r="J23" s="37">
        <f>IF(AND(catpn_1_LLHB_1&gt;0,catpn_1_LLHV_40&gt;0),(cattf_1_LLHB_1*((dagenperjaar1*VLOOKUP(B23,dagsoorttabel1,2,FALSE))-catfd_1_LLHV_40)/catpn_1_LLHB_1+cattf_1_LLHV_40*catfd_1_LLHV_40/catpn_1_LLHV_40)/(((dagenperjaar1*VLOOKUP(B23,dagsoorttabel1,2,FALSE))-catfd_1_LLHV_40)/catpn_1_LLHB_1+catfd_1_LLHV_40/catpn_1_LL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175</v>
      </c>
      <c r="B24" s="20" t="s">
        <v>20</v>
      </c>
      <c r="C24" s="20" t="s">
        <v>159</v>
      </c>
      <c r="D24" s="20" t="s">
        <v>176</v>
      </c>
      <c r="E24" s="34">
        <v>55.17</v>
      </c>
      <c r="F24" s="34">
        <f t="shared" si="0"/>
        <v>11.034000000000001</v>
      </c>
      <c r="G24" s="35">
        <f>IF(AND(catpn_1_LLHB_1&gt;0,catpn_1_LLHV_40&gt;0),(dagenperjaar1*VLOOKUP(B24,dagsoorttabel1,2,FALSE))/(((dagenperjaar1*VLOOKUP(B24,dagsoorttabel1,2,FALSE))-catfd_1_LLHV_40)/catpn_1_LLHB_1+catfd_1_LLHV_40/catpn_1_LLHV_40),0)</f>
        <v>0</v>
      </c>
      <c r="H24" s="36">
        <f>IF(AND(catpn_1_LLHB_1&gt;0,catpn_1_LLHV_40&gt;0),(catdw_1_LLHB_1*((dagenperjaar1-VLOOKUP(B24,dagsoorttabel1,2,FALSE))-catfd_1_LLHV_40)/catpn_1_LLHB_1+catdw_1_LLHV_40*catfd_1_LLHV_40/catpn_1_LLHV_40)/(((dagenperjaar1-VLOOKUP(B24,dagsoorttabel1,2,FALSE))-catfd_1_LLHV_40)/catpn_1_LLHB_1+catfd_1_LLHV_40/catpn_1_LLHV_40),0)</f>
        <v>0</v>
      </c>
      <c r="I24" s="20" t="s">
        <v>43</v>
      </c>
      <c r="J24" s="37">
        <f>IF(AND(catpn_1_LLHB_1&gt;0,catpn_1_LLHV_40&gt;0),(cattf_1_LLHB_1*((dagenperjaar1*VLOOKUP(B24,dagsoorttabel1,2,FALSE))-catfd_1_LLHV_40)/catpn_1_LLHB_1+cattf_1_LLHV_40*catfd_1_LLHV_40/catpn_1_LLHV_40)/(((dagenperjaar1*VLOOKUP(B24,dagsoorttabel1,2,FALSE))-catfd_1_LLHV_40)/catpn_1_LLHB_1+catfd_1_LLHV_40/catpn_1_LLHV_40)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175</v>
      </c>
      <c r="B25" s="20" t="s">
        <v>18</v>
      </c>
      <c r="C25" s="20" t="s">
        <v>159</v>
      </c>
      <c r="D25" s="20" t="s">
        <v>176</v>
      </c>
      <c r="E25" s="34">
        <v>2648.43</v>
      </c>
      <c r="F25" s="34">
        <f t="shared" si="0"/>
        <v>1059.3720000000001</v>
      </c>
      <c r="G25" s="35">
        <f>IF(AND(catpn_1_LLHB_1&gt;0,catpn_1_LLHV_40&gt;0),(dagenperjaar1*VLOOKUP(B25,dagsoorttabel1,2,FALSE))/(((dagenperjaar1*VLOOKUP(B25,dagsoorttabel1,2,FALSE))-catfd_1_LLHV_40)/catpn_1_LLHB_1+catfd_1_LLHV_40/catpn_1_LLHV_40),0)</f>
        <v>0</v>
      </c>
      <c r="H25" s="36">
        <f>IF(AND(catpn_1_LLHB_1&gt;0,catpn_1_LLHV_40&gt;0),(catdw_1_LLHB_1*((dagenperjaar1-VLOOKUP(B25,dagsoorttabel1,2,FALSE))-catfd_1_LLHV_40)/catpn_1_LLHB_1+catdw_1_LLHV_40*catfd_1_LLHV_40/catpn_1_LLHV_40)/(((dagenperjaar1-VLOOKUP(B25,dagsoorttabel1,2,FALSE))-catfd_1_LLHV_40)/catpn_1_LLHB_1+catfd_1_LLHV_40/catpn_1_LLHV_40),0)</f>
        <v>0</v>
      </c>
      <c r="I25" s="20" t="s">
        <v>43</v>
      </c>
      <c r="J25" s="37">
        <f>IF(AND(catpn_1_LLHB_1&gt;0,catpn_1_LLHV_40&gt;0),(cattf_1_LLHB_1*((dagenperjaar1*VLOOKUP(B25,dagsoorttabel1,2,FALSE))-catfd_1_LLHV_40)/catpn_1_LLHB_1+cattf_1_LLHV_40*catfd_1_LLHV_40/catpn_1_LLHV_40)/(((dagenperjaar1*VLOOKUP(B25,dagsoorttabel1,2,FALSE))-catfd_1_LLHV_40)/catpn_1_LLHB_1+catfd_1_LLHV_40/catpn_1_LLHV_40)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177</v>
      </c>
      <c r="B26" s="20" t="s">
        <v>11</v>
      </c>
      <c r="C26" s="20" t="s">
        <v>159</v>
      </c>
      <c r="D26" s="20" t="s">
        <v>178</v>
      </c>
      <c r="E26" s="34">
        <v>84.8</v>
      </c>
      <c r="F26" s="34">
        <f t="shared" si="0"/>
        <v>84.8</v>
      </c>
      <c r="G26" s="35">
        <f>IF(AND(catpn_1_LLZB_1&gt;0,catpn_1_LLZV_40&gt;0),(dagenperjaar1*VLOOKUP(B26,dagsoorttabel1,2,FALSE))/(((dagenperjaar1*VLOOKUP(B26,dagsoorttabel1,2,FALSE))-catfd_1_LLZV_40)/catpn_1_LLZB_1+catfd_1_LLZV_40/catpn_1_LLZV_40),0)</f>
        <v>0</v>
      </c>
      <c r="H26" s="36">
        <f>IF(AND(catpn_1_LLZB_1&gt;0,catpn_1_LLZV_40&gt;0),(catdw_1_LLZB_1*((dagenperjaar1-VLOOKUP(B26,dagsoorttabel1,2,FALSE))-catfd_1_LLZV_40)/catpn_1_LLZB_1+catdw_1_LLZV_40*catfd_1_LLZV_40/catpn_1_LLZV_40)/(((dagenperjaar1-VLOOKUP(B26,dagsoorttabel1,2,FALSE))-catfd_1_LLZV_40)/catpn_1_LLZB_1+catfd_1_LLZV_40/catpn_1_LLZV_40),0)</f>
        <v>0</v>
      </c>
      <c r="I26" s="20" t="s">
        <v>43</v>
      </c>
      <c r="J26" s="37">
        <f>IF(AND(catpn_1_LLZB_1&gt;0,catpn_1_LLZV_40&gt;0),(cattf_1_LLZB_1*((dagenperjaar1*VLOOKUP(B26,dagsoorttabel1,2,FALSE))-catfd_1_LLZV_40)/catpn_1_LLZB_1+cattf_1_LLZV_40*catfd_1_LLZV_40/catpn_1_LLZV_40)/(((dagenperjaar1*VLOOKUP(B26,dagsoorttabel1,2,FALSE))-catfd_1_LLZV_40)/catpn_1_LLZB_1+catfd_1_LLZV_40/catpn_1_LLZ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177</v>
      </c>
      <c r="B27" s="20" t="s">
        <v>18</v>
      </c>
      <c r="C27" s="20" t="s">
        <v>159</v>
      </c>
      <c r="D27" s="20" t="s">
        <v>178</v>
      </c>
      <c r="E27" s="34">
        <v>673.05</v>
      </c>
      <c r="F27" s="34">
        <f t="shared" si="0"/>
        <v>269.21999999999997</v>
      </c>
      <c r="G27" s="35">
        <f>IF(AND(catpn_1_LLZB_1&gt;0,catpn_1_LLZV_40&gt;0),(dagenperjaar1*VLOOKUP(B27,dagsoorttabel1,2,FALSE))/(((dagenperjaar1*VLOOKUP(B27,dagsoorttabel1,2,FALSE))-catfd_1_LLZV_40)/catpn_1_LLZB_1+catfd_1_LLZV_40/catpn_1_LLZV_40),0)</f>
        <v>0</v>
      </c>
      <c r="H27" s="36">
        <f>IF(AND(catpn_1_LLZB_1&gt;0,catpn_1_LLZV_40&gt;0),(catdw_1_LLZB_1*((dagenperjaar1-VLOOKUP(B27,dagsoorttabel1,2,FALSE))-catfd_1_LLZV_40)/catpn_1_LLZB_1+catdw_1_LLZV_40*catfd_1_LLZV_40/catpn_1_LLZV_40)/(((dagenperjaar1-VLOOKUP(B27,dagsoorttabel1,2,FALSE))-catfd_1_LLZV_40)/catpn_1_LLZB_1+catfd_1_LLZV_40/catpn_1_LLZV_40),0)</f>
        <v>0</v>
      </c>
      <c r="I27" s="20" t="s">
        <v>43</v>
      </c>
      <c r="J27" s="37">
        <f>IF(AND(catpn_1_LLZB_1&gt;0,catpn_1_LLZV_40&gt;0),(cattf_1_LLZB_1*((dagenperjaar1*VLOOKUP(B27,dagsoorttabel1,2,FALSE))-catfd_1_LLZV_40)/catpn_1_LLZB_1+cattf_1_LLZV_40*catfd_1_LLZV_40/catpn_1_LLZV_40)/(((dagenperjaar1*VLOOKUP(B27,dagsoorttabel1,2,FALSE))-catfd_1_LLZV_40)/catpn_1_LLZB_1+catfd_1_LLZV_40/catpn_1_LLZ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179</v>
      </c>
      <c r="B28" s="20" t="s">
        <v>20</v>
      </c>
      <c r="C28" s="20" t="s">
        <v>159</v>
      </c>
      <c r="D28" s="20" t="s">
        <v>180</v>
      </c>
      <c r="E28" s="34">
        <v>7.2</v>
      </c>
      <c r="F28" s="34">
        <f t="shared" si="0"/>
        <v>1.4400000000000002</v>
      </c>
      <c r="G28" s="35">
        <f>IF(AND(catpn_1_LOHB_1&gt;0,catpn_1_LOHV_40&gt;0),(dagenperjaar1*VLOOKUP(B28,dagsoorttabel1,2,FALSE))/(((dagenperjaar1*VLOOKUP(B28,dagsoorttabel1,2,FALSE))-catfd_1_LOHV_40)/catpn_1_LOHB_1+catfd_1_LOHV_40/catpn_1_LOHV_40),0)</f>
        <v>0</v>
      </c>
      <c r="H28" s="36">
        <f>IF(AND(catpn_1_LOHB_1&gt;0,catpn_1_LOHV_40&gt;0),(catdw_1_LOHB_1*((dagenperjaar1-VLOOKUP(B28,dagsoorttabel1,2,FALSE))-catfd_1_LOHV_40)/catpn_1_LOHB_1+catdw_1_LOHV_40*catfd_1_LOHV_40/catpn_1_LOHV_40)/(((dagenperjaar1-VLOOKUP(B28,dagsoorttabel1,2,FALSE))-catfd_1_LOHV_40)/catpn_1_LOHB_1+catfd_1_LOHV_40/catpn_1_LOHV_40),0)</f>
        <v>0</v>
      </c>
      <c r="I28" s="20" t="s">
        <v>43</v>
      </c>
      <c r="J28" s="37">
        <f>IF(AND(catpn_1_LOHB_1&gt;0,catpn_1_LOHV_40&gt;0),(cattf_1_LOHB_1*((dagenperjaar1*VLOOKUP(B28,dagsoorttabel1,2,FALSE))-catfd_1_LOHV_40)/catpn_1_LOHB_1+cattf_1_LOHV_40*catfd_1_LOHV_40/catpn_1_LOHV_40)/(((dagenperjaar1*VLOOKUP(B28,dagsoorttabel1,2,FALSE))-catfd_1_LOHV_40)/catpn_1_LOHB_1+catfd_1_LOHV_40/catpn_1_LOHV_40)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179</v>
      </c>
      <c r="B29" s="20" t="s">
        <v>18</v>
      </c>
      <c r="C29" s="20" t="s">
        <v>159</v>
      </c>
      <c r="D29" s="20" t="s">
        <v>180</v>
      </c>
      <c r="E29" s="34">
        <v>47.9</v>
      </c>
      <c r="F29" s="34">
        <f t="shared" si="0"/>
        <v>19.16</v>
      </c>
      <c r="G29" s="35">
        <f>IF(AND(catpn_1_LOHB_1&gt;0,catpn_1_LOHV_40&gt;0),(dagenperjaar1*VLOOKUP(B29,dagsoorttabel1,2,FALSE))/(((dagenperjaar1*VLOOKUP(B29,dagsoorttabel1,2,FALSE))-catfd_1_LOHV_40)/catpn_1_LOHB_1+catfd_1_LOHV_40/catpn_1_LOHV_40),0)</f>
        <v>0</v>
      </c>
      <c r="H29" s="36">
        <f>IF(AND(catpn_1_LOHB_1&gt;0,catpn_1_LOHV_40&gt;0),(catdw_1_LOHB_1*((dagenperjaar1-VLOOKUP(B29,dagsoorttabel1,2,FALSE))-catfd_1_LOHV_40)/catpn_1_LOHB_1+catdw_1_LOHV_40*catfd_1_LOHV_40/catpn_1_LOHV_40)/(((dagenperjaar1-VLOOKUP(B29,dagsoorttabel1,2,FALSE))-catfd_1_LOHV_40)/catpn_1_LOHB_1+catfd_1_LOHV_40/catpn_1_LOHV_40),0)</f>
        <v>0</v>
      </c>
      <c r="I29" s="20" t="s">
        <v>43</v>
      </c>
      <c r="J29" s="37">
        <f>IF(AND(catpn_1_LOHB_1&gt;0,catpn_1_LOHV_40&gt;0),(cattf_1_LOHB_1*((dagenperjaar1*VLOOKUP(B29,dagsoorttabel1,2,FALSE))-catfd_1_LOHV_40)/catpn_1_LOHB_1+cattf_1_LOHV_40*catfd_1_LOHV_40/catpn_1_LOHV_40)/(((dagenperjaar1*VLOOKUP(B29,dagsoorttabel1,2,FALSE))-catfd_1_LOHV_40)/catpn_1_LOHB_1+catfd_1_LOHV_40/catpn_1_LOHV_40)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181</v>
      </c>
      <c r="B30" s="20" t="s">
        <v>11</v>
      </c>
      <c r="C30" s="20" t="s">
        <v>159</v>
      </c>
      <c r="D30" s="20" t="s">
        <v>182</v>
      </c>
      <c r="E30" s="34">
        <v>137.69999999999999</v>
      </c>
      <c r="F30" s="34">
        <f t="shared" si="0"/>
        <v>137.69999999999999</v>
      </c>
      <c r="G30" s="35">
        <f>IF(AND(catpn_1_MAHB_1&gt;0,catpn_1_MAHV_40&gt;0),(dagenperjaar1*VLOOKUP(B30,dagsoorttabel1,2,FALSE))/(((dagenperjaar1*VLOOKUP(B30,dagsoorttabel1,2,FALSE))-catfd_1_MAHV_40)/catpn_1_MAHB_1+catfd_1_MAHV_40/catpn_1_MAHV_40),0)</f>
        <v>0</v>
      </c>
      <c r="H30" s="36">
        <f>IF(AND(catpn_1_MAHB_1&gt;0,catpn_1_MAHV_40&gt;0),(catdw_1_MAHB_1*((dagenperjaar1-VLOOKUP(B30,dagsoorttabel1,2,FALSE))-catfd_1_MAHV_40)/catpn_1_MAHB_1+catdw_1_MAHV_40*catfd_1_MAHV_40/catpn_1_MAHV_40)/(((dagenperjaar1-VLOOKUP(B30,dagsoorttabel1,2,FALSE))-catfd_1_MAHV_40)/catpn_1_MAHB_1+catfd_1_MAHV_40/catpn_1_MAHV_40),0)</f>
        <v>0</v>
      </c>
      <c r="I30" s="20" t="s">
        <v>43</v>
      </c>
      <c r="J30" s="37">
        <f>IF(AND(catpn_1_MAHB_1&gt;0,catpn_1_MAHV_40&gt;0),(cattf_1_MAHB_1*((dagenperjaar1*VLOOKUP(B30,dagsoorttabel1,2,FALSE))-catfd_1_MAHV_40)/catpn_1_MAHB_1+cattf_1_MAHV_40*catfd_1_MAHV_40/catpn_1_MAHV_40)/(((dagenperjaar1*VLOOKUP(B30,dagsoorttabel1,2,FALSE))-catfd_1_MAHV_40)/catpn_1_MAHB_1+catfd_1_MAHV_40/catpn_1_MAHV_40)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183</v>
      </c>
      <c r="B31" s="20" t="s">
        <v>27</v>
      </c>
      <c r="C31" s="20" t="s">
        <v>159</v>
      </c>
      <c r="D31" s="20" t="s">
        <v>184</v>
      </c>
      <c r="E31" s="34">
        <v>53.8</v>
      </c>
      <c r="F31" s="34">
        <f t="shared" si="0"/>
        <v>0.53800000000000003</v>
      </c>
      <c r="G31" s="35">
        <f>catpn_1_MAZV_2</f>
        <v>0</v>
      </c>
      <c r="H31" s="36">
        <f>catdw_1_MAZV_2</f>
        <v>0</v>
      </c>
      <c r="I31" s="20" t="s">
        <v>43</v>
      </c>
      <c r="J31" s="37">
        <f>cattf_1_MAZV_2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185</v>
      </c>
      <c r="B32" s="20" t="s">
        <v>11</v>
      </c>
      <c r="C32" s="20" t="s">
        <v>159</v>
      </c>
      <c r="D32" s="20" t="s">
        <v>186</v>
      </c>
      <c r="E32" s="34">
        <v>51.8</v>
      </c>
      <c r="F32" s="34">
        <f t="shared" si="0"/>
        <v>51.8</v>
      </c>
      <c r="G32" s="35">
        <f>IF(AND(catpn_1_OAHB_1&gt;0,catpn_1_OAHV_40&gt;0),(dagenperjaar1*VLOOKUP(B32,dagsoorttabel1,2,FALSE))/(((dagenperjaar1*VLOOKUP(B32,dagsoorttabel1,2,FALSE))-catfd_1_OAHV_40)/catpn_1_OAHB_1+catfd_1_OAHV_40/catpn_1_OAHV_40),0)</f>
        <v>0</v>
      </c>
      <c r="H32" s="36">
        <f>IF(AND(catpn_1_OAHB_1&gt;0,catpn_1_OAHV_40&gt;0),(catdw_1_OAHB_1*((dagenperjaar1-VLOOKUP(B32,dagsoorttabel1,2,FALSE))-catfd_1_OAHV_40)/catpn_1_OAHB_1+catdw_1_OAHV_40*catfd_1_OAHV_40/catpn_1_OAHV_40)/(((dagenperjaar1-VLOOKUP(B32,dagsoorttabel1,2,FALSE))-catfd_1_OAHV_40)/catpn_1_OAHB_1+catfd_1_OAHV_40/catpn_1_OAHV_40),0)</f>
        <v>0</v>
      </c>
      <c r="I32" s="20" t="s">
        <v>43</v>
      </c>
      <c r="J32" s="37">
        <f>IF(AND(catpn_1_OAHB_1&gt;0,catpn_1_OAHV_40&gt;0),(cattf_1_OAHB_1*((dagenperjaar1*VLOOKUP(B32,dagsoorttabel1,2,FALSE))-catfd_1_OAHV_40)/catpn_1_OAHB_1+cattf_1_OAHV_40*catfd_1_OAHV_40/catpn_1_OAHV_40)/(((dagenperjaar1*VLOOKUP(B32,dagsoorttabel1,2,FALSE))-catfd_1_OAHV_40)/catpn_1_OAHB_1+catfd_1_OAHV_40/catpn_1_OAHV_40)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185</v>
      </c>
      <c r="B33" s="20" t="s">
        <v>20</v>
      </c>
      <c r="C33" s="20" t="s">
        <v>159</v>
      </c>
      <c r="D33" s="20" t="s">
        <v>186</v>
      </c>
      <c r="E33" s="34">
        <v>14.5</v>
      </c>
      <c r="F33" s="34">
        <f t="shared" si="0"/>
        <v>2.9000000000000004</v>
      </c>
      <c r="G33" s="35">
        <f>IF(AND(catpn_1_OAHB_1&gt;0,catpn_1_OAHV_40&gt;0),(dagenperjaar1*VLOOKUP(B33,dagsoorttabel1,2,FALSE))/(((dagenperjaar1*VLOOKUP(B33,dagsoorttabel1,2,FALSE))-catfd_1_OAHV_40)/catpn_1_OAHB_1+catfd_1_OAHV_40/catpn_1_OAHV_40),0)</f>
        <v>0</v>
      </c>
      <c r="H33" s="36">
        <f>IF(AND(catpn_1_OAHB_1&gt;0,catpn_1_OAHV_40&gt;0),(catdw_1_OAHB_1*((dagenperjaar1-VLOOKUP(B33,dagsoorttabel1,2,FALSE))-catfd_1_OAHV_40)/catpn_1_OAHB_1+catdw_1_OAHV_40*catfd_1_OAHV_40/catpn_1_OAHV_40)/(((dagenperjaar1-VLOOKUP(B33,dagsoorttabel1,2,FALSE))-catfd_1_OAHV_40)/catpn_1_OAHB_1+catfd_1_OAHV_40/catpn_1_OAHV_40),0)</f>
        <v>0</v>
      </c>
      <c r="I33" s="20" t="s">
        <v>43</v>
      </c>
      <c r="J33" s="37">
        <f>IF(AND(catpn_1_OAHB_1&gt;0,catpn_1_OAHV_40&gt;0),(cattf_1_OAHB_1*((dagenperjaar1*VLOOKUP(B33,dagsoorttabel1,2,FALSE))-catfd_1_OAHV_40)/catpn_1_OAHB_1+cattf_1_OAHV_40*catfd_1_OAHV_40/catpn_1_OAHV_40)/(((dagenperjaar1*VLOOKUP(B33,dagsoorttabel1,2,FALSE))-catfd_1_OAHV_40)/catpn_1_OAHB_1+catfd_1_OAHV_40/catpn_1_OAHV_40)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185</v>
      </c>
      <c r="B34" s="20" t="s">
        <v>16</v>
      </c>
      <c r="C34" s="20" t="s">
        <v>159</v>
      </c>
      <c r="D34" s="20" t="s">
        <v>186</v>
      </c>
      <c r="E34" s="34">
        <v>9.17</v>
      </c>
      <c r="F34" s="34">
        <f t="shared" si="0"/>
        <v>4.3098999999999998</v>
      </c>
      <c r="G34" s="35">
        <f>IF(AND(catpn_1_OAHB_1&gt;0,catpn_1_OAHV_47&gt;0),(dagenperjaar1*VLOOKUP(B34,dagsoorttabel1,2,FALSE))/(((dagenperjaar1*VLOOKUP(B34,dagsoorttabel1,2,FALSE))-catfd_1_OAHV_47)/catpn_1_OAHB_1+catfd_1_OAHV_47/catpn_1_OAHV_47),0)</f>
        <v>0</v>
      </c>
      <c r="H34" s="36">
        <f>IF(AND(catpn_1_OAHB_1&gt;0,catpn_1_OAHV_47&gt;0),(catdw_1_OAHB_1*((dagenperjaar1-VLOOKUP(B34,dagsoorttabel1,2,FALSE))-catfd_1_OAHV_47)/catpn_1_OAHB_1+catdw_1_OAHV_47*catfd_1_OAHV_47/catpn_1_OAHV_47)/(((dagenperjaar1-VLOOKUP(B34,dagsoorttabel1,2,FALSE))-catfd_1_OAHV_47)/catpn_1_OAHB_1+catfd_1_OAHV_47/catpn_1_OAHV_47),0)</f>
        <v>0</v>
      </c>
      <c r="I34" s="20" t="s">
        <v>43</v>
      </c>
      <c r="J34" s="37">
        <f>IF(AND(catpn_1_OAHB_1&gt;0,catpn_1_OAHV_47&gt;0),(cattf_1_OAHB_1*((dagenperjaar1*VLOOKUP(B34,dagsoorttabel1,2,FALSE))-catfd_1_OAHV_47)/catpn_1_OAHB_1+cattf_1_OAHV_47*catfd_1_OAHV_47/catpn_1_OAHV_47)/(((dagenperjaar1*VLOOKUP(B34,dagsoorttabel1,2,FALSE))-catfd_1_OAHV_47)/catpn_1_OAHB_1+catfd_1_OAHV_47/catpn_1_OAHV_47)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187</v>
      </c>
      <c r="B35" s="20" t="s">
        <v>18</v>
      </c>
      <c r="C35" s="20" t="s">
        <v>159</v>
      </c>
      <c r="D35" s="20" t="s">
        <v>188</v>
      </c>
      <c r="E35" s="34">
        <v>215.2</v>
      </c>
      <c r="F35" s="34">
        <f t="shared" si="0"/>
        <v>86.08</v>
      </c>
      <c r="G35" s="35">
        <f>IF(AND(catpn_1_PAHB_1&gt;0,catpn_1_PAHV_40&gt;0),(dagenperjaar1*VLOOKUP(B35,dagsoorttabel1,2,FALSE))/(((dagenperjaar1*VLOOKUP(B35,dagsoorttabel1,2,FALSE))-catfd_1_PAHV_40)/catpn_1_PAHB_1+catfd_1_PAHV_40/catpn_1_PAHV_40),0)</f>
        <v>0</v>
      </c>
      <c r="H35" s="36">
        <f>IF(AND(catpn_1_PAHB_1&gt;0,catpn_1_PAHV_40&gt;0),(catdw_1_PAHB_1*((dagenperjaar1-VLOOKUP(B35,dagsoorttabel1,2,FALSE))-catfd_1_PAHV_40)/catpn_1_PAHB_1+catdw_1_PAHV_40*catfd_1_PAHV_40/catpn_1_PAHV_40)/(((dagenperjaar1-VLOOKUP(B35,dagsoorttabel1,2,FALSE))-catfd_1_PAHV_40)/catpn_1_PAHB_1+catfd_1_PAHV_40/catpn_1_PAHV_40),0)</f>
        <v>0</v>
      </c>
      <c r="I35" s="20" t="s">
        <v>43</v>
      </c>
      <c r="J35" s="37">
        <f>IF(AND(catpn_1_PAHB_1&gt;0,catpn_1_PAHV_40&gt;0),(cattf_1_PAHB_1*((dagenperjaar1*VLOOKUP(B35,dagsoorttabel1,2,FALSE))-catfd_1_PAHV_40)/catpn_1_PAHB_1+cattf_1_PAHV_40*catfd_1_PAHV_40/catpn_1_PAHV_40)/(((dagenperjaar1*VLOOKUP(B35,dagsoorttabel1,2,FALSE))-catfd_1_PAHV_40)/catpn_1_PAHB_1+catfd_1_PAHV_40/catpn_1_PAHV_40)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189</v>
      </c>
      <c r="B36" s="20" t="s">
        <v>18</v>
      </c>
      <c r="C36" s="20" t="s">
        <v>159</v>
      </c>
      <c r="D36" s="20" t="s">
        <v>190</v>
      </c>
      <c r="E36" s="34">
        <v>29.4</v>
      </c>
      <c r="F36" s="34">
        <f t="shared" si="0"/>
        <v>11.76</v>
      </c>
      <c r="G36" s="35">
        <f>IF(AND(catpn_1_PAZB_1&gt;0,catpn_1_PAZV_40&gt;0),(dagenperjaar1*VLOOKUP(B36,dagsoorttabel1,2,FALSE))/(((dagenperjaar1*VLOOKUP(B36,dagsoorttabel1,2,FALSE))-catfd_1_PAZV_40)/catpn_1_PAZB_1+catfd_1_PAZV_40/catpn_1_PAZV_40),0)</f>
        <v>0</v>
      </c>
      <c r="H36" s="36">
        <f>IF(AND(catpn_1_PAZB_1&gt;0,catpn_1_PAZV_40&gt;0),(catdw_1_PAZB_1*((dagenperjaar1-VLOOKUP(B36,dagsoorttabel1,2,FALSE))-catfd_1_PAZV_40)/catpn_1_PAZB_1+catdw_1_PAZV_40*catfd_1_PAZV_40/catpn_1_PAZV_40)/(((dagenperjaar1-VLOOKUP(B36,dagsoorttabel1,2,FALSE))-catfd_1_PAZV_40)/catpn_1_PAZB_1+catfd_1_PAZV_40/catpn_1_PAZV_40),0)</f>
        <v>0</v>
      </c>
      <c r="I36" s="20" t="s">
        <v>43</v>
      </c>
      <c r="J36" s="37">
        <f>IF(AND(catpn_1_PAZB_1&gt;0,catpn_1_PAZV_40&gt;0),(cattf_1_PAZB_1*((dagenperjaar1*VLOOKUP(B36,dagsoorttabel1,2,FALSE))-catfd_1_PAZV_40)/catpn_1_PAZB_1+cattf_1_PAZV_40*catfd_1_PAZV_40/catpn_1_PAZV_40)/(((dagenperjaar1*VLOOKUP(B36,dagsoorttabel1,2,FALSE))-catfd_1_PAZV_40)/catpn_1_PAZB_1+catfd_1_PAZV_40/catpn_1_PAZV_40)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191</v>
      </c>
      <c r="B37" s="20" t="s">
        <v>11</v>
      </c>
      <c r="C37" s="20" t="s">
        <v>159</v>
      </c>
      <c r="D37" s="20" t="s">
        <v>192</v>
      </c>
      <c r="E37" s="34">
        <v>27.200000000000003</v>
      </c>
      <c r="F37" s="34">
        <f t="shared" si="0"/>
        <v>27.200000000000003</v>
      </c>
      <c r="G37" s="35">
        <f>IF(AND(catpn_1_SDHB_1&gt;0,catpn_1_SDHV_40&gt;0),(dagenperjaar1*VLOOKUP(B37,dagsoorttabel1,2,FALSE))/(((dagenperjaar1*VLOOKUP(B37,dagsoorttabel1,2,FALSE))-catfd_1_SDHV_40)/catpn_1_SDHB_1+catfd_1_SDHV_40/catpn_1_SDHV_40),0)</f>
        <v>0</v>
      </c>
      <c r="H37" s="36">
        <f>IF(AND(catpn_1_SDHB_1&gt;0,catpn_1_SDHV_40&gt;0),(catdw_1_SDHB_1*((dagenperjaar1-VLOOKUP(B37,dagsoorttabel1,2,FALSE))-catfd_1_SDHV_40)/catpn_1_SDHB_1+catdw_1_SDHV_40*catfd_1_SDHV_40/catpn_1_SDHV_40)/(((dagenperjaar1-VLOOKUP(B37,dagsoorttabel1,2,FALSE))-catfd_1_SDHV_40)/catpn_1_SDHB_1+catfd_1_SDHV_40/catpn_1_SDHV_40),0)</f>
        <v>0</v>
      </c>
      <c r="I37" s="20" t="s">
        <v>43</v>
      </c>
      <c r="J37" s="37">
        <f>IF(AND(catpn_1_SDHB_1&gt;0,catpn_1_SDHV_40&gt;0),(cattf_1_SDHB_1*((dagenperjaar1*VLOOKUP(B37,dagsoorttabel1,2,FALSE))-catfd_1_SDHV_40)/catpn_1_SDHB_1+cattf_1_SDHV_40*catfd_1_SDHV_40/catpn_1_SDHV_40)/(((dagenperjaar1*VLOOKUP(B37,dagsoorttabel1,2,FALSE))-catfd_1_SDHV_40)/catpn_1_SDHB_1+catfd_1_SDHV_40/catpn_1_SDHV_40)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193</v>
      </c>
      <c r="B38" s="20" t="s">
        <v>15</v>
      </c>
      <c r="C38" s="20" t="s">
        <v>159</v>
      </c>
      <c r="D38" s="20" t="s">
        <v>194</v>
      </c>
      <c r="E38" s="34">
        <v>2.5</v>
      </c>
      <c r="F38" s="34">
        <f t="shared" ref="F38:F69" si="5">E38*VLOOKUP(B38,dagsoorttabel1,2,FALSE)</f>
        <v>1.5</v>
      </c>
      <c r="G38" s="35">
        <f>IF(AND(catpn_1_SKHB_1&gt;0,catpn_1_SKHV_40&gt;0),(dagenperjaar1*VLOOKUP(B38,dagsoorttabel1,2,FALSE))/(((dagenperjaar1*VLOOKUP(B38,dagsoorttabel1,2,FALSE))-catfd_1_SKHV_40)/catpn_1_SKHB_1+catfd_1_SKHV_40/catpn_1_SKHV_40),0)</f>
        <v>0</v>
      </c>
      <c r="H38" s="36">
        <f>IF(AND(catpn_1_SKHB_1&gt;0,catpn_1_SKHV_40&gt;0),(catdw_1_SKHB_1*((dagenperjaar1-VLOOKUP(B38,dagsoorttabel1,2,FALSE))-catfd_1_SKHV_40)/catpn_1_SKHB_1+catdw_1_SKHV_40*catfd_1_SKHV_40/catpn_1_SKHV_40)/(((dagenperjaar1-VLOOKUP(B38,dagsoorttabel1,2,FALSE))-catfd_1_SKHV_40)/catpn_1_SKHB_1+catfd_1_SKHV_40/catpn_1_SKHV_40),0)</f>
        <v>0</v>
      </c>
      <c r="I38" s="20" t="s">
        <v>43</v>
      </c>
      <c r="J38" s="37">
        <f>IF(AND(catpn_1_SKHB_1&gt;0,catpn_1_SKHV_40&gt;0),(cattf_1_SKHB_1*((dagenperjaar1*VLOOKUP(B38,dagsoorttabel1,2,FALSE))-catfd_1_SKHV_40)/catpn_1_SKHB_1+cattf_1_SKHV_40*catfd_1_SKHV_40/catpn_1_SKHV_40)/(((dagenperjaar1*VLOOKUP(B38,dagsoorttabel1,2,FALSE))-catfd_1_SKHV_40)/catpn_1_SKHB_1+catfd_1_SKHV_40/catpn_1_SKHV_40),0)</f>
        <v>0</v>
      </c>
      <c r="K38" s="34">
        <f t="shared" ref="K38:K59" si="6">IF(OR(ISBLANK(G38),G38=0),0,F38/ROUND(G38,4))</f>
        <v>0</v>
      </c>
      <c r="L38" s="37">
        <f t="shared" ref="L38:L69" si="7">ROUND(J38,2)*K38</f>
        <v>0</v>
      </c>
      <c r="M38" s="34">
        <f t="shared" ref="M38:M59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193</v>
      </c>
      <c r="B39" s="20" t="s">
        <v>11</v>
      </c>
      <c r="C39" s="20" t="s">
        <v>159</v>
      </c>
      <c r="D39" s="20" t="s">
        <v>194</v>
      </c>
      <c r="E39" s="34">
        <v>31.2</v>
      </c>
      <c r="F39" s="34">
        <f t="shared" si="5"/>
        <v>31.2</v>
      </c>
      <c r="G39" s="35">
        <f>IF(AND(catpn_1_SKHB_1&gt;0,catpn_1_SKHV_40&gt;0),(dagenperjaar1*VLOOKUP(B39,dagsoorttabel1,2,FALSE))/(((dagenperjaar1*VLOOKUP(B39,dagsoorttabel1,2,FALSE))-catfd_1_SKHV_40)/catpn_1_SKHB_1+catfd_1_SKHV_40/catpn_1_SKHV_40),0)</f>
        <v>0</v>
      </c>
      <c r="H39" s="36">
        <f>IF(AND(catpn_1_SKHB_1&gt;0,catpn_1_SKHV_40&gt;0),(catdw_1_SKHB_1*((dagenperjaar1-VLOOKUP(B39,dagsoorttabel1,2,FALSE))-catfd_1_SKHV_40)/catpn_1_SKHB_1+catdw_1_SKHV_40*catfd_1_SKHV_40/catpn_1_SKHV_40)/(((dagenperjaar1-VLOOKUP(B39,dagsoorttabel1,2,FALSE))-catfd_1_SKHV_40)/catpn_1_SKHB_1+catfd_1_SKHV_40/catpn_1_SKHV_40),0)</f>
        <v>0</v>
      </c>
      <c r="I39" s="20" t="s">
        <v>43</v>
      </c>
      <c r="J39" s="37">
        <f>IF(AND(catpn_1_SKHB_1&gt;0,catpn_1_SKHV_40&gt;0),(cattf_1_SKHB_1*((dagenperjaar1*VLOOKUP(B39,dagsoorttabel1,2,FALSE))-catfd_1_SKHV_40)/catpn_1_SKHB_1+cattf_1_SKHV_40*catfd_1_SKHV_40/catpn_1_SKHV_40)/(((dagenperjaar1*VLOOKUP(B39,dagsoorttabel1,2,FALSE))-catfd_1_SKHV_40)/catpn_1_SKHB_1+catfd_1_SKHV_40/catpn_1_SKHV_40)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195</v>
      </c>
      <c r="B40" s="20" t="s">
        <v>15</v>
      </c>
      <c r="C40" s="20" t="s">
        <v>159</v>
      </c>
      <c r="D40" s="20" t="s">
        <v>196</v>
      </c>
      <c r="E40" s="34">
        <v>7</v>
      </c>
      <c r="F40" s="34">
        <f t="shared" si="5"/>
        <v>4.2</v>
      </c>
      <c r="G40" s="35">
        <f>IF(AND(catpn_1_STHB_1&gt;0,catpn_1_STHV_40&gt;0),(dagenperjaar1*VLOOKUP(B40,dagsoorttabel1,2,FALSE))/(((dagenperjaar1*VLOOKUP(B40,dagsoorttabel1,2,FALSE))-catfd_1_STHV_40)/catpn_1_STHB_1+catfd_1_STHV_40/catpn_1_STHV_40),0)</f>
        <v>0</v>
      </c>
      <c r="H40" s="36">
        <f>IF(AND(catpn_1_STHB_1&gt;0,catpn_1_STHV_40&gt;0),(catdw_1_STHB_1*((dagenperjaar1-VLOOKUP(B40,dagsoorttabel1,2,FALSE))-catfd_1_STHV_40)/catpn_1_STHB_1+catdw_1_STHV_40*catfd_1_STHV_40/catpn_1_STHV_40)/(((dagenperjaar1-VLOOKUP(B40,dagsoorttabel1,2,FALSE))-catfd_1_STHV_40)/catpn_1_STHB_1+catfd_1_STHV_40/catpn_1_STHV_40),0)</f>
        <v>0</v>
      </c>
      <c r="I40" s="20" t="s">
        <v>43</v>
      </c>
      <c r="J40" s="37">
        <f>IF(AND(catpn_1_STHB_1&gt;0,catpn_1_STHV_40&gt;0),(cattf_1_STHB_1*((dagenperjaar1*VLOOKUP(B40,dagsoorttabel1,2,FALSE))-catfd_1_STHV_40)/catpn_1_STHB_1+cattf_1_STHV_40*catfd_1_STHV_40/catpn_1_STHV_40)/(((dagenperjaar1*VLOOKUP(B40,dagsoorttabel1,2,FALSE))-catfd_1_STHV_40)/catpn_1_STHB_1+catfd_1_STHV_40/catpn_1_STHV_40)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195</v>
      </c>
      <c r="B41" s="20" t="s">
        <v>11</v>
      </c>
      <c r="C41" s="20" t="s">
        <v>159</v>
      </c>
      <c r="D41" s="20" t="s">
        <v>196</v>
      </c>
      <c r="E41" s="34">
        <v>463.04000000000008</v>
      </c>
      <c r="F41" s="34">
        <f t="shared" si="5"/>
        <v>463.04000000000008</v>
      </c>
      <c r="G41" s="35">
        <f>IF(AND(catpn_1_STHB_1&gt;0,catpn_1_STHV_40&gt;0),(dagenperjaar1*VLOOKUP(B41,dagsoorttabel1,2,FALSE))/(((dagenperjaar1*VLOOKUP(B41,dagsoorttabel1,2,FALSE))-catfd_1_STHV_40)/catpn_1_STHB_1+catfd_1_STHV_40/catpn_1_STHV_40),0)</f>
        <v>0</v>
      </c>
      <c r="H41" s="36">
        <f>IF(AND(catpn_1_STHB_1&gt;0,catpn_1_STHV_40&gt;0),(catdw_1_STHB_1*((dagenperjaar1-VLOOKUP(B41,dagsoorttabel1,2,FALSE))-catfd_1_STHV_40)/catpn_1_STHB_1+catdw_1_STHV_40*catfd_1_STHV_40/catpn_1_STHV_40)/(((dagenperjaar1-VLOOKUP(B41,dagsoorttabel1,2,FALSE))-catfd_1_STHV_40)/catpn_1_STHB_1+catfd_1_STHV_40/catpn_1_STHV_40),0)</f>
        <v>0</v>
      </c>
      <c r="I41" s="20" t="s">
        <v>43</v>
      </c>
      <c r="J41" s="37">
        <f>IF(AND(catpn_1_STHB_1&gt;0,catpn_1_STHV_40&gt;0),(cattf_1_STHB_1*((dagenperjaar1*VLOOKUP(B41,dagsoorttabel1,2,FALSE))-catfd_1_STHV_40)/catpn_1_STHB_1+cattf_1_STHV_40*catfd_1_STHV_40/catpn_1_STHV_40)/(((dagenperjaar1*VLOOKUP(B41,dagsoorttabel1,2,FALSE))-catfd_1_STHV_40)/catpn_1_STHB_1+catfd_1_STHV_40/catpn_1_STHV_40)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195</v>
      </c>
      <c r="B42" s="20" t="s">
        <v>20</v>
      </c>
      <c r="C42" s="20" t="s">
        <v>159</v>
      </c>
      <c r="D42" s="20" t="s">
        <v>196</v>
      </c>
      <c r="E42" s="34">
        <v>5.4</v>
      </c>
      <c r="F42" s="34">
        <f t="shared" si="5"/>
        <v>1.08</v>
      </c>
      <c r="G42" s="35">
        <f>IF(AND(catpn_1_STHB_1&gt;0,catpn_1_STHV_40&gt;0),(dagenperjaar1*VLOOKUP(B42,dagsoorttabel1,2,FALSE))/(((dagenperjaar1*VLOOKUP(B42,dagsoorttabel1,2,FALSE))-catfd_1_STHV_40)/catpn_1_STHB_1+catfd_1_STHV_40/catpn_1_STHV_40),0)</f>
        <v>0</v>
      </c>
      <c r="H42" s="36">
        <f>IF(AND(catpn_1_STHB_1&gt;0,catpn_1_STHV_40&gt;0),(catdw_1_STHB_1*((dagenperjaar1-VLOOKUP(B42,dagsoorttabel1,2,FALSE))-catfd_1_STHV_40)/catpn_1_STHB_1+catdw_1_STHV_40*catfd_1_STHV_40/catpn_1_STHV_40)/(((dagenperjaar1-VLOOKUP(B42,dagsoorttabel1,2,FALSE))-catfd_1_STHV_40)/catpn_1_STHB_1+catfd_1_STHV_40/catpn_1_STHV_40),0)</f>
        <v>0</v>
      </c>
      <c r="I42" s="20" t="s">
        <v>43</v>
      </c>
      <c r="J42" s="37">
        <f>IF(AND(catpn_1_STHB_1&gt;0,catpn_1_STHV_40&gt;0),(cattf_1_STHB_1*((dagenperjaar1*VLOOKUP(B42,dagsoorttabel1,2,FALSE))-catfd_1_STHV_40)/catpn_1_STHB_1+cattf_1_STHV_40*catfd_1_STHV_40/catpn_1_STHV_40)/(((dagenperjaar1*VLOOKUP(B42,dagsoorttabel1,2,FALSE))-catfd_1_STHV_40)/catpn_1_STHB_1+catfd_1_STHV_40/catpn_1_STHV_40)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195</v>
      </c>
      <c r="B43" s="20" t="s">
        <v>16</v>
      </c>
      <c r="C43" s="20" t="s">
        <v>159</v>
      </c>
      <c r="D43" s="20" t="s">
        <v>196</v>
      </c>
      <c r="E43" s="34">
        <v>6.92</v>
      </c>
      <c r="F43" s="34">
        <f t="shared" si="5"/>
        <v>3.2523999999999997</v>
      </c>
      <c r="G43" s="35">
        <f>IF(AND(catpn_1_STHB_1&gt;0,catpn_1_STHV_47&gt;0),(dagenperjaar1*VLOOKUP(B43,dagsoorttabel1,2,FALSE))/(((dagenperjaar1*VLOOKUP(B43,dagsoorttabel1,2,FALSE))-catfd_1_STHV_47)/catpn_1_STHB_1+catfd_1_STHV_47/catpn_1_STHV_47),0)</f>
        <v>0</v>
      </c>
      <c r="H43" s="36">
        <f>IF(AND(catpn_1_STHB_1&gt;0,catpn_1_STHV_47&gt;0),(catdw_1_STHB_1*((dagenperjaar1-VLOOKUP(B43,dagsoorttabel1,2,FALSE))-catfd_1_STHV_47)/catpn_1_STHB_1+catdw_1_STHV_47*catfd_1_STHV_47/catpn_1_STHV_47)/(((dagenperjaar1-VLOOKUP(B43,dagsoorttabel1,2,FALSE))-catfd_1_STHV_47)/catpn_1_STHB_1+catfd_1_STHV_47/catpn_1_STHV_47),0)</f>
        <v>0</v>
      </c>
      <c r="I43" s="20" t="s">
        <v>43</v>
      </c>
      <c r="J43" s="37">
        <f>IF(AND(catpn_1_STHB_1&gt;0,catpn_1_STHV_47&gt;0),(cattf_1_STHB_1*((dagenperjaar1*VLOOKUP(B43,dagsoorttabel1,2,FALSE))-catfd_1_STHV_47)/catpn_1_STHB_1+cattf_1_STHV_47*catfd_1_STHV_47/catpn_1_STHV_47)/(((dagenperjaar1*VLOOKUP(B43,dagsoorttabel1,2,FALSE))-catfd_1_STHV_47)/catpn_1_STHB_1+catfd_1_STHV_47/catpn_1_STHV_47)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197</v>
      </c>
      <c r="B44" s="20" t="s">
        <v>11</v>
      </c>
      <c r="C44" s="20" t="s">
        <v>159</v>
      </c>
      <c r="D44" s="20" t="s">
        <v>198</v>
      </c>
      <c r="E44" s="34">
        <v>10</v>
      </c>
      <c r="F44" s="34">
        <f t="shared" si="5"/>
        <v>10</v>
      </c>
      <c r="G44" s="35">
        <f>IF(AND(catpn_1_SWHB_1&gt;0,catpn_1_SWHV_40&gt;0),(dagenperjaar1*VLOOKUP(B44,dagsoorttabel1,2,FALSE))/(((dagenperjaar1*VLOOKUP(B44,dagsoorttabel1,2,FALSE))-catfd_1_SWHV_40)/catpn_1_SWHB_1+catfd_1_SWHV_40/catpn_1_SWHV_40),0)</f>
        <v>0</v>
      </c>
      <c r="H44" s="36">
        <f>IF(AND(catpn_1_SWHB_1&gt;0,catpn_1_SWHV_40&gt;0),(catdw_1_SWHB_1*((dagenperjaar1-VLOOKUP(B44,dagsoorttabel1,2,FALSE))-catfd_1_SWHV_40)/catpn_1_SWHB_1+catdw_1_SWHV_40*catfd_1_SWHV_40/catpn_1_SWHV_40)/(((dagenperjaar1-VLOOKUP(B44,dagsoorttabel1,2,FALSE))-catfd_1_SWHV_40)/catpn_1_SWHB_1+catfd_1_SWHV_40/catpn_1_SWHV_40),0)</f>
        <v>0</v>
      </c>
      <c r="I44" s="20" t="s">
        <v>43</v>
      </c>
      <c r="J44" s="37">
        <f>IF(AND(catpn_1_SWHB_1&gt;0,catpn_1_SWHV_40&gt;0),(cattf_1_SWHB_1*((dagenperjaar1*VLOOKUP(B44,dagsoorttabel1,2,FALSE))-catfd_1_SWHV_40)/catpn_1_SWHB_1+cattf_1_SWHV_40*catfd_1_SWHV_40/catpn_1_SWHV_40)/(((dagenperjaar1*VLOOKUP(B44,dagsoorttabel1,2,FALSE))-catfd_1_SWHV_40)/catpn_1_SWHB_1+catfd_1_SWHV_40/catpn_1_SWHV_40)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199</v>
      </c>
      <c r="B45" s="20" t="s">
        <v>11</v>
      </c>
      <c r="C45" s="20" t="s">
        <v>159</v>
      </c>
      <c r="D45" s="20" t="s">
        <v>200</v>
      </c>
      <c r="E45" s="34">
        <v>1905.5099999999998</v>
      </c>
      <c r="F45" s="34">
        <f t="shared" si="5"/>
        <v>1905.5099999999998</v>
      </c>
      <c r="G45" s="35">
        <f>IF(AND(catpn_1_VAHB_1&gt;0,catpn_1_VAHV_40&gt;0),(dagenperjaar1*VLOOKUP(B45,dagsoorttabel1,2,FALSE))/(((dagenperjaar1*VLOOKUP(B45,dagsoorttabel1,2,FALSE))-catfd_1_VAHV_40)/catpn_1_VAHB_1+catfd_1_VAHV_40/catpn_1_VAHV_40),0)</f>
        <v>0</v>
      </c>
      <c r="H45" s="36">
        <f>IF(AND(catpn_1_VAHB_1&gt;0,catpn_1_VAHV_40&gt;0),(catdw_1_VAHB_1*((dagenperjaar1-VLOOKUP(B45,dagsoorttabel1,2,FALSE))-catfd_1_VAHV_40)/catpn_1_VAHB_1+catdw_1_VAHV_40*catfd_1_VAHV_40/catpn_1_VAHV_40)/(((dagenperjaar1-VLOOKUP(B45,dagsoorttabel1,2,FALSE))-catfd_1_VAHV_40)/catpn_1_VAHB_1+catfd_1_VAHV_40/catpn_1_VAHV_40),0)</f>
        <v>0</v>
      </c>
      <c r="I45" s="20" t="s">
        <v>43</v>
      </c>
      <c r="J45" s="37">
        <f>IF(AND(catpn_1_VAHB_1&gt;0,catpn_1_VAHV_40&gt;0),(cattf_1_VAHB_1*((dagenperjaar1*VLOOKUP(B45,dagsoorttabel1,2,FALSE))-catfd_1_VAHV_40)/catpn_1_VAHB_1+cattf_1_VAHV_40*catfd_1_VAHV_40/catpn_1_VAHV_40)/(((dagenperjaar1*VLOOKUP(B45,dagsoorttabel1,2,FALSE))-catfd_1_VAHV_40)/catpn_1_VAHB_1+catfd_1_VAHV_40/catpn_1_VAHV_40)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199</v>
      </c>
      <c r="B46" s="20" t="s">
        <v>20</v>
      </c>
      <c r="C46" s="20" t="s">
        <v>159</v>
      </c>
      <c r="D46" s="20" t="s">
        <v>200</v>
      </c>
      <c r="E46" s="34">
        <v>3</v>
      </c>
      <c r="F46" s="34">
        <f t="shared" si="5"/>
        <v>0.60000000000000009</v>
      </c>
      <c r="G46" s="35">
        <f>IF(AND(catpn_1_VAHB_1&gt;0,catpn_1_VAHV_40&gt;0),(dagenperjaar1*VLOOKUP(B46,dagsoorttabel1,2,FALSE))/(((dagenperjaar1*VLOOKUP(B46,dagsoorttabel1,2,FALSE))-catfd_1_VAHV_40)/catpn_1_VAHB_1+catfd_1_VAHV_40/catpn_1_VAHV_40),0)</f>
        <v>0</v>
      </c>
      <c r="H46" s="36">
        <f>IF(AND(catpn_1_VAHB_1&gt;0,catpn_1_VAHV_40&gt;0),(catdw_1_VAHB_1*((dagenperjaar1-VLOOKUP(B46,dagsoorttabel1,2,FALSE))-catfd_1_VAHV_40)/catpn_1_VAHB_1+catdw_1_VAHV_40*catfd_1_VAHV_40/catpn_1_VAHV_40)/(((dagenperjaar1-VLOOKUP(B46,dagsoorttabel1,2,FALSE))-catfd_1_VAHV_40)/catpn_1_VAHB_1+catfd_1_VAHV_40/catpn_1_VAHV_40),0)</f>
        <v>0</v>
      </c>
      <c r="I46" s="20" t="s">
        <v>43</v>
      </c>
      <c r="J46" s="37">
        <f>IF(AND(catpn_1_VAHB_1&gt;0,catpn_1_VAHV_40&gt;0),(cattf_1_VAHB_1*((dagenperjaar1*VLOOKUP(B46,dagsoorttabel1,2,FALSE))-catfd_1_VAHV_40)/catpn_1_VAHB_1+cattf_1_VAHV_40*catfd_1_VAHV_40/catpn_1_VAHV_40)/(((dagenperjaar1*VLOOKUP(B46,dagsoorttabel1,2,FALSE))-catfd_1_VAHV_40)/catpn_1_VAHB_1+catfd_1_VAHV_40/catpn_1_VAHV_40)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199</v>
      </c>
      <c r="B47" s="20" t="s">
        <v>16</v>
      </c>
      <c r="C47" s="20" t="s">
        <v>159</v>
      </c>
      <c r="D47" s="20" t="s">
        <v>200</v>
      </c>
      <c r="E47" s="34">
        <v>14.1</v>
      </c>
      <c r="F47" s="34">
        <f t="shared" si="5"/>
        <v>6.6269999999999998</v>
      </c>
      <c r="G47" s="35">
        <f>IF(AND(catpn_1_VAHB_1&gt;0,catpn_1_VAHV_47&gt;0),(dagenperjaar1*VLOOKUP(B47,dagsoorttabel1,2,FALSE))/(((dagenperjaar1*VLOOKUP(B47,dagsoorttabel1,2,FALSE))-catfd_1_VAHV_47)/catpn_1_VAHB_1+catfd_1_VAHV_47/catpn_1_VAHV_47),0)</f>
        <v>0</v>
      </c>
      <c r="H47" s="36">
        <f>IF(AND(catpn_1_VAHB_1&gt;0,catpn_1_VAHV_47&gt;0),(catdw_1_VAHB_1*((dagenperjaar1-VLOOKUP(B47,dagsoorttabel1,2,FALSE))-catfd_1_VAHV_47)/catpn_1_VAHB_1+catdw_1_VAHV_47*catfd_1_VAHV_47/catpn_1_VAHV_47)/(((dagenperjaar1-VLOOKUP(B47,dagsoorttabel1,2,FALSE))-catfd_1_VAHV_47)/catpn_1_VAHB_1+catfd_1_VAHV_47/catpn_1_VAHV_47),0)</f>
        <v>0</v>
      </c>
      <c r="I47" s="20" t="s">
        <v>43</v>
      </c>
      <c r="J47" s="37">
        <f>IF(AND(catpn_1_VAHB_1&gt;0,catpn_1_VAHV_47&gt;0),(cattf_1_VAHB_1*((dagenperjaar1*VLOOKUP(B47,dagsoorttabel1,2,FALSE))-catfd_1_VAHV_47)/catpn_1_VAHB_1+cattf_1_VAHV_47*catfd_1_VAHV_47/catpn_1_VAHV_47)/(((dagenperjaar1*VLOOKUP(B47,dagsoorttabel1,2,FALSE))-catfd_1_VAHV_47)/catpn_1_VAHB_1+catfd_1_VAHV_47/catpn_1_VAHV_47)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201</v>
      </c>
      <c r="B48" s="20" t="s">
        <v>11</v>
      </c>
      <c r="C48" s="20" t="s">
        <v>159</v>
      </c>
      <c r="D48" s="20" t="s">
        <v>202</v>
      </c>
      <c r="E48" s="34">
        <v>114.27000000000001</v>
      </c>
      <c r="F48" s="34">
        <f t="shared" si="5"/>
        <v>114.27000000000001</v>
      </c>
      <c r="G48" s="35">
        <f>IF(AND(catpn_1_VAZB_1&gt;0,catpn_1_VAZV_40&gt;0),(dagenperjaar1*VLOOKUP(B48,dagsoorttabel1,2,FALSE))/(((dagenperjaar1*VLOOKUP(B48,dagsoorttabel1,2,FALSE))-catfd_1_VAZV_40)/catpn_1_VAZB_1+catfd_1_VAZV_40/catpn_1_VAZV_40),0)</f>
        <v>0</v>
      </c>
      <c r="H48" s="36">
        <f>IF(AND(catpn_1_VAZB_1&gt;0,catpn_1_VAZV_40&gt;0),(catdw_1_VAZB_1*((dagenperjaar1-VLOOKUP(B48,dagsoorttabel1,2,FALSE))-catfd_1_VAZV_40)/catpn_1_VAZB_1+catdw_1_VAZV_40*catfd_1_VAZV_40/catpn_1_VAZV_40)/(((dagenperjaar1-VLOOKUP(B48,dagsoorttabel1,2,FALSE))-catfd_1_VAZV_40)/catpn_1_VAZB_1+catfd_1_VAZV_40/catpn_1_VAZV_40),0)</f>
        <v>0</v>
      </c>
      <c r="I48" s="20" t="s">
        <v>43</v>
      </c>
      <c r="J48" s="37">
        <f>IF(AND(catpn_1_VAZB_1&gt;0,catpn_1_VAZV_40&gt;0),(cattf_1_VAZB_1*((dagenperjaar1*VLOOKUP(B48,dagsoorttabel1,2,FALSE))-catfd_1_VAZV_40)/catpn_1_VAZB_1+cattf_1_VAZV_40*catfd_1_VAZV_40/catpn_1_VAZV_40)/(((dagenperjaar1*VLOOKUP(B48,dagsoorttabel1,2,FALSE))-catfd_1_VAZV_40)/catpn_1_VAZB_1+catfd_1_VAZV_40/catpn_1_VAZV_40),0)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203</v>
      </c>
      <c r="B49" s="20" t="s">
        <v>11</v>
      </c>
      <c r="C49" s="20" t="s">
        <v>159</v>
      </c>
      <c r="D49" s="20" t="s">
        <v>204</v>
      </c>
      <c r="E49" s="34">
        <v>51.06</v>
      </c>
      <c r="F49" s="34">
        <f t="shared" si="5"/>
        <v>51.06</v>
      </c>
      <c r="G49" s="35">
        <f>IF(AND(catpn_1_VEHB_1&gt;0,catpn_1_VEHV_40&gt;0),(dagenperjaar1*VLOOKUP(B49,dagsoorttabel1,2,FALSE))/(((dagenperjaar1*VLOOKUP(B49,dagsoorttabel1,2,FALSE))-catfd_1_VEHV_40)/catpn_1_VEHB_1+catfd_1_VEHV_40/catpn_1_VEHV_40),0)</f>
        <v>0</v>
      </c>
      <c r="H49" s="36">
        <f>IF(AND(catpn_1_VEHB_1&gt;0,catpn_1_VEHV_40&gt;0),(catdw_1_VEHB_1*((dagenperjaar1-VLOOKUP(B49,dagsoorttabel1,2,FALSE))-catfd_1_VEHV_40)/catpn_1_VEHB_1+catdw_1_VEHV_40*catfd_1_VEHV_40/catpn_1_VEHV_40)/(((dagenperjaar1-VLOOKUP(B49,dagsoorttabel1,2,FALSE))-catfd_1_VEHV_40)/catpn_1_VEHB_1+catfd_1_VEHV_40/catpn_1_VEHV_40),0)</f>
        <v>0</v>
      </c>
      <c r="I49" s="20" t="s">
        <v>43</v>
      </c>
      <c r="J49" s="37">
        <f>IF(AND(catpn_1_VEHB_1&gt;0,catpn_1_VEHV_40&gt;0),(cattf_1_VEHB_1*((dagenperjaar1*VLOOKUP(B49,dagsoorttabel1,2,FALSE))-catfd_1_VEHV_40)/catpn_1_VEHB_1+cattf_1_VEHV_40*catfd_1_VEHV_40/catpn_1_VEHV_40)/(((dagenperjaar1*VLOOKUP(B49,dagsoorttabel1,2,FALSE))-catfd_1_VEHV_40)/catpn_1_VEHB_1+catfd_1_VEHV_40/catpn_1_VEHV_40),0)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205</v>
      </c>
      <c r="B50" s="20" t="s">
        <v>11</v>
      </c>
      <c r="C50" s="20" t="s">
        <v>159</v>
      </c>
      <c r="D50" s="20" t="s">
        <v>206</v>
      </c>
      <c r="E50" s="34">
        <v>144.74</v>
      </c>
      <c r="F50" s="34">
        <f t="shared" si="5"/>
        <v>144.74</v>
      </c>
      <c r="G50" s="35">
        <f>IF(AND(catpn_1_VEZB_1&gt;0,catpn_1_VEZV_40&gt;0),(dagenperjaar1*VLOOKUP(B50,dagsoorttabel1,2,FALSE))/(((dagenperjaar1*VLOOKUP(B50,dagsoorttabel1,2,FALSE))-catfd_1_VEZV_40)/catpn_1_VEZB_1+catfd_1_VEZV_40/catpn_1_VEZV_40),0)</f>
        <v>0</v>
      </c>
      <c r="H50" s="36">
        <f>IF(AND(catpn_1_VEZB_1&gt;0,catpn_1_VEZV_40&gt;0),(catdw_1_VEZB_1*((dagenperjaar1-VLOOKUP(B50,dagsoorttabel1,2,FALSE))-catfd_1_VEZV_40)/catpn_1_VEZB_1+catdw_1_VEZV_40*catfd_1_VEZV_40/catpn_1_VEZV_40)/(((dagenperjaar1-VLOOKUP(B50,dagsoorttabel1,2,FALSE))-catfd_1_VEZV_40)/catpn_1_VEZB_1+catfd_1_VEZV_40/catpn_1_VEZV_40),0)</f>
        <v>0</v>
      </c>
      <c r="I50" s="20" t="s">
        <v>43</v>
      </c>
      <c r="J50" s="37">
        <f>IF(AND(catpn_1_VEZB_1&gt;0,catpn_1_VEZV_40&gt;0),(cattf_1_VEZB_1*((dagenperjaar1*VLOOKUP(B50,dagsoorttabel1,2,FALSE))-catfd_1_VEZV_40)/catpn_1_VEZB_1+cattf_1_VEZV_40*catfd_1_VEZV_40/catpn_1_VEZV_40)/(((dagenperjaar1*VLOOKUP(B50,dagsoorttabel1,2,FALSE))-catfd_1_VEZV_40)/catpn_1_VEZB_1+catfd_1_VEZV_40/catpn_1_VEZV_40)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205</v>
      </c>
      <c r="B51" s="20" t="s">
        <v>16</v>
      </c>
      <c r="C51" s="20" t="s">
        <v>159</v>
      </c>
      <c r="D51" s="20" t="s">
        <v>206</v>
      </c>
      <c r="E51" s="34">
        <v>3.9099999999999997</v>
      </c>
      <c r="F51" s="34">
        <f t="shared" si="5"/>
        <v>1.8376999999999997</v>
      </c>
      <c r="G51" s="35">
        <f>IF(AND(catpn_1_VEZB_1&gt;0,catpn_1_VEZV_47&gt;0),(dagenperjaar1*VLOOKUP(B51,dagsoorttabel1,2,FALSE))/(((dagenperjaar1*VLOOKUP(B51,dagsoorttabel1,2,FALSE))-catfd_1_VEZV_47)/catpn_1_VEZB_1+catfd_1_VEZV_47/catpn_1_VEZV_47),0)</f>
        <v>0</v>
      </c>
      <c r="H51" s="36">
        <f>IF(AND(catpn_1_VEZB_1&gt;0,catpn_1_VEZV_47&gt;0),(catdw_1_VEZB_1*((dagenperjaar1-VLOOKUP(B51,dagsoorttabel1,2,FALSE))-catfd_1_VEZV_47)/catpn_1_VEZB_1+catdw_1_VEZV_47*catfd_1_VEZV_47/catpn_1_VEZV_47)/(((dagenperjaar1-VLOOKUP(B51,dagsoorttabel1,2,FALSE))-catfd_1_VEZV_47)/catpn_1_VEZB_1+catfd_1_VEZV_47/catpn_1_VEZV_47),0)</f>
        <v>0</v>
      </c>
      <c r="I51" s="20" t="s">
        <v>43</v>
      </c>
      <c r="J51" s="37">
        <f>IF(AND(catpn_1_VEZB_1&gt;0,catpn_1_VEZV_47&gt;0),(cattf_1_VEZB_1*((dagenperjaar1*VLOOKUP(B51,dagsoorttabel1,2,FALSE))-catfd_1_VEZV_47)/catpn_1_VEZB_1+cattf_1_VEZV_47*catfd_1_VEZV_47/catpn_1_VEZV_47)/(((dagenperjaar1*VLOOKUP(B51,dagsoorttabel1,2,FALSE))-catfd_1_VEZV_47)/catpn_1_VEZB_1+catfd_1_VEZV_47/catpn_1_VEZV_47)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207</v>
      </c>
      <c r="B52" s="20" t="s">
        <v>11</v>
      </c>
      <c r="C52" s="20" t="s">
        <v>159</v>
      </c>
      <c r="D52" s="20" t="s">
        <v>208</v>
      </c>
      <c r="E52" s="34">
        <v>193.39999999999998</v>
      </c>
      <c r="F52" s="34">
        <f t="shared" si="5"/>
        <v>193.39999999999998</v>
      </c>
      <c r="G52" s="35">
        <f>IF(AND(catpn_1_VOHB_1&gt;0,catpn_1_VOHV_40&gt;0),(dagenperjaar1*VLOOKUP(B52,dagsoorttabel1,2,FALSE))/(((dagenperjaar1*VLOOKUP(B52,dagsoorttabel1,2,FALSE))-catfd_1_VOHV_40)/catpn_1_VOHB_1+catfd_1_VOHV_40/catpn_1_VOHV_40),0)</f>
        <v>0</v>
      </c>
      <c r="H52" s="36">
        <f>IF(AND(catpn_1_VOHB_1&gt;0,catpn_1_VOHV_40&gt;0),(catdw_1_VOHB_1*((dagenperjaar1-VLOOKUP(B52,dagsoorttabel1,2,FALSE))-catfd_1_VOHV_40)/catpn_1_VOHB_1+catdw_1_VOHV_40*catfd_1_VOHV_40/catpn_1_VOHV_40)/(((dagenperjaar1-VLOOKUP(B52,dagsoorttabel1,2,FALSE))-catfd_1_VOHV_40)/catpn_1_VOHB_1+catfd_1_VOHV_40/catpn_1_VOHV_40),0)</f>
        <v>0</v>
      </c>
      <c r="I52" s="20" t="s">
        <v>43</v>
      </c>
      <c r="J52" s="37">
        <f>IF(AND(catpn_1_VOHB_1&gt;0,catpn_1_VOHV_40&gt;0),(cattf_1_VOHB_1*((dagenperjaar1*VLOOKUP(B52,dagsoorttabel1,2,FALSE))-catfd_1_VOHV_40)/catpn_1_VOHB_1+cattf_1_VOHV_40*catfd_1_VOHV_40/catpn_1_VOHV_40)/(((dagenperjaar1*VLOOKUP(B52,dagsoorttabel1,2,FALSE))-catfd_1_VOHV_40)/catpn_1_VOHB_1+catfd_1_VOHV_40/catpn_1_VOHV_40)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207</v>
      </c>
      <c r="B53" s="20" t="s">
        <v>20</v>
      </c>
      <c r="C53" s="20" t="s">
        <v>159</v>
      </c>
      <c r="D53" s="20" t="s">
        <v>208</v>
      </c>
      <c r="E53" s="34">
        <v>46.099999999999994</v>
      </c>
      <c r="F53" s="34">
        <f t="shared" si="5"/>
        <v>9.2199999999999989</v>
      </c>
      <c r="G53" s="35">
        <f>IF(AND(catpn_1_VOHB_1&gt;0,catpn_1_VOHV_40&gt;0),(dagenperjaar1*VLOOKUP(B53,dagsoorttabel1,2,FALSE))/(((dagenperjaar1*VLOOKUP(B53,dagsoorttabel1,2,FALSE))-catfd_1_VOHV_40)/catpn_1_VOHB_1+catfd_1_VOHV_40/catpn_1_VOHV_40),0)</f>
        <v>0</v>
      </c>
      <c r="H53" s="36">
        <f>IF(AND(catpn_1_VOHB_1&gt;0,catpn_1_VOHV_40&gt;0),(catdw_1_VOHB_1*((dagenperjaar1-VLOOKUP(B53,dagsoorttabel1,2,FALSE))-catfd_1_VOHV_40)/catpn_1_VOHB_1+catdw_1_VOHV_40*catfd_1_VOHV_40/catpn_1_VOHV_40)/(((dagenperjaar1-VLOOKUP(B53,dagsoorttabel1,2,FALSE))-catfd_1_VOHV_40)/catpn_1_VOHB_1+catfd_1_VOHV_40/catpn_1_VOHV_40),0)</f>
        <v>0</v>
      </c>
      <c r="I53" s="20" t="s">
        <v>43</v>
      </c>
      <c r="J53" s="37">
        <f>IF(AND(catpn_1_VOHB_1&gt;0,catpn_1_VOHV_40&gt;0),(cattf_1_VOHB_1*((dagenperjaar1*VLOOKUP(B53,dagsoorttabel1,2,FALSE))-catfd_1_VOHV_40)/catpn_1_VOHB_1+cattf_1_VOHV_40*catfd_1_VOHV_40/catpn_1_VOHV_40)/(((dagenperjaar1*VLOOKUP(B53,dagsoorttabel1,2,FALSE))-catfd_1_VOHV_40)/catpn_1_VOHB_1+catfd_1_VOHV_40/catpn_1_VOHV_40),0)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209</v>
      </c>
      <c r="B54" s="20" t="s">
        <v>11</v>
      </c>
      <c r="C54" s="20" t="s">
        <v>159</v>
      </c>
      <c r="D54" s="20" t="s">
        <v>210</v>
      </c>
      <c r="E54" s="34">
        <v>135</v>
      </c>
      <c r="F54" s="34">
        <f t="shared" si="5"/>
        <v>135</v>
      </c>
      <c r="G54" s="35">
        <f>IF(AND(catpn_1_VSHB_1&gt;0,catpn_1_VSHV_40&gt;0),(dagenperjaar1*VLOOKUP(B54,dagsoorttabel1,2,FALSE))/(((dagenperjaar1*VLOOKUP(B54,dagsoorttabel1,2,FALSE))-catfd_1_VSHV_40)/catpn_1_VSHB_1+catfd_1_VSHV_40/catpn_1_VSHV_40),0)</f>
        <v>0</v>
      </c>
      <c r="H54" s="36">
        <f>IF(AND(catpn_1_VSHB_1&gt;0,catpn_1_VSHV_40&gt;0),(catdw_1_VSHB_1*((dagenperjaar1-VLOOKUP(B54,dagsoorttabel1,2,FALSE))-catfd_1_VSHV_40)/catpn_1_VSHB_1+catdw_1_VSHV_40*catfd_1_VSHV_40/catpn_1_VSHV_40)/(((dagenperjaar1-VLOOKUP(B54,dagsoorttabel1,2,FALSE))-catfd_1_VSHV_40)/catpn_1_VSHB_1+catfd_1_VSHV_40/catpn_1_VSHV_40),0)</f>
        <v>0</v>
      </c>
      <c r="I54" s="20" t="s">
        <v>43</v>
      </c>
      <c r="J54" s="37">
        <f>IF(AND(catpn_1_VSHB_1&gt;0,catpn_1_VSHV_40&gt;0),(cattf_1_VSHB_1*((dagenperjaar1*VLOOKUP(B54,dagsoorttabel1,2,FALSE))-catfd_1_VSHV_40)/catpn_1_VSHB_1+cattf_1_VSHV_40*catfd_1_VSHV_40/catpn_1_VSHV_40)/(((dagenperjaar1*VLOOKUP(B54,dagsoorttabel1,2,FALSE))-catfd_1_VSHV_40)/catpn_1_VSHB_1+catfd_1_VSHV_40/catpn_1_VSHV_40),0)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209</v>
      </c>
      <c r="B55" s="20" t="s">
        <v>9</v>
      </c>
      <c r="C55" s="20" t="s">
        <v>159</v>
      </c>
      <c r="D55" s="20" t="s">
        <v>210</v>
      </c>
      <c r="E55" s="34">
        <v>54</v>
      </c>
      <c r="F55" s="34">
        <f t="shared" si="5"/>
        <v>68.849999999999994</v>
      </c>
      <c r="G55" s="35">
        <f>IF(AND(catpn_1_VSHB_1&gt;0,catpn_1_VSHV_52&gt;0),(dagenperjaar1*VLOOKUP(B55,dagsoorttabel1,2,FALSE))/(((dagenperjaar1*VLOOKUP(B55,dagsoorttabel1,2,FALSE))-catfd_1_VSHV_52)/catpn_1_VSHB_1+catfd_1_VSHV_52/catpn_1_VSHV_52),0)</f>
        <v>0</v>
      </c>
      <c r="H55" s="36">
        <f>IF(AND(catpn_1_VSHB_1&gt;0,catpn_1_VSHV_52&gt;0),(catdw_1_VSHB_1*((dagenperjaar1-VLOOKUP(B55,dagsoorttabel1,2,FALSE))-catfd_1_VSHV_52)/catpn_1_VSHB_1+catdw_1_VSHV_52*catfd_1_VSHV_52/catpn_1_VSHV_52)/(((dagenperjaar1-VLOOKUP(B55,dagsoorttabel1,2,FALSE))-catfd_1_VSHV_52)/catpn_1_VSHB_1+catfd_1_VSHV_52/catpn_1_VSHV_52),0)</f>
        <v>0</v>
      </c>
      <c r="I55" s="20" t="s">
        <v>43</v>
      </c>
      <c r="J55" s="37">
        <f>IF(AND(catpn_1_VSHB_1&gt;0,catpn_1_VSHV_52&gt;0),(cattf_1_VSHB_1*((dagenperjaar1*VLOOKUP(B55,dagsoorttabel1,2,FALSE))-catfd_1_VSHV_52)/catpn_1_VSHB_1+cattf_1_VSHV_52*catfd_1_VSHV_52/catpn_1_VSHV_52)/(((dagenperjaar1*VLOOKUP(B55,dagsoorttabel1,2,FALSE))-catfd_1_VSHV_52)/catpn_1_VSHB_1+catfd_1_VSHV_52/catpn_1_VSHV_52),0)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211</v>
      </c>
      <c r="B56" s="20" t="s">
        <v>11</v>
      </c>
      <c r="C56" s="20" t="s">
        <v>159</v>
      </c>
      <c r="D56" s="20" t="s">
        <v>212</v>
      </c>
      <c r="E56" s="34">
        <v>262.31</v>
      </c>
      <c r="F56" s="34">
        <f t="shared" si="5"/>
        <v>262.31</v>
      </c>
      <c r="G56" s="35">
        <f>IF(AND(catpn_1_VTHB_1&gt;0,catpn_1_VTHV_40&gt;0),(dagenperjaar1*VLOOKUP(B56,dagsoorttabel1,2,FALSE))/(((dagenperjaar1*VLOOKUP(B56,dagsoorttabel1,2,FALSE))-catfd_1_VTHV_40)/catpn_1_VTHB_1+catfd_1_VTHV_40/catpn_1_VTHV_40),0)</f>
        <v>0</v>
      </c>
      <c r="H56" s="36">
        <f>IF(AND(catpn_1_VTHB_1&gt;0,catpn_1_VTHV_40&gt;0),(catdw_1_VTHB_1*((dagenperjaar1-VLOOKUP(B56,dagsoorttabel1,2,FALSE))-catfd_1_VTHV_40)/catpn_1_VTHB_1+catdw_1_VTHV_40*catfd_1_VTHV_40/catpn_1_VTHV_40)/(((dagenperjaar1-VLOOKUP(B56,dagsoorttabel1,2,FALSE))-catfd_1_VTHV_40)/catpn_1_VTHB_1+catfd_1_VTHV_40/catpn_1_VTHV_40),0)</f>
        <v>0</v>
      </c>
      <c r="I56" s="20" t="s">
        <v>43</v>
      </c>
      <c r="J56" s="37">
        <f>IF(AND(catpn_1_VTHB_1&gt;0,catpn_1_VTHV_40&gt;0),(cattf_1_VTHB_1*((dagenperjaar1*VLOOKUP(B56,dagsoorttabel1,2,FALSE))-catfd_1_VTHV_40)/catpn_1_VTHB_1+cattf_1_VTHV_40*catfd_1_VTHV_40/catpn_1_VTHV_40)/(((dagenperjaar1*VLOOKUP(B56,dagsoorttabel1,2,FALSE))-catfd_1_VTHV_40)/catpn_1_VTHB_1+catfd_1_VTHV_40/catpn_1_VTHV_40),0)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211</v>
      </c>
      <c r="B57" s="20" t="s">
        <v>20</v>
      </c>
      <c r="C57" s="20" t="s">
        <v>159</v>
      </c>
      <c r="D57" s="20" t="s">
        <v>212</v>
      </c>
      <c r="E57" s="34">
        <v>5.3599999999999994</v>
      </c>
      <c r="F57" s="34">
        <f t="shared" si="5"/>
        <v>1.0719999999999998</v>
      </c>
      <c r="G57" s="35">
        <f>IF(AND(catpn_1_VTHB_1&gt;0,catpn_1_VTHV_40&gt;0),(dagenperjaar1*VLOOKUP(B57,dagsoorttabel1,2,FALSE))/(((dagenperjaar1*VLOOKUP(B57,dagsoorttabel1,2,FALSE))-catfd_1_VTHV_40)/catpn_1_VTHB_1+catfd_1_VTHV_40/catpn_1_VTHV_40),0)</f>
        <v>0</v>
      </c>
      <c r="H57" s="36">
        <f>IF(AND(catpn_1_VTHB_1&gt;0,catpn_1_VTHV_40&gt;0),(catdw_1_VTHB_1*((dagenperjaar1-VLOOKUP(B57,dagsoorttabel1,2,FALSE))-catfd_1_VTHV_40)/catpn_1_VTHB_1+catdw_1_VTHV_40*catfd_1_VTHV_40/catpn_1_VTHV_40)/(((dagenperjaar1-VLOOKUP(B57,dagsoorttabel1,2,FALSE))-catfd_1_VTHV_40)/catpn_1_VTHB_1+catfd_1_VTHV_40/catpn_1_VTHV_40),0)</f>
        <v>0</v>
      </c>
      <c r="I57" s="20" t="s">
        <v>43</v>
      </c>
      <c r="J57" s="37">
        <f>IF(AND(catpn_1_VTHB_1&gt;0,catpn_1_VTHV_40&gt;0),(cattf_1_VTHB_1*((dagenperjaar1*VLOOKUP(B57,dagsoorttabel1,2,FALSE))-catfd_1_VTHV_40)/catpn_1_VTHB_1+cattf_1_VTHV_40*catfd_1_VTHV_40/catpn_1_VTHV_40)/(((dagenperjaar1*VLOOKUP(B57,dagsoorttabel1,2,FALSE))-catfd_1_VTHV_40)/catpn_1_VTHB_1+catfd_1_VTHV_40/catpn_1_VTHV_40),0)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211</v>
      </c>
      <c r="B58" s="20" t="s">
        <v>18</v>
      </c>
      <c r="C58" s="20" t="s">
        <v>159</v>
      </c>
      <c r="D58" s="20" t="s">
        <v>212</v>
      </c>
      <c r="E58" s="34">
        <v>16.580000000000002</v>
      </c>
      <c r="F58" s="34">
        <f t="shared" si="5"/>
        <v>6.6320000000000014</v>
      </c>
      <c r="G58" s="35">
        <f>IF(AND(catpn_1_VTHB_1&gt;0,catpn_1_VTHV_40&gt;0),(dagenperjaar1*VLOOKUP(B58,dagsoorttabel1,2,FALSE))/(((dagenperjaar1*VLOOKUP(B58,dagsoorttabel1,2,FALSE))-catfd_1_VTHV_40)/catpn_1_VTHB_1+catfd_1_VTHV_40/catpn_1_VTHV_40),0)</f>
        <v>0</v>
      </c>
      <c r="H58" s="36">
        <f>IF(AND(catpn_1_VTHB_1&gt;0,catpn_1_VTHV_40&gt;0),(catdw_1_VTHB_1*((dagenperjaar1-VLOOKUP(B58,dagsoorttabel1,2,FALSE))-catfd_1_VTHV_40)/catpn_1_VTHB_1+catdw_1_VTHV_40*catfd_1_VTHV_40/catpn_1_VTHV_40)/(((dagenperjaar1-VLOOKUP(B58,dagsoorttabel1,2,FALSE))-catfd_1_VTHV_40)/catpn_1_VTHB_1+catfd_1_VTHV_40/catpn_1_VTHV_40),0)</f>
        <v>0</v>
      </c>
      <c r="I58" s="20" t="s">
        <v>43</v>
      </c>
      <c r="J58" s="37">
        <f>IF(AND(catpn_1_VTHB_1&gt;0,catpn_1_VTHV_40&gt;0),(cattf_1_VTHB_1*((dagenperjaar1*VLOOKUP(B58,dagsoorttabel1,2,FALSE))-catfd_1_VTHV_40)/catpn_1_VTHB_1+cattf_1_VTHV_40*catfd_1_VTHV_40/catpn_1_VTHV_40)/(((dagenperjaar1*VLOOKUP(B58,dagsoorttabel1,2,FALSE))-catfd_1_VTHV_40)/catpn_1_VTHB_1+catfd_1_VTHV_40/catpn_1_VTHV_40),0)</f>
        <v>0</v>
      </c>
      <c r="K58" s="34">
        <f t="shared" si="6"/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5" t="s">
        <v>213</v>
      </c>
      <c r="B59" s="25" t="s">
        <v>13</v>
      </c>
      <c r="C59" s="25" t="s">
        <v>214</v>
      </c>
      <c r="D59" s="25" t="s">
        <v>215</v>
      </c>
      <c r="E59" s="38">
        <v>276.90000000000003</v>
      </c>
      <c r="F59" s="38">
        <f t="shared" si="5"/>
        <v>221.52000000000004</v>
      </c>
      <c r="G59" s="39"/>
      <c r="H59" s="28"/>
      <c r="I59" s="25" t="s">
        <v>43</v>
      </c>
      <c r="J59" s="29"/>
      <c r="K59" s="38">
        <f t="shared" si="6"/>
        <v>0</v>
      </c>
      <c r="L59" s="40">
        <f t="shared" si="7"/>
        <v>0</v>
      </c>
      <c r="M59" s="38">
        <f t="shared" si="8"/>
        <v>0</v>
      </c>
      <c r="N59" s="40">
        <f t="shared" si="9"/>
        <v>0</v>
      </c>
    </row>
    <row r="60" spans="1:14" x14ac:dyDescent="0.2">
      <c r="A60" s="42" t="s">
        <v>216</v>
      </c>
      <c r="B60" s="43"/>
      <c r="C60" s="43"/>
      <c r="D60" s="43"/>
      <c r="E60" s="43"/>
      <c r="F60" s="43"/>
      <c r="G60" s="43"/>
      <c r="H60" s="43"/>
      <c r="I60" s="43"/>
      <c r="J60" s="43"/>
      <c r="K60" s="44">
        <f>SUM(K6:K59)</f>
        <v>0</v>
      </c>
      <c r="L60" s="45">
        <f>SUM(L6:L59)</f>
        <v>0</v>
      </c>
      <c r="M60" s="44">
        <f>SUM(M6:M59)</f>
        <v>0</v>
      </c>
      <c r="N60" s="46">
        <f>SUM(N6:N59)</f>
        <v>0</v>
      </c>
    </row>
    <row r="61" spans="1:14" x14ac:dyDescent="0.2">
      <c r="A61" s="47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8"/>
    </row>
    <row r="62" spans="1:14" x14ac:dyDescent="0.2">
      <c r="A62" s="42" t="s">
        <v>217</v>
      </c>
      <c r="B62" s="43"/>
      <c r="C62" s="43"/>
      <c r="D62" s="43"/>
      <c r="E62" s="43"/>
      <c r="F62" s="43"/>
      <c r="G62" s="43"/>
      <c r="H62" s="43"/>
      <c r="I62" s="43"/>
      <c r="J62" s="45">
        <f>IF(urenjaar1&gt;0,SUMIF(M6:M59,"&gt;0",N6:N59)/urenjaar1,0)</f>
        <v>0</v>
      </c>
      <c r="K62" s="43"/>
      <c r="L62" s="43"/>
      <c r="M62" s="43"/>
      <c r="N62" s="48"/>
    </row>
    <row r="63" spans="1:14" x14ac:dyDescent="0.2">
      <c r="A63" s="47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8"/>
    </row>
    <row r="65" spans="1:14" x14ac:dyDescent="0.2">
      <c r="A65" s="42" t="s">
        <v>218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4">
        <f>urenjaar1</f>
        <v>0</v>
      </c>
      <c r="N65" s="45">
        <f>prijsjaar1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5FE7-E084-4029-8DB5-B0A72D75D117}">
  <dimension ref="A1:U416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H.3: ",tabeltype," ruimten werkdag")</f>
        <v>Bijlage H.3: Invultabel ruimten werkdag</v>
      </c>
    </row>
    <row r="3" spans="1:21" ht="38.25" x14ac:dyDescent="0.2">
      <c r="A3" s="49" t="s">
        <v>219</v>
      </c>
      <c r="B3" s="8" t="s">
        <v>220</v>
      </c>
      <c r="C3" s="8" t="s">
        <v>221</v>
      </c>
      <c r="D3" s="8" t="s">
        <v>222</v>
      </c>
      <c r="E3" s="8" t="s">
        <v>223</v>
      </c>
      <c r="F3" s="8" t="s">
        <v>224</v>
      </c>
      <c r="G3" s="8" t="s">
        <v>150</v>
      </c>
      <c r="H3" s="8" t="s">
        <v>7</v>
      </c>
      <c r="I3" s="8" t="s">
        <v>225</v>
      </c>
      <c r="J3" s="8" t="s">
        <v>226</v>
      </c>
      <c r="K3" s="8" t="s">
        <v>152</v>
      </c>
      <c r="L3" s="8" t="s">
        <v>153</v>
      </c>
      <c r="M3" s="8" t="s">
        <v>35</v>
      </c>
      <c r="N3" s="8" t="s">
        <v>36</v>
      </c>
      <c r="O3" s="8" t="s">
        <v>37</v>
      </c>
      <c r="P3" s="8" t="s">
        <v>38</v>
      </c>
      <c r="Q3" s="8" t="s">
        <v>154</v>
      </c>
      <c r="R3" s="8" t="s">
        <v>227</v>
      </c>
      <c r="S3" s="8" t="s">
        <v>155</v>
      </c>
      <c r="T3" s="8" t="s">
        <v>156</v>
      </c>
      <c r="U3" s="50" t="s">
        <v>157</v>
      </c>
    </row>
    <row r="4" spans="1:21" x14ac:dyDescent="0.2">
      <c r="A4" s="51" t="s">
        <v>228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1"/>
    </row>
    <row r="5" spans="1:21" x14ac:dyDescent="0.2">
      <c r="A5" s="52" t="s">
        <v>229</v>
      </c>
      <c r="B5" s="53" t="s">
        <v>230</v>
      </c>
      <c r="C5" s="53" t="s">
        <v>231</v>
      </c>
      <c r="D5" s="53" t="s">
        <v>232</v>
      </c>
      <c r="E5" s="54" t="s">
        <v>233</v>
      </c>
      <c r="F5" s="53" t="s">
        <v>234</v>
      </c>
      <c r="G5" s="53" t="s">
        <v>205</v>
      </c>
      <c r="H5" s="53" t="s">
        <v>11</v>
      </c>
      <c r="I5" s="53" t="s">
        <v>159</v>
      </c>
      <c r="J5" s="53" t="s">
        <v>235</v>
      </c>
      <c r="K5" s="55">
        <v>6.4</v>
      </c>
      <c r="L5" s="55">
        <f t="shared" ref="L5:L36" si="0">K5*VLOOKUP(H5,dagsoorttabel1,2,FALSE)</f>
        <v>6.4</v>
      </c>
      <c r="M5" s="56">
        <f>prodnorm58</f>
        <v>0</v>
      </c>
      <c r="N5" s="57">
        <f>dagwerk58</f>
        <v>0</v>
      </c>
      <c r="O5" s="53" t="s">
        <v>43</v>
      </c>
      <c r="P5" s="58">
        <f>uurtarief58</f>
        <v>0</v>
      </c>
      <c r="Q5" s="55" t="e">
        <f t="shared" ref="Q5:Q36" si="1">IF(ISBLANK(M5),0,L5/ROUND(M5,4))</f>
        <v>#DIV/0!</v>
      </c>
      <c r="R5" s="55" t="e">
        <f t="shared" ref="R5:R36" si="2">IF(ISBLANK(M5),0,Q5*ROUND(N5,2))</f>
        <v>#DIV/0!</v>
      </c>
      <c r="S5" s="58" t="e">
        <f t="shared" ref="S5:S36" si="3">ROUND(P5,2)*Q5</f>
        <v>#DIV/0!</v>
      </c>
      <c r="T5" s="55" t="e">
        <f t="shared" ref="T5:T36" si="4">Q5*dagenperjaar1</f>
        <v>#DIV/0!</v>
      </c>
      <c r="U5" s="59" t="e">
        <f t="shared" ref="U5:U36" si="5">T5*ROUND(P5,2)</f>
        <v>#DIV/0!</v>
      </c>
    </row>
    <row r="6" spans="1:21" x14ac:dyDescent="0.2">
      <c r="A6" s="60" t="s">
        <v>229</v>
      </c>
      <c r="B6" s="61" t="s">
        <v>230</v>
      </c>
      <c r="C6" s="61" t="s">
        <v>231</v>
      </c>
      <c r="D6" s="61" t="s">
        <v>236</v>
      </c>
      <c r="E6" s="62" t="s">
        <v>237</v>
      </c>
      <c r="F6" s="61" t="s">
        <v>238</v>
      </c>
      <c r="G6" s="61" t="s">
        <v>175</v>
      </c>
      <c r="H6" s="61" t="s">
        <v>18</v>
      </c>
      <c r="I6" s="61" t="s">
        <v>159</v>
      </c>
      <c r="J6" s="61" t="s">
        <v>239</v>
      </c>
      <c r="K6" s="63">
        <v>56.8</v>
      </c>
      <c r="L6" s="63">
        <f t="shared" si="0"/>
        <v>22.72</v>
      </c>
      <c r="M6" s="64">
        <f>prodnorm33</f>
        <v>0</v>
      </c>
      <c r="N6" s="65">
        <f>dagwerk33</f>
        <v>0</v>
      </c>
      <c r="O6" s="61" t="s">
        <v>43</v>
      </c>
      <c r="P6" s="66">
        <f>uurtarief33</f>
        <v>0</v>
      </c>
      <c r="Q6" s="63" t="e">
        <f t="shared" si="1"/>
        <v>#DIV/0!</v>
      </c>
      <c r="R6" s="63" t="e">
        <f t="shared" si="2"/>
        <v>#DIV/0!</v>
      </c>
      <c r="S6" s="66" t="e">
        <f t="shared" si="3"/>
        <v>#DIV/0!</v>
      </c>
      <c r="T6" s="63" t="e">
        <f t="shared" si="4"/>
        <v>#DIV/0!</v>
      </c>
      <c r="U6" s="67" t="e">
        <f t="shared" si="5"/>
        <v>#DIV/0!</v>
      </c>
    </row>
    <row r="7" spans="1:21" x14ac:dyDescent="0.2">
      <c r="A7" s="60" t="s">
        <v>229</v>
      </c>
      <c r="B7" s="61" t="s">
        <v>230</v>
      </c>
      <c r="C7" s="61" t="s">
        <v>231</v>
      </c>
      <c r="D7" s="61" t="s">
        <v>240</v>
      </c>
      <c r="E7" s="62" t="s">
        <v>241</v>
      </c>
      <c r="F7" s="61" t="s">
        <v>242</v>
      </c>
      <c r="G7" s="61" t="s">
        <v>211</v>
      </c>
      <c r="H7" s="61" t="s">
        <v>18</v>
      </c>
      <c r="I7" s="61" t="s">
        <v>159</v>
      </c>
      <c r="J7" s="61" t="s">
        <v>235</v>
      </c>
      <c r="K7" s="63">
        <v>1.6900000000000002</v>
      </c>
      <c r="L7" s="63">
        <f t="shared" si="0"/>
        <v>0.67600000000000016</v>
      </c>
      <c r="M7" s="64">
        <f>prodnorm66</f>
        <v>0</v>
      </c>
      <c r="N7" s="65">
        <f>dagwerk66</f>
        <v>0</v>
      </c>
      <c r="O7" s="61" t="s">
        <v>43</v>
      </c>
      <c r="P7" s="66">
        <f>uurtarief66</f>
        <v>0</v>
      </c>
      <c r="Q7" s="63" t="e">
        <f t="shared" si="1"/>
        <v>#DIV/0!</v>
      </c>
      <c r="R7" s="63" t="e">
        <f t="shared" si="2"/>
        <v>#DIV/0!</v>
      </c>
      <c r="S7" s="66" t="e">
        <f t="shared" si="3"/>
        <v>#DIV/0!</v>
      </c>
      <c r="T7" s="63" t="e">
        <f t="shared" si="4"/>
        <v>#DIV/0!</v>
      </c>
      <c r="U7" s="67" t="e">
        <f t="shared" si="5"/>
        <v>#DIV/0!</v>
      </c>
    </row>
    <row r="8" spans="1:21" x14ac:dyDescent="0.2">
      <c r="A8" s="60" t="s">
        <v>229</v>
      </c>
      <c r="B8" s="61" t="s">
        <v>230</v>
      </c>
      <c r="C8" s="61" t="s">
        <v>231</v>
      </c>
      <c r="D8" s="61" t="s">
        <v>243</v>
      </c>
      <c r="E8" s="62" t="s">
        <v>244</v>
      </c>
      <c r="F8" s="61" t="s">
        <v>238</v>
      </c>
      <c r="G8" s="61" t="s">
        <v>175</v>
      </c>
      <c r="H8" s="61" t="s">
        <v>20</v>
      </c>
      <c r="I8" s="61" t="s">
        <v>159</v>
      </c>
      <c r="J8" s="61" t="s">
        <v>239</v>
      </c>
      <c r="K8" s="63">
        <v>4.28</v>
      </c>
      <c r="L8" s="63">
        <f t="shared" si="0"/>
        <v>0.85600000000000009</v>
      </c>
      <c r="M8" s="64">
        <f>prodnorm32</f>
        <v>0</v>
      </c>
      <c r="N8" s="65">
        <f>dagwerk32</f>
        <v>0</v>
      </c>
      <c r="O8" s="61" t="s">
        <v>43</v>
      </c>
      <c r="P8" s="66">
        <f>uurtarief32</f>
        <v>0</v>
      </c>
      <c r="Q8" s="63" t="e">
        <f t="shared" si="1"/>
        <v>#DIV/0!</v>
      </c>
      <c r="R8" s="63" t="e">
        <f t="shared" si="2"/>
        <v>#DIV/0!</v>
      </c>
      <c r="S8" s="66" t="e">
        <f t="shared" si="3"/>
        <v>#DIV/0!</v>
      </c>
      <c r="T8" s="63" t="e">
        <f t="shared" si="4"/>
        <v>#DIV/0!</v>
      </c>
      <c r="U8" s="67" t="e">
        <f t="shared" si="5"/>
        <v>#DIV/0!</v>
      </c>
    </row>
    <row r="9" spans="1:21" x14ac:dyDescent="0.2">
      <c r="A9" s="60" t="s">
        <v>229</v>
      </c>
      <c r="B9" s="61" t="s">
        <v>230</v>
      </c>
      <c r="C9" s="61" t="s">
        <v>231</v>
      </c>
      <c r="D9" s="61" t="s">
        <v>245</v>
      </c>
      <c r="E9" s="62" t="s">
        <v>237</v>
      </c>
      <c r="F9" s="61" t="s">
        <v>238</v>
      </c>
      <c r="G9" s="61" t="s">
        <v>175</v>
      </c>
      <c r="H9" s="61" t="s">
        <v>18</v>
      </c>
      <c r="I9" s="61" t="s">
        <v>159</v>
      </c>
      <c r="J9" s="61" t="s">
        <v>239</v>
      </c>
      <c r="K9" s="63">
        <v>55.92</v>
      </c>
      <c r="L9" s="63">
        <f t="shared" si="0"/>
        <v>22.368000000000002</v>
      </c>
      <c r="M9" s="64">
        <f>prodnorm33</f>
        <v>0</v>
      </c>
      <c r="N9" s="65">
        <f>dagwerk33</f>
        <v>0</v>
      </c>
      <c r="O9" s="61" t="s">
        <v>43</v>
      </c>
      <c r="P9" s="66">
        <f>uurtarief33</f>
        <v>0</v>
      </c>
      <c r="Q9" s="63" t="e">
        <f t="shared" si="1"/>
        <v>#DIV/0!</v>
      </c>
      <c r="R9" s="63" t="e">
        <f t="shared" si="2"/>
        <v>#DIV/0!</v>
      </c>
      <c r="S9" s="66" t="e">
        <f t="shared" si="3"/>
        <v>#DIV/0!</v>
      </c>
      <c r="T9" s="63" t="e">
        <f t="shared" si="4"/>
        <v>#DIV/0!</v>
      </c>
      <c r="U9" s="67" t="e">
        <f t="shared" si="5"/>
        <v>#DIV/0!</v>
      </c>
    </row>
    <row r="10" spans="1:21" x14ac:dyDescent="0.2">
      <c r="A10" s="60" t="s">
        <v>229</v>
      </c>
      <c r="B10" s="61" t="s">
        <v>230</v>
      </c>
      <c r="C10" s="61" t="s">
        <v>231</v>
      </c>
      <c r="D10" s="61" t="s">
        <v>246</v>
      </c>
      <c r="E10" s="62" t="s">
        <v>241</v>
      </c>
      <c r="F10" s="61" t="s">
        <v>242</v>
      </c>
      <c r="G10" s="61" t="s">
        <v>211</v>
      </c>
      <c r="H10" s="61" t="s">
        <v>18</v>
      </c>
      <c r="I10" s="61" t="s">
        <v>159</v>
      </c>
      <c r="J10" s="61" t="s">
        <v>235</v>
      </c>
      <c r="K10" s="63">
        <v>1.71</v>
      </c>
      <c r="L10" s="63">
        <f t="shared" si="0"/>
        <v>0.68400000000000005</v>
      </c>
      <c r="M10" s="64">
        <f>prodnorm66</f>
        <v>0</v>
      </c>
      <c r="N10" s="65">
        <f>dagwerk66</f>
        <v>0</v>
      </c>
      <c r="O10" s="61" t="s">
        <v>43</v>
      </c>
      <c r="P10" s="66">
        <f>uurtarief66</f>
        <v>0</v>
      </c>
      <c r="Q10" s="63" t="e">
        <f t="shared" si="1"/>
        <v>#DIV/0!</v>
      </c>
      <c r="R10" s="63" t="e">
        <f t="shared" si="2"/>
        <v>#DIV/0!</v>
      </c>
      <c r="S10" s="66" t="e">
        <f t="shared" si="3"/>
        <v>#DIV/0!</v>
      </c>
      <c r="T10" s="63" t="e">
        <f t="shared" si="4"/>
        <v>#DIV/0!</v>
      </c>
      <c r="U10" s="67" t="e">
        <f t="shared" si="5"/>
        <v>#DIV/0!</v>
      </c>
    </row>
    <row r="11" spans="1:21" x14ac:dyDescent="0.2">
      <c r="A11" s="60" t="s">
        <v>229</v>
      </c>
      <c r="B11" s="61" t="s">
        <v>230</v>
      </c>
      <c r="C11" s="61" t="s">
        <v>231</v>
      </c>
      <c r="D11" s="61" t="s">
        <v>247</v>
      </c>
      <c r="E11" s="62" t="s">
        <v>244</v>
      </c>
      <c r="F11" s="61" t="s">
        <v>238</v>
      </c>
      <c r="G11" s="61" t="s">
        <v>175</v>
      </c>
      <c r="H11" s="61" t="s">
        <v>20</v>
      </c>
      <c r="I11" s="61" t="s">
        <v>159</v>
      </c>
      <c r="J11" s="61" t="s">
        <v>239</v>
      </c>
      <c r="K11" s="63">
        <v>5.83</v>
      </c>
      <c r="L11" s="63">
        <f t="shared" si="0"/>
        <v>1.1660000000000001</v>
      </c>
      <c r="M11" s="64">
        <f>prodnorm32</f>
        <v>0</v>
      </c>
      <c r="N11" s="65">
        <f>dagwerk32</f>
        <v>0</v>
      </c>
      <c r="O11" s="61" t="s">
        <v>43</v>
      </c>
      <c r="P11" s="66">
        <f>uurtarief32</f>
        <v>0</v>
      </c>
      <c r="Q11" s="63" t="e">
        <f t="shared" si="1"/>
        <v>#DIV/0!</v>
      </c>
      <c r="R11" s="63" t="e">
        <f t="shared" si="2"/>
        <v>#DIV/0!</v>
      </c>
      <c r="S11" s="66" t="e">
        <f t="shared" si="3"/>
        <v>#DIV/0!</v>
      </c>
      <c r="T11" s="63" t="e">
        <f t="shared" si="4"/>
        <v>#DIV/0!</v>
      </c>
      <c r="U11" s="67" t="e">
        <f t="shared" si="5"/>
        <v>#DIV/0!</v>
      </c>
    </row>
    <row r="12" spans="1:21" x14ac:dyDescent="0.2">
      <c r="A12" s="60" t="s">
        <v>229</v>
      </c>
      <c r="B12" s="61" t="s">
        <v>230</v>
      </c>
      <c r="C12" s="61" t="s">
        <v>231</v>
      </c>
      <c r="D12" s="61" t="s">
        <v>248</v>
      </c>
      <c r="E12" s="62" t="s">
        <v>249</v>
      </c>
      <c r="F12" s="61" t="s">
        <v>238</v>
      </c>
      <c r="G12" s="61" t="s">
        <v>175</v>
      </c>
      <c r="H12" s="61" t="s">
        <v>11</v>
      </c>
      <c r="I12" s="61" t="s">
        <v>159</v>
      </c>
      <c r="J12" s="61" t="s">
        <v>239</v>
      </c>
      <c r="K12" s="63">
        <v>56.8</v>
      </c>
      <c r="L12" s="63">
        <f t="shared" si="0"/>
        <v>56.8</v>
      </c>
      <c r="M12" s="64">
        <f>prodnorm31</f>
        <v>0</v>
      </c>
      <c r="N12" s="65">
        <f>dagwerk31</f>
        <v>0</v>
      </c>
      <c r="O12" s="61" t="s">
        <v>43</v>
      </c>
      <c r="P12" s="66">
        <f>uurtarief31</f>
        <v>0</v>
      </c>
      <c r="Q12" s="63" t="e">
        <f t="shared" si="1"/>
        <v>#DIV/0!</v>
      </c>
      <c r="R12" s="63" t="e">
        <f t="shared" si="2"/>
        <v>#DIV/0!</v>
      </c>
      <c r="S12" s="66" t="e">
        <f t="shared" si="3"/>
        <v>#DIV/0!</v>
      </c>
      <c r="T12" s="63" t="e">
        <f t="shared" si="4"/>
        <v>#DIV/0!</v>
      </c>
      <c r="U12" s="67" t="e">
        <f t="shared" si="5"/>
        <v>#DIV/0!</v>
      </c>
    </row>
    <row r="13" spans="1:21" x14ac:dyDescent="0.2">
      <c r="A13" s="60" t="s">
        <v>229</v>
      </c>
      <c r="B13" s="61" t="s">
        <v>230</v>
      </c>
      <c r="C13" s="61" t="s">
        <v>231</v>
      </c>
      <c r="D13" s="61" t="s">
        <v>250</v>
      </c>
      <c r="E13" s="62" t="s">
        <v>251</v>
      </c>
      <c r="F13" s="61" t="s">
        <v>242</v>
      </c>
      <c r="G13" s="61" t="s">
        <v>211</v>
      </c>
      <c r="H13" s="61" t="s">
        <v>11</v>
      </c>
      <c r="I13" s="61" t="s">
        <v>159</v>
      </c>
      <c r="J13" s="61" t="s">
        <v>235</v>
      </c>
      <c r="K13" s="63">
        <v>1.6900000000000002</v>
      </c>
      <c r="L13" s="63">
        <f t="shared" si="0"/>
        <v>1.6900000000000002</v>
      </c>
      <c r="M13" s="64">
        <f>prodnorm64</f>
        <v>0</v>
      </c>
      <c r="N13" s="65">
        <f>dagwerk64</f>
        <v>0</v>
      </c>
      <c r="O13" s="61" t="s">
        <v>43</v>
      </c>
      <c r="P13" s="66">
        <f>uurtarief64</f>
        <v>0</v>
      </c>
      <c r="Q13" s="63" t="e">
        <f t="shared" si="1"/>
        <v>#DIV/0!</v>
      </c>
      <c r="R13" s="63" t="e">
        <f t="shared" si="2"/>
        <v>#DIV/0!</v>
      </c>
      <c r="S13" s="66" t="e">
        <f t="shared" si="3"/>
        <v>#DIV/0!</v>
      </c>
      <c r="T13" s="63" t="e">
        <f t="shared" si="4"/>
        <v>#DIV/0!</v>
      </c>
      <c r="U13" s="67" t="e">
        <f t="shared" si="5"/>
        <v>#DIV/0!</v>
      </c>
    </row>
    <row r="14" spans="1:21" ht="25.5" x14ac:dyDescent="0.2">
      <c r="A14" s="60" t="s">
        <v>229</v>
      </c>
      <c r="B14" s="61" t="s">
        <v>230</v>
      </c>
      <c r="C14" s="61" t="s">
        <v>231</v>
      </c>
      <c r="D14" s="61" t="s">
        <v>252</v>
      </c>
      <c r="E14" s="62" t="s">
        <v>253</v>
      </c>
      <c r="F14" s="61" t="s">
        <v>238</v>
      </c>
      <c r="G14" s="61" t="s">
        <v>175</v>
      </c>
      <c r="H14" s="61" t="s">
        <v>11</v>
      </c>
      <c r="I14" s="61" t="s">
        <v>159</v>
      </c>
      <c r="J14" s="61" t="s">
        <v>239</v>
      </c>
      <c r="K14" s="63">
        <v>5.83</v>
      </c>
      <c r="L14" s="63">
        <f t="shared" si="0"/>
        <v>5.83</v>
      </c>
      <c r="M14" s="64">
        <f>prodnorm31</f>
        <v>0</v>
      </c>
      <c r="N14" s="65">
        <f>dagwerk31</f>
        <v>0</v>
      </c>
      <c r="O14" s="61" t="s">
        <v>43</v>
      </c>
      <c r="P14" s="66">
        <f>uurtarief31</f>
        <v>0</v>
      </c>
      <c r="Q14" s="63" t="e">
        <f t="shared" si="1"/>
        <v>#DIV/0!</v>
      </c>
      <c r="R14" s="63" t="e">
        <f t="shared" si="2"/>
        <v>#DIV/0!</v>
      </c>
      <c r="S14" s="66" t="e">
        <f t="shared" si="3"/>
        <v>#DIV/0!</v>
      </c>
      <c r="T14" s="63" t="e">
        <f t="shared" si="4"/>
        <v>#DIV/0!</v>
      </c>
      <c r="U14" s="67" t="e">
        <f t="shared" si="5"/>
        <v>#DIV/0!</v>
      </c>
    </row>
    <row r="15" spans="1:21" x14ac:dyDescent="0.2">
      <c r="A15" s="60" t="s">
        <v>229</v>
      </c>
      <c r="B15" s="61" t="s">
        <v>230</v>
      </c>
      <c r="C15" s="61" t="s">
        <v>231</v>
      </c>
      <c r="D15" s="61" t="s">
        <v>254</v>
      </c>
      <c r="E15" s="62" t="s">
        <v>255</v>
      </c>
      <c r="F15" s="61" t="s">
        <v>256</v>
      </c>
      <c r="G15" s="61" t="s">
        <v>195</v>
      </c>
      <c r="H15" s="61" t="s">
        <v>11</v>
      </c>
      <c r="I15" s="61" t="s">
        <v>159</v>
      </c>
      <c r="J15" s="61" t="s">
        <v>257</v>
      </c>
      <c r="K15" s="63">
        <v>7.6</v>
      </c>
      <c r="L15" s="63">
        <f t="shared" si="0"/>
        <v>7.6</v>
      </c>
      <c r="M15" s="64">
        <f>prodnorm49</f>
        <v>0</v>
      </c>
      <c r="N15" s="65">
        <f>dagwerk49</f>
        <v>0</v>
      </c>
      <c r="O15" s="61" t="s">
        <v>43</v>
      </c>
      <c r="P15" s="66">
        <f>uurtarief49</f>
        <v>0</v>
      </c>
      <c r="Q15" s="63" t="e">
        <f t="shared" si="1"/>
        <v>#DIV/0!</v>
      </c>
      <c r="R15" s="63" t="e">
        <f t="shared" si="2"/>
        <v>#DIV/0!</v>
      </c>
      <c r="S15" s="66" t="e">
        <f t="shared" si="3"/>
        <v>#DIV/0!</v>
      </c>
      <c r="T15" s="63" t="e">
        <f t="shared" si="4"/>
        <v>#DIV/0!</v>
      </c>
      <c r="U15" s="67" t="e">
        <f t="shared" si="5"/>
        <v>#DIV/0!</v>
      </c>
    </row>
    <row r="16" spans="1:21" x14ac:dyDescent="0.2">
      <c r="A16" s="60" t="s">
        <v>229</v>
      </c>
      <c r="B16" s="61" t="s">
        <v>230</v>
      </c>
      <c r="C16" s="61" t="s">
        <v>231</v>
      </c>
      <c r="D16" s="61" t="s">
        <v>258</v>
      </c>
      <c r="E16" s="62" t="s">
        <v>255</v>
      </c>
      <c r="F16" s="61" t="s">
        <v>256</v>
      </c>
      <c r="G16" s="61" t="s">
        <v>195</v>
      </c>
      <c r="H16" s="61" t="s">
        <v>11</v>
      </c>
      <c r="I16" s="61" t="s">
        <v>159</v>
      </c>
      <c r="J16" s="61" t="s">
        <v>257</v>
      </c>
      <c r="K16" s="63">
        <v>6.9</v>
      </c>
      <c r="L16" s="63">
        <f t="shared" si="0"/>
        <v>6.9</v>
      </c>
      <c r="M16" s="64">
        <f>prodnorm49</f>
        <v>0</v>
      </c>
      <c r="N16" s="65">
        <f>dagwerk49</f>
        <v>0</v>
      </c>
      <c r="O16" s="61" t="s">
        <v>43</v>
      </c>
      <c r="P16" s="66">
        <f>uurtarief49</f>
        <v>0</v>
      </c>
      <c r="Q16" s="63" t="e">
        <f t="shared" si="1"/>
        <v>#DIV/0!</v>
      </c>
      <c r="R16" s="63" t="e">
        <f t="shared" si="2"/>
        <v>#DIV/0!</v>
      </c>
      <c r="S16" s="66" t="e">
        <f t="shared" si="3"/>
        <v>#DIV/0!</v>
      </c>
      <c r="T16" s="63" t="e">
        <f t="shared" si="4"/>
        <v>#DIV/0!</v>
      </c>
      <c r="U16" s="67" t="e">
        <f t="shared" si="5"/>
        <v>#DIV/0!</v>
      </c>
    </row>
    <row r="17" spans="1:21" x14ac:dyDescent="0.2">
      <c r="A17" s="60" t="s">
        <v>229</v>
      </c>
      <c r="B17" s="61" t="s">
        <v>230</v>
      </c>
      <c r="C17" s="61" t="s">
        <v>231</v>
      </c>
      <c r="D17" s="61" t="s">
        <v>259</v>
      </c>
      <c r="E17" s="62" t="s">
        <v>255</v>
      </c>
      <c r="F17" s="61" t="s">
        <v>256</v>
      </c>
      <c r="G17" s="61" t="s">
        <v>195</v>
      </c>
      <c r="H17" s="61" t="s">
        <v>11</v>
      </c>
      <c r="I17" s="61" t="s">
        <v>159</v>
      </c>
      <c r="J17" s="61" t="s">
        <v>257</v>
      </c>
      <c r="K17" s="63">
        <v>6.9</v>
      </c>
      <c r="L17" s="63">
        <f t="shared" si="0"/>
        <v>6.9</v>
      </c>
      <c r="M17" s="64">
        <f>prodnorm49</f>
        <v>0</v>
      </c>
      <c r="N17" s="65">
        <f>dagwerk49</f>
        <v>0</v>
      </c>
      <c r="O17" s="61" t="s">
        <v>43</v>
      </c>
      <c r="P17" s="66">
        <f>uurtarief49</f>
        <v>0</v>
      </c>
      <c r="Q17" s="63" t="e">
        <f t="shared" si="1"/>
        <v>#DIV/0!</v>
      </c>
      <c r="R17" s="63" t="e">
        <f t="shared" si="2"/>
        <v>#DIV/0!</v>
      </c>
      <c r="S17" s="66" t="e">
        <f t="shared" si="3"/>
        <v>#DIV/0!</v>
      </c>
      <c r="T17" s="63" t="e">
        <f t="shared" si="4"/>
        <v>#DIV/0!</v>
      </c>
      <c r="U17" s="67" t="e">
        <f t="shared" si="5"/>
        <v>#DIV/0!</v>
      </c>
    </row>
    <row r="18" spans="1:21" x14ac:dyDescent="0.2">
      <c r="A18" s="60" t="s">
        <v>229</v>
      </c>
      <c r="B18" s="61" t="s">
        <v>230</v>
      </c>
      <c r="C18" s="61" t="s">
        <v>231</v>
      </c>
      <c r="D18" s="61" t="s">
        <v>260</v>
      </c>
      <c r="E18" s="62" t="s">
        <v>261</v>
      </c>
      <c r="F18" s="61" t="s">
        <v>238</v>
      </c>
      <c r="G18" s="61" t="s">
        <v>185</v>
      </c>
      <c r="H18" s="61" t="s">
        <v>20</v>
      </c>
      <c r="I18" s="61" t="s">
        <v>159</v>
      </c>
      <c r="J18" s="61" t="s">
        <v>235</v>
      </c>
      <c r="K18" s="63">
        <v>8.9</v>
      </c>
      <c r="L18" s="63">
        <f t="shared" si="0"/>
        <v>1.7800000000000002</v>
      </c>
      <c r="M18" s="64">
        <f>prodnorm41</f>
        <v>0</v>
      </c>
      <c r="N18" s="65">
        <f>dagwerk41</f>
        <v>0</v>
      </c>
      <c r="O18" s="61" t="s">
        <v>43</v>
      </c>
      <c r="P18" s="66">
        <f>uurtarief41</f>
        <v>0</v>
      </c>
      <c r="Q18" s="63" t="e">
        <f t="shared" si="1"/>
        <v>#DIV/0!</v>
      </c>
      <c r="R18" s="63" t="e">
        <f t="shared" si="2"/>
        <v>#DIV/0!</v>
      </c>
      <c r="S18" s="66" t="e">
        <f t="shared" si="3"/>
        <v>#DIV/0!</v>
      </c>
      <c r="T18" s="63" t="e">
        <f t="shared" si="4"/>
        <v>#DIV/0!</v>
      </c>
      <c r="U18" s="67" t="e">
        <f t="shared" si="5"/>
        <v>#DIV/0!</v>
      </c>
    </row>
    <row r="19" spans="1:21" x14ac:dyDescent="0.2">
      <c r="A19" s="60" t="s">
        <v>229</v>
      </c>
      <c r="B19" s="61" t="s">
        <v>230</v>
      </c>
      <c r="C19" s="61" t="s">
        <v>231</v>
      </c>
      <c r="D19" s="61" t="s">
        <v>262</v>
      </c>
      <c r="E19" s="62" t="s">
        <v>263</v>
      </c>
      <c r="F19" s="61" t="s">
        <v>264</v>
      </c>
      <c r="G19" s="61" t="s">
        <v>199</v>
      </c>
      <c r="H19" s="61" t="s">
        <v>11</v>
      </c>
      <c r="I19" s="61" t="s">
        <v>159</v>
      </c>
      <c r="J19" s="61" t="s">
        <v>235</v>
      </c>
      <c r="K19" s="63">
        <v>75.3</v>
      </c>
      <c r="L19" s="63">
        <f t="shared" si="0"/>
        <v>75.3</v>
      </c>
      <c r="M19" s="64">
        <f>prodnorm53</f>
        <v>0</v>
      </c>
      <c r="N19" s="65">
        <f>dagwerk53</f>
        <v>0</v>
      </c>
      <c r="O19" s="61" t="s">
        <v>43</v>
      </c>
      <c r="P19" s="66">
        <f>uurtarief53</f>
        <v>0</v>
      </c>
      <c r="Q19" s="63" t="e">
        <f t="shared" si="1"/>
        <v>#DIV/0!</v>
      </c>
      <c r="R19" s="63" t="e">
        <f t="shared" si="2"/>
        <v>#DIV/0!</v>
      </c>
      <c r="S19" s="66" t="e">
        <f t="shared" si="3"/>
        <v>#DIV/0!</v>
      </c>
      <c r="T19" s="63" t="e">
        <f t="shared" si="4"/>
        <v>#DIV/0!</v>
      </c>
      <c r="U19" s="67" t="e">
        <f t="shared" si="5"/>
        <v>#DIV/0!</v>
      </c>
    </row>
    <row r="20" spans="1:21" x14ac:dyDescent="0.2">
      <c r="A20" s="60" t="s">
        <v>229</v>
      </c>
      <c r="B20" s="61" t="s">
        <v>230</v>
      </c>
      <c r="C20" s="61" t="s">
        <v>231</v>
      </c>
      <c r="D20" s="61" t="s">
        <v>265</v>
      </c>
      <c r="E20" s="62" t="s">
        <v>266</v>
      </c>
      <c r="F20" s="61" t="s">
        <v>238</v>
      </c>
      <c r="G20" s="61" t="s">
        <v>199</v>
      </c>
      <c r="H20" s="61" t="s">
        <v>11</v>
      </c>
      <c r="I20" s="61" t="s">
        <v>159</v>
      </c>
      <c r="J20" s="61" t="s">
        <v>235</v>
      </c>
      <c r="K20" s="63">
        <v>56.2</v>
      </c>
      <c r="L20" s="63">
        <f t="shared" si="0"/>
        <v>56.2</v>
      </c>
      <c r="M20" s="64">
        <f>prodnorm53</f>
        <v>0</v>
      </c>
      <c r="N20" s="65">
        <f>dagwerk53</f>
        <v>0</v>
      </c>
      <c r="O20" s="61" t="s">
        <v>43</v>
      </c>
      <c r="P20" s="66">
        <f>uurtarief53</f>
        <v>0</v>
      </c>
      <c r="Q20" s="63" t="e">
        <f t="shared" si="1"/>
        <v>#DIV/0!</v>
      </c>
      <c r="R20" s="63" t="e">
        <f t="shared" si="2"/>
        <v>#DIV/0!</v>
      </c>
      <c r="S20" s="66" t="e">
        <f t="shared" si="3"/>
        <v>#DIV/0!</v>
      </c>
      <c r="T20" s="63" t="e">
        <f t="shared" si="4"/>
        <v>#DIV/0!</v>
      </c>
      <c r="U20" s="67" t="e">
        <f t="shared" si="5"/>
        <v>#DIV/0!</v>
      </c>
    </row>
    <row r="21" spans="1:21" x14ac:dyDescent="0.2">
      <c r="A21" s="60" t="s">
        <v>229</v>
      </c>
      <c r="B21" s="61" t="s">
        <v>230</v>
      </c>
      <c r="C21" s="61" t="s">
        <v>231</v>
      </c>
      <c r="D21" s="61" t="s">
        <v>267</v>
      </c>
      <c r="E21" s="62" t="s">
        <v>268</v>
      </c>
      <c r="F21" s="61" t="s">
        <v>242</v>
      </c>
      <c r="G21" s="61" t="s">
        <v>211</v>
      </c>
      <c r="H21" s="61" t="s">
        <v>11</v>
      </c>
      <c r="I21" s="61" t="s">
        <v>159</v>
      </c>
      <c r="J21" s="61" t="s">
        <v>235</v>
      </c>
      <c r="K21" s="63">
        <v>1.57</v>
      </c>
      <c r="L21" s="63">
        <f t="shared" si="0"/>
        <v>1.57</v>
      </c>
      <c r="M21" s="64">
        <f>prodnorm64</f>
        <v>0</v>
      </c>
      <c r="N21" s="65">
        <f>dagwerk64</f>
        <v>0</v>
      </c>
      <c r="O21" s="61" t="s">
        <v>43</v>
      </c>
      <c r="P21" s="66">
        <f>uurtarief64</f>
        <v>0</v>
      </c>
      <c r="Q21" s="63" t="e">
        <f t="shared" si="1"/>
        <v>#DIV/0!</v>
      </c>
      <c r="R21" s="63" t="e">
        <f t="shared" si="2"/>
        <v>#DIV/0!</v>
      </c>
      <c r="S21" s="66" t="e">
        <f t="shared" si="3"/>
        <v>#DIV/0!</v>
      </c>
      <c r="T21" s="63" t="e">
        <f t="shared" si="4"/>
        <v>#DIV/0!</v>
      </c>
      <c r="U21" s="67" t="e">
        <f t="shared" si="5"/>
        <v>#DIV/0!</v>
      </c>
    </row>
    <row r="22" spans="1:21" x14ac:dyDescent="0.2">
      <c r="A22" s="60" t="s">
        <v>229</v>
      </c>
      <c r="B22" s="61" t="s">
        <v>230</v>
      </c>
      <c r="C22" s="61" t="s">
        <v>231</v>
      </c>
      <c r="D22" s="61" t="s">
        <v>269</v>
      </c>
      <c r="E22" s="62" t="s">
        <v>249</v>
      </c>
      <c r="F22" s="61" t="s">
        <v>238</v>
      </c>
      <c r="G22" s="61" t="s">
        <v>175</v>
      </c>
      <c r="H22" s="61" t="s">
        <v>11</v>
      </c>
      <c r="I22" s="61" t="s">
        <v>159</v>
      </c>
      <c r="J22" s="61" t="s">
        <v>239</v>
      </c>
      <c r="K22" s="63">
        <v>56.8</v>
      </c>
      <c r="L22" s="63">
        <f t="shared" si="0"/>
        <v>56.8</v>
      </c>
      <c r="M22" s="64">
        <f>prodnorm31</f>
        <v>0</v>
      </c>
      <c r="N22" s="65">
        <f>dagwerk31</f>
        <v>0</v>
      </c>
      <c r="O22" s="61" t="s">
        <v>43</v>
      </c>
      <c r="P22" s="66">
        <f>uurtarief31</f>
        <v>0</v>
      </c>
      <c r="Q22" s="63" t="e">
        <f t="shared" si="1"/>
        <v>#DIV/0!</v>
      </c>
      <c r="R22" s="63" t="e">
        <f t="shared" si="2"/>
        <v>#DIV/0!</v>
      </c>
      <c r="S22" s="66" t="e">
        <f t="shared" si="3"/>
        <v>#DIV/0!</v>
      </c>
      <c r="T22" s="63" t="e">
        <f t="shared" si="4"/>
        <v>#DIV/0!</v>
      </c>
      <c r="U22" s="67" t="e">
        <f t="shared" si="5"/>
        <v>#DIV/0!</v>
      </c>
    </row>
    <row r="23" spans="1:21" x14ac:dyDescent="0.2">
      <c r="A23" s="60" t="s">
        <v>229</v>
      </c>
      <c r="B23" s="61" t="s">
        <v>230</v>
      </c>
      <c r="C23" s="61" t="s">
        <v>231</v>
      </c>
      <c r="D23" s="61" t="s">
        <v>270</v>
      </c>
      <c r="E23" s="62" t="s">
        <v>251</v>
      </c>
      <c r="F23" s="61" t="s">
        <v>242</v>
      </c>
      <c r="G23" s="61" t="s">
        <v>211</v>
      </c>
      <c r="H23" s="61" t="s">
        <v>11</v>
      </c>
      <c r="I23" s="61" t="s">
        <v>159</v>
      </c>
      <c r="J23" s="61" t="s">
        <v>235</v>
      </c>
      <c r="K23" s="63">
        <v>1.71</v>
      </c>
      <c r="L23" s="63">
        <f t="shared" si="0"/>
        <v>1.71</v>
      </c>
      <c r="M23" s="64">
        <f>prodnorm64</f>
        <v>0</v>
      </c>
      <c r="N23" s="65">
        <f>dagwerk64</f>
        <v>0</v>
      </c>
      <c r="O23" s="61" t="s">
        <v>43</v>
      </c>
      <c r="P23" s="66">
        <f>uurtarief64</f>
        <v>0</v>
      </c>
      <c r="Q23" s="63" t="e">
        <f t="shared" si="1"/>
        <v>#DIV/0!</v>
      </c>
      <c r="R23" s="63" t="e">
        <f t="shared" si="2"/>
        <v>#DIV/0!</v>
      </c>
      <c r="S23" s="66" t="e">
        <f t="shared" si="3"/>
        <v>#DIV/0!</v>
      </c>
      <c r="T23" s="63" t="e">
        <f t="shared" si="4"/>
        <v>#DIV/0!</v>
      </c>
      <c r="U23" s="67" t="e">
        <f t="shared" si="5"/>
        <v>#DIV/0!</v>
      </c>
    </row>
    <row r="24" spans="1:21" ht="25.5" x14ac:dyDescent="0.2">
      <c r="A24" s="60" t="s">
        <v>229</v>
      </c>
      <c r="B24" s="61" t="s">
        <v>230</v>
      </c>
      <c r="C24" s="61" t="s">
        <v>231</v>
      </c>
      <c r="D24" s="61" t="s">
        <v>271</v>
      </c>
      <c r="E24" s="62" t="s">
        <v>253</v>
      </c>
      <c r="F24" s="61" t="s">
        <v>238</v>
      </c>
      <c r="G24" s="61" t="s">
        <v>175</v>
      </c>
      <c r="H24" s="61" t="s">
        <v>11</v>
      </c>
      <c r="I24" s="61" t="s">
        <v>159</v>
      </c>
      <c r="J24" s="61" t="s">
        <v>239</v>
      </c>
      <c r="K24" s="63">
        <v>4.28</v>
      </c>
      <c r="L24" s="63">
        <f t="shared" si="0"/>
        <v>4.28</v>
      </c>
      <c r="M24" s="64">
        <f>prodnorm31</f>
        <v>0</v>
      </c>
      <c r="N24" s="65">
        <f>dagwerk31</f>
        <v>0</v>
      </c>
      <c r="O24" s="61" t="s">
        <v>43</v>
      </c>
      <c r="P24" s="66">
        <f>uurtarief31</f>
        <v>0</v>
      </c>
      <c r="Q24" s="63" t="e">
        <f t="shared" si="1"/>
        <v>#DIV/0!</v>
      </c>
      <c r="R24" s="63" t="e">
        <f t="shared" si="2"/>
        <v>#DIV/0!</v>
      </c>
      <c r="S24" s="66" t="e">
        <f t="shared" si="3"/>
        <v>#DIV/0!</v>
      </c>
      <c r="T24" s="63" t="e">
        <f t="shared" si="4"/>
        <v>#DIV/0!</v>
      </c>
      <c r="U24" s="67" t="e">
        <f t="shared" si="5"/>
        <v>#DIV/0!</v>
      </c>
    </row>
    <row r="25" spans="1:21" x14ac:dyDescent="0.2">
      <c r="A25" s="60" t="s">
        <v>229</v>
      </c>
      <c r="B25" s="61" t="s">
        <v>230</v>
      </c>
      <c r="C25" s="61" t="s">
        <v>231</v>
      </c>
      <c r="D25" s="61" t="s">
        <v>272</v>
      </c>
      <c r="E25" s="62" t="s">
        <v>237</v>
      </c>
      <c r="F25" s="61" t="s">
        <v>238</v>
      </c>
      <c r="G25" s="61" t="s">
        <v>175</v>
      </c>
      <c r="H25" s="61" t="s">
        <v>18</v>
      </c>
      <c r="I25" s="61" t="s">
        <v>159</v>
      </c>
      <c r="J25" s="61" t="s">
        <v>239</v>
      </c>
      <c r="K25" s="63">
        <v>56.8</v>
      </c>
      <c r="L25" s="63">
        <f t="shared" si="0"/>
        <v>22.72</v>
      </c>
      <c r="M25" s="64">
        <f>prodnorm33</f>
        <v>0</v>
      </c>
      <c r="N25" s="65">
        <f>dagwerk33</f>
        <v>0</v>
      </c>
      <c r="O25" s="61" t="s">
        <v>43</v>
      </c>
      <c r="P25" s="66">
        <f>uurtarief33</f>
        <v>0</v>
      </c>
      <c r="Q25" s="63" t="e">
        <f t="shared" si="1"/>
        <v>#DIV/0!</v>
      </c>
      <c r="R25" s="63" t="e">
        <f t="shared" si="2"/>
        <v>#DIV/0!</v>
      </c>
      <c r="S25" s="66" t="e">
        <f t="shared" si="3"/>
        <v>#DIV/0!</v>
      </c>
      <c r="T25" s="63" t="e">
        <f t="shared" si="4"/>
        <v>#DIV/0!</v>
      </c>
      <c r="U25" s="67" t="e">
        <f t="shared" si="5"/>
        <v>#DIV/0!</v>
      </c>
    </row>
    <row r="26" spans="1:21" x14ac:dyDescent="0.2">
      <c r="A26" s="60" t="s">
        <v>229</v>
      </c>
      <c r="B26" s="61" t="s">
        <v>230</v>
      </c>
      <c r="C26" s="61" t="s">
        <v>231</v>
      </c>
      <c r="D26" s="61" t="s">
        <v>273</v>
      </c>
      <c r="E26" s="62" t="s">
        <v>241</v>
      </c>
      <c r="F26" s="61" t="s">
        <v>242</v>
      </c>
      <c r="G26" s="61" t="s">
        <v>211</v>
      </c>
      <c r="H26" s="61" t="s">
        <v>18</v>
      </c>
      <c r="I26" s="61" t="s">
        <v>159</v>
      </c>
      <c r="J26" s="61" t="s">
        <v>235</v>
      </c>
      <c r="K26" s="63">
        <v>1.6900000000000002</v>
      </c>
      <c r="L26" s="63">
        <f t="shared" si="0"/>
        <v>0.67600000000000016</v>
      </c>
      <c r="M26" s="64">
        <f>prodnorm66</f>
        <v>0</v>
      </c>
      <c r="N26" s="65">
        <f>dagwerk66</f>
        <v>0</v>
      </c>
      <c r="O26" s="61" t="s">
        <v>43</v>
      </c>
      <c r="P26" s="66">
        <f>uurtarief66</f>
        <v>0</v>
      </c>
      <c r="Q26" s="63" t="e">
        <f t="shared" si="1"/>
        <v>#DIV/0!</v>
      </c>
      <c r="R26" s="63" t="e">
        <f t="shared" si="2"/>
        <v>#DIV/0!</v>
      </c>
      <c r="S26" s="66" t="e">
        <f t="shared" si="3"/>
        <v>#DIV/0!</v>
      </c>
      <c r="T26" s="63" t="e">
        <f t="shared" si="4"/>
        <v>#DIV/0!</v>
      </c>
      <c r="U26" s="67" t="e">
        <f t="shared" si="5"/>
        <v>#DIV/0!</v>
      </c>
    </row>
    <row r="27" spans="1:21" x14ac:dyDescent="0.2">
      <c r="A27" s="60" t="s">
        <v>229</v>
      </c>
      <c r="B27" s="61" t="s">
        <v>230</v>
      </c>
      <c r="C27" s="61" t="s">
        <v>231</v>
      </c>
      <c r="D27" s="61" t="s">
        <v>274</v>
      </c>
      <c r="E27" s="62" t="s">
        <v>244</v>
      </c>
      <c r="F27" s="61" t="s">
        <v>238</v>
      </c>
      <c r="G27" s="61" t="s">
        <v>175</v>
      </c>
      <c r="H27" s="61" t="s">
        <v>20</v>
      </c>
      <c r="I27" s="61" t="s">
        <v>159</v>
      </c>
      <c r="J27" s="61" t="s">
        <v>239</v>
      </c>
      <c r="K27" s="63">
        <v>4.28</v>
      </c>
      <c r="L27" s="63">
        <f t="shared" si="0"/>
        <v>0.85600000000000009</v>
      </c>
      <c r="M27" s="64">
        <f>prodnorm32</f>
        <v>0</v>
      </c>
      <c r="N27" s="65">
        <f>dagwerk32</f>
        <v>0</v>
      </c>
      <c r="O27" s="61" t="s">
        <v>43</v>
      </c>
      <c r="P27" s="66">
        <f>uurtarief32</f>
        <v>0</v>
      </c>
      <c r="Q27" s="63" t="e">
        <f t="shared" si="1"/>
        <v>#DIV/0!</v>
      </c>
      <c r="R27" s="63" t="e">
        <f t="shared" si="2"/>
        <v>#DIV/0!</v>
      </c>
      <c r="S27" s="66" t="e">
        <f t="shared" si="3"/>
        <v>#DIV/0!</v>
      </c>
      <c r="T27" s="63" t="e">
        <f t="shared" si="4"/>
        <v>#DIV/0!</v>
      </c>
      <c r="U27" s="67" t="e">
        <f t="shared" si="5"/>
        <v>#DIV/0!</v>
      </c>
    </row>
    <row r="28" spans="1:21" x14ac:dyDescent="0.2">
      <c r="A28" s="60" t="s">
        <v>229</v>
      </c>
      <c r="B28" s="61" t="s">
        <v>230</v>
      </c>
      <c r="C28" s="61" t="s">
        <v>231</v>
      </c>
      <c r="D28" s="61" t="s">
        <v>275</v>
      </c>
      <c r="E28" s="62" t="s">
        <v>237</v>
      </c>
      <c r="F28" s="61" t="s">
        <v>238</v>
      </c>
      <c r="G28" s="61" t="s">
        <v>175</v>
      </c>
      <c r="H28" s="61" t="s">
        <v>18</v>
      </c>
      <c r="I28" s="61" t="s">
        <v>159</v>
      </c>
      <c r="J28" s="61" t="s">
        <v>239</v>
      </c>
      <c r="K28" s="63">
        <v>56.8</v>
      </c>
      <c r="L28" s="63">
        <f t="shared" si="0"/>
        <v>22.72</v>
      </c>
      <c r="M28" s="64">
        <f>prodnorm33</f>
        <v>0</v>
      </c>
      <c r="N28" s="65">
        <f>dagwerk33</f>
        <v>0</v>
      </c>
      <c r="O28" s="61" t="s">
        <v>43</v>
      </c>
      <c r="P28" s="66">
        <f>uurtarief33</f>
        <v>0</v>
      </c>
      <c r="Q28" s="63" t="e">
        <f t="shared" si="1"/>
        <v>#DIV/0!</v>
      </c>
      <c r="R28" s="63" t="e">
        <f t="shared" si="2"/>
        <v>#DIV/0!</v>
      </c>
      <c r="S28" s="66" t="e">
        <f t="shared" si="3"/>
        <v>#DIV/0!</v>
      </c>
      <c r="T28" s="63" t="e">
        <f t="shared" si="4"/>
        <v>#DIV/0!</v>
      </c>
      <c r="U28" s="67" t="e">
        <f t="shared" si="5"/>
        <v>#DIV/0!</v>
      </c>
    </row>
    <row r="29" spans="1:21" x14ac:dyDescent="0.2">
      <c r="A29" s="60" t="s">
        <v>229</v>
      </c>
      <c r="B29" s="61" t="s">
        <v>230</v>
      </c>
      <c r="C29" s="61" t="s">
        <v>231</v>
      </c>
      <c r="D29" s="61" t="s">
        <v>276</v>
      </c>
      <c r="E29" s="62" t="s">
        <v>241</v>
      </c>
      <c r="F29" s="61" t="s">
        <v>242</v>
      </c>
      <c r="G29" s="61" t="s">
        <v>211</v>
      </c>
      <c r="H29" s="61" t="s">
        <v>18</v>
      </c>
      <c r="I29" s="61" t="s">
        <v>159</v>
      </c>
      <c r="J29" s="61" t="s">
        <v>235</v>
      </c>
      <c r="K29" s="63">
        <v>1.6900000000000002</v>
      </c>
      <c r="L29" s="63">
        <f t="shared" si="0"/>
        <v>0.67600000000000016</v>
      </c>
      <c r="M29" s="64">
        <f>prodnorm66</f>
        <v>0</v>
      </c>
      <c r="N29" s="65">
        <f>dagwerk66</f>
        <v>0</v>
      </c>
      <c r="O29" s="61" t="s">
        <v>43</v>
      </c>
      <c r="P29" s="66">
        <f>uurtarief66</f>
        <v>0</v>
      </c>
      <c r="Q29" s="63" t="e">
        <f t="shared" si="1"/>
        <v>#DIV/0!</v>
      </c>
      <c r="R29" s="63" t="e">
        <f t="shared" si="2"/>
        <v>#DIV/0!</v>
      </c>
      <c r="S29" s="66" t="e">
        <f t="shared" si="3"/>
        <v>#DIV/0!</v>
      </c>
      <c r="T29" s="63" t="e">
        <f t="shared" si="4"/>
        <v>#DIV/0!</v>
      </c>
      <c r="U29" s="67" t="e">
        <f t="shared" si="5"/>
        <v>#DIV/0!</v>
      </c>
    </row>
    <row r="30" spans="1:21" x14ac:dyDescent="0.2">
      <c r="A30" s="60" t="s">
        <v>229</v>
      </c>
      <c r="B30" s="61" t="s">
        <v>230</v>
      </c>
      <c r="C30" s="61" t="s">
        <v>231</v>
      </c>
      <c r="D30" s="61" t="s">
        <v>277</v>
      </c>
      <c r="E30" s="62" t="s">
        <v>244</v>
      </c>
      <c r="F30" s="61" t="s">
        <v>238</v>
      </c>
      <c r="G30" s="61" t="s">
        <v>175</v>
      </c>
      <c r="H30" s="61" t="s">
        <v>20</v>
      </c>
      <c r="I30" s="61" t="s">
        <v>159</v>
      </c>
      <c r="J30" s="61" t="s">
        <v>239</v>
      </c>
      <c r="K30" s="63">
        <v>4.28</v>
      </c>
      <c r="L30" s="63">
        <f t="shared" si="0"/>
        <v>0.85600000000000009</v>
      </c>
      <c r="M30" s="64">
        <f>prodnorm32</f>
        <v>0</v>
      </c>
      <c r="N30" s="65">
        <f>dagwerk32</f>
        <v>0</v>
      </c>
      <c r="O30" s="61" t="s">
        <v>43</v>
      </c>
      <c r="P30" s="66">
        <f>uurtarief32</f>
        <v>0</v>
      </c>
      <c r="Q30" s="63" t="e">
        <f t="shared" si="1"/>
        <v>#DIV/0!</v>
      </c>
      <c r="R30" s="63" t="e">
        <f t="shared" si="2"/>
        <v>#DIV/0!</v>
      </c>
      <c r="S30" s="66" t="e">
        <f t="shared" si="3"/>
        <v>#DIV/0!</v>
      </c>
      <c r="T30" s="63" t="e">
        <f t="shared" si="4"/>
        <v>#DIV/0!</v>
      </c>
      <c r="U30" s="67" t="e">
        <f t="shared" si="5"/>
        <v>#DIV/0!</v>
      </c>
    </row>
    <row r="31" spans="1:21" x14ac:dyDescent="0.2">
      <c r="A31" s="60" t="s">
        <v>229</v>
      </c>
      <c r="B31" s="61" t="s">
        <v>230</v>
      </c>
      <c r="C31" s="61" t="s">
        <v>231</v>
      </c>
      <c r="D31" s="61" t="s">
        <v>278</v>
      </c>
      <c r="E31" s="62" t="s">
        <v>279</v>
      </c>
      <c r="F31" s="61" t="s">
        <v>238</v>
      </c>
      <c r="G31" s="61" t="s">
        <v>169</v>
      </c>
      <c r="H31" s="61" t="s">
        <v>11</v>
      </c>
      <c r="I31" s="61" t="s">
        <v>159</v>
      </c>
      <c r="J31" s="61" t="s">
        <v>235</v>
      </c>
      <c r="K31" s="63">
        <v>38.200000000000003</v>
      </c>
      <c r="L31" s="63">
        <f t="shared" si="0"/>
        <v>38.200000000000003</v>
      </c>
      <c r="M31" s="64">
        <f>prodnorm25</f>
        <v>0</v>
      </c>
      <c r="N31" s="65">
        <f>dagwerk25</f>
        <v>0</v>
      </c>
      <c r="O31" s="61" t="s">
        <v>43</v>
      </c>
      <c r="P31" s="66">
        <f>uurtarief25</f>
        <v>0</v>
      </c>
      <c r="Q31" s="63" t="e">
        <f t="shared" si="1"/>
        <v>#DIV/0!</v>
      </c>
      <c r="R31" s="63" t="e">
        <f t="shared" si="2"/>
        <v>#DIV/0!</v>
      </c>
      <c r="S31" s="66" t="e">
        <f t="shared" si="3"/>
        <v>#DIV/0!</v>
      </c>
      <c r="T31" s="63" t="e">
        <f t="shared" si="4"/>
        <v>#DIV/0!</v>
      </c>
      <c r="U31" s="67" t="e">
        <f t="shared" si="5"/>
        <v>#DIV/0!</v>
      </c>
    </row>
    <row r="32" spans="1:21" x14ac:dyDescent="0.2">
      <c r="A32" s="60" t="s">
        <v>229</v>
      </c>
      <c r="B32" s="61" t="s">
        <v>230</v>
      </c>
      <c r="C32" s="61" t="s">
        <v>231</v>
      </c>
      <c r="D32" s="61" t="s">
        <v>280</v>
      </c>
      <c r="E32" s="62" t="s">
        <v>281</v>
      </c>
      <c r="F32" s="61" t="s">
        <v>238</v>
      </c>
      <c r="G32" s="61" t="s">
        <v>158</v>
      </c>
      <c r="H32" s="61" t="s">
        <v>20</v>
      </c>
      <c r="I32" s="61" t="s">
        <v>159</v>
      </c>
      <c r="J32" s="61" t="s">
        <v>282</v>
      </c>
      <c r="K32" s="63">
        <v>7</v>
      </c>
      <c r="L32" s="63">
        <f t="shared" si="0"/>
        <v>1.4000000000000001</v>
      </c>
      <c r="M32" s="64">
        <f>prodnorm15</f>
        <v>0</v>
      </c>
      <c r="N32" s="65">
        <f>dagwerk15</f>
        <v>0</v>
      </c>
      <c r="O32" s="61" t="s">
        <v>43</v>
      </c>
      <c r="P32" s="66">
        <f>uurtarief15</f>
        <v>0</v>
      </c>
      <c r="Q32" s="63" t="e">
        <f t="shared" si="1"/>
        <v>#DIV/0!</v>
      </c>
      <c r="R32" s="63" t="e">
        <f t="shared" si="2"/>
        <v>#DIV/0!</v>
      </c>
      <c r="S32" s="66" t="e">
        <f t="shared" si="3"/>
        <v>#DIV/0!</v>
      </c>
      <c r="T32" s="63" t="e">
        <f t="shared" si="4"/>
        <v>#DIV/0!</v>
      </c>
      <c r="U32" s="67" t="e">
        <f t="shared" si="5"/>
        <v>#DIV/0!</v>
      </c>
    </row>
    <row r="33" spans="1:21" x14ac:dyDescent="0.2">
      <c r="A33" s="60" t="s">
        <v>229</v>
      </c>
      <c r="B33" s="61" t="s">
        <v>230</v>
      </c>
      <c r="C33" s="61" t="s">
        <v>231</v>
      </c>
      <c r="D33" s="61" t="s">
        <v>283</v>
      </c>
      <c r="E33" s="62" t="s">
        <v>237</v>
      </c>
      <c r="F33" s="61" t="s">
        <v>238</v>
      </c>
      <c r="G33" s="61" t="s">
        <v>175</v>
      </c>
      <c r="H33" s="61" t="s">
        <v>18</v>
      </c>
      <c r="I33" s="61" t="s">
        <v>159</v>
      </c>
      <c r="J33" s="61" t="s">
        <v>239</v>
      </c>
      <c r="K33" s="63">
        <v>56</v>
      </c>
      <c r="L33" s="63">
        <f t="shared" si="0"/>
        <v>22.400000000000002</v>
      </c>
      <c r="M33" s="64">
        <f>prodnorm33</f>
        <v>0</v>
      </c>
      <c r="N33" s="65">
        <f>dagwerk33</f>
        <v>0</v>
      </c>
      <c r="O33" s="61" t="s">
        <v>43</v>
      </c>
      <c r="P33" s="66">
        <f>uurtarief33</f>
        <v>0</v>
      </c>
      <c r="Q33" s="63" t="e">
        <f t="shared" si="1"/>
        <v>#DIV/0!</v>
      </c>
      <c r="R33" s="63" t="e">
        <f t="shared" si="2"/>
        <v>#DIV/0!</v>
      </c>
      <c r="S33" s="66" t="e">
        <f t="shared" si="3"/>
        <v>#DIV/0!</v>
      </c>
      <c r="T33" s="63" t="e">
        <f t="shared" si="4"/>
        <v>#DIV/0!</v>
      </c>
      <c r="U33" s="67" t="e">
        <f t="shared" si="5"/>
        <v>#DIV/0!</v>
      </c>
    </row>
    <row r="34" spans="1:21" x14ac:dyDescent="0.2">
      <c r="A34" s="60" t="s">
        <v>229</v>
      </c>
      <c r="B34" s="61" t="s">
        <v>230</v>
      </c>
      <c r="C34" s="61" t="s">
        <v>231</v>
      </c>
      <c r="D34" s="61" t="s">
        <v>284</v>
      </c>
      <c r="E34" s="62" t="s">
        <v>255</v>
      </c>
      <c r="F34" s="61" t="s">
        <v>256</v>
      </c>
      <c r="G34" s="61" t="s">
        <v>195</v>
      </c>
      <c r="H34" s="61" t="s">
        <v>11</v>
      </c>
      <c r="I34" s="61" t="s">
        <v>159</v>
      </c>
      <c r="J34" s="61" t="s">
        <v>257</v>
      </c>
      <c r="K34" s="63">
        <v>4.9000000000000004</v>
      </c>
      <c r="L34" s="63">
        <f t="shared" si="0"/>
        <v>4.9000000000000004</v>
      </c>
      <c r="M34" s="64">
        <f>prodnorm49</f>
        <v>0</v>
      </c>
      <c r="N34" s="65">
        <f>dagwerk49</f>
        <v>0</v>
      </c>
      <c r="O34" s="61" t="s">
        <v>43</v>
      </c>
      <c r="P34" s="66">
        <f>uurtarief49</f>
        <v>0</v>
      </c>
      <c r="Q34" s="63" t="e">
        <f t="shared" si="1"/>
        <v>#DIV/0!</v>
      </c>
      <c r="R34" s="63" t="e">
        <f t="shared" si="2"/>
        <v>#DIV/0!</v>
      </c>
      <c r="S34" s="66" t="e">
        <f t="shared" si="3"/>
        <v>#DIV/0!</v>
      </c>
      <c r="T34" s="63" t="e">
        <f t="shared" si="4"/>
        <v>#DIV/0!</v>
      </c>
      <c r="U34" s="67" t="e">
        <f t="shared" si="5"/>
        <v>#DIV/0!</v>
      </c>
    </row>
    <row r="35" spans="1:21" x14ac:dyDescent="0.2">
      <c r="A35" s="60" t="s">
        <v>229</v>
      </c>
      <c r="B35" s="61" t="s">
        <v>230</v>
      </c>
      <c r="C35" s="61" t="s">
        <v>231</v>
      </c>
      <c r="D35" s="61" t="s">
        <v>285</v>
      </c>
      <c r="E35" s="62" t="s">
        <v>237</v>
      </c>
      <c r="F35" s="61" t="s">
        <v>238</v>
      </c>
      <c r="G35" s="61" t="s">
        <v>175</v>
      </c>
      <c r="H35" s="61" t="s">
        <v>18</v>
      </c>
      <c r="I35" s="61" t="s">
        <v>159</v>
      </c>
      <c r="J35" s="61" t="s">
        <v>239</v>
      </c>
      <c r="K35" s="63">
        <v>58.2</v>
      </c>
      <c r="L35" s="63">
        <f t="shared" si="0"/>
        <v>23.28</v>
      </c>
      <c r="M35" s="64">
        <f>prodnorm33</f>
        <v>0</v>
      </c>
      <c r="N35" s="65">
        <f>dagwerk33</f>
        <v>0</v>
      </c>
      <c r="O35" s="61" t="s">
        <v>43</v>
      </c>
      <c r="P35" s="66">
        <f>uurtarief33</f>
        <v>0</v>
      </c>
      <c r="Q35" s="63" t="e">
        <f t="shared" si="1"/>
        <v>#DIV/0!</v>
      </c>
      <c r="R35" s="63" t="e">
        <f t="shared" si="2"/>
        <v>#DIV/0!</v>
      </c>
      <c r="S35" s="66" t="e">
        <f t="shared" si="3"/>
        <v>#DIV/0!</v>
      </c>
      <c r="T35" s="63" t="e">
        <f t="shared" si="4"/>
        <v>#DIV/0!</v>
      </c>
      <c r="U35" s="67" t="e">
        <f t="shared" si="5"/>
        <v>#DIV/0!</v>
      </c>
    </row>
    <row r="36" spans="1:21" x14ac:dyDescent="0.2">
      <c r="A36" s="60" t="s">
        <v>229</v>
      </c>
      <c r="B36" s="61" t="s">
        <v>230</v>
      </c>
      <c r="C36" s="61" t="s">
        <v>231</v>
      </c>
      <c r="D36" s="61" t="s">
        <v>286</v>
      </c>
      <c r="E36" s="62" t="s">
        <v>255</v>
      </c>
      <c r="F36" s="61" t="s">
        <v>256</v>
      </c>
      <c r="G36" s="61" t="s">
        <v>195</v>
      </c>
      <c r="H36" s="61" t="s">
        <v>11</v>
      </c>
      <c r="I36" s="61" t="s">
        <v>159</v>
      </c>
      <c r="J36" s="61" t="s">
        <v>257</v>
      </c>
      <c r="K36" s="63">
        <v>4.9000000000000004</v>
      </c>
      <c r="L36" s="63">
        <f t="shared" si="0"/>
        <v>4.9000000000000004</v>
      </c>
      <c r="M36" s="64">
        <f>prodnorm49</f>
        <v>0</v>
      </c>
      <c r="N36" s="65">
        <f>dagwerk49</f>
        <v>0</v>
      </c>
      <c r="O36" s="61" t="s">
        <v>43</v>
      </c>
      <c r="P36" s="66">
        <f>uurtarief49</f>
        <v>0</v>
      </c>
      <c r="Q36" s="63" t="e">
        <f t="shared" si="1"/>
        <v>#DIV/0!</v>
      </c>
      <c r="R36" s="63" t="e">
        <f t="shared" si="2"/>
        <v>#DIV/0!</v>
      </c>
      <c r="S36" s="66" t="e">
        <f t="shared" si="3"/>
        <v>#DIV/0!</v>
      </c>
      <c r="T36" s="63" t="e">
        <f t="shared" si="4"/>
        <v>#DIV/0!</v>
      </c>
      <c r="U36" s="67" t="e">
        <f t="shared" si="5"/>
        <v>#DIV/0!</v>
      </c>
    </row>
    <row r="37" spans="1:21" x14ac:dyDescent="0.2">
      <c r="A37" s="60" t="s">
        <v>229</v>
      </c>
      <c r="B37" s="61" t="s">
        <v>230</v>
      </c>
      <c r="C37" s="61" t="s">
        <v>231</v>
      </c>
      <c r="D37" s="61" t="s">
        <v>287</v>
      </c>
      <c r="E37" s="62" t="s">
        <v>237</v>
      </c>
      <c r="F37" s="61" t="s">
        <v>238</v>
      </c>
      <c r="G37" s="61" t="s">
        <v>175</v>
      </c>
      <c r="H37" s="61" t="s">
        <v>18</v>
      </c>
      <c r="I37" s="61" t="s">
        <v>159</v>
      </c>
      <c r="J37" s="61" t="s">
        <v>239</v>
      </c>
      <c r="K37" s="63">
        <v>56</v>
      </c>
      <c r="L37" s="63">
        <f t="shared" ref="L37:L68" si="6">K37*VLOOKUP(H37,dagsoorttabel1,2,FALSE)</f>
        <v>22.400000000000002</v>
      </c>
      <c r="M37" s="64">
        <f>prodnorm33</f>
        <v>0</v>
      </c>
      <c r="N37" s="65">
        <f>dagwerk33</f>
        <v>0</v>
      </c>
      <c r="O37" s="61" t="s">
        <v>43</v>
      </c>
      <c r="P37" s="66">
        <f>uurtarief33</f>
        <v>0</v>
      </c>
      <c r="Q37" s="63" t="e">
        <f t="shared" ref="Q37:Q58" si="7">IF(ISBLANK(M37),0,L37/ROUND(M37,4))</f>
        <v>#DIV/0!</v>
      </c>
      <c r="R37" s="63" t="e">
        <f t="shared" ref="R37:R68" si="8">IF(ISBLANK(M37),0,Q37*ROUND(N37,2))</f>
        <v>#DIV/0!</v>
      </c>
      <c r="S37" s="66" t="e">
        <f t="shared" ref="S37:S58" si="9">ROUND(P37,2)*Q37</f>
        <v>#DIV/0!</v>
      </c>
      <c r="T37" s="63" t="e">
        <f t="shared" ref="T37:T58" si="10">Q37*dagenperjaar1</f>
        <v>#DIV/0!</v>
      </c>
      <c r="U37" s="67" t="e">
        <f t="shared" ref="U37:U68" si="11">T37*ROUND(P37,2)</f>
        <v>#DIV/0!</v>
      </c>
    </row>
    <row r="38" spans="1:21" x14ac:dyDescent="0.2">
      <c r="A38" s="60" t="s">
        <v>229</v>
      </c>
      <c r="B38" s="61" t="s">
        <v>230</v>
      </c>
      <c r="C38" s="61" t="s">
        <v>231</v>
      </c>
      <c r="D38" s="61" t="s">
        <v>288</v>
      </c>
      <c r="E38" s="62" t="s">
        <v>281</v>
      </c>
      <c r="F38" s="61" t="s">
        <v>238</v>
      </c>
      <c r="G38" s="61" t="s">
        <v>158</v>
      </c>
      <c r="H38" s="61" t="s">
        <v>20</v>
      </c>
      <c r="I38" s="61" t="s">
        <v>159</v>
      </c>
      <c r="J38" s="61" t="s">
        <v>282</v>
      </c>
      <c r="K38" s="63">
        <v>6.5</v>
      </c>
      <c r="L38" s="63">
        <f t="shared" si="6"/>
        <v>1.3</v>
      </c>
      <c r="M38" s="64">
        <f>prodnorm15</f>
        <v>0</v>
      </c>
      <c r="N38" s="65">
        <f>dagwerk15</f>
        <v>0</v>
      </c>
      <c r="O38" s="61" t="s">
        <v>43</v>
      </c>
      <c r="P38" s="66">
        <f>uurtarief15</f>
        <v>0</v>
      </c>
      <c r="Q38" s="63" t="e">
        <f t="shared" si="7"/>
        <v>#DIV/0!</v>
      </c>
      <c r="R38" s="63" t="e">
        <f t="shared" si="8"/>
        <v>#DIV/0!</v>
      </c>
      <c r="S38" s="66" t="e">
        <f t="shared" si="9"/>
        <v>#DIV/0!</v>
      </c>
      <c r="T38" s="63" t="e">
        <f t="shared" si="10"/>
        <v>#DIV/0!</v>
      </c>
      <c r="U38" s="67" t="e">
        <f t="shared" si="11"/>
        <v>#DIV/0!</v>
      </c>
    </row>
    <row r="39" spans="1:21" x14ac:dyDescent="0.2">
      <c r="A39" s="60" t="s">
        <v>229</v>
      </c>
      <c r="B39" s="61" t="s">
        <v>230</v>
      </c>
      <c r="C39" s="61" t="s">
        <v>231</v>
      </c>
      <c r="D39" s="61" t="s">
        <v>289</v>
      </c>
      <c r="E39" s="62" t="s">
        <v>290</v>
      </c>
      <c r="F39" s="61" t="s">
        <v>238</v>
      </c>
      <c r="G39" s="61" t="s">
        <v>158</v>
      </c>
      <c r="H39" s="61" t="s">
        <v>20</v>
      </c>
      <c r="I39" s="61" t="s">
        <v>159</v>
      </c>
      <c r="J39" s="61" t="s">
        <v>282</v>
      </c>
      <c r="K39" s="63">
        <v>15.3</v>
      </c>
      <c r="L39" s="63">
        <f t="shared" si="6"/>
        <v>3.0600000000000005</v>
      </c>
      <c r="M39" s="64">
        <f>prodnorm15</f>
        <v>0</v>
      </c>
      <c r="N39" s="65">
        <f>dagwerk15</f>
        <v>0</v>
      </c>
      <c r="O39" s="61" t="s">
        <v>43</v>
      </c>
      <c r="P39" s="66">
        <f>uurtarief15</f>
        <v>0</v>
      </c>
      <c r="Q39" s="63" t="e">
        <f t="shared" si="7"/>
        <v>#DIV/0!</v>
      </c>
      <c r="R39" s="63" t="e">
        <f t="shared" si="8"/>
        <v>#DIV/0!</v>
      </c>
      <c r="S39" s="66" t="e">
        <f t="shared" si="9"/>
        <v>#DIV/0!</v>
      </c>
      <c r="T39" s="63" t="e">
        <f t="shared" si="10"/>
        <v>#DIV/0!</v>
      </c>
      <c r="U39" s="67" t="e">
        <f t="shared" si="11"/>
        <v>#DIV/0!</v>
      </c>
    </row>
    <row r="40" spans="1:21" x14ac:dyDescent="0.2">
      <c r="A40" s="60" t="s">
        <v>229</v>
      </c>
      <c r="B40" s="61" t="s">
        <v>230</v>
      </c>
      <c r="C40" s="61" t="s">
        <v>231</v>
      </c>
      <c r="D40" s="61" t="s">
        <v>291</v>
      </c>
      <c r="E40" s="62" t="s">
        <v>281</v>
      </c>
      <c r="F40" s="61" t="s">
        <v>238</v>
      </c>
      <c r="G40" s="61" t="s">
        <v>158</v>
      </c>
      <c r="H40" s="61" t="s">
        <v>20</v>
      </c>
      <c r="I40" s="61" t="s">
        <v>159</v>
      </c>
      <c r="J40" s="61" t="s">
        <v>282</v>
      </c>
      <c r="K40" s="63">
        <v>9.1999999999999993</v>
      </c>
      <c r="L40" s="63">
        <f t="shared" si="6"/>
        <v>1.8399999999999999</v>
      </c>
      <c r="M40" s="64">
        <f>prodnorm15</f>
        <v>0</v>
      </c>
      <c r="N40" s="65">
        <f>dagwerk15</f>
        <v>0</v>
      </c>
      <c r="O40" s="61" t="s">
        <v>43</v>
      </c>
      <c r="P40" s="66">
        <f>uurtarief15</f>
        <v>0</v>
      </c>
      <c r="Q40" s="63" t="e">
        <f t="shared" si="7"/>
        <v>#DIV/0!</v>
      </c>
      <c r="R40" s="63" t="e">
        <f t="shared" si="8"/>
        <v>#DIV/0!</v>
      </c>
      <c r="S40" s="66" t="e">
        <f t="shared" si="9"/>
        <v>#DIV/0!</v>
      </c>
      <c r="T40" s="63" t="e">
        <f t="shared" si="10"/>
        <v>#DIV/0!</v>
      </c>
      <c r="U40" s="67" t="e">
        <f t="shared" si="11"/>
        <v>#DIV/0!</v>
      </c>
    </row>
    <row r="41" spans="1:21" x14ac:dyDescent="0.2">
      <c r="A41" s="60" t="s">
        <v>229</v>
      </c>
      <c r="B41" s="61" t="s">
        <v>230</v>
      </c>
      <c r="C41" s="61" t="s">
        <v>231</v>
      </c>
      <c r="D41" s="61" t="s">
        <v>292</v>
      </c>
      <c r="E41" s="62" t="s">
        <v>293</v>
      </c>
      <c r="F41" s="61" t="s">
        <v>238</v>
      </c>
      <c r="G41" s="61" t="s">
        <v>173</v>
      </c>
      <c r="H41" s="61" t="s">
        <v>11</v>
      </c>
      <c r="I41" s="61" t="s">
        <v>159</v>
      </c>
      <c r="J41" s="61" t="s">
        <v>235</v>
      </c>
      <c r="K41" s="63">
        <v>4.4000000000000004</v>
      </c>
      <c r="L41" s="63">
        <f t="shared" si="6"/>
        <v>4.4000000000000004</v>
      </c>
      <c r="M41" s="64">
        <f>prodnorm28</f>
        <v>0</v>
      </c>
      <c r="N41" s="65">
        <f>dagwerk28</f>
        <v>0</v>
      </c>
      <c r="O41" s="61" t="s">
        <v>43</v>
      </c>
      <c r="P41" s="66">
        <f>uurtarief28</f>
        <v>0</v>
      </c>
      <c r="Q41" s="63" t="e">
        <f t="shared" si="7"/>
        <v>#DIV/0!</v>
      </c>
      <c r="R41" s="63" t="e">
        <f t="shared" si="8"/>
        <v>#DIV/0!</v>
      </c>
      <c r="S41" s="66" t="e">
        <f t="shared" si="9"/>
        <v>#DIV/0!</v>
      </c>
      <c r="T41" s="63" t="e">
        <f t="shared" si="10"/>
        <v>#DIV/0!</v>
      </c>
      <c r="U41" s="67" t="e">
        <f t="shared" si="11"/>
        <v>#DIV/0!</v>
      </c>
    </row>
    <row r="42" spans="1:21" x14ac:dyDescent="0.2">
      <c r="A42" s="60" t="s">
        <v>229</v>
      </c>
      <c r="B42" s="61" t="s">
        <v>230</v>
      </c>
      <c r="C42" s="61" t="s">
        <v>231</v>
      </c>
      <c r="D42" s="61" t="s">
        <v>294</v>
      </c>
      <c r="E42" s="62" t="s">
        <v>255</v>
      </c>
      <c r="F42" s="61" t="s">
        <v>256</v>
      </c>
      <c r="G42" s="61" t="s">
        <v>195</v>
      </c>
      <c r="H42" s="61" t="s">
        <v>11</v>
      </c>
      <c r="I42" s="61" t="s">
        <v>159</v>
      </c>
      <c r="J42" s="61" t="s">
        <v>257</v>
      </c>
      <c r="K42" s="63">
        <v>2.1</v>
      </c>
      <c r="L42" s="63">
        <f t="shared" si="6"/>
        <v>2.1</v>
      </c>
      <c r="M42" s="64">
        <f>prodnorm49</f>
        <v>0</v>
      </c>
      <c r="N42" s="65">
        <f>dagwerk49</f>
        <v>0</v>
      </c>
      <c r="O42" s="61" t="s">
        <v>43</v>
      </c>
      <c r="P42" s="66">
        <f>uurtarief49</f>
        <v>0</v>
      </c>
      <c r="Q42" s="63" t="e">
        <f t="shared" si="7"/>
        <v>#DIV/0!</v>
      </c>
      <c r="R42" s="63" t="e">
        <f t="shared" si="8"/>
        <v>#DIV/0!</v>
      </c>
      <c r="S42" s="66" t="e">
        <f t="shared" si="9"/>
        <v>#DIV/0!</v>
      </c>
      <c r="T42" s="63" t="e">
        <f t="shared" si="10"/>
        <v>#DIV/0!</v>
      </c>
      <c r="U42" s="67" t="e">
        <f t="shared" si="11"/>
        <v>#DIV/0!</v>
      </c>
    </row>
    <row r="43" spans="1:21" x14ac:dyDescent="0.2">
      <c r="A43" s="60" t="s">
        <v>229</v>
      </c>
      <c r="B43" s="61" t="s">
        <v>230</v>
      </c>
      <c r="C43" s="61" t="s">
        <v>231</v>
      </c>
      <c r="D43" s="61" t="s">
        <v>295</v>
      </c>
      <c r="E43" s="62" t="s">
        <v>296</v>
      </c>
      <c r="F43" s="61" t="s">
        <v>297</v>
      </c>
      <c r="G43" s="61" t="s">
        <v>195</v>
      </c>
      <c r="H43" s="61" t="s">
        <v>11</v>
      </c>
      <c r="I43" s="61" t="s">
        <v>159</v>
      </c>
      <c r="J43" s="61" t="s">
        <v>257</v>
      </c>
      <c r="K43" s="63">
        <v>2.9</v>
      </c>
      <c r="L43" s="63">
        <f t="shared" si="6"/>
        <v>2.9</v>
      </c>
      <c r="M43" s="64">
        <f>prodnorm49</f>
        <v>0</v>
      </c>
      <c r="N43" s="65">
        <f>dagwerk49</f>
        <v>0</v>
      </c>
      <c r="O43" s="61" t="s">
        <v>43</v>
      </c>
      <c r="P43" s="66">
        <f>uurtarief49</f>
        <v>0</v>
      </c>
      <c r="Q43" s="63" t="e">
        <f t="shared" si="7"/>
        <v>#DIV/0!</v>
      </c>
      <c r="R43" s="63" t="e">
        <f t="shared" si="8"/>
        <v>#DIV/0!</v>
      </c>
      <c r="S43" s="66" t="e">
        <f t="shared" si="9"/>
        <v>#DIV/0!</v>
      </c>
      <c r="T43" s="63" t="e">
        <f t="shared" si="10"/>
        <v>#DIV/0!</v>
      </c>
      <c r="U43" s="67" t="e">
        <f t="shared" si="11"/>
        <v>#DIV/0!</v>
      </c>
    </row>
    <row r="44" spans="1:21" x14ac:dyDescent="0.2">
      <c r="A44" s="60" t="s">
        <v>229</v>
      </c>
      <c r="B44" s="61" t="s">
        <v>230</v>
      </c>
      <c r="C44" s="61" t="s">
        <v>231</v>
      </c>
      <c r="D44" s="61" t="s">
        <v>298</v>
      </c>
      <c r="E44" s="62" t="s">
        <v>299</v>
      </c>
      <c r="F44" s="61" t="s">
        <v>300</v>
      </c>
      <c r="G44" s="61" t="s">
        <v>163</v>
      </c>
      <c r="H44" s="61" t="s">
        <v>11</v>
      </c>
      <c r="I44" s="61" t="s">
        <v>159</v>
      </c>
      <c r="J44" s="61" t="s">
        <v>235</v>
      </c>
      <c r="K44" s="63">
        <v>85.3</v>
      </c>
      <c r="L44" s="63">
        <f t="shared" si="6"/>
        <v>85.3</v>
      </c>
      <c r="M44" s="64">
        <f>prodnorm21</f>
        <v>0</v>
      </c>
      <c r="N44" s="65">
        <f>dagwerk21</f>
        <v>0</v>
      </c>
      <c r="O44" s="61" t="s">
        <v>43</v>
      </c>
      <c r="P44" s="66">
        <f>uurtarief21</f>
        <v>0</v>
      </c>
      <c r="Q44" s="63" t="e">
        <f t="shared" si="7"/>
        <v>#DIV/0!</v>
      </c>
      <c r="R44" s="63" t="e">
        <f t="shared" si="8"/>
        <v>#DIV/0!</v>
      </c>
      <c r="S44" s="66" t="e">
        <f t="shared" si="9"/>
        <v>#DIV/0!</v>
      </c>
      <c r="T44" s="63" t="e">
        <f t="shared" si="10"/>
        <v>#DIV/0!</v>
      </c>
      <c r="U44" s="67" t="e">
        <f t="shared" si="11"/>
        <v>#DIV/0!</v>
      </c>
    </row>
    <row r="45" spans="1:21" x14ac:dyDescent="0.2">
      <c r="A45" s="60" t="s">
        <v>229</v>
      </c>
      <c r="B45" s="61" t="s">
        <v>230</v>
      </c>
      <c r="C45" s="61" t="s">
        <v>231</v>
      </c>
      <c r="D45" s="61" t="s">
        <v>301</v>
      </c>
      <c r="E45" s="62" t="s">
        <v>302</v>
      </c>
      <c r="F45" s="61" t="s">
        <v>300</v>
      </c>
      <c r="G45" s="61" t="s">
        <v>163</v>
      </c>
      <c r="H45" s="61" t="s">
        <v>15</v>
      </c>
      <c r="I45" s="61" t="s">
        <v>159</v>
      </c>
      <c r="J45" s="61" t="s">
        <v>235</v>
      </c>
      <c r="K45" s="63">
        <v>7</v>
      </c>
      <c r="L45" s="63">
        <f t="shared" si="6"/>
        <v>4.2</v>
      </c>
      <c r="M45" s="64">
        <f>prodnorm20</f>
        <v>0</v>
      </c>
      <c r="N45" s="65">
        <f>dagwerk20</f>
        <v>0</v>
      </c>
      <c r="O45" s="61" t="s">
        <v>43</v>
      </c>
      <c r="P45" s="66">
        <f>uurtarief20</f>
        <v>0</v>
      </c>
      <c r="Q45" s="63" t="e">
        <f t="shared" si="7"/>
        <v>#DIV/0!</v>
      </c>
      <c r="R45" s="63" t="e">
        <f t="shared" si="8"/>
        <v>#DIV/0!</v>
      </c>
      <c r="S45" s="66" t="e">
        <f t="shared" si="9"/>
        <v>#DIV/0!</v>
      </c>
      <c r="T45" s="63" t="e">
        <f t="shared" si="10"/>
        <v>#DIV/0!</v>
      </c>
      <c r="U45" s="67" t="e">
        <f t="shared" si="11"/>
        <v>#DIV/0!</v>
      </c>
    </row>
    <row r="46" spans="1:21" x14ac:dyDescent="0.2">
      <c r="A46" s="60" t="s">
        <v>229</v>
      </c>
      <c r="B46" s="61" t="s">
        <v>230</v>
      </c>
      <c r="C46" s="61" t="s">
        <v>231</v>
      </c>
      <c r="D46" s="61" t="s">
        <v>303</v>
      </c>
      <c r="E46" s="62" t="s">
        <v>304</v>
      </c>
      <c r="F46" s="61" t="s">
        <v>238</v>
      </c>
      <c r="G46" s="61" t="s">
        <v>165</v>
      </c>
      <c r="H46" s="61" t="s">
        <v>11</v>
      </c>
      <c r="I46" s="61" t="s">
        <v>159</v>
      </c>
      <c r="J46" s="61" t="s">
        <v>235</v>
      </c>
      <c r="K46" s="63">
        <v>15.1</v>
      </c>
      <c r="L46" s="63">
        <f t="shared" si="6"/>
        <v>15.1</v>
      </c>
      <c r="M46" s="64">
        <f>prodnorm23</f>
        <v>0</v>
      </c>
      <c r="N46" s="65">
        <f>dagwerk23</f>
        <v>0</v>
      </c>
      <c r="O46" s="61" t="s">
        <v>43</v>
      </c>
      <c r="P46" s="66">
        <f>uurtarief23</f>
        <v>0</v>
      </c>
      <c r="Q46" s="63" t="e">
        <f t="shared" si="7"/>
        <v>#DIV/0!</v>
      </c>
      <c r="R46" s="63" t="e">
        <f t="shared" si="8"/>
        <v>#DIV/0!</v>
      </c>
      <c r="S46" s="66" t="e">
        <f t="shared" si="9"/>
        <v>#DIV/0!</v>
      </c>
      <c r="T46" s="63" t="e">
        <f t="shared" si="10"/>
        <v>#DIV/0!</v>
      </c>
      <c r="U46" s="67" t="e">
        <f t="shared" si="11"/>
        <v>#DIV/0!</v>
      </c>
    </row>
    <row r="47" spans="1:21" x14ac:dyDescent="0.2">
      <c r="A47" s="60" t="s">
        <v>229</v>
      </c>
      <c r="B47" s="61" t="s">
        <v>230</v>
      </c>
      <c r="C47" s="61" t="s">
        <v>305</v>
      </c>
      <c r="D47" s="61" t="s">
        <v>306</v>
      </c>
      <c r="E47" s="62" t="s">
        <v>290</v>
      </c>
      <c r="F47" s="61" t="s">
        <v>238</v>
      </c>
      <c r="G47" s="61" t="s">
        <v>158</v>
      </c>
      <c r="H47" s="61" t="s">
        <v>20</v>
      </c>
      <c r="I47" s="61" t="s">
        <v>159</v>
      </c>
      <c r="J47" s="61" t="s">
        <v>282</v>
      </c>
      <c r="K47" s="63">
        <v>30.9</v>
      </c>
      <c r="L47" s="63">
        <f t="shared" si="6"/>
        <v>6.18</v>
      </c>
      <c r="M47" s="64">
        <f>prodnorm15</f>
        <v>0</v>
      </c>
      <c r="N47" s="65">
        <f>dagwerk15</f>
        <v>0</v>
      </c>
      <c r="O47" s="61" t="s">
        <v>43</v>
      </c>
      <c r="P47" s="66">
        <f>uurtarief15</f>
        <v>0</v>
      </c>
      <c r="Q47" s="63" t="e">
        <f t="shared" si="7"/>
        <v>#DIV/0!</v>
      </c>
      <c r="R47" s="63" t="e">
        <f t="shared" si="8"/>
        <v>#DIV/0!</v>
      </c>
      <c r="S47" s="66" t="e">
        <f t="shared" si="9"/>
        <v>#DIV/0!</v>
      </c>
      <c r="T47" s="63" t="e">
        <f t="shared" si="10"/>
        <v>#DIV/0!</v>
      </c>
      <c r="U47" s="67" t="e">
        <f t="shared" si="11"/>
        <v>#DIV/0!</v>
      </c>
    </row>
    <row r="48" spans="1:21" x14ac:dyDescent="0.2">
      <c r="A48" s="60" t="s">
        <v>229</v>
      </c>
      <c r="B48" s="61" t="s">
        <v>230</v>
      </c>
      <c r="C48" s="61" t="s">
        <v>305</v>
      </c>
      <c r="D48" s="61" t="s">
        <v>307</v>
      </c>
      <c r="E48" s="62" t="s">
        <v>308</v>
      </c>
      <c r="F48" s="61" t="s">
        <v>238</v>
      </c>
      <c r="G48" s="61" t="s">
        <v>181</v>
      </c>
      <c r="H48" s="61" t="s">
        <v>11</v>
      </c>
      <c r="I48" s="61" t="s">
        <v>159</v>
      </c>
      <c r="J48" s="61" t="s">
        <v>235</v>
      </c>
      <c r="K48" s="63">
        <v>30.3</v>
      </c>
      <c r="L48" s="63">
        <f t="shared" si="6"/>
        <v>30.3</v>
      </c>
      <c r="M48" s="64">
        <f>prodnorm38</f>
        <v>0</v>
      </c>
      <c r="N48" s="65">
        <f>dagwerk38</f>
        <v>0</v>
      </c>
      <c r="O48" s="61" t="s">
        <v>43</v>
      </c>
      <c r="P48" s="66">
        <f>uurtarief38</f>
        <v>0</v>
      </c>
      <c r="Q48" s="63" t="e">
        <f t="shared" si="7"/>
        <v>#DIV/0!</v>
      </c>
      <c r="R48" s="63" t="e">
        <f t="shared" si="8"/>
        <v>#DIV/0!</v>
      </c>
      <c r="S48" s="66" t="e">
        <f t="shared" si="9"/>
        <v>#DIV/0!</v>
      </c>
      <c r="T48" s="63" t="e">
        <f t="shared" si="10"/>
        <v>#DIV/0!</v>
      </c>
      <c r="U48" s="67" t="e">
        <f t="shared" si="11"/>
        <v>#DIV/0!</v>
      </c>
    </row>
    <row r="49" spans="1:21" x14ac:dyDescent="0.2">
      <c r="A49" s="60" t="s">
        <v>229</v>
      </c>
      <c r="B49" s="61" t="s">
        <v>309</v>
      </c>
      <c r="C49" s="61" t="s">
        <v>231</v>
      </c>
      <c r="D49" s="61" t="s">
        <v>232</v>
      </c>
      <c r="E49" s="62" t="s">
        <v>233</v>
      </c>
      <c r="F49" s="61" t="s">
        <v>310</v>
      </c>
      <c r="G49" s="61" t="s">
        <v>203</v>
      </c>
      <c r="H49" s="61" t="s">
        <v>11</v>
      </c>
      <c r="I49" s="61" t="s">
        <v>159</v>
      </c>
      <c r="J49" s="61" t="s">
        <v>235</v>
      </c>
      <c r="K49" s="63">
        <v>4.8</v>
      </c>
      <c r="L49" s="63">
        <f t="shared" si="6"/>
        <v>4.8</v>
      </c>
      <c r="M49" s="64">
        <f>prodnorm57</f>
        <v>0</v>
      </c>
      <c r="N49" s="65">
        <f>dagwerk57</f>
        <v>0</v>
      </c>
      <c r="O49" s="61" t="s">
        <v>43</v>
      </c>
      <c r="P49" s="66">
        <f>uurtarief57</f>
        <v>0</v>
      </c>
      <c r="Q49" s="63" t="e">
        <f t="shared" si="7"/>
        <v>#DIV/0!</v>
      </c>
      <c r="R49" s="63" t="e">
        <f t="shared" si="8"/>
        <v>#DIV/0!</v>
      </c>
      <c r="S49" s="66" t="e">
        <f t="shared" si="9"/>
        <v>#DIV/0!</v>
      </c>
      <c r="T49" s="63" t="e">
        <f t="shared" si="10"/>
        <v>#DIV/0!</v>
      </c>
      <c r="U49" s="67" t="e">
        <f t="shared" si="11"/>
        <v>#DIV/0!</v>
      </c>
    </row>
    <row r="50" spans="1:21" x14ac:dyDescent="0.2">
      <c r="A50" s="60" t="s">
        <v>229</v>
      </c>
      <c r="B50" s="61" t="s">
        <v>309</v>
      </c>
      <c r="C50" s="61" t="s">
        <v>231</v>
      </c>
      <c r="D50" s="61" t="s">
        <v>248</v>
      </c>
      <c r="E50" s="62" t="s">
        <v>249</v>
      </c>
      <c r="F50" s="61" t="s">
        <v>238</v>
      </c>
      <c r="G50" s="61" t="s">
        <v>175</v>
      </c>
      <c r="H50" s="61" t="s">
        <v>11</v>
      </c>
      <c r="I50" s="61" t="s">
        <v>159</v>
      </c>
      <c r="J50" s="61" t="s">
        <v>239</v>
      </c>
      <c r="K50" s="63">
        <v>73.7</v>
      </c>
      <c r="L50" s="63">
        <f t="shared" si="6"/>
        <v>73.7</v>
      </c>
      <c r="M50" s="64">
        <f>prodnorm31</f>
        <v>0</v>
      </c>
      <c r="N50" s="65">
        <f>dagwerk31</f>
        <v>0</v>
      </c>
      <c r="O50" s="61" t="s">
        <v>43</v>
      </c>
      <c r="P50" s="66">
        <f>uurtarief31</f>
        <v>0</v>
      </c>
      <c r="Q50" s="63" t="e">
        <f t="shared" si="7"/>
        <v>#DIV/0!</v>
      </c>
      <c r="R50" s="63" t="e">
        <f t="shared" si="8"/>
        <v>#DIV/0!</v>
      </c>
      <c r="S50" s="66" t="e">
        <f t="shared" si="9"/>
        <v>#DIV/0!</v>
      </c>
      <c r="T50" s="63" t="e">
        <f t="shared" si="10"/>
        <v>#DIV/0!</v>
      </c>
      <c r="U50" s="67" t="e">
        <f t="shared" si="11"/>
        <v>#DIV/0!</v>
      </c>
    </row>
    <row r="51" spans="1:21" x14ac:dyDescent="0.2">
      <c r="A51" s="60" t="s">
        <v>229</v>
      </c>
      <c r="B51" s="61" t="s">
        <v>309</v>
      </c>
      <c r="C51" s="61" t="s">
        <v>231</v>
      </c>
      <c r="D51" s="61" t="s">
        <v>250</v>
      </c>
      <c r="E51" s="62" t="s">
        <v>311</v>
      </c>
      <c r="F51" s="61" t="s">
        <v>297</v>
      </c>
      <c r="G51" s="61" t="s">
        <v>173</v>
      </c>
      <c r="H51" s="61" t="s">
        <v>18</v>
      </c>
      <c r="I51" s="61" t="s">
        <v>159</v>
      </c>
      <c r="J51" s="61" t="s">
        <v>235</v>
      </c>
      <c r="K51" s="63">
        <v>8</v>
      </c>
      <c r="L51" s="63">
        <f t="shared" si="6"/>
        <v>3.2</v>
      </c>
      <c r="M51" s="64">
        <f>prodnorm29</f>
        <v>0</v>
      </c>
      <c r="N51" s="65">
        <f>dagwerk29</f>
        <v>0</v>
      </c>
      <c r="O51" s="61" t="s">
        <v>43</v>
      </c>
      <c r="P51" s="66">
        <f>uurtarief29</f>
        <v>0</v>
      </c>
      <c r="Q51" s="63" t="e">
        <f t="shared" si="7"/>
        <v>#DIV/0!</v>
      </c>
      <c r="R51" s="63" t="e">
        <f t="shared" si="8"/>
        <v>#DIV/0!</v>
      </c>
      <c r="S51" s="66" t="e">
        <f t="shared" si="9"/>
        <v>#DIV/0!</v>
      </c>
      <c r="T51" s="63" t="e">
        <f t="shared" si="10"/>
        <v>#DIV/0!</v>
      </c>
      <c r="U51" s="67" t="e">
        <f t="shared" si="11"/>
        <v>#DIV/0!</v>
      </c>
    </row>
    <row r="52" spans="1:21" x14ac:dyDescent="0.2">
      <c r="A52" s="60" t="s">
        <v>229</v>
      </c>
      <c r="B52" s="61" t="s">
        <v>309</v>
      </c>
      <c r="C52" s="61" t="s">
        <v>231</v>
      </c>
      <c r="D52" s="61" t="s">
        <v>312</v>
      </c>
      <c r="E52" s="62" t="s">
        <v>313</v>
      </c>
      <c r="F52" s="61" t="s">
        <v>238</v>
      </c>
      <c r="G52" s="61" t="s">
        <v>209</v>
      </c>
      <c r="H52" s="61" t="s">
        <v>11</v>
      </c>
      <c r="I52" s="61" t="s">
        <v>159</v>
      </c>
      <c r="J52" s="61" t="s">
        <v>235</v>
      </c>
      <c r="K52" s="63">
        <v>27.2</v>
      </c>
      <c r="L52" s="63">
        <f t="shared" si="6"/>
        <v>27.2</v>
      </c>
      <c r="M52" s="64">
        <f>prodnorm62</f>
        <v>0</v>
      </c>
      <c r="N52" s="65">
        <f>dagwerk62</f>
        <v>0</v>
      </c>
      <c r="O52" s="61" t="s">
        <v>43</v>
      </c>
      <c r="P52" s="66">
        <f>uurtarief62</f>
        <v>0</v>
      </c>
      <c r="Q52" s="63" t="e">
        <f t="shared" si="7"/>
        <v>#DIV/0!</v>
      </c>
      <c r="R52" s="63" t="e">
        <f t="shared" si="8"/>
        <v>#DIV/0!</v>
      </c>
      <c r="S52" s="66" t="e">
        <f t="shared" si="9"/>
        <v>#DIV/0!</v>
      </c>
      <c r="T52" s="63" t="e">
        <f t="shared" si="10"/>
        <v>#DIV/0!</v>
      </c>
      <c r="U52" s="67" t="e">
        <f t="shared" si="11"/>
        <v>#DIV/0!</v>
      </c>
    </row>
    <row r="53" spans="1:21" x14ac:dyDescent="0.2">
      <c r="A53" s="60" t="s">
        <v>229</v>
      </c>
      <c r="B53" s="61" t="s">
        <v>309</v>
      </c>
      <c r="C53" s="61" t="s">
        <v>231</v>
      </c>
      <c r="D53" s="61" t="s">
        <v>259</v>
      </c>
      <c r="E53" s="62" t="s">
        <v>255</v>
      </c>
      <c r="F53" s="61" t="s">
        <v>314</v>
      </c>
      <c r="G53" s="61" t="s">
        <v>195</v>
      </c>
      <c r="H53" s="61" t="s">
        <v>11</v>
      </c>
      <c r="I53" s="61" t="s">
        <v>159</v>
      </c>
      <c r="J53" s="61" t="s">
        <v>257</v>
      </c>
      <c r="K53" s="63">
        <v>2.8</v>
      </c>
      <c r="L53" s="63">
        <f t="shared" si="6"/>
        <v>2.8</v>
      </c>
      <c r="M53" s="64">
        <f>prodnorm49</f>
        <v>0</v>
      </c>
      <c r="N53" s="65">
        <f>dagwerk49</f>
        <v>0</v>
      </c>
      <c r="O53" s="61" t="s">
        <v>43</v>
      </c>
      <c r="P53" s="66">
        <f>uurtarief49</f>
        <v>0</v>
      </c>
      <c r="Q53" s="63" t="e">
        <f t="shared" si="7"/>
        <v>#DIV/0!</v>
      </c>
      <c r="R53" s="63" t="e">
        <f t="shared" si="8"/>
        <v>#DIV/0!</v>
      </c>
      <c r="S53" s="66" t="e">
        <f t="shared" si="9"/>
        <v>#DIV/0!</v>
      </c>
      <c r="T53" s="63" t="e">
        <f t="shared" si="10"/>
        <v>#DIV/0!</v>
      </c>
      <c r="U53" s="67" t="e">
        <f t="shared" si="11"/>
        <v>#DIV/0!</v>
      </c>
    </row>
    <row r="54" spans="1:21" x14ac:dyDescent="0.2">
      <c r="A54" s="60" t="s">
        <v>229</v>
      </c>
      <c r="B54" s="61" t="s">
        <v>309</v>
      </c>
      <c r="C54" s="61" t="s">
        <v>231</v>
      </c>
      <c r="D54" s="61" t="s">
        <v>260</v>
      </c>
      <c r="E54" s="62" t="s">
        <v>315</v>
      </c>
      <c r="F54" s="61" t="s">
        <v>297</v>
      </c>
      <c r="G54" s="61" t="s">
        <v>191</v>
      </c>
      <c r="H54" s="61" t="s">
        <v>11</v>
      </c>
      <c r="I54" s="61" t="s">
        <v>159</v>
      </c>
      <c r="J54" s="61" t="s">
        <v>257</v>
      </c>
      <c r="K54" s="63">
        <v>16.100000000000001</v>
      </c>
      <c r="L54" s="63">
        <f t="shared" si="6"/>
        <v>16.100000000000001</v>
      </c>
      <c r="M54" s="64">
        <f>prodnorm45</f>
        <v>0</v>
      </c>
      <c r="N54" s="65">
        <f>dagwerk45</f>
        <v>0</v>
      </c>
      <c r="O54" s="61" t="s">
        <v>43</v>
      </c>
      <c r="P54" s="66">
        <f>uurtarief45</f>
        <v>0</v>
      </c>
      <c r="Q54" s="63" t="e">
        <f t="shared" si="7"/>
        <v>#DIV/0!</v>
      </c>
      <c r="R54" s="63" t="e">
        <f t="shared" si="8"/>
        <v>#DIV/0!</v>
      </c>
      <c r="S54" s="66" t="e">
        <f t="shared" si="9"/>
        <v>#DIV/0!</v>
      </c>
      <c r="T54" s="63" t="e">
        <f t="shared" si="10"/>
        <v>#DIV/0!</v>
      </c>
      <c r="U54" s="67" t="e">
        <f t="shared" si="11"/>
        <v>#DIV/0!</v>
      </c>
    </row>
    <row r="55" spans="1:21" x14ac:dyDescent="0.2">
      <c r="A55" s="60" t="s">
        <v>229</v>
      </c>
      <c r="B55" s="61" t="s">
        <v>309</v>
      </c>
      <c r="C55" s="61" t="s">
        <v>231</v>
      </c>
      <c r="D55" s="61" t="s">
        <v>262</v>
      </c>
      <c r="E55" s="62" t="s">
        <v>237</v>
      </c>
      <c r="F55" s="61" t="s">
        <v>238</v>
      </c>
      <c r="G55" s="61" t="s">
        <v>175</v>
      </c>
      <c r="H55" s="61" t="s">
        <v>18</v>
      </c>
      <c r="I55" s="61" t="s">
        <v>159</v>
      </c>
      <c r="J55" s="61" t="s">
        <v>239</v>
      </c>
      <c r="K55" s="63">
        <v>66.2</v>
      </c>
      <c r="L55" s="63">
        <f t="shared" si="6"/>
        <v>26.480000000000004</v>
      </c>
      <c r="M55" s="64">
        <f>prodnorm33</f>
        <v>0</v>
      </c>
      <c r="N55" s="65">
        <f>dagwerk33</f>
        <v>0</v>
      </c>
      <c r="O55" s="61" t="s">
        <v>43</v>
      </c>
      <c r="P55" s="66">
        <f>uurtarief33</f>
        <v>0</v>
      </c>
      <c r="Q55" s="63" t="e">
        <f t="shared" si="7"/>
        <v>#DIV/0!</v>
      </c>
      <c r="R55" s="63" t="e">
        <f t="shared" si="8"/>
        <v>#DIV/0!</v>
      </c>
      <c r="S55" s="66" t="e">
        <f t="shared" si="9"/>
        <v>#DIV/0!</v>
      </c>
      <c r="T55" s="63" t="e">
        <f t="shared" si="10"/>
        <v>#DIV/0!</v>
      </c>
      <c r="U55" s="67" t="e">
        <f t="shared" si="11"/>
        <v>#DIV/0!</v>
      </c>
    </row>
    <row r="56" spans="1:21" x14ac:dyDescent="0.2">
      <c r="A56" s="60" t="s">
        <v>229</v>
      </c>
      <c r="B56" s="61" t="s">
        <v>309</v>
      </c>
      <c r="C56" s="61" t="s">
        <v>231</v>
      </c>
      <c r="D56" s="61" t="s">
        <v>316</v>
      </c>
      <c r="E56" s="62" t="s">
        <v>311</v>
      </c>
      <c r="F56" s="61" t="s">
        <v>238</v>
      </c>
      <c r="G56" s="61" t="s">
        <v>173</v>
      </c>
      <c r="H56" s="61" t="s">
        <v>18</v>
      </c>
      <c r="I56" s="61" t="s">
        <v>159</v>
      </c>
      <c r="J56" s="61" t="s">
        <v>235</v>
      </c>
      <c r="K56" s="63">
        <v>7.6</v>
      </c>
      <c r="L56" s="63">
        <f t="shared" si="6"/>
        <v>3.04</v>
      </c>
      <c r="M56" s="64">
        <f>prodnorm29</f>
        <v>0</v>
      </c>
      <c r="N56" s="65">
        <f>dagwerk29</f>
        <v>0</v>
      </c>
      <c r="O56" s="61" t="s">
        <v>43</v>
      </c>
      <c r="P56" s="66">
        <f>uurtarief29</f>
        <v>0</v>
      </c>
      <c r="Q56" s="63" t="e">
        <f t="shared" si="7"/>
        <v>#DIV/0!</v>
      </c>
      <c r="R56" s="63" t="e">
        <f t="shared" si="8"/>
        <v>#DIV/0!</v>
      </c>
      <c r="S56" s="66" t="e">
        <f t="shared" si="9"/>
        <v>#DIV/0!</v>
      </c>
      <c r="T56" s="63" t="e">
        <f t="shared" si="10"/>
        <v>#DIV/0!</v>
      </c>
      <c r="U56" s="67" t="e">
        <f t="shared" si="11"/>
        <v>#DIV/0!</v>
      </c>
    </row>
    <row r="57" spans="1:21" x14ac:dyDescent="0.2">
      <c r="A57" s="60" t="s">
        <v>229</v>
      </c>
      <c r="B57" s="61" t="s">
        <v>309</v>
      </c>
      <c r="C57" s="61" t="s">
        <v>231</v>
      </c>
      <c r="D57" s="61" t="s">
        <v>265</v>
      </c>
      <c r="E57" s="62" t="s">
        <v>317</v>
      </c>
      <c r="F57" s="61" t="s">
        <v>238</v>
      </c>
      <c r="G57" s="61" t="s">
        <v>185</v>
      </c>
      <c r="H57" s="61" t="s">
        <v>20</v>
      </c>
      <c r="I57" s="61" t="s">
        <v>159</v>
      </c>
      <c r="J57" s="61" t="s">
        <v>235</v>
      </c>
      <c r="K57" s="63">
        <v>5.6</v>
      </c>
      <c r="L57" s="63">
        <f t="shared" si="6"/>
        <v>1.1199999999999999</v>
      </c>
      <c r="M57" s="64">
        <f>prodnorm41</f>
        <v>0</v>
      </c>
      <c r="N57" s="65">
        <f>dagwerk41</f>
        <v>0</v>
      </c>
      <c r="O57" s="61" t="s">
        <v>43</v>
      </c>
      <c r="P57" s="66">
        <f>uurtarief41</f>
        <v>0</v>
      </c>
      <c r="Q57" s="63" t="e">
        <f t="shared" si="7"/>
        <v>#DIV/0!</v>
      </c>
      <c r="R57" s="63" t="e">
        <f t="shared" si="8"/>
        <v>#DIV/0!</v>
      </c>
      <c r="S57" s="66" t="e">
        <f t="shared" si="9"/>
        <v>#DIV/0!</v>
      </c>
      <c r="T57" s="63" t="e">
        <f t="shared" si="10"/>
        <v>#DIV/0!</v>
      </c>
      <c r="U57" s="67" t="e">
        <f t="shared" si="11"/>
        <v>#DIV/0!</v>
      </c>
    </row>
    <row r="58" spans="1:21" x14ac:dyDescent="0.2">
      <c r="A58" s="68" t="s">
        <v>229</v>
      </c>
      <c r="B58" s="69" t="s">
        <v>309</v>
      </c>
      <c r="C58" s="69" t="s">
        <v>231</v>
      </c>
      <c r="D58" s="69" t="s">
        <v>269</v>
      </c>
      <c r="E58" s="70" t="s">
        <v>318</v>
      </c>
      <c r="F58" s="69" t="s">
        <v>297</v>
      </c>
      <c r="G58" s="69" t="s">
        <v>199</v>
      </c>
      <c r="H58" s="69" t="s">
        <v>11</v>
      </c>
      <c r="I58" s="69" t="s">
        <v>159</v>
      </c>
      <c r="J58" s="69" t="s">
        <v>235</v>
      </c>
      <c r="K58" s="71">
        <v>25.5</v>
      </c>
      <c r="L58" s="71">
        <f t="shared" si="6"/>
        <v>25.5</v>
      </c>
      <c r="M58" s="72">
        <f>prodnorm53</f>
        <v>0</v>
      </c>
      <c r="N58" s="73">
        <f>dagwerk53</f>
        <v>0</v>
      </c>
      <c r="O58" s="69" t="s">
        <v>43</v>
      </c>
      <c r="P58" s="74">
        <f>uurtarief53</f>
        <v>0</v>
      </c>
      <c r="Q58" s="71" t="e">
        <f t="shared" si="7"/>
        <v>#DIV/0!</v>
      </c>
      <c r="R58" s="71" t="e">
        <f t="shared" si="8"/>
        <v>#DIV/0!</v>
      </c>
      <c r="S58" s="74" t="e">
        <f t="shared" si="9"/>
        <v>#DIV/0!</v>
      </c>
      <c r="T58" s="71" t="e">
        <f t="shared" si="10"/>
        <v>#DIV/0!</v>
      </c>
      <c r="U58" s="75" t="e">
        <f t="shared" si="11"/>
        <v>#DIV/0!</v>
      </c>
    </row>
    <row r="59" spans="1:21" x14ac:dyDescent="0.2">
      <c r="A59" s="76" t="s">
        <v>319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5" t="e">
        <f>IF(_xlfn.SINGLE(object1_urenjaar1)&gt;0,_xlfn.SINGLE(object1_prijsjaar1)/_xlfn.SINGLE(object1_urenjaar1),0)</f>
        <v>#DIV/0!</v>
      </c>
      <c r="Q59" s="44" t="e">
        <f>SUM(Q5:Q58)</f>
        <v>#DIV/0!</v>
      </c>
      <c r="R59" s="44" t="e">
        <f>SUM(R5:R58)</f>
        <v>#DIV/0!</v>
      </c>
      <c r="S59" s="45" t="e">
        <f>SUM(S5:S58)</f>
        <v>#DIV/0!</v>
      </c>
      <c r="T59" s="44" t="e">
        <f>SUM(T5:T58)</f>
        <v>#DIV/0!</v>
      </c>
      <c r="U59" s="46" t="e">
        <f>SUM(U5:U58)</f>
        <v>#DIV/0!</v>
      </c>
    </row>
    <row r="60" spans="1:21" x14ac:dyDescent="0.2">
      <c r="A60" s="51" t="s">
        <v>320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41"/>
    </row>
    <row r="61" spans="1:21" x14ac:dyDescent="0.2">
      <c r="A61" s="52" t="s">
        <v>321</v>
      </c>
      <c r="B61" s="53" t="s">
        <v>230</v>
      </c>
      <c r="C61" s="53" t="s">
        <v>231</v>
      </c>
      <c r="D61" s="53" t="s">
        <v>232</v>
      </c>
      <c r="E61" s="54" t="s">
        <v>322</v>
      </c>
      <c r="F61" s="53" t="s">
        <v>234</v>
      </c>
      <c r="G61" s="53" t="s">
        <v>205</v>
      </c>
      <c r="H61" s="53" t="s">
        <v>11</v>
      </c>
      <c r="I61" s="53" t="s">
        <v>159</v>
      </c>
      <c r="J61" s="53" t="s">
        <v>235</v>
      </c>
      <c r="K61" s="55">
        <v>4.0999999999999996</v>
      </c>
      <c r="L61" s="55">
        <f t="shared" ref="L61:L94" si="12">K61*VLOOKUP(H61,dagsoorttabel1,2,FALSE)</f>
        <v>4.0999999999999996</v>
      </c>
      <c r="M61" s="56">
        <f>prodnorm58</f>
        <v>0</v>
      </c>
      <c r="N61" s="57">
        <f>dagwerk58</f>
        <v>0</v>
      </c>
      <c r="O61" s="53" t="s">
        <v>43</v>
      </c>
      <c r="P61" s="58">
        <f>uurtarief58</f>
        <v>0</v>
      </c>
      <c r="Q61" s="55" t="e">
        <f t="shared" ref="Q61:Q94" si="13">IF(ISBLANK(M61),0,L61/ROUND(M61,4))</f>
        <v>#DIV/0!</v>
      </c>
      <c r="R61" s="55" t="e">
        <f t="shared" ref="R61:R94" si="14">IF(ISBLANK(M61),0,Q61*ROUND(N61,2))</f>
        <v>#DIV/0!</v>
      </c>
      <c r="S61" s="58" t="e">
        <f t="shared" ref="S61:S94" si="15">ROUND(P61,2)*Q61</f>
        <v>#DIV/0!</v>
      </c>
      <c r="T61" s="55" t="e">
        <f t="shared" ref="T61:T94" si="16">Q61*dagenperjaar1</f>
        <v>#DIV/0!</v>
      </c>
      <c r="U61" s="59" t="e">
        <f t="shared" ref="U61:U94" si="17">T61*ROUND(P61,2)</f>
        <v>#DIV/0!</v>
      </c>
    </row>
    <row r="62" spans="1:21" x14ac:dyDescent="0.2">
      <c r="A62" s="60" t="s">
        <v>321</v>
      </c>
      <c r="B62" s="61" t="s">
        <v>230</v>
      </c>
      <c r="C62" s="61" t="s">
        <v>231</v>
      </c>
      <c r="D62" s="61" t="s">
        <v>323</v>
      </c>
      <c r="E62" s="62" t="s">
        <v>324</v>
      </c>
      <c r="F62" s="61" t="s">
        <v>238</v>
      </c>
      <c r="G62" s="61" t="s">
        <v>211</v>
      </c>
      <c r="H62" s="61" t="s">
        <v>11</v>
      </c>
      <c r="I62" s="61" t="s">
        <v>159</v>
      </c>
      <c r="J62" s="61" t="s">
        <v>235</v>
      </c>
      <c r="K62" s="63">
        <v>7.3599999999999994</v>
      </c>
      <c r="L62" s="63">
        <f t="shared" si="12"/>
        <v>7.3599999999999994</v>
      </c>
      <c r="M62" s="64">
        <f>prodnorm64</f>
        <v>0</v>
      </c>
      <c r="N62" s="65">
        <f>dagwerk64</f>
        <v>0</v>
      </c>
      <c r="O62" s="61" t="s">
        <v>43</v>
      </c>
      <c r="P62" s="66">
        <f>uurtarief64</f>
        <v>0</v>
      </c>
      <c r="Q62" s="63" t="e">
        <f t="shared" si="13"/>
        <v>#DIV/0!</v>
      </c>
      <c r="R62" s="63" t="e">
        <f t="shared" si="14"/>
        <v>#DIV/0!</v>
      </c>
      <c r="S62" s="66" t="e">
        <f t="shared" si="15"/>
        <v>#DIV/0!</v>
      </c>
      <c r="T62" s="63" t="e">
        <f t="shared" si="16"/>
        <v>#DIV/0!</v>
      </c>
      <c r="U62" s="67" t="e">
        <f t="shared" si="17"/>
        <v>#DIV/0!</v>
      </c>
    </row>
    <row r="63" spans="1:21" x14ac:dyDescent="0.2">
      <c r="A63" s="60" t="s">
        <v>321</v>
      </c>
      <c r="B63" s="61" t="s">
        <v>230</v>
      </c>
      <c r="C63" s="61" t="s">
        <v>231</v>
      </c>
      <c r="D63" s="61" t="s">
        <v>236</v>
      </c>
      <c r="E63" s="62" t="s">
        <v>255</v>
      </c>
      <c r="F63" s="61" t="s">
        <v>325</v>
      </c>
      <c r="G63" s="61" t="s">
        <v>195</v>
      </c>
      <c r="H63" s="61" t="s">
        <v>11</v>
      </c>
      <c r="I63" s="61" t="s">
        <v>159</v>
      </c>
      <c r="J63" s="61" t="s">
        <v>257</v>
      </c>
      <c r="K63" s="63">
        <v>13.2</v>
      </c>
      <c r="L63" s="63">
        <f t="shared" si="12"/>
        <v>13.2</v>
      </c>
      <c r="M63" s="64">
        <f>prodnorm49</f>
        <v>0</v>
      </c>
      <c r="N63" s="65">
        <f>dagwerk49</f>
        <v>0</v>
      </c>
      <c r="O63" s="61" t="s">
        <v>43</v>
      </c>
      <c r="P63" s="66">
        <f>uurtarief49</f>
        <v>0</v>
      </c>
      <c r="Q63" s="63" t="e">
        <f t="shared" si="13"/>
        <v>#DIV/0!</v>
      </c>
      <c r="R63" s="63" t="e">
        <f t="shared" si="14"/>
        <v>#DIV/0!</v>
      </c>
      <c r="S63" s="66" t="e">
        <f t="shared" si="15"/>
        <v>#DIV/0!</v>
      </c>
      <c r="T63" s="63" t="e">
        <f t="shared" si="16"/>
        <v>#DIV/0!</v>
      </c>
      <c r="U63" s="67" t="e">
        <f t="shared" si="17"/>
        <v>#DIV/0!</v>
      </c>
    </row>
    <row r="64" spans="1:21" x14ac:dyDescent="0.2">
      <c r="A64" s="60" t="s">
        <v>321</v>
      </c>
      <c r="B64" s="61" t="s">
        <v>230</v>
      </c>
      <c r="C64" s="61" t="s">
        <v>231</v>
      </c>
      <c r="D64" s="61" t="s">
        <v>248</v>
      </c>
      <c r="E64" s="62" t="s">
        <v>326</v>
      </c>
      <c r="F64" s="61" t="s">
        <v>325</v>
      </c>
      <c r="G64" s="61" t="s">
        <v>195</v>
      </c>
      <c r="H64" s="61" t="s">
        <v>11</v>
      </c>
      <c r="I64" s="61" t="s">
        <v>159</v>
      </c>
      <c r="J64" s="61" t="s">
        <v>257</v>
      </c>
      <c r="K64" s="63">
        <v>2.2000000000000002</v>
      </c>
      <c r="L64" s="63">
        <f t="shared" si="12"/>
        <v>2.2000000000000002</v>
      </c>
      <c r="M64" s="64">
        <f>prodnorm49</f>
        <v>0</v>
      </c>
      <c r="N64" s="65">
        <f>dagwerk49</f>
        <v>0</v>
      </c>
      <c r="O64" s="61" t="s">
        <v>43</v>
      </c>
      <c r="P64" s="66">
        <f>uurtarief49</f>
        <v>0</v>
      </c>
      <c r="Q64" s="63" t="e">
        <f t="shared" si="13"/>
        <v>#DIV/0!</v>
      </c>
      <c r="R64" s="63" t="e">
        <f t="shared" si="14"/>
        <v>#DIV/0!</v>
      </c>
      <c r="S64" s="66" t="e">
        <f t="shared" si="15"/>
        <v>#DIV/0!</v>
      </c>
      <c r="T64" s="63" t="e">
        <f t="shared" si="16"/>
        <v>#DIV/0!</v>
      </c>
      <c r="U64" s="67" t="e">
        <f t="shared" si="17"/>
        <v>#DIV/0!</v>
      </c>
    </row>
    <row r="65" spans="1:21" x14ac:dyDescent="0.2">
      <c r="A65" s="60" t="s">
        <v>321</v>
      </c>
      <c r="B65" s="61" t="s">
        <v>230</v>
      </c>
      <c r="C65" s="61" t="s">
        <v>231</v>
      </c>
      <c r="D65" s="61" t="s">
        <v>312</v>
      </c>
      <c r="E65" s="62" t="s">
        <v>327</v>
      </c>
      <c r="F65" s="61" t="s">
        <v>238</v>
      </c>
      <c r="G65" s="61" t="s">
        <v>175</v>
      </c>
      <c r="H65" s="61" t="s">
        <v>11</v>
      </c>
      <c r="I65" s="61" t="s">
        <v>159</v>
      </c>
      <c r="J65" s="61" t="s">
        <v>239</v>
      </c>
      <c r="K65" s="63">
        <v>52.5</v>
      </c>
      <c r="L65" s="63">
        <f t="shared" si="12"/>
        <v>52.5</v>
      </c>
      <c r="M65" s="64">
        <f>prodnorm31</f>
        <v>0</v>
      </c>
      <c r="N65" s="65">
        <f>dagwerk31</f>
        <v>0</v>
      </c>
      <c r="O65" s="61" t="s">
        <v>43</v>
      </c>
      <c r="P65" s="66">
        <f>uurtarief31</f>
        <v>0</v>
      </c>
      <c r="Q65" s="63" t="e">
        <f t="shared" si="13"/>
        <v>#DIV/0!</v>
      </c>
      <c r="R65" s="63" t="e">
        <f t="shared" si="14"/>
        <v>#DIV/0!</v>
      </c>
      <c r="S65" s="66" t="e">
        <f t="shared" si="15"/>
        <v>#DIV/0!</v>
      </c>
      <c r="T65" s="63" t="e">
        <f t="shared" si="16"/>
        <v>#DIV/0!</v>
      </c>
      <c r="U65" s="67" t="e">
        <f t="shared" si="17"/>
        <v>#DIV/0!</v>
      </c>
    </row>
    <row r="66" spans="1:21" x14ac:dyDescent="0.2">
      <c r="A66" s="60" t="s">
        <v>321</v>
      </c>
      <c r="B66" s="61" t="s">
        <v>230</v>
      </c>
      <c r="C66" s="61" t="s">
        <v>231</v>
      </c>
      <c r="D66" s="61" t="s">
        <v>328</v>
      </c>
      <c r="E66" s="62" t="s">
        <v>329</v>
      </c>
      <c r="F66" s="61" t="s">
        <v>234</v>
      </c>
      <c r="G66" s="61" t="s">
        <v>183</v>
      </c>
      <c r="H66" s="61" t="s">
        <v>27</v>
      </c>
      <c r="I66" s="61" t="s">
        <v>159</v>
      </c>
      <c r="J66" s="61" t="s">
        <v>230</v>
      </c>
      <c r="K66" s="63">
        <v>53.8</v>
      </c>
      <c r="L66" s="63">
        <f t="shared" si="12"/>
        <v>0.53800000000000003</v>
      </c>
      <c r="M66" s="64">
        <f>prodnorm39</f>
        <v>0</v>
      </c>
      <c r="N66" s="65">
        <f>dagwerk39</f>
        <v>0</v>
      </c>
      <c r="O66" s="61" t="s">
        <v>43</v>
      </c>
      <c r="P66" s="66">
        <f>uurtarief39</f>
        <v>0</v>
      </c>
      <c r="Q66" s="63" t="e">
        <f t="shared" si="13"/>
        <v>#DIV/0!</v>
      </c>
      <c r="R66" s="63" t="e">
        <f t="shared" si="14"/>
        <v>#DIV/0!</v>
      </c>
      <c r="S66" s="66" t="e">
        <f t="shared" si="15"/>
        <v>#DIV/0!</v>
      </c>
      <c r="T66" s="63" t="e">
        <f t="shared" si="16"/>
        <v>#DIV/0!</v>
      </c>
      <c r="U66" s="67" t="e">
        <f t="shared" si="17"/>
        <v>#DIV/0!</v>
      </c>
    </row>
    <row r="67" spans="1:21" x14ac:dyDescent="0.2">
      <c r="A67" s="60" t="s">
        <v>321</v>
      </c>
      <c r="B67" s="61" t="s">
        <v>230</v>
      </c>
      <c r="C67" s="61" t="s">
        <v>231</v>
      </c>
      <c r="D67" s="61" t="s">
        <v>254</v>
      </c>
      <c r="E67" s="62" t="s">
        <v>330</v>
      </c>
      <c r="F67" s="61" t="s">
        <v>234</v>
      </c>
      <c r="G67" s="61" t="s">
        <v>205</v>
      </c>
      <c r="H67" s="61" t="s">
        <v>11</v>
      </c>
      <c r="I67" s="61" t="s">
        <v>159</v>
      </c>
      <c r="J67" s="61" t="s">
        <v>235</v>
      </c>
      <c r="K67" s="63">
        <v>5.58</v>
      </c>
      <c r="L67" s="63">
        <f t="shared" si="12"/>
        <v>5.58</v>
      </c>
      <c r="M67" s="64">
        <f>prodnorm58</f>
        <v>0</v>
      </c>
      <c r="N67" s="65">
        <f>dagwerk58</f>
        <v>0</v>
      </c>
      <c r="O67" s="61" t="s">
        <v>43</v>
      </c>
      <c r="P67" s="66">
        <f>uurtarief58</f>
        <v>0</v>
      </c>
      <c r="Q67" s="63" t="e">
        <f t="shared" si="13"/>
        <v>#DIV/0!</v>
      </c>
      <c r="R67" s="63" t="e">
        <f t="shared" si="14"/>
        <v>#DIV/0!</v>
      </c>
      <c r="S67" s="66" t="e">
        <f t="shared" si="15"/>
        <v>#DIV/0!</v>
      </c>
      <c r="T67" s="63" t="e">
        <f t="shared" si="16"/>
        <v>#DIV/0!</v>
      </c>
      <c r="U67" s="67" t="e">
        <f t="shared" si="17"/>
        <v>#DIV/0!</v>
      </c>
    </row>
    <row r="68" spans="1:21" x14ac:dyDescent="0.2">
      <c r="A68" s="60" t="s">
        <v>321</v>
      </c>
      <c r="B68" s="61" t="s">
        <v>230</v>
      </c>
      <c r="C68" s="61" t="s">
        <v>231</v>
      </c>
      <c r="D68" s="61" t="s">
        <v>260</v>
      </c>
      <c r="E68" s="62" t="s">
        <v>331</v>
      </c>
      <c r="F68" s="61" t="s">
        <v>238</v>
      </c>
      <c r="G68" s="61" t="s">
        <v>175</v>
      </c>
      <c r="H68" s="61" t="s">
        <v>18</v>
      </c>
      <c r="I68" s="61" t="s">
        <v>159</v>
      </c>
      <c r="J68" s="61" t="s">
        <v>239</v>
      </c>
      <c r="K68" s="63">
        <v>66.2</v>
      </c>
      <c r="L68" s="63">
        <f t="shared" si="12"/>
        <v>26.480000000000004</v>
      </c>
      <c r="M68" s="64">
        <f>prodnorm33</f>
        <v>0</v>
      </c>
      <c r="N68" s="65">
        <f>dagwerk33</f>
        <v>0</v>
      </c>
      <c r="O68" s="61" t="s">
        <v>43</v>
      </c>
      <c r="P68" s="66">
        <f>uurtarief33</f>
        <v>0</v>
      </c>
      <c r="Q68" s="63" t="e">
        <f t="shared" si="13"/>
        <v>#DIV/0!</v>
      </c>
      <c r="R68" s="63" t="e">
        <f t="shared" si="14"/>
        <v>#DIV/0!</v>
      </c>
      <c r="S68" s="66" t="e">
        <f t="shared" si="15"/>
        <v>#DIV/0!</v>
      </c>
      <c r="T68" s="63" t="e">
        <f t="shared" si="16"/>
        <v>#DIV/0!</v>
      </c>
      <c r="U68" s="67" t="e">
        <f t="shared" si="17"/>
        <v>#DIV/0!</v>
      </c>
    </row>
    <row r="69" spans="1:21" x14ac:dyDescent="0.2">
      <c r="A69" s="60" t="s">
        <v>321</v>
      </c>
      <c r="B69" s="61" t="s">
        <v>230</v>
      </c>
      <c r="C69" s="61" t="s">
        <v>231</v>
      </c>
      <c r="D69" s="61" t="s">
        <v>265</v>
      </c>
      <c r="E69" s="62" t="s">
        <v>332</v>
      </c>
      <c r="F69" s="61" t="s">
        <v>325</v>
      </c>
      <c r="G69" s="61" t="s">
        <v>195</v>
      </c>
      <c r="H69" s="61" t="s">
        <v>11</v>
      </c>
      <c r="I69" s="61" t="s">
        <v>159</v>
      </c>
      <c r="J69" s="61" t="s">
        <v>257</v>
      </c>
      <c r="K69" s="63">
        <v>12.9</v>
      </c>
      <c r="L69" s="63">
        <f t="shared" si="12"/>
        <v>12.9</v>
      </c>
      <c r="M69" s="64">
        <f>prodnorm49</f>
        <v>0</v>
      </c>
      <c r="N69" s="65">
        <f>dagwerk49</f>
        <v>0</v>
      </c>
      <c r="O69" s="61" t="s">
        <v>43</v>
      </c>
      <c r="P69" s="66">
        <f>uurtarief49</f>
        <v>0</v>
      </c>
      <c r="Q69" s="63" t="e">
        <f t="shared" si="13"/>
        <v>#DIV/0!</v>
      </c>
      <c r="R69" s="63" t="e">
        <f t="shared" si="14"/>
        <v>#DIV/0!</v>
      </c>
      <c r="S69" s="66" t="e">
        <f t="shared" si="15"/>
        <v>#DIV/0!</v>
      </c>
      <c r="T69" s="63" t="e">
        <f t="shared" si="16"/>
        <v>#DIV/0!</v>
      </c>
      <c r="U69" s="67" t="e">
        <f t="shared" si="17"/>
        <v>#DIV/0!</v>
      </c>
    </row>
    <row r="70" spans="1:21" x14ac:dyDescent="0.2">
      <c r="A70" s="60" t="s">
        <v>321</v>
      </c>
      <c r="B70" s="61" t="s">
        <v>230</v>
      </c>
      <c r="C70" s="61" t="s">
        <v>231</v>
      </c>
      <c r="D70" s="61" t="s">
        <v>269</v>
      </c>
      <c r="E70" s="62" t="s">
        <v>327</v>
      </c>
      <c r="F70" s="61" t="s">
        <v>238</v>
      </c>
      <c r="G70" s="61" t="s">
        <v>175</v>
      </c>
      <c r="H70" s="61" t="s">
        <v>11</v>
      </c>
      <c r="I70" s="61" t="s">
        <v>159</v>
      </c>
      <c r="J70" s="61" t="s">
        <v>239</v>
      </c>
      <c r="K70" s="63">
        <v>54.3</v>
      </c>
      <c r="L70" s="63">
        <f t="shared" si="12"/>
        <v>54.3</v>
      </c>
      <c r="M70" s="64">
        <f>prodnorm31</f>
        <v>0</v>
      </c>
      <c r="N70" s="65">
        <f>dagwerk31</f>
        <v>0</v>
      </c>
      <c r="O70" s="61" t="s">
        <v>43</v>
      </c>
      <c r="P70" s="66">
        <f>uurtarief31</f>
        <v>0</v>
      </c>
      <c r="Q70" s="63" t="e">
        <f t="shared" si="13"/>
        <v>#DIV/0!</v>
      </c>
      <c r="R70" s="63" t="e">
        <f t="shared" si="14"/>
        <v>#DIV/0!</v>
      </c>
      <c r="S70" s="66" t="e">
        <f t="shared" si="15"/>
        <v>#DIV/0!</v>
      </c>
      <c r="T70" s="63" t="e">
        <f t="shared" si="16"/>
        <v>#DIV/0!</v>
      </c>
      <c r="U70" s="67" t="e">
        <f t="shared" si="17"/>
        <v>#DIV/0!</v>
      </c>
    </row>
    <row r="71" spans="1:21" x14ac:dyDescent="0.2">
      <c r="A71" s="60" t="s">
        <v>321</v>
      </c>
      <c r="B71" s="61" t="s">
        <v>230</v>
      </c>
      <c r="C71" s="61" t="s">
        <v>231</v>
      </c>
      <c r="D71" s="61" t="s">
        <v>272</v>
      </c>
      <c r="E71" s="62" t="s">
        <v>327</v>
      </c>
      <c r="F71" s="61" t="s">
        <v>238</v>
      </c>
      <c r="G71" s="61" t="s">
        <v>175</v>
      </c>
      <c r="H71" s="61" t="s">
        <v>11</v>
      </c>
      <c r="I71" s="61" t="s">
        <v>159</v>
      </c>
      <c r="J71" s="61" t="s">
        <v>239</v>
      </c>
      <c r="K71" s="63">
        <v>54.3</v>
      </c>
      <c r="L71" s="63">
        <f t="shared" si="12"/>
        <v>54.3</v>
      </c>
      <c r="M71" s="64">
        <f>prodnorm31</f>
        <v>0</v>
      </c>
      <c r="N71" s="65">
        <f>dagwerk31</f>
        <v>0</v>
      </c>
      <c r="O71" s="61" t="s">
        <v>43</v>
      </c>
      <c r="P71" s="66">
        <f>uurtarief31</f>
        <v>0</v>
      </c>
      <c r="Q71" s="63" t="e">
        <f t="shared" si="13"/>
        <v>#DIV/0!</v>
      </c>
      <c r="R71" s="63" t="e">
        <f t="shared" si="14"/>
        <v>#DIV/0!</v>
      </c>
      <c r="S71" s="66" t="e">
        <f t="shared" si="15"/>
        <v>#DIV/0!</v>
      </c>
      <c r="T71" s="63" t="e">
        <f t="shared" si="16"/>
        <v>#DIV/0!</v>
      </c>
      <c r="U71" s="67" t="e">
        <f t="shared" si="17"/>
        <v>#DIV/0!</v>
      </c>
    </row>
    <row r="72" spans="1:21" x14ac:dyDescent="0.2">
      <c r="A72" s="60" t="s">
        <v>321</v>
      </c>
      <c r="B72" s="61" t="s">
        <v>230</v>
      </c>
      <c r="C72" s="61" t="s">
        <v>231</v>
      </c>
      <c r="D72" s="61" t="s">
        <v>275</v>
      </c>
      <c r="E72" s="62" t="s">
        <v>333</v>
      </c>
      <c r="F72" s="61" t="s">
        <v>238</v>
      </c>
      <c r="G72" s="61" t="s">
        <v>199</v>
      </c>
      <c r="H72" s="61" t="s">
        <v>11</v>
      </c>
      <c r="I72" s="61" t="s">
        <v>159</v>
      </c>
      <c r="J72" s="61" t="s">
        <v>235</v>
      </c>
      <c r="K72" s="63">
        <v>138.4</v>
      </c>
      <c r="L72" s="63">
        <f t="shared" si="12"/>
        <v>138.4</v>
      </c>
      <c r="M72" s="64">
        <f>prodnorm53</f>
        <v>0</v>
      </c>
      <c r="N72" s="65">
        <f>dagwerk53</f>
        <v>0</v>
      </c>
      <c r="O72" s="61" t="s">
        <v>43</v>
      </c>
      <c r="P72" s="66">
        <f>uurtarief53</f>
        <v>0</v>
      </c>
      <c r="Q72" s="63" t="e">
        <f t="shared" si="13"/>
        <v>#DIV/0!</v>
      </c>
      <c r="R72" s="63" t="e">
        <f t="shared" si="14"/>
        <v>#DIV/0!</v>
      </c>
      <c r="S72" s="66" t="e">
        <f t="shared" si="15"/>
        <v>#DIV/0!</v>
      </c>
      <c r="T72" s="63" t="e">
        <f t="shared" si="16"/>
        <v>#DIV/0!</v>
      </c>
      <c r="U72" s="67" t="e">
        <f t="shared" si="17"/>
        <v>#DIV/0!</v>
      </c>
    </row>
    <row r="73" spans="1:21" x14ac:dyDescent="0.2">
      <c r="A73" s="60" t="s">
        <v>321</v>
      </c>
      <c r="B73" s="61" t="s">
        <v>230</v>
      </c>
      <c r="C73" s="61" t="s">
        <v>231</v>
      </c>
      <c r="D73" s="61" t="s">
        <v>334</v>
      </c>
      <c r="E73" s="62" t="s">
        <v>335</v>
      </c>
      <c r="F73" s="61" t="s">
        <v>336</v>
      </c>
      <c r="G73" s="61" t="s">
        <v>163</v>
      </c>
      <c r="H73" s="61" t="s">
        <v>11</v>
      </c>
      <c r="I73" s="61" t="s">
        <v>159</v>
      </c>
      <c r="J73" s="61" t="s">
        <v>235</v>
      </c>
      <c r="K73" s="63">
        <v>57.44</v>
      </c>
      <c r="L73" s="63">
        <f t="shared" si="12"/>
        <v>57.44</v>
      </c>
      <c r="M73" s="64">
        <f>prodnorm21</f>
        <v>0</v>
      </c>
      <c r="N73" s="65">
        <f>dagwerk21</f>
        <v>0</v>
      </c>
      <c r="O73" s="61" t="s">
        <v>43</v>
      </c>
      <c r="P73" s="66">
        <f>uurtarief21</f>
        <v>0</v>
      </c>
      <c r="Q73" s="63" t="e">
        <f t="shared" si="13"/>
        <v>#DIV/0!</v>
      </c>
      <c r="R73" s="63" t="e">
        <f t="shared" si="14"/>
        <v>#DIV/0!</v>
      </c>
      <c r="S73" s="66" t="e">
        <f t="shared" si="15"/>
        <v>#DIV/0!</v>
      </c>
      <c r="T73" s="63" t="e">
        <f t="shared" si="16"/>
        <v>#DIV/0!</v>
      </c>
      <c r="U73" s="67" t="e">
        <f t="shared" si="17"/>
        <v>#DIV/0!</v>
      </c>
    </row>
    <row r="74" spans="1:21" x14ac:dyDescent="0.2">
      <c r="A74" s="60" t="s">
        <v>321</v>
      </c>
      <c r="B74" s="61" t="s">
        <v>230</v>
      </c>
      <c r="C74" s="61" t="s">
        <v>231</v>
      </c>
      <c r="D74" s="61" t="s">
        <v>337</v>
      </c>
      <c r="E74" s="62" t="s">
        <v>338</v>
      </c>
      <c r="F74" s="61" t="s">
        <v>336</v>
      </c>
      <c r="G74" s="61" t="s">
        <v>163</v>
      </c>
      <c r="H74" s="61" t="s">
        <v>27</v>
      </c>
      <c r="I74" s="61" t="s">
        <v>159</v>
      </c>
      <c r="J74" s="61" t="s">
        <v>235</v>
      </c>
      <c r="K74" s="63">
        <v>7.39</v>
      </c>
      <c r="L74" s="63">
        <f t="shared" si="12"/>
        <v>7.3899999999999993E-2</v>
      </c>
      <c r="M74" s="64">
        <f>prodnorm22</f>
        <v>0</v>
      </c>
      <c r="N74" s="65">
        <f>dagwerk22</f>
        <v>0</v>
      </c>
      <c r="O74" s="61" t="s">
        <v>43</v>
      </c>
      <c r="P74" s="66">
        <f>uurtarief22</f>
        <v>0</v>
      </c>
      <c r="Q74" s="63" t="e">
        <f t="shared" si="13"/>
        <v>#DIV/0!</v>
      </c>
      <c r="R74" s="63" t="e">
        <f t="shared" si="14"/>
        <v>#DIV/0!</v>
      </c>
      <c r="S74" s="66" t="e">
        <f t="shared" si="15"/>
        <v>#DIV/0!</v>
      </c>
      <c r="T74" s="63" t="e">
        <f t="shared" si="16"/>
        <v>#DIV/0!</v>
      </c>
      <c r="U74" s="67" t="e">
        <f t="shared" si="17"/>
        <v>#DIV/0!</v>
      </c>
    </row>
    <row r="75" spans="1:21" x14ac:dyDescent="0.2">
      <c r="A75" s="60" t="s">
        <v>321</v>
      </c>
      <c r="B75" s="61" t="s">
        <v>230</v>
      </c>
      <c r="C75" s="61" t="s">
        <v>305</v>
      </c>
      <c r="D75" s="61" t="s">
        <v>339</v>
      </c>
      <c r="E75" s="62" t="s">
        <v>340</v>
      </c>
      <c r="F75" s="61" t="s">
        <v>234</v>
      </c>
      <c r="G75" s="61" t="s">
        <v>161</v>
      </c>
      <c r="H75" s="61" t="s">
        <v>27</v>
      </c>
      <c r="I75" s="61" t="s">
        <v>159</v>
      </c>
      <c r="J75" s="61" t="s">
        <v>230</v>
      </c>
      <c r="K75" s="63">
        <v>9.6</v>
      </c>
      <c r="L75" s="63">
        <f t="shared" si="12"/>
        <v>9.6000000000000002E-2</v>
      </c>
      <c r="M75" s="64">
        <f>prodnorm18</f>
        <v>0</v>
      </c>
      <c r="N75" s="65">
        <f>dagwerk18</f>
        <v>0</v>
      </c>
      <c r="O75" s="61" t="s">
        <v>43</v>
      </c>
      <c r="P75" s="66">
        <f>uurtarief18</f>
        <v>0</v>
      </c>
      <c r="Q75" s="63" t="e">
        <f t="shared" si="13"/>
        <v>#DIV/0!</v>
      </c>
      <c r="R75" s="63" t="e">
        <f t="shared" si="14"/>
        <v>#DIV/0!</v>
      </c>
      <c r="S75" s="66" t="e">
        <f t="shared" si="15"/>
        <v>#DIV/0!</v>
      </c>
      <c r="T75" s="63" t="e">
        <f t="shared" si="16"/>
        <v>#DIV/0!</v>
      </c>
      <c r="U75" s="67" t="e">
        <f t="shared" si="17"/>
        <v>#DIV/0!</v>
      </c>
    </row>
    <row r="76" spans="1:21" x14ac:dyDescent="0.2">
      <c r="A76" s="60" t="s">
        <v>321</v>
      </c>
      <c r="B76" s="61" t="s">
        <v>230</v>
      </c>
      <c r="C76" s="61" t="s">
        <v>305</v>
      </c>
      <c r="D76" s="61" t="s">
        <v>341</v>
      </c>
      <c r="E76" s="62" t="s">
        <v>331</v>
      </c>
      <c r="F76" s="61" t="s">
        <v>238</v>
      </c>
      <c r="G76" s="61" t="s">
        <v>175</v>
      </c>
      <c r="H76" s="61" t="s">
        <v>18</v>
      </c>
      <c r="I76" s="61" t="s">
        <v>159</v>
      </c>
      <c r="J76" s="61" t="s">
        <v>239</v>
      </c>
      <c r="K76" s="63">
        <v>53.6</v>
      </c>
      <c r="L76" s="63">
        <f t="shared" si="12"/>
        <v>21.44</v>
      </c>
      <c r="M76" s="64">
        <f>prodnorm33</f>
        <v>0</v>
      </c>
      <c r="N76" s="65">
        <f>dagwerk33</f>
        <v>0</v>
      </c>
      <c r="O76" s="61" t="s">
        <v>43</v>
      </c>
      <c r="P76" s="66">
        <f>uurtarief33</f>
        <v>0</v>
      </c>
      <c r="Q76" s="63" t="e">
        <f t="shared" si="13"/>
        <v>#DIV/0!</v>
      </c>
      <c r="R76" s="63" t="e">
        <f t="shared" si="14"/>
        <v>#DIV/0!</v>
      </c>
      <c r="S76" s="66" t="e">
        <f t="shared" si="15"/>
        <v>#DIV/0!</v>
      </c>
      <c r="T76" s="63" t="e">
        <f t="shared" si="16"/>
        <v>#DIV/0!</v>
      </c>
      <c r="U76" s="67" t="e">
        <f t="shared" si="17"/>
        <v>#DIV/0!</v>
      </c>
    </row>
    <row r="77" spans="1:21" x14ac:dyDescent="0.2">
      <c r="A77" s="60" t="s">
        <v>321</v>
      </c>
      <c r="B77" s="61" t="s">
        <v>230</v>
      </c>
      <c r="C77" s="61" t="s">
        <v>305</v>
      </c>
      <c r="D77" s="61" t="s">
        <v>306</v>
      </c>
      <c r="E77" s="62" t="s">
        <v>331</v>
      </c>
      <c r="F77" s="61" t="s">
        <v>238</v>
      </c>
      <c r="G77" s="61" t="s">
        <v>175</v>
      </c>
      <c r="H77" s="61" t="s">
        <v>18</v>
      </c>
      <c r="I77" s="61" t="s">
        <v>159</v>
      </c>
      <c r="J77" s="61" t="s">
        <v>239</v>
      </c>
      <c r="K77" s="63">
        <v>54.3</v>
      </c>
      <c r="L77" s="63">
        <f t="shared" si="12"/>
        <v>21.72</v>
      </c>
      <c r="M77" s="64">
        <f>prodnorm33</f>
        <v>0</v>
      </c>
      <c r="N77" s="65">
        <f>dagwerk33</f>
        <v>0</v>
      </c>
      <c r="O77" s="61" t="s">
        <v>43</v>
      </c>
      <c r="P77" s="66">
        <f>uurtarief33</f>
        <v>0</v>
      </c>
      <c r="Q77" s="63" t="e">
        <f t="shared" si="13"/>
        <v>#DIV/0!</v>
      </c>
      <c r="R77" s="63" t="e">
        <f t="shared" si="14"/>
        <v>#DIV/0!</v>
      </c>
      <c r="S77" s="66" t="e">
        <f t="shared" si="15"/>
        <v>#DIV/0!</v>
      </c>
      <c r="T77" s="63" t="e">
        <f t="shared" si="16"/>
        <v>#DIV/0!</v>
      </c>
      <c r="U77" s="67" t="e">
        <f t="shared" si="17"/>
        <v>#DIV/0!</v>
      </c>
    </row>
    <row r="78" spans="1:21" x14ac:dyDescent="0.2">
      <c r="A78" s="60" t="s">
        <v>321</v>
      </c>
      <c r="B78" s="61" t="s">
        <v>230</v>
      </c>
      <c r="C78" s="61" t="s">
        <v>305</v>
      </c>
      <c r="D78" s="61" t="s">
        <v>342</v>
      </c>
      <c r="E78" s="62" t="s">
        <v>343</v>
      </c>
      <c r="F78" s="61" t="s">
        <v>234</v>
      </c>
      <c r="G78" s="61" t="s">
        <v>161</v>
      </c>
      <c r="H78" s="61" t="s">
        <v>20</v>
      </c>
      <c r="I78" s="61" t="s">
        <v>159</v>
      </c>
      <c r="J78" s="61" t="s">
        <v>282</v>
      </c>
      <c r="K78" s="63">
        <v>21.439999999999998</v>
      </c>
      <c r="L78" s="63">
        <f t="shared" si="12"/>
        <v>4.2879999999999994</v>
      </c>
      <c r="M78" s="64">
        <f>prodnorm19</f>
        <v>0</v>
      </c>
      <c r="N78" s="65">
        <f>dagwerk19</f>
        <v>0</v>
      </c>
      <c r="O78" s="61" t="s">
        <v>43</v>
      </c>
      <c r="P78" s="66">
        <f>uurtarief19</f>
        <v>0</v>
      </c>
      <c r="Q78" s="63" t="e">
        <f t="shared" si="13"/>
        <v>#DIV/0!</v>
      </c>
      <c r="R78" s="63" t="e">
        <f t="shared" si="14"/>
        <v>#DIV/0!</v>
      </c>
      <c r="S78" s="66" t="e">
        <f t="shared" si="15"/>
        <v>#DIV/0!</v>
      </c>
      <c r="T78" s="63" t="e">
        <f t="shared" si="16"/>
        <v>#DIV/0!</v>
      </c>
      <c r="U78" s="67" t="e">
        <f t="shared" si="17"/>
        <v>#DIV/0!</v>
      </c>
    </row>
    <row r="79" spans="1:21" x14ac:dyDescent="0.2">
      <c r="A79" s="60" t="s">
        <v>321</v>
      </c>
      <c r="B79" s="61" t="s">
        <v>230</v>
      </c>
      <c r="C79" s="61" t="s">
        <v>305</v>
      </c>
      <c r="D79" s="61" t="s">
        <v>344</v>
      </c>
      <c r="E79" s="62" t="s">
        <v>345</v>
      </c>
      <c r="F79" s="61" t="s">
        <v>238</v>
      </c>
      <c r="G79" s="61" t="s">
        <v>169</v>
      </c>
      <c r="H79" s="61" t="s">
        <v>11</v>
      </c>
      <c r="I79" s="61" t="s">
        <v>159</v>
      </c>
      <c r="J79" s="61" t="s">
        <v>235</v>
      </c>
      <c r="K79" s="63">
        <v>50.6</v>
      </c>
      <c r="L79" s="63">
        <f t="shared" si="12"/>
        <v>50.6</v>
      </c>
      <c r="M79" s="64">
        <f>prodnorm25</f>
        <v>0</v>
      </c>
      <c r="N79" s="65">
        <f>dagwerk25</f>
        <v>0</v>
      </c>
      <c r="O79" s="61" t="s">
        <v>43</v>
      </c>
      <c r="P79" s="66">
        <f>uurtarief25</f>
        <v>0</v>
      </c>
      <c r="Q79" s="63" t="e">
        <f t="shared" si="13"/>
        <v>#DIV/0!</v>
      </c>
      <c r="R79" s="63" t="e">
        <f t="shared" si="14"/>
        <v>#DIV/0!</v>
      </c>
      <c r="S79" s="66" t="e">
        <f t="shared" si="15"/>
        <v>#DIV/0!</v>
      </c>
      <c r="T79" s="63" t="e">
        <f t="shared" si="16"/>
        <v>#DIV/0!</v>
      </c>
      <c r="U79" s="67" t="e">
        <f t="shared" si="17"/>
        <v>#DIV/0!</v>
      </c>
    </row>
    <row r="80" spans="1:21" x14ac:dyDescent="0.2">
      <c r="A80" s="60" t="s">
        <v>321</v>
      </c>
      <c r="B80" s="61" t="s">
        <v>230</v>
      </c>
      <c r="C80" s="61" t="s">
        <v>305</v>
      </c>
      <c r="D80" s="61" t="s">
        <v>346</v>
      </c>
      <c r="E80" s="62" t="s">
        <v>347</v>
      </c>
      <c r="F80" s="61" t="s">
        <v>238</v>
      </c>
      <c r="G80" s="61" t="s">
        <v>173</v>
      </c>
      <c r="H80" s="61" t="s">
        <v>11</v>
      </c>
      <c r="I80" s="61" t="s">
        <v>159</v>
      </c>
      <c r="J80" s="61" t="s">
        <v>235</v>
      </c>
      <c r="K80" s="63">
        <v>5.9</v>
      </c>
      <c r="L80" s="63">
        <f t="shared" si="12"/>
        <v>5.9</v>
      </c>
      <c r="M80" s="64">
        <f>prodnorm28</f>
        <v>0</v>
      </c>
      <c r="N80" s="65">
        <f>dagwerk28</f>
        <v>0</v>
      </c>
      <c r="O80" s="61" t="s">
        <v>43</v>
      </c>
      <c r="P80" s="66">
        <f>uurtarief28</f>
        <v>0</v>
      </c>
      <c r="Q80" s="63" t="e">
        <f t="shared" si="13"/>
        <v>#DIV/0!</v>
      </c>
      <c r="R80" s="63" t="e">
        <f t="shared" si="14"/>
        <v>#DIV/0!</v>
      </c>
      <c r="S80" s="66" t="e">
        <f t="shared" si="15"/>
        <v>#DIV/0!</v>
      </c>
      <c r="T80" s="63" t="e">
        <f t="shared" si="16"/>
        <v>#DIV/0!</v>
      </c>
      <c r="U80" s="67" t="e">
        <f t="shared" si="17"/>
        <v>#DIV/0!</v>
      </c>
    </row>
    <row r="81" spans="1:21" x14ac:dyDescent="0.2">
      <c r="A81" s="60" t="s">
        <v>321</v>
      </c>
      <c r="B81" s="61" t="s">
        <v>230</v>
      </c>
      <c r="C81" s="61" t="s">
        <v>305</v>
      </c>
      <c r="D81" s="61" t="s">
        <v>348</v>
      </c>
      <c r="E81" s="62" t="s">
        <v>331</v>
      </c>
      <c r="F81" s="61" t="s">
        <v>238</v>
      </c>
      <c r="G81" s="61" t="s">
        <v>175</v>
      </c>
      <c r="H81" s="61" t="s">
        <v>18</v>
      </c>
      <c r="I81" s="61" t="s">
        <v>159</v>
      </c>
      <c r="J81" s="61" t="s">
        <v>239</v>
      </c>
      <c r="K81" s="63">
        <v>50.3</v>
      </c>
      <c r="L81" s="63">
        <f t="shared" si="12"/>
        <v>20.12</v>
      </c>
      <c r="M81" s="64">
        <f>prodnorm33</f>
        <v>0</v>
      </c>
      <c r="N81" s="65">
        <f>dagwerk33</f>
        <v>0</v>
      </c>
      <c r="O81" s="61" t="s">
        <v>43</v>
      </c>
      <c r="P81" s="66">
        <f>uurtarief33</f>
        <v>0</v>
      </c>
      <c r="Q81" s="63" t="e">
        <f t="shared" si="13"/>
        <v>#DIV/0!</v>
      </c>
      <c r="R81" s="63" t="e">
        <f t="shared" si="14"/>
        <v>#DIV/0!</v>
      </c>
      <c r="S81" s="66" t="e">
        <f t="shared" si="15"/>
        <v>#DIV/0!</v>
      </c>
      <c r="T81" s="63" t="e">
        <f t="shared" si="16"/>
        <v>#DIV/0!</v>
      </c>
      <c r="U81" s="67" t="e">
        <f t="shared" si="17"/>
        <v>#DIV/0!</v>
      </c>
    </row>
    <row r="82" spans="1:21" x14ac:dyDescent="0.2">
      <c r="A82" s="60" t="s">
        <v>321</v>
      </c>
      <c r="B82" s="61" t="s">
        <v>230</v>
      </c>
      <c r="C82" s="61" t="s">
        <v>305</v>
      </c>
      <c r="D82" s="61" t="s">
        <v>349</v>
      </c>
      <c r="E82" s="62" t="s">
        <v>331</v>
      </c>
      <c r="F82" s="61" t="s">
        <v>238</v>
      </c>
      <c r="G82" s="61" t="s">
        <v>175</v>
      </c>
      <c r="H82" s="61" t="s">
        <v>18</v>
      </c>
      <c r="I82" s="61" t="s">
        <v>159</v>
      </c>
      <c r="J82" s="61" t="s">
        <v>239</v>
      </c>
      <c r="K82" s="63">
        <v>53.8</v>
      </c>
      <c r="L82" s="63">
        <f t="shared" si="12"/>
        <v>21.52</v>
      </c>
      <c r="M82" s="64">
        <f>prodnorm33</f>
        <v>0</v>
      </c>
      <c r="N82" s="65">
        <f>dagwerk33</f>
        <v>0</v>
      </c>
      <c r="O82" s="61" t="s">
        <v>43</v>
      </c>
      <c r="P82" s="66">
        <f>uurtarief33</f>
        <v>0</v>
      </c>
      <c r="Q82" s="63" t="e">
        <f t="shared" si="13"/>
        <v>#DIV/0!</v>
      </c>
      <c r="R82" s="63" t="e">
        <f t="shared" si="14"/>
        <v>#DIV/0!</v>
      </c>
      <c r="S82" s="66" t="e">
        <f t="shared" si="15"/>
        <v>#DIV/0!</v>
      </c>
      <c r="T82" s="63" t="e">
        <f t="shared" si="16"/>
        <v>#DIV/0!</v>
      </c>
      <c r="U82" s="67" t="e">
        <f t="shared" si="17"/>
        <v>#DIV/0!</v>
      </c>
    </row>
    <row r="83" spans="1:21" x14ac:dyDescent="0.2">
      <c r="A83" s="60" t="s">
        <v>321</v>
      </c>
      <c r="B83" s="61" t="s">
        <v>230</v>
      </c>
      <c r="C83" s="61" t="s">
        <v>305</v>
      </c>
      <c r="D83" s="61" t="s">
        <v>350</v>
      </c>
      <c r="E83" s="62" t="s">
        <v>332</v>
      </c>
      <c r="F83" s="61" t="s">
        <v>325</v>
      </c>
      <c r="G83" s="61" t="s">
        <v>195</v>
      </c>
      <c r="H83" s="61" t="s">
        <v>11</v>
      </c>
      <c r="I83" s="61" t="s">
        <v>159</v>
      </c>
      <c r="J83" s="61" t="s">
        <v>257</v>
      </c>
      <c r="K83" s="63">
        <v>9.5</v>
      </c>
      <c r="L83" s="63">
        <f t="shared" si="12"/>
        <v>9.5</v>
      </c>
      <c r="M83" s="64">
        <f>prodnorm49</f>
        <v>0</v>
      </c>
      <c r="N83" s="65">
        <f>dagwerk49</f>
        <v>0</v>
      </c>
      <c r="O83" s="61" t="s">
        <v>43</v>
      </c>
      <c r="P83" s="66">
        <f>uurtarief49</f>
        <v>0</v>
      </c>
      <c r="Q83" s="63" t="e">
        <f t="shared" si="13"/>
        <v>#DIV/0!</v>
      </c>
      <c r="R83" s="63" t="e">
        <f t="shared" si="14"/>
        <v>#DIV/0!</v>
      </c>
      <c r="S83" s="66" t="e">
        <f t="shared" si="15"/>
        <v>#DIV/0!</v>
      </c>
      <c r="T83" s="63" t="e">
        <f t="shared" si="16"/>
        <v>#DIV/0!</v>
      </c>
      <c r="U83" s="67" t="e">
        <f t="shared" si="17"/>
        <v>#DIV/0!</v>
      </c>
    </row>
    <row r="84" spans="1:21" x14ac:dyDescent="0.2">
      <c r="A84" s="60" t="s">
        <v>321</v>
      </c>
      <c r="B84" s="61" t="s">
        <v>230</v>
      </c>
      <c r="C84" s="61" t="s">
        <v>305</v>
      </c>
      <c r="D84" s="61" t="s">
        <v>351</v>
      </c>
      <c r="E84" s="62" t="s">
        <v>332</v>
      </c>
      <c r="F84" s="61" t="s">
        <v>325</v>
      </c>
      <c r="G84" s="61" t="s">
        <v>195</v>
      </c>
      <c r="H84" s="61" t="s">
        <v>11</v>
      </c>
      <c r="I84" s="61" t="s">
        <v>159</v>
      </c>
      <c r="J84" s="61" t="s">
        <v>257</v>
      </c>
      <c r="K84" s="63">
        <v>1.31</v>
      </c>
      <c r="L84" s="63">
        <f t="shared" si="12"/>
        <v>1.31</v>
      </c>
      <c r="M84" s="64">
        <f>prodnorm49</f>
        <v>0</v>
      </c>
      <c r="N84" s="65">
        <f>dagwerk49</f>
        <v>0</v>
      </c>
      <c r="O84" s="61" t="s">
        <v>43</v>
      </c>
      <c r="P84" s="66">
        <f>uurtarief49</f>
        <v>0</v>
      </c>
      <c r="Q84" s="63" t="e">
        <f t="shared" si="13"/>
        <v>#DIV/0!</v>
      </c>
      <c r="R84" s="63" t="e">
        <f t="shared" si="14"/>
        <v>#DIV/0!</v>
      </c>
      <c r="S84" s="66" t="e">
        <f t="shared" si="15"/>
        <v>#DIV/0!</v>
      </c>
      <c r="T84" s="63" t="e">
        <f t="shared" si="16"/>
        <v>#DIV/0!</v>
      </c>
      <c r="U84" s="67" t="e">
        <f t="shared" si="17"/>
        <v>#DIV/0!</v>
      </c>
    </row>
    <row r="85" spans="1:21" x14ac:dyDescent="0.2">
      <c r="A85" s="60" t="s">
        <v>321</v>
      </c>
      <c r="B85" s="61" t="s">
        <v>230</v>
      </c>
      <c r="C85" s="61" t="s">
        <v>305</v>
      </c>
      <c r="D85" s="61" t="s">
        <v>352</v>
      </c>
      <c r="E85" s="62" t="s">
        <v>353</v>
      </c>
      <c r="F85" s="61" t="s">
        <v>238</v>
      </c>
      <c r="G85" s="61" t="s">
        <v>199</v>
      </c>
      <c r="H85" s="61" t="s">
        <v>11</v>
      </c>
      <c r="I85" s="61" t="s">
        <v>159</v>
      </c>
      <c r="J85" s="61" t="s">
        <v>235</v>
      </c>
      <c r="K85" s="63">
        <v>93.4</v>
      </c>
      <c r="L85" s="63">
        <f t="shared" si="12"/>
        <v>93.4</v>
      </c>
      <c r="M85" s="64">
        <f>prodnorm53</f>
        <v>0</v>
      </c>
      <c r="N85" s="65">
        <f>dagwerk53</f>
        <v>0</v>
      </c>
      <c r="O85" s="61" t="s">
        <v>43</v>
      </c>
      <c r="P85" s="66">
        <f>uurtarief53</f>
        <v>0</v>
      </c>
      <c r="Q85" s="63" t="e">
        <f t="shared" si="13"/>
        <v>#DIV/0!</v>
      </c>
      <c r="R85" s="63" t="e">
        <f t="shared" si="14"/>
        <v>#DIV/0!</v>
      </c>
      <c r="S85" s="66" t="e">
        <f t="shared" si="15"/>
        <v>#DIV/0!</v>
      </c>
      <c r="T85" s="63" t="e">
        <f t="shared" si="16"/>
        <v>#DIV/0!</v>
      </c>
      <c r="U85" s="67" t="e">
        <f t="shared" si="17"/>
        <v>#DIV/0!</v>
      </c>
    </row>
    <row r="86" spans="1:21" x14ac:dyDescent="0.2">
      <c r="A86" s="60" t="s">
        <v>321</v>
      </c>
      <c r="B86" s="61" t="s">
        <v>354</v>
      </c>
      <c r="C86" s="61" t="s">
        <v>231</v>
      </c>
      <c r="D86" s="61" t="s">
        <v>355</v>
      </c>
      <c r="E86" s="62" t="s">
        <v>322</v>
      </c>
      <c r="F86" s="61" t="s">
        <v>356</v>
      </c>
      <c r="G86" s="61" t="s">
        <v>205</v>
      </c>
      <c r="H86" s="61" t="s">
        <v>11</v>
      </c>
      <c r="I86" s="61" t="s">
        <v>159</v>
      </c>
      <c r="J86" s="61" t="s">
        <v>235</v>
      </c>
      <c r="K86" s="63">
        <v>5.26</v>
      </c>
      <c r="L86" s="63">
        <f t="shared" si="12"/>
        <v>5.26</v>
      </c>
      <c r="M86" s="64">
        <f>prodnorm58</f>
        <v>0</v>
      </c>
      <c r="N86" s="65">
        <f>dagwerk58</f>
        <v>0</v>
      </c>
      <c r="O86" s="61" t="s">
        <v>43</v>
      </c>
      <c r="P86" s="66">
        <f>uurtarief58</f>
        <v>0</v>
      </c>
      <c r="Q86" s="63" t="e">
        <f t="shared" si="13"/>
        <v>#DIV/0!</v>
      </c>
      <c r="R86" s="63" t="e">
        <f t="shared" si="14"/>
        <v>#DIV/0!</v>
      </c>
      <c r="S86" s="66" t="e">
        <f t="shared" si="15"/>
        <v>#DIV/0!</v>
      </c>
      <c r="T86" s="63" t="e">
        <f t="shared" si="16"/>
        <v>#DIV/0!</v>
      </c>
      <c r="U86" s="67" t="e">
        <f t="shared" si="17"/>
        <v>#DIV/0!</v>
      </c>
    </row>
    <row r="87" spans="1:21" x14ac:dyDescent="0.2">
      <c r="A87" s="60" t="s">
        <v>321</v>
      </c>
      <c r="B87" s="61" t="s">
        <v>354</v>
      </c>
      <c r="C87" s="61" t="s">
        <v>231</v>
      </c>
      <c r="D87" s="61" t="s">
        <v>357</v>
      </c>
      <c r="E87" s="62" t="s">
        <v>358</v>
      </c>
      <c r="F87" s="61" t="s">
        <v>238</v>
      </c>
      <c r="G87" s="61" t="s">
        <v>199</v>
      </c>
      <c r="H87" s="61" t="s">
        <v>11</v>
      </c>
      <c r="I87" s="61" t="s">
        <v>159</v>
      </c>
      <c r="J87" s="61" t="s">
        <v>235</v>
      </c>
      <c r="K87" s="63">
        <v>37.82</v>
      </c>
      <c r="L87" s="63">
        <f t="shared" si="12"/>
        <v>37.82</v>
      </c>
      <c r="M87" s="64">
        <f>prodnorm53</f>
        <v>0</v>
      </c>
      <c r="N87" s="65">
        <f>dagwerk53</f>
        <v>0</v>
      </c>
      <c r="O87" s="61" t="s">
        <v>43</v>
      </c>
      <c r="P87" s="66">
        <f>uurtarief53</f>
        <v>0</v>
      </c>
      <c r="Q87" s="63" t="e">
        <f t="shared" si="13"/>
        <v>#DIV/0!</v>
      </c>
      <c r="R87" s="63" t="e">
        <f t="shared" si="14"/>
        <v>#DIV/0!</v>
      </c>
      <c r="S87" s="66" t="e">
        <f t="shared" si="15"/>
        <v>#DIV/0!</v>
      </c>
      <c r="T87" s="63" t="e">
        <f t="shared" si="16"/>
        <v>#DIV/0!</v>
      </c>
      <c r="U87" s="67" t="e">
        <f t="shared" si="17"/>
        <v>#DIV/0!</v>
      </c>
    </row>
    <row r="88" spans="1:21" x14ac:dyDescent="0.2">
      <c r="A88" s="60" t="s">
        <v>321</v>
      </c>
      <c r="B88" s="61" t="s">
        <v>354</v>
      </c>
      <c r="C88" s="61" t="s">
        <v>231</v>
      </c>
      <c r="D88" s="61" t="s">
        <v>359</v>
      </c>
      <c r="E88" s="62" t="s">
        <v>331</v>
      </c>
      <c r="F88" s="61" t="s">
        <v>238</v>
      </c>
      <c r="G88" s="61" t="s">
        <v>175</v>
      </c>
      <c r="H88" s="61" t="s">
        <v>18</v>
      </c>
      <c r="I88" s="61" t="s">
        <v>159</v>
      </c>
      <c r="J88" s="61" t="s">
        <v>239</v>
      </c>
      <c r="K88" s="63">
        <v>55.849999999999994</v>
      </c>
      <c r="L88" s="63">
        <f t="shared" si="12"/>
        <v>22.34</v>
      </c>
      <c r="M88" s="64">
        <f>prodnorm33</f>
        <v>0</v>
      </c>
      <c r="N88" s="65">
        <f>dagwerk33</f>
        <v>0</v>
      </c>
      <c r="O88" s="61" t="s">
        <v>43</v>
      </c>
      <c r="P88" s="66">
        <f>uurtarief33</f>
        <v>0</v>
      </c>
      <c r="Q88" s="63" t="e">
        <f t="shared" si="13"/>
        <v>#DIV/0!</v>
      </c>
      <c r="R88" s="63" t="e">
        <f t="shared" si="14"/>
        <v>#DIV/0!</v>
      </c>
      <c r="S88" s="66" t="e">
        <f t="shared" si="15"/>
        <v>#DIV/0!</v>
      </c>
      <c r="T88" s="63" t="e">
        <f t="shared" si="16"/>
        <v>#DIV/0!</v>
      </c>
      <c r="U88" s="67" t="e">
        <f t="shared" si="17"/>
        <v>#DIV/0!</v>
      </c>
    </row>
    <row r="89" spans="1:21" x14ac:dyDescent="0.2">
      <c r="A89" s="60" t="s">
        <v>321</v>
      </c>
      <c r="B89" s="61" t="s">
        <v>354</v>
      </c>
      <c r="C89" s="61" t="s">
        <v>231</v>
      </c>
      <c r="D89" s="61" t="s">
        <v>360</v>
      </c>
      <c r="E89" s="62" t="s">
        <v>331</v>
      </c>
      <c r="F89" s="61" t="s">
        <v>238</v>
      </c>
      <c r="G89" s="61" t="s">
        <v>175</v>
      </c>
      <c r="H89" s="61" t="s">
        <v>18</v>
      </c>
      <c r="I89" s="61" t="s">
        <v>159</v>
      </c>
      <c r="J89" s="61" t="s">
        <v>239</v>
      </c>
      <c r="K89" s="63">
        <v>54.54</v>
      </c>
      <c r="L89" s="63">
        <f t="shared" si="12"/>
        <v>21.816000000000003</v>
      </c>
      <c r="M89" s="64">
        <f>prodnorm33</f>
        <v>0</v>
      </c>
      <c r="N89" s="65">
        <f>dagwerk33</f>
        <v>0</v>
      </c>
      <c r="O89" s="61" t="s">
        <v>43</v>
      </c>
      <c r="P89" s="66">
        <f>uurtarief33</f>
        <v>0</v>
      </c>
      <c r="Q89" s="63" t="e">
        <f t="shared" si="13"/>
        <v>#DIV/0!</v>
      </c>
      <c r="R89" s="63" t="e">
        <f t="shared" si="14"/>
        <v>#DIV/0!</v>
      </c>
      <c r="S89" s="66" t="e">
        <f t="shared" si="15"/>
        <v>#DIV/0!</v>
      </c>
      <c r="T89" s="63" t="e">
        <f t="shared" si="16"/>
        <v>#DIV/0!</v>
      </c>
      <c r="U89" s="67" t="e">
        <f t="shared" si="17"/>
        <v>#DIV/0!</v>
      </c>
    </row>
    <row r="90" spans="1:21" x14ac:dyDescent="0.2">
      <c r="A90" s="60" t="s">
        <v>321</v>
      </c>
      <c r="B90" s="61" t="s">
        <v>354</v>
      </c>
      <c r="C90" s="61" t="s">
        <v>231</v>
      </c>
      <c r="D90" s="61" t="s">
        <v>361</v>
      </c>
      <c r="E90" s="62" t="s">
        <v>331</v>
      </c>
      <c r="F90" s="61" t="s">
        <v>238</v>
      </c>
      <c r="G90" s="61" t="s">
        <v>175</v>
      </c>
      <c r="H90" s="61" t="s">
        <v>18</v>
      </c>
      <c r="I90" s="61" t="s">
        <v>159</v>
      </c>
      <c r="J90" s="61" t="s">
        <v>239</v>
      </c>
      <c r="K90" s="63">
        <v>50.2</v>
      </c>
      <c r="L90" s="63">
        <f t="shared" si="12"/>
        <v>20.080000000000002</v>
      </c>
      <c r="M90" s="64">
        <f>prodnorm33</f>
        <v>0</v>
      </c>
      <c r="N90" s="65">
        <f>dagwerk33</f>
        <v>0</v>
      </c>
      <c r="O90" s="61" t="s">
        <v>43</v>
      </c>
      <c r="P90" s="66">
        <f>uurtarief33</f>
        <v>0</v>
      </c>
      <c r="Q90" s="63" t="e">
        <f t="shared" si="13"/>
        <v>#DIV/0!</v>
      </c>
      <c r="R90" s="63" t="e">
        <f t="shared" si="14"/>
        <v>#DIV/0!</v>
      </c>
      <c r="S90" s="66" t="e">
        <f t="shared" si="15"/>
        <v>#DIV/0!</v>
      </c>
      <c r="T90" s="63" t="e">
        <f t="shared" si="16"/>
        <v>#DIV/0!</v>
      </c>
      <c r="U90" s="67" t="e">
        <f t="shared" si="17"/>
        <v>#DIV/0!</v>
      </c>
    </row>
    <row r="91" spans="1:21" x14ac:dyDescent="0.2">
      <c r="A91" s="60" t="s">
        <v>321</v>
      </c>
      <c r="B91" s="61" t="s">
        <v>354</v>
      </c>
      <c r="C91" s="61" t="s">
        <v>231</v>
      </c>
      <c r="D91" s="61" t="s">
        <v>362</v>
      </c>
      <c r="E91" s="62" t="s">
        <v>343</v>
      </c>
      <c r="F91" s="61" t="s">
        <v>238</v>
      </c>
      <c r="G91" s="61" t="s">
        <v>158</v>
      </c>
      <c r="H91" s="61" t="s">
        <v>20</v>
      </c>
      <c r="I91" s="61" t="s">
        <v>159</v>
      </c>
      <c r="J91" s="61" t="s">
        <v>282</v>
      </c>
      <c r="K91" s="63">
        <v>17.37</v>
      </c>
      <c r="L91" s="63">
        <f t="shared" si="12"/>
        <v>3.4740000000000002</v>
      </c>
      <c r="M91" s="64">
        <f>prodnorm15</f>
        <v>0</v>
      </c>
      <c r="N91" s="65">
        <f>dagwerk15</f>
        <v>0</v>
      </c>
      <c r="O91" s="61" t="s">
        <v>43</v>
      </c>
      <c r="P91" s="66">
        <f>uurtarief15</f>
        <v>0</v>
      </c>
      <c r="Q91" s="63" t="e">
        <f t="shared" si="13"/>
        <v>#DIV/0!</v>
      </c>
      <c r="R91" s="63" t="e">
        <f t="shared" si="14"/>
        <v>#DIV/0!</v>
      </c>
      <c r="S91" s="66" t="e">
        <f t="shared" si="15"/>
        <v>#DIV/0!</v>
      </c>
      <c r="T91" s="63" t="e">
        <f t="shared" si="16"/>
        <v>#DIV/0!</v>
      </c>
      <c r="U91" s="67" t="e">
        <f t="shared" si="17"/>
        <v>#DIV/0!</v>
      </c>
    </row>
    <row r="92" spans="1:21" x14ac:dyDescent="0.2">
      <c r="A92" s="60" t="s">
        <v>321</v>
      </c>
      <c r="B92" s="61" t="s">
        <v>354</v>
      </c>
      <c r="C92" s="61" t="s">
        <v>231</v>
      </c>
      <c r="D92" s="61" t="s">
        <v>363</v>
      </c>
      <c r="E92" s="62" t="s">
        <v>332</v>
      </c>
      <c r="F92" s="61" t="s">
        <v>364</v>
      </c>
      <c r="G92" s="61" t="s">
        <v>195</v>
      </c>
      <c r="H92" s="61" t="s">
        <v>11</v>
      </c>
      <c r="I92" s="61" t="s">
        <v>159</v>
      </c>
      <c r="J92" s="61" t="s">
        <v>257</v>
      </c>
      <c r="K92" s="63">
        <v>14.239999999999998</v>
      </c>
      <c r="L92" s="63">
        <f t="shared" si="12"/>
        <v>14.239999999999998</v>
      </c>
      <c r="M92" s="64">
        <f>prodnorm49</f>
        <v>0</v>
      </c>
      <c r="N92" s="65">
        <f>dagwerk49</f>
        <v>0</v>
      </c>
      <c r="O92" s="61" t="s">
        <v>43</v>
      </c>
      <c r="P92" s="66">
        <f>uurtarief49</f>
        <v>0</v>
      </c>
      <c r="Q92" s="63" t="e">
        <f t="shared" si="13"/>
        <v>#DIV/0!</v>
      </c>
      <c r="R92" s="63" t="e">
        <f t="shared" si="14"/>
        <v>#DIV/0!</v>
      </c>
      <c r="S92" s="66" t="e">
        <f t="shared" si="15"/>
        <v>#DIV/0!</v>
      </c>
      <c r="T92" s="63" t="e">
        <f t="shared" si="16"/>
        <v>#DIV/0!</v>
      </c>
      <c r="U92" s="67" t="e">
        <f t="shared" si="17"/>
        <v>#DIV/0!</v>
      </c>
    </row>
    <row r="93" spans="1:21" x14ac:dyDescent="0.2">
      <c r="A93" s="60" t="s">
        <v>321</v>
      </c>
      <c r="B93" s="61" t="s">
        <v>354</v>
      </c>
      <c r="C93" s="61" t="s">
        <v>231</v>
      </c>
      <c r="D93" s="61" t="s">
        <v>365</v>
      </c>
      <c r="E93" s="62" t="s">
        <v>332</v>
      </c>
      <c r="F93" s="61" t="s">
        <v>364</v>
      </c>
      <c r="G93" s="61" t="s">
        <v>195</v>
      </c>
      <c r="H93" s="61" t="s">
        <v>11</v>
      </c>
      <c r="I93" s="61" t="s">
        <v>159</v>
      </c>
      <c r="J93" s="61" t="s">
        <v>257</v>
      </c>
      <c r="K93" s="63">
        <v>1.46</v>
      </c>
      <c r="L93" s="63">
        <f t="shared" si="12"/>
        <v>1.46</v>
      </c>
      <c r="M93" s="64">
        <f>prodnorm49</f>
        <v>0</v>
      </c>
      <c r="N93" s="65">
        <f>dagwerk49</f>
        <v>0</v>
      </c>
      <c r="O93" s="61" t="s">
        <v>43</v>
      </c>
      <c r="P93" s="66">
        <f>uurtarief49</f>
        <v>0</v>
      </c>
      <c r="Q93" s="63" t="e">
        <f t="shared" si="13"/>
        <v>#DIV/0!</v>
      </c>
      <c r="R93" s="63" t="e">
        <f t="shared" si="14"/>
        <v>#DIV/0!</v>
      </c>
      <c r="S93" s="66" t="e">
        <f t="shared" si="15"/>
        <v>#DIV/0!</v>
      </c>
      <c r="T93" s="63" t="e">
        <f t="shared" si="16"/>
        <v>#DIV/0!</v>
      </c>
      <c r="U93" s="67" t="e">
        <f t="shared" si="17"/>
        <v>#DIV/0!</v>
      </c>
    </row>
    <row r="94" spans="1:21" x14ac:dyDescent="0.2">
      <c r="A94" s="68" t="s">
        <v>321</v>
      </c>
      <c r="B94" s="69" t="s">
        <v>354</v>
      </c>
      <c r="C94" s="69" t="s">
        <v>231</v>
      </c>
      <c r="D94" s="69" t="s">
        <v>366</v>
      </c>
      <c r="E94" s="70" t="s">
        <v>331</v>
      </c>
      <c r="F94" s="69" t="s">
        <v>238</v>
      </c>
      <c r="G94" s="69" t="s">
        <v>175</v>
      </c>
      <c r="H94" s="69" t="s">
        <v>18</v>
      </c>
      <c r="I94" s="69" t="s">
        <v>159</v>
      </c>
      <c r="J94" s="69" t="s">
        <v>239</v>
      </c>
      <c r="K94" s="71">
        <v>56.290000000000006</v>
      </c>
      <c r="L94" s="71">
        <f t="shared" si="12"/>
        <v>22.516000000000005</v>
      </c>
      <c r="M94" s="72">
        <f>prodnorm33</f>
        <v>0</v>
      </c>
      <c r="N94" s="73">
        <f>dagwerk33</f>
        <v>0</v>
      </c>
      <c r="O94" s="69" t="s">
        <v>43</v>
      </c>
      <c r="P94" s="74">
        <f>uurtarief33</f>
        <v>0</v>
      </c>
      <c r="Q94" s="71" t="e">
        <f t="shared" si="13"/>
        <v>#DIV/0!</v>
      </c>
      <c r="R94" s="71" t="e">
        <f t="shared" si="14"/>
        <v>#DIV/0!</v>
      </c>
      <c r="S94" s="74" t="e">
        <f t="shared" si="15"/>
        <v>#DIV/0!</v>
      </c>
      <c r="T94" s="71" t="e">
        <f t="shared" si="16"/>
        <v>#DIV/0!</v>
      </c>
      <c r="U94" s="75" t="e">
        <f t="shared" si="17"/>
        <v>#DIV/0!</v>
      </c>
    </row>
    <row r="95" spans="1:21" x14ac:dyDescent="0.2">
      <c r="A95" s="76" t="s">
        <v>319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5" t="e">
        <f>IF(_xlfn.SINGLE(object2_urenjaar1)&gt;0,_xlfn.SINGLE(object2_prijsjaar1)/_xlfn.SINGLE(object2_urenjaar1),0)</f>
        <v>#DIV/0!</v>
      </c>
      <c r="Q95" s="44" t="e">
        <f>SUM(Q61:Q94)</f>
        <v>#DIV/0!</v>
      </c>
      <c r="R95" s="44" t="e">
        <f>SUM(R61:R94)</f>
        <v>#DIV/0!</v>
      </c>
      <c r="S95" s="45" t="e">
        <f>SUM(S61:S94)</f>
        <v>#DIV/0!</v>
      </c>
      <c r="T95" s="44" t="e">
        <f>SUM(T61:T94)</f>
        <v>#DIV/0!</v>
      </c>
      <c r="U95" s="46" t="e">
        <f>SUM(U61:U94)</f>
        <v>#DIV/0!</v>
      </c>
    </row>
    <row r="96" spans="1:21" x14ac:dyDescent="0.2">
      <c r="A96" s="51" t="s">
        <v>367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1"/>
    </row>
    <row r="97" spans="1:21" x14ac:dyDescent="0.2">
      <c r="A97" s="52" t="s">
        <v>368</v>
      </c>
      <c r="B97" s="53" t="s">
        <v>230</v>
      </c>
      <c r="C97" s="53" t="s">
        <v>231</v>
      </c>
      <c r="D97" s="53" t="s">
        <v>232</v>
      </c>
      <c r="E97" s="54" t="s">
        <v>322</v>
      </c>
      <c r="F97" s="53" t="s">
        <v>234</v>
      </c>
      <c r="G97" s="53" t="s">
        <v>205</v>
      </c>
      <c r="H97" s="53" t="s">
        <v>11</v>
      </c>
      <c r="I97" s="53" t="s">
        <v>159</v>
      </c>
      <c r="J97" s="53" t="s">
        <v>235</v>
      </c>
      <c r="K97" s="55">
        <v>10.7</v>
      </c>
      <c r="L97" s="55">
        <f t="shared" ref="L97:L135" si="18">K97*VLOOKUP(H97,dagsoorttabel1,2,FALSE)</f>
        <v>10.7</v>
      </c>
      <c r="M97" s="56">
        <f>prodnorm58</f>
        <v>0</v>
      </c>
      <c r="N97" s="57">
        <f>dagwerk58</f>
        <v>0</v>
      </c>
      <c r="O97" s="53" t="s">
        <v>43</v>
      </c>
      <c r="P97" s="58">
        <f>uurtarief58</f>
        <v>0</v>
      </c>
      <c r="Q97" s="55" t="e">
        <f t="shared" ref="Q97:Q135" si="19">IF(ISBLANK(M97),0,L97/ROUND(M97,4))</f>
        <v>#DIV/0!</v>
      </c>
      <c r="R97" s="55" t="e">
        <f t="shared" ref="R97:R135" si="20">IF(ISBLANK(M97),0,Q97*ROUND(N97,2))</f>
        <v>#DIV/0!</v>
      </c>
      <c r="S97" s="58" t="e">
        <f t="shared" ref="S97:S135" si="21">ROUND(P97,2)*Q97</f>
        <v>#DIV/0!</v>
      </c>
      <c r="T97" s="55" t="e">
        <f t="shared" ref="T97:T135" si="22">Q97*dagenperjaar1</f>
        <v>#DIV/0!</v>
      </c>
      <c r="U97" s="59" t="e">
        <f t="shared" ref="U97:U135" si="23">T97*ROUND(P97,2)</f>
        <v>#DIV/0!</v>
      </c>
    </row>
    <row r="98" spans="1:21" x14ac:dyDescent="0.2">
      <c r="A98" s="60" t="s">
        <v>368</v>
      </c>
      <c r="B98" s="61" t="s">
        <v>230</v>
      </c>
      <c r="C98" s="61" t="s">
        <v>231</v>
      </c>
      <c r="D98" s="61" t="s">
        <v>236</v>
      </c>
      <c r="E98" s="62" t="s">
        <v>358</v>
      </c>
      <c r="F98" s="61" t="s">
        <v>234</v>
      </c>
      <c r="G98" s="61" t="s">
        <v>201</v>
      </c>
      <c r="H98" s="61" t="s">
        <v>11</v>
      </c>
      <c r="I98" s="61" t="s">
        <v>159</v>
      </c>
      <c r="J98" s="61" t="s">
        <v>235</v>
      </c>
      <c r="K98" s="63">
        <v>20.27</v>
      </c>
      <c r="L98" s="63">
        <f t="shared" si="18"/>
        <v>20.27</v>
      </c>
      <c r="M98" s="64">
        <f>prodnorm56</f>
        <v>0</v>
      </c>
      <c r="N98" s="65">
        <f>dagwerk56</f>
        <v>0</v>
      </c>
      <c r="O98" s="61" t="s">
        <v>43</v>
      </c>
      <c r="P98" s="66">
        <f>uurtarief56</f>
        <v>0</v>
      </c>
      <c r="Q98" s="63" t="e">
        <f t="shared" si="19"/>
        <v>#DIV/0!</v>
      </c>
      <c r="R98" s="63" t="e">
        <f t="shared" si="20"/>
        <v>#DIV/0!</v>
      </c>
      <c r="S98" s="66" t="e">
        <f t="shared" si="21"/>
        <v>#DIV/0!</v>
      </c>
      <c r="T98" s="63" t="e">
        <f t="shared" si="22"/>
        <v>#DIV/0!</v>
      </c>
      <c r="U98" s="67" t="e">
        <f t="shared" si="23"/>
        <v>#DIV/0!</v>
      </c>
    </row>
    <row r="99" spans="1:21" x14ac:dyDescent="0.2">
      <c r="A99" s="60" t="s">
        <v>368</v>
      </c>
      <c r="B99" s="61" t="s">
        <v>230</v>
      </c>
      <c r="C99" s="61" t="s">
        <v>231</v>
      </c>
      <c r="D99" s="61" t="s">
        <v>248</v>
      </c>
      <c r="E99" s="62" t="s">
        <v>343</v>
      </c>
      <c r="F99" s="61" t="s">
        <v>234</v>
      </c>
      <c r="G99" s="61" t="s">
        <v>161</v>
      </c>
      <c r="H99" s="61" t="s">
        <v>20</v>
      </c>
      <c r="I99" s="61" t="s">
        <v>159</v>
      </c>
      <c r="J99" s="61" t="s">
        <v>282</v>
      </c>
      <c r="K99" s="63">
        <v>22.6</v>
      </c>
      <c r="L99" s="63">
        <f t="shared" si="18"/>
        <v>4.5200000000000005</v>
      </c>
      <c r="M99" s="64">
        <f>prodnorm19</f>
        <v>0</v>
      </c>
      <c r="N99" s="65">
        <f>dagwerk19</f>
        <v>0</v>
      </c>
      <c r="O99" s="61" t="s">
        <v>43</v>
      </c>
      <c r="P99" s="66">
        <f>uurtarief19</f>
        <v>0</v>
      </c>
      <c r="Q99" s="63" t="e">
        <f t="shared" si="19"/>
        <v>#DIV/0!</v>
      </c>
      <c r="R99" s="63" t="e">
        <f t="shared" si="20"/>
        <v>#DIV/0!</v>
      </c>
      <c r="S99" s="66" t="e">
        <f t="shared" si="21"/>
        <v>#DIV/0!</v>
      </c>
      <c r="T99" s="63" t="e">
        <f t="shared" si="22"/>
        <v>#DIV/0!</v>
      </c>
      <c r="U99" s="67" t="e">
        <f t="shared" si="23"/>
        <v>#DIV/0!</v>
      </c>
    </row>
    <row r="100" spans="1:21" x14ac:dyDescent="0.2">
      <c r="A100" s="60" t="s">
        <v>368</v>
      </c>
      <c r="B100" s="61" t="s">
        <v>230</v>
      </c>
      <c r="C100" s="61" t="s">
        <v>231</v>
      </c>
      <c r="D100" s="61" t="s">
        <v>328</v>
      </c>
      <c r="E100" s="62" t="s">
        <v>332</v>
      </c>
      <c r="F100" s="61" t="s">
        <v>369</v>
      </c>
      <c r="G100" s="61" t="s">
        <v>195</v>
      </c>
      <c r="H100" s="61" t="s">
        <v>11</v>
      </c>
      <c r="I100" s="61" t="s">
        <v>159</v>
      </c>
      <c r="J100" s="61" t="s">
        <v>257</v>
      </c>
      <c r="K100" s="63">
        <v>3.2</v>
      </c>
      <c r="L100" s="63">
        <f t="shared" si="18"/>
        <v>3.2</v>
      </c>
      <c r="M100" s="64">
        <f>prodnorm49</f>
        <v>0</v>
      </c>
      <c r="N100" s="65">
        <f>dagwerk49</f>
        <v>0</v>
      </c>
      <c r="O100" s="61" t="s">
        <v>43</v>
      </c>
      <c r="P100" s="66">
        <f>uurtarief49</f>
        <v>0</v>
      </c>
      <c r="Q100" s="63" t="e">
        <f t="shared" si="19"/>
        <v>#DIV/0!</v>
      </c>
      <c r="R100" s="63" t="e">
        <f t="shared" si="20"/>
        <v>#DIV/0!</v>
      </c>
      <c r="S100" s="66" t="e">
        <f t="shared" si="21"/>
        <v>#DIV/0!</v>
      </c>
      <c r="T100" s="63" t="e">
        <f t="shared" si="22"/>
        <v>#DIV/0!</v>
      </c>
      <c r="U100" s="67" t="e">
        <f t="shared" si="23"/>
        <v>#DIV/0!</v>
      </c>
    </row>
    <row r="101" spans="1:21" x14ac:dyDescent="0.2">
      <c r="A101" s="60" t="s">
        <v>368</v>
      </c>
      <c r="B101" s="61" t="s">
        <v>230</v>
      </c>
      <c r="C101" s="61" t="s">
        <v>231</v>
      </c>
      <c r="D101" s="61" t="s">
        <v>254</v>
      </c>
      <c r="E101" s="62" t="s">
        <v>370</v>
      </c>
      <c r="F101" s="61" t="s">
        <v>369</v>
      </c>
      <c r="G101" s="61" t="s">
        <v>195</v>
      </c>
      <c r="H101" s="61" t="s">
        <v>11</v>
      </c>
      <c r="I101" s="61" t="s">
        <v>159</v>
      </c>
      <c r="J101" s="61" t="s">
        <v>257</v>
      </c>
      <c r="K101" s="63">
        <v>4.9000000000000004</v>
      </c>
      <c r="L101" s="63">
        <f t="shared" si="18"/>
        <v>4.9000000000000004</v>
      </c>
      <c r="M101" s="64">
        <f>prodnorm49</f>
        <v>0</v>
      </c>
      <c r="N101" s="65">
        <f>dagwerk49</f>
        <v>0</v>
      </c>
      <c r="O101" s="61" t="s">
        <v>43</v>
      </c>
      <c r="P101" s="66">
        <f>uurtarief49</f>
        <v>0</v>
      </c>
      <c r="Q101" s="63" t="e">
        <f t="shared" si="19"/>
        <v>#DIV/0!</v>
      </c>
      <c r="R101" s="63" t="e">
        <f t="shared" si="20"/>
        <v>#DIV/0!</v>
      </c>
      <c r="S101" s="66" t="e">
        <f t="shared" si="21"/>
        <v>#DIV/0!</v>
      </c>
      <c r="T101" s="63" t="e">
        <f t="shared" si="22"/>
        <v>#DIV/0!</v>
      </c>
      <c r="U101" s="67" t="e">
        <f t="shared" si="23"/>
        <v>#DIV/0!</v>
      </c>
    </row>
    <row r="102" spans="1:21" x14ac:dyDescent="0.2">
      <c r="A102" s="60" t="s">
        <v>368</v>
      </c>
      <c r="B102" s="61" t="s">
        <v>230</v>
      </c>
      <c r="C102" s="61" t="s">
        <v>231</v>
      </c>
      <c r="D102" s="61" t="s">
        <v>258</v>
      </c>
      <c r="E102" s="62" t="s">
        <v>327</v>
      </c>
      <c r="F102" s="61" t="s">
        <v>234</v>
      </c>
      <c r="G102" s="61" t="s">
        <v>177</v>
      </c>
      <c r="H102" s="61" t="s">
        <v>11</v>
      </c>
      <c r="I102" s="61" t="s">
        <v>159</v>
      </c>
      <c r="J102" s="61" t="s">
        <v>239</v>
      </c>
      <c r="K102" s="63">
        <v>42.5</v>
      </c>
      <c r="L102" s="63">
        <f t="shared" si="18"/>
        <v>42.5</v>
      </c>
      <c r="M102" s="64">
        <f>prodnorm34</f>
        <v>0</v>
      </c>
      <c r="N102" s="65">
        <f>dagwerk34</f>
        <v>0</v>
      </c>
      <c r="O102" s="61" t="s">
        <v>43</v>
      </c>
      <c r="P102" s="66">
        <f>uurtarief34</f>
        <v>0</v>
      </c>
      <c r="Q102" s="63" t="e">
        <f t="shared" si="19"/>
        <v>#DIV/0!</v>
      </c>
      <c r="R102" s="63" t="e">
        <f t="shared" si="20"/>
        <v>#DIV/0!</v>
      </c>
      <c r="S102" s="66" t="e">
        <f t="shared" si="21"/>
        <v>#DIV/0!</v>
      </c>
      <c r="T102" s="63" t="e">
        <f t="shared" si="22"/>
        <v>#DIV/0!</v>
      </c>
      <c r="U102" s="67" t="e">
        <f t="shared" si="23"/>
        <v>#DIV/0!</v>
      </c>
    </row>
    <row r="103" spans="1:21" x14ac:dyDescent="0.2">
      <c r="A103" s="60" t="s">
        <v>368</v>
      </c>
      <c r="B103" s="61" t="s">
        <v>230</v>
      </c>
      <c r="C103" s="61" t="s">
        <v>231</v>
      </c>
      <c r="D103" s="61" t="s">
        <v>371</v>
      </c>
      <c r="E103" s="62" t="s">
        <v>327</v>
      </c>
      <c r="F103" s="61" t="s">
        <v>325</v>
      </c>
      <c r="G103" s="61" t="s">
        <v>175</v>
      </c>
      <c r="H103" s="61" t="s">
        <v>11</v>
      </c>
      <c r="I103" s="61" t="s">
        <v>159</v>
      </c>
      <c r="J103" s="61" t="s">
        <v>239</v>
      </c>
      <c r="K103" s="63">
        <v>10</v>
      </c>
      <c r="L103" s="63">
        <f t="shared" si="18"/>
        <v>10</v>
      </c>
      <c r="M103" s="64">
        <f>prodnorm31</f>
        <v>0</v>
      </c>
      <c r="N103" s="65">
        <f>dagwerk31</f>
        <v>0</v>
      </c>
      <c r="O103" s="61" t="s">
        <v>43</v>
      </c>
      <c r="P103" s="66">
        <f>uurtarief31</f>
        <v>0</v>
      </c>
      <c r="Q103" s="63" t="e">
        <f t="shared" si="19"/>
        <v>#DIV/0!</v>
      </c>
      <c r="R103" s="63" t="e">
        <f t="shared" si="20"/>
        <v>#DIV/0!</v>
      </c>
      <c r="S103" s="66" t="e">
        <f t="shared" si="21"/>
        <v>#DIV/0!</v>
      </c>
      <c r="T103" s="63" t="e">
        <f t="shared" si="22"/>
        <v>#DIV/0!</v>
      </c>
      <c r="U103" s="67" t="e">
        <f t="shared" si="23"/>
        <v>#DIV/0!</v>
      </c>
    </row>
    <row r="104" spans="1:21" x14ac:dyDescent="0.2">
      <c r="A104" s="60" t="s">
        <v>368</v>
      </c>
      <c r="B104" s="61" t="s">
        <v>230</v>
      </c>
      <c r="C104" s="61" t="s">
        <v>231</v>
      </c>
      <c r="D104" s="61" t="s">
        <v>259</v>
      </c>
      <c r="E104" s="62" t="s">
        <v>332</v>
      </c>
      <c r="F104" s="61" t="s">
        <v>369</v>
      </c>
      <c r="G104" s="61" t="s">
        <v>195</v>
      </c>
      <c r="H104" s="61" t="s">
        <v>11</v>
      </c>
      <c r="I104" s="61" t="s">
        <v>159</v>
      </c>
      <c r="J104" s="61" t="s">
        <v>257</v>
      </c>
      <c r="K104" s="63">
        <v>6.7</v>
      </c>
      <c r="L104" s="63">
        <f t="shared" si="18"/>
        <v>6.7</v>
      </c>
      <c r="M104" s="64">
        <f>prodnorm49</f>
        <v>0</v>
      </c>
      <c r="N104" s="65">
        <f>dagwerk49</f>
        <v>0</v>
      </c>
      <c r="O104" s="61" t="s">
        <v>43</v>
      </c>
      <c r="P104" s="66">
        <f>uurtarief49</f>
        <v>0</v>
      </c>
      <c r="Q104" s="63" t="e">
        <f t="shared" si="19"/>
        <v>#DIV/0!</v>
      </c>
      <c r="R104" s="63" t="e">
        <f t="shared" si="20"/>
        <v>#DIV/0!</v>
      </c>
      <c r="S104" s="66" t="e">
        <f t="shared" si="21"/>
        <v>#DIV/0!</v>
      </c>
      <c r="T104" s="63" t="e">
        <f t="shared" si="22"/>
        <v>#DIV/0!</v>
      </c>
      <c r="U104" s="67" t="e">
        <f t="shared" si="23"/>
        <v>#DIV/0!</v>
      </c>
    </row>
    <row r="105" spans="1:21" x14ac:dyDescent="0.2">
      <c r="A105" s="60" t="s">
        <v>368</v>
      </c>
      <c r="B105" s="61" t="s">
        <v>230</v>
      </c>
      <c r="C105" s="61" t="s">
        <v>231</v>
      </c>
      <c r="D105" s="61" t="s">
        <v>260</v>
      </c>
      <c r="E105" s="62" t="s">
        <v>327</v>
      </c>
      <c r="F105" s="61" t="s">
        <v>234</v>
      </c>
      <c r="G105" s="61" t="s">
        <v>177</v>
      </c>
      <c r="H105" s="61" t="s">
        <v>11</v>
      </c>
      <c r="I105" s="61" t="s">
        <v>159</v>
      </c>
      <c r="J105" s="61" t="s">
        <v>239</v>
      </c>
      <c r="K105" s="63">
        <v>42.3</v>
      </c>
      <c r="L105" s="63">
        <f t="shared" si="18"/>
        <v>42.3</v>
      </c>
      <c r="M105" s="64">
        <f>prodnorm34</f>
        <v>0</v>
      </c>
      <c r="N105" s="65">
        <f>dagwerk34</f>
        <v>0</v>
      </c>
      <c r="O105" s="61" t="s">
        <v>43</v>
      </c>
      <c r="P105" s="66">
        <f>uurtarief34</f>
        <v>0</v>
      </c>
      <c r="Q105" s="63" t="e">
        <f t="shared" si="19"/>
        <v>#DIV/0!</v>
      </c>
      <c r="R105" s="63" t="e">
        <f t="shared" si="20"/>
        <v>#DIV/0!</v>
      </c>
      <c r="S105" s="66" t="e">
        <f t="shared" si="21"/>
        <v>#DIV/0!</v>
      </c>
      <c r="T105" s="63" t="e">
        <f t="shared" si="22"/>
        <v>#DIV/0!</v>
      </c>
      <c r="U105" s="67" t="e">
        <f t="shared" si="23"/>
        <v>#DIV/0!</v>
      </c>
    </row>
    <row r="106" spans="1:21" x14ac:dyDescent="0.2">
      <c r="A106" s="60" t="s">
        <v>368</v>
      </c>
      <c r="B106" s="61" t="s">
        <v>230</v>
      </c>
      <c r="C106" s="61" t="s">
        <v>231</v>
      </c>
      <c r="D106" s="61" t="s">
        <v>372</v>
      </c>
      <c r="E106" s="62" t="s">
        <v>327</v>
      </c>
      <c r="F106" s="61" t="s">
        <v>325</v>
      </c>
      <c r="G106" s="61" t="s">
        <v>175</v>
      </c>
      <c r="H106" s="61" t="s">
        <v>11</v>
      </c>
      <c r="I106" s="61" t="s">
        <v>159</v>
      </c>
      <c r="J106" s="61" t="s">
        <v>239</v>
      </c>
      <c r="K106" s="63">
        <v>10</v>
      </c>
      <c r="L106" s="63">
        <f t="shared" si="18"/>
        <v>10</v>
      </c>
      <c r="M106" s="64">
        <f>prodnorm31</f>
        <v>0</v>
      </c>
      <c r="N106" s="65">
        <f>dagwerk31</f>
        <v>0</v>
      </c>
      <c r="O106" s="61" t="s">
        <v>43</v>
      </c>
      <c r="P106" s="66">
        <f>uurtarief31</f>
        <v>0</v>
      </c>
      <c r="Q106" s="63" t="e">
        <f t="shared" si="19"/>
        <v>#DIV/0!</v>
      </c>
      <c r="R106" s="63" t="e">
        <f t="shared" si="20"/>
        <v>#DIV/0!</v>
      </c>
      <c r="S106" s="66" t="e">
        <f t="shared" si="21"/>
        <v>#DIV/0!</v>
      </c>
      <c r="T106" s="63" t="e">
        <f t="shared" si="22"/>
        <v>#DIV/0!</v>
      </c>
      <c r="U106" s="67" t="e">
        <f t="shared" si="23"/>
        <v>#DIV/0!</v>
      </c>
    </row>
    <row r="107" spans="1:21" x14ac:dyDescent="0.2">
      <c r="A107" s="60" t="s">
        <v>368</v>
      </c>
      <c r="B107" s="61" t="s">
        <v>230</v>
      </c>
      <c r="C107" s="61" t="s">
        <v>231</v>
      </c>
      <c r="D107" s="61" t="s">
        <v>262</v>
      </c>
      <c r="E107" s="62" t="s">
        <v>322</v>
      </c>
      <c r="F107" s="61" t="s">
        <v>310</v>
      </c>
      <c r="G107" s="61" t="s">
        <v>205</v>
      </c>
      <c r="H107" s="61" t="s">
        <v>11</v>
      </c>
      <c r="I107" s="61" t="s">
        <v>159</v>
      </c>
      <c r="J107" s="61" t="s">
        <v>235</v>
      </c>
      <c r="K107" s="63">
        <v>7.1</v>
      </c>
      <c r="L107" s="63">
        <f t="shared" si="18"/>
        <v>7.1</v>
      </c>
      <c r="M107" s="64">
        <f>prodnorm58</f>
        <v>0</v>
      </c>
      <c r="N107" s="65">
        <f>dagwerk58</f>
        <v>0</v>
      </c>
      <c r="O107" s="61" t="s">
        <v>43</v>
      </c>
      <c r="P107" s="66">
        <f>uurtarief58</f>
        <v>0</v>
      </c>
      <c r="Q107" s="63" t="e">
        <f t="shared" si="19"/>
        <v>#DIV/0!</v>
      </c>
      <c r="R107" s="63" t="e">
        <f t="shared" si="20"/>
        <v>#DIV/0!</v>
      </c>
      <c r="S107" s="66" t="e">
        <f t="shared" si="21"/>
        <v>#DIV/0!</v>
      </c>
      <c r="T107" s="63" t="e">
        <f t="shared" si="22"/>
        <v>#DIV/0!</v>
      </c>
      <c r="U107" s="67" t="e">
        <f t="shared" si="23"/>
        <v>#DIV/0!</v>
      </c>
    </row>
    <row r="108" spans="1:21" x14ac:dyDescent="0.2">
      <c r="A108" s="60" t="s">
        <v>368</v>
      </c>
      <c r="B108" s="61" t="s">
        <v>230</v>
      </c>
      <c r="C108" s="61" t="s">
        <v>231</v>
      </c>
      <c r="D108" s="61" t="s">
        <v>316</v>
      </c>
      <c r="E108" s="62" t="s">
        <v>358</v>
      </c>
      <c r="F108" s="61" t="s">
        <v>234</v>
      </c>
      <c r="G108" s="61" t="s">
        <v>201</v>
      </c>
      <c r="H108" s="61" t="s">
        <v>11</v>
      </c>
      <c r="I108" s="61" t="s">
        <v>159</v>
      </c>
      <c r="J108" s="61" t="s">
        <v>235</v>
      </c>
      <c r="K108" s="63">
        <v>26.3</v>
      </c>
      <c r="L108" s="63">
        <f t="shared" si="18"/>
        <v>26.3</v>
      </c>
      <c r="M108" s="64">
        <f>prodnorm56</f>
        <v>0</v>
      </c>
      <c r="N108" s="65">
        <f>dagwerk56</f>
        <v>0</v>
      </c>
      <c r="O108" s="61" t="s">
        <v>43</v>
      </c>
      <c r="P108" s="66">
        <f>uurtarief56</f>
        <v>0</v>
      </c>
      <c r="Q108" s="63" t="e">
        <f t="shared" si="19"/>
        <v>#DIV/0!</v>
      </c>
      <c r="R108" s="63" t="e">
        <f t="shared" si="20"/>
        <v>#DIV/0!</v>
      </c>
      <c r="S108" s="66" t="e">
        <f t="shared" si="21"/>
        <v>#DIV/0!</v>
      </c>
      <c r="T108" s="63" t="e">
        <f t="shared" si="22"/>
        <v>#DIV/0!</v>
      </c>
      <c r="U108" s="67" t="e">
        <f t="shared" si="23"/>
        <v>#DIV/0!</v>
      </c>
    </row>
    <row r="109" spans="1:21" x14ac:dyDescent="0.2">
      <c r="A109" s="60" t="s">
        <v>368</v>
      </c>
      <c r="B109" s="61" t="s">
        <v>230</v>
      </c>
      <c r="C109" s="61" t="s">
        <v>231</v>
      </c>
      <c r="D109" s="61" t="s">
        <v>265</v>
      </c>
      <c r="E109" s="62" t="s">
        <v>373</v>
      </c>
      <c r="F109" s="61" t="s">
        <v>336</v>
      </c>
      <c r="G109" s="61" t="s">
        <v>163</v>
      </c>
      <c r="H109" s="61" t="s">
        <v>11</v>
      </c>
      <c r="I109" s="61" t="s">
        <v>159</v>
      </c>
      <c r="J109" s="61" t="s">
        <v>235</v>
      </c>
      <c r="K109" s="63">
        <v>90.2</v>
      </c>
      <c r="L109" s="63">
        <f t="shared" si="18"/>
        <v>90.2</v>
      </c>
      <c r="M109" s="64">
        <f>prodnorm21</f>
        <v>0</v>
      </c>
      <c r="N109" s="65">
        <f>dagwerk21</f>
        <v>0</v>
      </c>
      <c r="O109" s="61" t="s">
        <v>43</v>
      </c>
      <c r="P109" s="66">
        <f>uurtarief21</f>
        <v>0</v>
      </c>
      <c r="Q109" s="63" t="e">
        <f t="shared" si="19"/>
        <v>#DIV/0!</v>
      </c>
      <c r="R109" s="63" t="e">
        <f t="shared" si="20"/>
        <v>#DIV/0!</v>
      </c>
      <c r="S109" s="66" t="e">
        <f t="shared" si="21"/>
        <v>#DIV/0!</v>
      </c>
      <c r="T109" s="63" t="e">
        <f t="shared" si="22"/>
        <v>#DIV/0!</v>
      </c>
      <c r="U109" s="67" t="e">
        <f t="shared" si="23"/>
        <v>#DIV/0!</v>
      </c>
    </row>
    <row r="110" spans="1:21" x14ac:dyDescent="0.2">
      <c r="A110" s="60" t="s">
        <v>368</v>
      </c>
      <c r="B110" s="61" t="s">
        <v>230</v>
      </c>
      <c r="C110" s="61" t="s">
        <v>231</v>
      </c>
      <c r="D110" s="61" t="s">
        <v>269</v>
      </c>
      <c r="E110" s="62" t="s">
        <v>374</v>
      </c>
      <c r="F110" s="61" t="s">
        <v>234</v>
      </c>
      <c r="G110" s="61" t="s">
        <v>167</v>
      </c>
      <c r="H110" s="61" t="s">
        <v>11</v>
      </c>
      <c r="I110" s="61" t="s">
        <v>159</v>
      </c>
      <c r="J110" s="61" t="s">
        <v>235</v>
      </c>
      <c r="K110" s="63">
        <v>19.3</v>
      </c>
      <c r="L110" s="63">
        <f t="shared" si="18"/>
        <v>19.3</v>
      </c>
      <c r="M110" s="64">
        <f>prodnorm24</f>
        <v>0</v>
      </c>
      <c r="N110" s="65">
        <f>dagwerk24</f>
        <v>0</v>
      </c>
      <c r="O110" s="61" t="s">
        <v>43</v>
      </c>
      <c r="P110" s="66">
        <f>uurtarief24</f>
        <v>0</v>
      </c>
      <c r="Q110" s="63" t="e">
        <f t="shared" si="19"/>
        <v>#DIV/0!</v>
      </c>
      <c r="R110" s="63" t="e">
        <f t="shared" si="20"/>
        <v>#DIV/0!</v>
      </c>
      <c r="S110" s="66" t="e">
        <f t="shared" si="21"/>
        <v>#DIV/0!</v>
      </c>
      <c r="T110" s="63" t="e">
        <f t="shared" si="22"/>
        <v>#DIV/0!</v>
      </c>
      <c r="U110" s="67" t="e">
        <f t="shared" si="23"/>
        <v>#DIV/0!</v>
      </c>
    </row>
    <row r="111" spans="1:21" x14ac:dyDescent="0.2">
      <c r="A111" s="60" t="s">
        <v>368</v>
      </c>
      <c r="B111" s="61" t="s">
        <v>230</v>
      </c>
      <c r="C111" s="61" t="s">
        <v>231</v>
      </c>
      <c r="D111" s="61" t="s">
        <v>375</v>
      </c>
      <c r="E111" s="62" t="s">
        <v>376</v>
      </c>
      <c r="F111" s="61" t="s">
        <v>238</v>
      </c>
      <c r="G111" s="61" t="s">
        <v>165</v>
      </c>
      <c r="H111" s="61" t="s">
        <v>11</v>
      </c>
      <c r="I111" s="61" t="s">
        <v>159</v>
      </c>
      <c r="J111" s="61" t="s">
        <v>235</v>
      </c>
      <c r="K111" s="63">
        <v>157</v>
      </c>
      <c r="L111" s="63">
        <f t="shared" si="18"/>
        <v>157</v>
      </c>
      <c r="M111" s="64">
        <f>prodnorm23</f>
        <v>0</v>
      </c>
      <c r="N111" s="65">
        <f>dagwerk23</f>
        <v>0</v>
      </c>
      <c r="O111" s="61" t="s">
        <v>43</v>
      </c>
      <c r="P111" s="66">
        <f>uurtarief23</f>
        <v>0</v>
      </c>
      <c r="Q111" s="63" t="e">
        <f t="shared" si="19"/>
        <v>#DIV/0!</v>
      </c>
      <c r="R111" s="63" t="e">
        <f t="shared" si="20"/>
        <v>#DIV/0!</v>
      </c>
      <c r="S111" s="66" t="e">
        <f t="shared" si="21"/>
        <v>#DIV/0!</v>
      </c>
      <c r="T111" s="63" t="e">
        <f t="shared" si="22"/>
        <v>#DIV/0!</v>
      </c>
      <c r="U111" s="67" t="e">
        <f t="shared" si="23"/>
        <v>#DIV/0!</v>
      </c>
    </row>
    <row r="112" spans="1:21" x14ac:dyDescent="0.2">
      <c r="A112" s="60" t="s">
        <v>368</v>
      </c>
      <c r="B112" s="61" t="s">
        <v>230</v>
      </c>
      <c r="C112" s="61" t="s">
        <v>231</v>
      </c>
      <c r="D112" s="61" t="s">
        <v>278</v>
      </c>
      <c r="E112" s="62" t="s">
        <v>331</v>
      </c>
      <c r="F112" s="61" t="s">
        <v>234</v>
      </c>
      <c r="G112" s="61" t="s">
        <v>177</v>
      </c>
      <c r="H112" s="61" t="s">
        <v>18</v>
      </c>
      <c r="I112" s="61" t="s">
        <v>159</v>
      </c>
      <c r="J112" s="61" t="s">
        <v>239</v>
      </c>
      <c r="K112" s="63">
        <v>41.5</v>
      </c>
      <c r="L112" s="63">
        <f t="shared" si="18"/>
        <v>16.600000000000001</v>
      </c>
      <c r="M112" s="64">
        <f>prodnorm35</f>
        <v>0</v>
      </c>
      <c r="N112" s="65">
        <f>dagwerk35</f>
        <v>0</v>
      </c>
      <c r="O112" s="61" t="s">
        <v>43</v>
      </c>
      <c r="P112" s="66">
        <f>uurtarief35</f>
        <v>0</v>
      </c>
      <c r="Q112" s="63" t="e">
        <f t="shared" si="19"/>
        <v>#DIV/0!</v>
      </c>
      <c r="R112" s="63" t="e">
        <f t="shared" si="20"/>
        <v>#DIV/0!</v>
      </c>
      <c r="S112" s="66" t="e">
        <f t="shared" si="21"/>
        <v>#DIV/0!</v>
      </c>
      <c r="T112" s="63" t="e">
        <f t="shared" si="22"/>
        <v>#DIV/0!</v>
      </c>
      <c r="U112" s="67" t="e">
        <f t="shared" si="23"/>
        <v>#DIV/0!</v>
      </c>
    </row>
    <row r="113" spans="1:21" x14ac:dyDescent="0.2">
      <c r="A113" s="60" t="s">
        <v>368</v>
      </c>
      <c r="B113" s="61" t="s">
        <v>230</v>
      </c>
      <c r="C113" s="61" t="s">
        <v>231</v>
      </c>
      <c r="D113" s="61" t="s">
        <v>377</v>
      </c>
      <c r="E113" s="62" t="s">
        <v>331</v>
      </c>
      <c r="F113" s="61" t="s">
        <v>325</v>
      </c>
      <c r="G113" s="61" t="s">
        <v>175</v>
      </c>
      <c r="H113" s="61" t="s">
        <v>18</v>
      </c>
      <c r="I113" s="61" t="s">
        <v>159</v>
      </c>
      <c r="J113" s="61" t="s">
        <v>230</v>
      </c>
      <c r="K113" s="63">
        <v>10</v>
      </c>
      <c r="L113" s="63">
        <f t="shared" si="18"/>
        <v>4</v>
      </c>
      <c r="M113" s="64">
        <f>prodnorm33</f>
        <v>0</v>
      </c>
      <c r="N113" s="65">
        <f>dagwerk33</f>
        <v>0</v>
      </c>
      <c r="O113" s="61" t="s">
        <v>43</v>
      </c>
      <c r="P113" s="66">
        <f>uurtarief33</f>
        <v>0</v>
      </c>
      <c r="Q113" s="63" t="e">
        <f t="shared" si="19"/>
        <v>#DIV/0!</v>
      </c>
      <c r="R113" s="63" t="e">
        <f t="shared" si="20"/>
        <v>#DIV/0!</v>
      </c>
      <c r="S113" s="66" t="e">
        <f t="shared" si="21"/>
        <v>#DIV/0!</v>
      </c>
      <c r="T113" s="63" t="e">
        <f t="shared" si="22"/>
        <v>#DIV/0!</v>
      </c>
      <c r="U113" s="67" t="e">
        <f t="shared" si="23"/>
        <v>#DIV/0!</v>
      </c>
    </row>
    <row r="114" spans="1:21" x14ac:dyDescent="0.2">
      <c r="A114" s="60" t="s">
        <v>368</v>
      </c>
      <c r="B114" s="61" t="s">
        <v>230</v>
      </c>
      <c r="C114" s="61" t="s">
        <v>231</v>
      </c>
      <c r="D114" s="61" t="s">
        <v>280</v>
      </c>
      <c r="E114" s="62" t="s">
        <v>331</v>
      </c>
      <c r="F114" s="61" t="s">
        <v>234</v>
      </c>
      <c r="G114" s="61" t="s">
        <v>177</v>
      </c>
      <c r="H114" s="61" t="s">
        <v>18</v>
      </c>
      <c r="I114" s="61" t="s">
        <v>159</v>
      </c>
      <c r="J114" s="61" t="s">
        <v>239</v>
      </c>
      <c r="K114" s="63">
        <v>41.5</v>
      </c>
      <c r="L114" s="63">
        <f t="shared" si="18"/>
        <v>16.600000000000001</v>
      </c>
      <c r="M114" s="64">
        <f>prodnorm35</f>
        <v>0</v>
      </c>
      <c r="N114" s="65">
        <f>dagwerk35</f>
        <v>0</v>
      </c>
      <c r="O114" s="61" t="s">
        <v>43</v>
      </c>
      <c r="P114" s="66">
        <f>uurtarief35</f>
        <v>0</v>
      </c>
      <c r="Q114" s="63" t="e">
        <f t="shared" si="19"/>
        <v>#DIV/0!</v>
      </c>
      <c r="R114" s="63" t="e">
        <f t="shared" si="20"/>
        <v>#DIV/0!</v>
      </c>
      <c r="S114" s="66" t="e">
        <f t="shared" si="21"/>
        <v>#DIV/0!</v>
      </c>
      <c r="T114" s="63" t="e">
        <f t="shared" si="22"/>
        <v>#DIV/0!</v>
      </c>
      <c r="U114" s="67" t="e">
        <f t="shared" si="23"/>
        <v>#DIV/0!</v>
      </c>
    </row>
    <row r="115" spans="1:21" x14ac:dyDescent="0.2">
      <c r="A115" s="60" t="s">
        <v>368</v>
      </c>
      <c r="B115" s="61" t="s">
        <v>230</v>
      </c>
      <c r="C115" s="61" t="s">
        <v>231</v>
      </c>
      <c r="D115" s="61" t="s">
        <v>378</v>
      </c>
      <c r="E115" s="62" t="s">
        <v>331</v>
      </c>
      <c r="F115" s="61" t="s">
        <v>325</v>
      </c>
      <c r="G115" s="61" t="s">
        <v>175</v>
      </c>
      <c r="H115" s="61" t="s">
        <v>18</v>
      </c>
      <c r="I115" s="61" t="s">
        <v>159</v>
      </c>
      <c r="J115" s="61" t="s">
        <v>230</v>
      </c>
      <c r="K115" s="63">
        <v>10</v>
      </c>
      <c r="L115" s="63">
        <f t="shared" si="18"/>
        <v>4</v>
      </c>
      <c r="M115" s="64">
        <f>prodnorm33</f>
        <v>0</v>
      </c>
      <c r="N115" s="65">
        <f>dagwerk33</f>
        <v>0</v>
      </c>
      <c r="O115" s="61" t="s">
        <v>43</v>
      </c>
      <c r="P115" s="66">
        <f>uurtarief33</f>
        <v>0</v>
      </c>
      <c r="Q115" s="63" t="e">
        <f t="shared" si="19"/>
        <v>#DIV/0!</v>
      </c>
      <c r="R115" s="63" t="e">
        <f t="shared" si="20"/>
        <v>#DIV/0!</v>
      </c>
      <c r="S115" s="66" t="e">
        <f t="shared" si="21"/>
        <v>#DIV/0!</v>
      </c>
      <c r="T115" s="63" t="e">
        <f t="shared" si="22"/>
        <v>#DIV/0!</v>
      </c>
      <c r="U115" s="67" t="e">
        <f t="shared" si="23"/>
        <v>#DIV/0!</v>
      </c>
    </row>
    <row r="116" spans="1:21" x14ac:dyDescent="0.2">
      <c r="A116" s="60" t="s">
        <v>368</v>
      </c>
      <c r="B116" s="61" t="s">
        <v>230</v>
      </c>
      <c r="C116" s="61" t="s">
        <v>231</v>
      </c>
      <c r="D116" s="61" t="s">
        <v>283</v>
      </c>
      <c r="E116" s="62" t="s">
        <v>332</v>
      </c>
      <c r="F116" s="61" t="s">
        <v>369</v>
      </c>
      <c r="G116" s="61" t="s">
        <v>195</v>
      </c>
      <c r="H116" s="61" t="s">
        <v>11</v>
      </c>
      <c r="I116" s="61" t="s">
        <v>159</v>
      </c>
      <c r="J116" s="61" t="s">
        <v>257</v>
      </c>
      <c r="K116" s="63">
        <v>5.4</v>
      </c>
      <c r="L116" s="63">
        <f t="shared" si="18"/>
        <v>5.4</v>
      </c>
      <c r="M116" s="64">
        <f>prodnorm49</f>
        <v>0</v>
      </c>
      <c r="N116" s="65">
        <f>dagwerk49</f>
        <v>0</v>
      </c>
      <c r="O116" s="61" t="s">
        <v>43</v>
      </c>
      <c r="P116" s="66">
        <f>uurtarief49</f>
        <v>0</v>
      </c>
      <c r="Q116" s="63" t="e">
        <f t="shared" si="19"/>
        <v>#DIV/0!</v>
      </c>
      <c r="R116" s="63" t="e">
        <f t="shared" si="20"/>
        <v>#DIV/0!</v>
      </c>
      <c r="S116" s="66" t="e">
        <f t="shared" si="21"/>
        <v>#DIV/0!</v>
      </c>
      <c r="T116" s="63" t="e">
        <f t="shared" si="22"/>
        <v>#DIV/0!</v>
      </c>
      <c r="U116" s="67" t="e">
        <f t="shared" si="23"/>
        <v>#DIV/0!</v>
      </c>
    </row>
    <row r="117" spans="1:21" x14ac:dyDescent="0.2">
      <c r="A117" s="60" t="s">
        <v>368</v>
      </c>
      <c r="B117" s="61" t="s">
        <v>230</v>
      </c>
      <c r="C117" s="61" t="s">
        <v>231</v>
      </c>
      <c r="D117" s="61" t="s">
        <v>284</v>
      </c>
      <c r="E117" s="62" t="s">
        <v>379</v>
      </c>
      <c r="F117" s="61" t="s">
        <v>234</v>
      </c>
      <c r="G117" s="61" t="s">
        <v>189</v>
      </c>
      <c r="H117" s="61" t="s">
        <v>18</v>
      </c>
      <c r="I117" s="61" t="s">
        <v>159</v>
      </c>
      <c r="J117" s="61" t="s">
        <v>239</v>
      </c>
      <c r="K117" s="63">
        <v>29.4</v>
      </c>
      <c r="L117" s="63">
        <f t="shared" si="18"/>
        <v>11.76</v>
      </c>
      <c r="M117" s="64">
        <f>prodnorm44</f>
        <v>0</v>
      </c>
      <c r="N117" s="65">
        <f>dagwerk44</f>
        <v>0</v>
      </c>
      <c r="O117" s="61" t="s">
        <v>43</v>
      </c>
      <c r="P117" s="66">
        <f>uurtarief44</f>
        <v>0</v>
      </c>
      <c r="Q117" s="63" t="e">
        <f t="shared" si="19"/>
        <v>#DIV/0!</v>
      </c>
      <c r="R117" s="63" t="e">
        <f t="shared" si="20"/>
        <v>#DIV/0!</v>
      </c>
      <c r="S117" s="66" t="e">
        <f t="shared" si="21"/>
        <v>#DIV/0!</v>
      </c>
      <c r="T117" s="63" t="e">
        <f t="shared" si="22"/>
        <v>#DIV/0!</v>
      </c>
      <c r="U117" s="67" t="e">
        <f t="shared" si="23"/>
        <v>#DIV/0!</v>
      </c>
    </row>
    <row r="118" spans="1:21" x14ac:dyDescent="0.2">
      <c r="A118" s="60" t="s">
        <v>368</v>
      </c>
      <c r="B118" s="61" t="s">
        <v>230</v>
      </c>
      <c r="C118" s="61" t="s">
        <v>231</v>
      </c>
      <c r="D118" s="61" t="s">
        <v>380</v>
      </c>
      <c r="E118" s="62" t="s">
        <v>379</v>
      </c>
      <c r="F118" s="61" t="s">
        <v>238</v>
      </c>
      <c r="G118" s="61" t="s">
        <v>187</v>
      </c>
      <c r="H118" s="61" t="s">
        <v>18</v>
      </c>
      <c r="I118" s="61" t="s">
        <v>159</v>
      </c>
      <c r="J118" s="61" t="s">
        <v>239</v>
      </c>
      <c r="K118" s="63">
        <v>50.3</v>
      </c>
      <c r="L118" s="63">
        <f t="shared" si="18"/>
        <v>20.12</v>
      </c>
      <c r="M118" s="64">
        <f>prodnorm43</f>
        <v>0</v>
      </c>
      <c r="N118" s="65">
        <f>dagwerk43</f>
        <v>0</v>
      </c>
      <c r="O118" s="61" t="s">
        <v>43</v>
      </c>
      <c r="P118" s="66">
        <f>uurtarief43</f>
        <v>0</v>
      </c>
      <c r="Q118" s="63" t="e">
        <f t="shared" si="19"/>
        <v>#DIV/0!</v>
      </c>
      <c r="R118" s="63" t="e">
        <f t="shared" si="20"/>
        <v>#DIV/0!</v>
      </c>
      <c r="S118" s="66" t="e">
        <f t="shared" si="21"/>
        <v>#DIV/0!</v>
      </c>
      <c r="T118" s="63" t="e">
        <f t="shared" si="22"/>
        <v>#DIV/0!</v>
      </c>
      <c r="U118" s="67" t="e">
        <f t="shared" si="23"/>
        <v>#DIV/0!</v>
      </c>
    </row>
    <row r="119" spans="1:21" x14ac:dyDescent="0.2">
      <c r="A119" s="60" t="s">
        <v>368</v>
      </c>
      <c r="B119" s="61" t="s">
        <v>230</v>
      </c>
      <c r="C119" s="61" t="s">
        <v>231</v>
      </c>
      <c r="D119" s="61" t="s">
        <v>288</v>
      </c>
      <c r="E119" s="62" t="s">
        <v>358</v>
      </c>
      <c r="F119" s="61" t="s">
        <v>238</v>
      </c>
      <c r="G119" s="61" t="s">
        <v>199</v>
      </c>
      <c r="H119" s="61" t="s">
        <v>11</v>
      </c>
      <c r="I119" s="61" t="s">
        <v>159</v>
      </c>
      <c r="J119" s="61" t="s">
        <v>235</v>
      </c>
      <c r="K119" s="63">
        <v>22.7</v>
      </c>
      <c r="L119" s="63">
        <f t="shared" si="18"/>
        <v>22.7</v>
      </c>
      <c r="M119" s="64">
        <f>prodnorm53</f>
        <v>0</v>
      </c>
      <c r="N119" s="65">
        <f>dagwerk53</f>
        <v>0</v>
      </c>
      <c r="O119" s="61" t="s">
        <v>43</v>
      </c>
      <c r="P119" s="66">
        <f>uurtarief53</f>
        <v>0</v>
      </c>
      <c r="Q119" s="63" t="e">
        <f t="shared" si="19"/>
        <v>#DIV/0!</v>
      </c>
      <c r="R119" s="63" t="e">
        <f t="shared" si="20"/>
        <v>#DIV/0!</v>
      </c>
      <c r="S119" s="66" t="e">
        <f t="shared" si="21"/>
        <v>#DIV/0!</v>
      </c>
      <c r="T119" s="63" t="e">
        <f t="shared" si="22"/>
        <v>#DIV/0!</v>
      </c>
      <c r="U119" s="67" t="e">
        <f t="shared" si="23"/>
        <v>#DIV/0!</v>
      </c>
    </row>
    <row r="120" spans="1:21" x14ac:dyDescent="0.2">
      <c r="A120" s="60" t="s">
        <v>368</v>
      </c>
      <c r="B120" s="61" t="s">
        <v>230</v>
      </c>
      <c r="C120" s="61" t="s">
        <v>231</v>
      </c>
      <c r="D120" s="61" t="s">
        <v>381</v>
      </c>
      <c r="E120" s="62" t="s">
        <v>382</v>
      </c>
      <c r="F120" s="61" t="s">
        <v>234</v>
      </c>
      <c r="G120" s="61" t="s">
        <v>161</v>
      </c>
      <c r="H120" s="61" t="s">
        <v>20</v>
      </c>
      <c r="I120" s="61" t="s">
        <v>159</v>
      </c>
      <c r="J120" s="61" t="s">
        <v>282</v>
      </c>
      <c r="K120" s="63">
        <v>15.8</v>
      </c>
      <c r="L120" s="63">
        <f t="shared" si="18"/>
        <v>3.16</v>
      </c>
      <c r="M120" s="64">
        <f>prodnorm19</f>
        <v>0</v>
      </c>
      <c r="N120" s="65">
        <f>dagwerk19</f>
        <v>0</v>
      </c>
      <c r="O120" s="61" t="s">
        <v>43</v>
      </c>
      <c r="P120" s="66">
        <f>uurtarief19</f>
        <v>0</v>
      </c>
      <c r="Q120" s="63" t="e">
        <f t="shared" si="19"/>
        <v>#DIV/0!</v>
      </c>
      <c r="R120" s="63" t="e">
        <f t="shared" si="20"/>
        <v>#DIV/0!</v>
      </c>
      <c r="S120" s="66" t="e">
        <f t="shared" si="21"/>
        <v>#DIV/0!</v>
      </c>
      <c r="T120" s="63" t="e">
        <f t="shared" si="22"/>
        <v>#DIV/0!</v>
      </c>
      <c r="U120" s="67" t="e">
        <f t="shared" si="23"/>
        <v>#DIV/0!</v>
      </c>
    </row>
    <row r="121" spans="1:21" x14ac:dyDescent="0.2">
      <c r="A121" s="60" t="s">
        <v>368</v>
      </c>
      <c r="B121" s="61" t="s">
        <v>230</v>
      </c>
      <c r="C121" s="61" t="s">
        <v>231</v>
      </c>
      <c r="D121" s="61" t="s">
        <v>292</v>
      </c>
      <c r="E121" s="62" t="s">
        <v>343</v>
      </c>
      <c r="F121" s="61" t="s">
        <v>234</v>
      </c>
      <c r="G121" s="61" t="s">
        <v>161</v>
      </c>
      <c r="H121" s="61" t="s">
        <v>20</v>
      </c>
      <c r="I121" s="61" t="s">
        <v>159</v>
      </c>
      <c r="J121" s="61" t="s">
        <v>282</v>
      </c>
      <c r="K121" s="63">
        <v>22.5</v>
      </c>
      <c r="L121" s="63">
        <f t="shared" si="18"/>
        <v>4.5</v>
      </c>
      <c r="M121" s="64">
        <f>prodnorm19</f>
        <v>0</v>
      </c>
      <c r="N121" s="65">
        <f>dagwerk19</f>
        <v>0</v>
      </c>
      <c r="O121" s="61" t="s">
        <v>43</v>
      </c>
      <c r="P121" s="66">
        <f>uurtarief19</f>
        <v>0</v>
      </c>
      <c r="Q121" s="63" t="e">
        <f t="shared" si="19"/>
        <v>#DIV/0!</v>
      </c>
      <c r="R121" s="63" t="e">
        <f t="shared" si="20"/>
        <v>#DIV/0!</v>
      </c>
      <c r="S121" s="66" t="e">
        <f t="shared" si="21"/>
        <v>#DIV/0!</v>
      </c>
      <c r="T121" s="63" t="e">
        <f t="shared" si="22"/>
        <v>#DIV/0!</v>
      </c>
      <c r="U121" s="67" t="e">
        <f t="shared" si="23"/>
        <v>#DIV/0!</v>
      </c>
    </row>
    <row r="122" spans="1:21" x14ac:dyDescent="0.2">
      <c r="A122" s="60" t="s">
        <v>368</v>
      </c>
      <c r="B122" s="61" t="s">
        <v>230</v>
      </c>
      <c r="C122" s="61" t="s">
        <v>231</v>
      </c>
      <c r="D122" s="61" t="s">
        <v>294</v>
      </c>
      <c r="E122" s="62" t="s">
        <v>332</v>
      </c>
      <c r="F122" s="61" t="s">
        <v>369</v>
      </c>
      <c r="G122" s="61" t="s">
        <v>195</v>
      </c>
      <c r="H122" s="61" t="s">
        <v>11</v>
      </c>
      <c r="I122" s="61" t="s">
        <v>159</v>
      </c>
      <c r="J122" s="61" t="s">
        <v>257</v>
      </c>
      <c r="K122" s="63">
        <v>5.4</v>
      </c>
      <c r="L122" s="63">
        <f t="shared" si="18"/>
        <v>5.4</v>
      </c>
      <c r="M122" s="64">
        <f>prodnorm49</f>
        <v>0</v>
      </c>
      <c r="N122" s="65">
        <f>dagwerk49</f>
        <v>0</v>
      </c>
      <c r="O122" s="61" t="s">
        <v>43</v>
      </c>
      <c r="P122" s="66">
        <f>uurtarief49</f>
        <v>0</v>
      </c>
      <c r="Q122" s="63" t="e">
        <f t="shared" si="19"/>
        <v>#DIV/0!</v>
      </c>
      <c r="R122" s="63" t="e">
        <f t="shared" si="20"/>
        <v>#DIV/0!</v>
      </c>
      <c r="S122" s="66" t="e">
        <f t="shared" si="21"/>
        <v>#DIV/0!</v>
      </c>
      <c r="T122" s="63" t="e">
        <f t="shared" si="22"/>
        <v>#DIV/0!</v>
      </c>
      <c r="U122" s="67" t="e">
        <f t="shared" si="23"/>
        <v>#DIV/0!</v>
      </c>
    </row>
    <row r="123" spans="1:21" x14ac:dyDescent="0.2">
      <c r="A123" s="60" t="s">
        <v>368</v>
      </c>
      <c r="B123" s="61" t="s">
        <v>230</v>
      </c>
      <c r="C123" s="61" t="s">
        <v>231</v>
      </c>
      <c r="D123" s="61" t="s">
        <v>298</v>
      </c>
      <c r="E123" s="62" t="s">
        <v>331</v>
      </c>
      <c r="F123" s="61" t="s">
        <v>234</v>
      </c>
      <c r="G123" s="61" t="s">
        <v>177</v>
      </c>
      <c r="H123" s="61" t="s">
        <v>18</v>
      </c>
      <c r="I123" s="61" t="s">
        <v>159</v>
      </c>
      <c r="J123" s="61" t="s">
        <v>239</v>
      </c>
      <c r="K123" s="63">
        <v>42.7</v>
      </c>
      <c r="L123" s="63">
        <f t="shared" si="18"/>
        <v>17.080000000000002</v>
      </c>
      <c r="M123" s="64">
        <f>prodnorm35</f>
        <v>0</v>
      </c>
      <c r="N123" s="65">
        <f>dagwerk35</f>
        <v>0</v>
      </c>
      <c r="O123" s="61" t="s">
        <v>43</v>
      </c>
      <c r="P123" s="66">
        <f>uurtarief35</f>
        <v>0</v>
      </c>
      <c r="Q123" s="63" t="e">
        <f t="shared" si="19"/>
        <v>#DIV/0!</v>
      </c>
      <c r="R123" s="63" t="e">
        <f t="shared" si="20"/>
        <v>#DIV/0!</v>
      </c>
      <c r="S123" s="66" t="e">
        <f t="shared" si="21"/>
        <v>#DIV/0!</v>
      </c>
      <c r="T123" s="63" t="e">
        <f t="shared" si="22"/>
        <v>#DIV/0!</v>
      </c>
      <c r="U123" s="67" t="e">
        <f t="shared" si="23"/>
        <v>#DIV/0!</v>
      </c>
    </row>
    <row r="124" spans="1:21" x14ac:dyDescent="0.2">
      <c r="A124" s="60" t="s">
        <v>368</v>
      </c>
      <c r="B124" s="61" t="s">
        <v>230</v>
      </c>
      <c r="C124" s="61" t="s">
        <v>231</v>
      </c>
      <c r="D124" s="61" t="s">
        <v>383</v>
      </c>
      <c r="E124" s="62" t="s">
        <v>331</v>
      </c>
      <c r="F124" s="61" t="s">
        <v>325</v>
      </c>
      <c r="G124" s="61" t="s">
        <v>175</v>
      </c>
      <c r="H124" s="61" t="s">
        <v>18</v>
      </c>
      <c r="I124" s="61" t="s">
        <v>159</v>
      </c>
      <c r="J124" s="61" t="s">
        <v>230</v>
      </c>
      <c r="K124" s="63">
        <v>10</v>
      </c>
      <c r="L124" s="63">
        <f t="shared" si="18"/>
        <v>4</v>
      </c>
      <c r="M124" s="64">
        <f>prodnorm33</f>
        <v>0</v>
      </c>
      <c r="N124" s="65">
        <f>dagwerk33</f>
        <v>0</v>
      </c>
      <c r="O124" s="61" t="s">
        <v>43</v>
      </c>
      <c r="P124" s="66">
        <f>uurtarief33</f>
        <v>0</v>
      </c>
      <c r="Q124" s="63" t="e">
        <f t="shared" si="19"/>
        <v>#DIV/0!</v>
      </c>
      <c r="R124" s="63" t="e">
        <f t="shared" si="20"/>
        <v>#DIV/0!</v>
      </c>
      <c r="S124" s="66" t="e">
        <f t="shared" si="21"/>
        <v>#DIV/0!</v>
      </c>
      <c r="T124" s="63" t="e">
        <f t="shared" si="22"/>
        <v>#DIV/0!</v>
      </c>
      <c r="U124" s="67" t="e">
        <f t="shared" si="23"/>
        <v>#DIV/0!</v>
      </c>
    </row>
    <row r="125" spans="1:21" x14ac:dyDescent="0.2">
      <c r="A125" s="60" t="s">
        <v>368</v>
      </c>
      <c r="B125" s="61" t="s">
        <v>230</v>
      </c>
      <c r="C125" s="61" t="s">
        <v>231</v>
      </c>
      <c r="D125" s="61" t="s">
        <v>303</v>
      </c>
      <c r="E125" s="62" t="s">
        <v>358</v>
      </c>
      <c r="F125" s="61" t="s">
        <v>238</v>
      </c>
      <c r="G125" s="61" t="s">
        <v>199</v>
      </c>
      <c r="H125" s="61" t="s">
        <v>11</v>
      </c>
      <c r="I125" s="61" t="s">
        <v>159</v>
      </c>
      <c r="J125" s="61" t="s">
        <v>235</v>
      </c>
      <c r="K125" s="63">
        <v>72.599999999999994</v>
      </c>
      <c r="L125" s="63">
        <f t="shared" si="18"/>
        <v>72.599999999999994</v>
      </c>
      <c r="M125" s="64">
        <f>prodnorm53</f>
        <v>0</v>
      </c>
      <c r="N125" s="65">
        <f>dagwerk53</f>
        <v>0</v>
      </c>
      <c r="O125" s="61" t="s">
        <v>43</v>
      </c>
      <c r="P125" s="66">
        <f>uurtarief53</f>
        <v>0</v>
      </c>
      <c r="Q125" s="63" t="e">
        <f t="shared" si="19"/>
        <v>#DIV/0!</v>
      </c>
      <c r="R125" s="63" t="e">
        <f t="shared" si="20"/>
        <v>#DIV/0!</v>
      </c>
      <c r="S125" s="66" t="e">
        <f t="shared" si="21"/>
        <v>#DIV/0!</v>
      </c>
      <c r="T125" s="63" t="e">
        <f t="shared" si="22"/>
        <v>#DIV/0!</v>
      </c>
      <c r="U125" s="67" t="e">
        <f t="shared" si="23"/>
        <v>#DIV/0!</v>
      </c>
    </row>
    <row r="126" spans="1:21" x14ac:dyDescent="0.2">
      <c r="A126" s="60" t="s">
        <v>368</v>
      </c>
      <c r="B126" s="61" t="s">
        <v>230</v>
      </c>
      <c r="C126" s="61" t="s">
        <v>231</v>
      </c>
      <c r="D126" s="61" t="s">
        <v>384</v>
      </c>
      <c r="E126" s="62" t="s">
        <v>331</v>
      </c>
      <c r="F126" s="61" t="s">
        <v>234</v>
      </c>
      <c r="G126" s="61" t="s">
        <v>177</v>
      </c>
      <c r="H126" s="61" t="s">
        <v>18</v>
      </c>
      <c r="I126" s="61" t="s">
        <v>159</v>
      </c>
      <c r="J126" s="61" t="s">
        <v>239</v>
      </c>
      <c r="K126" s="63">
        <v>40.5</v>
      </c>
      <c r="L126" s="63">
        <f t="shared" si="18"/>
        <v>16.2</v>
      </c>
      <c r="M126" s="64">
        <f>prodnorm35</f>
        <v>0</v>
      </c>
      <c r="N126" s="65">
        <f>dagwerk35</f>
        <v>0</v>
      </c>
      <c r="O126" s="61" t="s">
        <v>43</v>
      </c>
      <c r="P126" s="66">
        <f>uurtarief35</f>
        <v>0</v>
      </c>
      <c r="Q126" s="63" t="e">
        <f t="shared" si="19"/>
        <v>#DIV/0!</v>
      </c>
      <c r="R126" s="63" t="e">
        <f t="shared" si="20"/>
        <v>#DIV/0!</v>
      </c>
      <c r="S126" s="66" t="e">
        <f t="shared" si="21"/>
        <v>#DIV/0!</v>
      </c>
      <c r="T126" s="63" t="e">
        <f t="shared" si="22"/>
        <v>#DIV/0!</v>
      </c>
      <c r="U126" s="67" t="e">
        <f t="shared" si="23"/>
        <v>#DIV/0!</v>
      </c>
    </row>
    <row r="127" spans="1:21" x14ac:dyDescent="0.2">
      <c r="A127" s="60" t="s">
        <v>368</v>
      </c>
      <c r="B127" s="61" t="s">
        <v>230</v>
      </c>
      <c r="C127" s="61" t="s">
        <v>231</v>
      </c>
      <c r="D127" s="61" t="s">
        <v>385</v>
      </c>
      <c r="E127" s="62" t="s">
        <v>331</v>
      </c>
      <c r="F127" s="61" t="s">
        <v>325</v>
      </c>
      <c r="G127" s="61" t="s">
        <v>175</v>
      </c>
      <c r="H127" s="61" t="s">
        <v>18</v>
      </c>
      <c r="I127" s="61" t="s">
        <v>159</v>
      </c>
      <c r="J127" s="61" t="s">
        <v>230</v>
      </c>
      <c r="K127" s="63">
        <v>10</v>
      </c>
      <c r="L127" s="63">
        <f t="shared" si="18"/>
        <v>4</v>
      </c>
      <c r="M127" s="64">
        <f>prodnorm33</f>
        <v>0</v>
      </c>
      <c r="N127" s="65">
        <f>dagwerk33</f>
        <v>0</v>
      </c>
      <c r="O127" s="61" t="s">
        <v>43</v>
      </c>
      <c r="P127" s="66">
        <f>uurtarief33</f>
        <v>0</v>
      </c>
      <c r="Q127" s="63" t="e">
        <f t="shared" si="19"/>
        <v>#DIV/0!</v>
      </c>
      <c r="R127" s="63" t="e">
        <f t="shared" si="20"/>
        <v>#DIV/0!</v>
      </c>
      <c r="S127" s="66" t="e">
        <f t="shared" si="21"/>
        <v>#DIV/0!</v>
      </c>
      <c r="T127" s="63" t="e">
        <f t="shared" si="22"/>
        <v>#DIV/0!</v>
      </c>
      <c r="U127" s="67" t="e">
        <f t="shared" si="23"/>
        <v>#DIV/0!</v>
      </c>
    </row>
    <row r="128" spans="1:21" x14ac:dyDescent="0.2">
      <c r="A128" s="60" t="s">
        <v>368</v>
      </c>
      <c r="B128" s="61" t="s">
        <v>230</v>
      </c>
      <c r="C128" s="61" t="s">
        <v>231</v>
      </c>
      <c r="D128" s="61" t="s">
        <v>386</v>
      </c>
      <c r="E128" s="62" t="s">
        <v>255</v>
      </c>
      <c r="F128" s="61" t="s">
        <v>238</v>
      </c>
      <c r="G128" s="61" t="s">
        <v>195</v>
      </c>
      <c r="H128" s="61" t="s">
        <v>20</v>
      </c>
      <c r="I128" s="61" t="s">
        <v>159</v>
      </c>
      <c r="J128" s="61" t="s">
        <v>257</v>
      </c>
      <c r="K128" s="63">
        <v>5.4</v>
      </c>
      <c r="L128" s="63">
        <f t="shared" si="18"/>
        <v>1.08</v>
      </c>
      <c r="M128" s="64">
        <f>prodnorm50</f>
        <v>0</v>
      </c>
      <c r="N128" s="65">
        <f>dagwerk50</f>
        <v>0</v>
      </c>
      <c r="O128" s="61" t="s">
        <v>43</v>
      </c>
      <c r="P128" s="66">
        <f>uurtarief50</f>
        <v>0</v>
      </c>
      <c r="Q128" s="63" t="e">
        <f t="shared" si="19"/>
        <v>#DIV/0!</v>
      </c>
      <c r="R128" s="63" t="e">
        <f t="shared" si="20"/>
        <v>#DIV/0!</v>
      </c>
      <c r="S128" s="66" t="e">
        <f t="shared" si="21"/>
        <v>#DIV/0!</v>
      </c>
      <c r="T128" s="63" t="e">
        <f t="shared" si="22"/>
        <v>#DIV/0!</v>
      </c>
      <c r="U128" s="67" t="e">
        <f t="shared" si="23"/>
        <v>#DIV/0!</v>
      </c>
    </row>
    <row r="129" spans="1:21" x14ac:dyDescent="0.2">
      <c r="A129" s="60" t="s">
        <v>368</v>
      </c>
      <c r="B129" s="61" t="s">
        <v>230</v>
      </c>
      <c r="C129" s="61" t="s">
        <v>231</v>
      </c>
      <c r="D129" s="61" t="s">
        <v>387</v>
      </c>
      <c r="E129" s="62" t="s">
        <v>331</v>
      </c>
      <c r="F129" s="61" t="s">
        <v>234</v>
      </c>
      <c r="G129" s="61" t="s">
        <v>177</v>
      </c>
      <c r="H129" s="61" t="s">
        <v>18</v>
      </c>
      <c r="I129" s="61" t="s">
        <v>159</v>
      </c>
      <c r="J129" s="61" t="s">
        <v>239</v>
      </c>
      <c r="K129" s="63">
        <v>42.7</v>
      </c>
      <c r="L129" s="63">
        <f t="shared" si="18"/>
        <v>17.080000000000002</v>
      </c>
      <c r="M129" s="64">
        <f>prodnorm35</f>
        <v>0</v>
      </c>
      <c r="N129" s="65">
        <f>dagwerk35</f>
        <v>0</v>
      </c>
      <c r="O129" s="61" t="s">
        <v>43</v>
      </c>
      <c r="P129" s="66">
        <f>uurtarief35</f>
        <v>0</v>
      </c>
      <c r="Q129" s="63" t="e">
        <f t="shared" si="19"/>
        <v>#DIV/0!</v>
      </c>
      <c r="R129" s="63" t="e">
        <f t="shared" si="20"/>
        <v>#DIV/0!</v>
      </c>
      <c r="S129" s="66" t="e">
        <f t="shared" si="21"/>
        <v>#DIV/0!</v>
      </c>
      <c r="T129" s="63" t="e">
        <f t="shared" si="22"/>
        <v>#DIV/0!</v>
      </c>
      <c r="U129" s="67" t="e">
        <f t="shared" si="23"/>
        <v>#DIV/0!</v>
      </c>
    </row>
    <row r="130" spans="1:21" x14ac:dyDescent="0.2">
      <c r="A130" s="60" t="s">
        <v>368</v>
      </c>
      <c r="B130" s="61" t="s">
        <v>230</v>
      </c>
      <c r="C130" s="61" t="s">
        <v>231</v>
      </c>
      <c r="D130" s="61" t="s">
        <v>388</v>
      </c>
      <c r="E130" s="62" t="s">
        <v>331</v>
      </c>
      <c r="F130" s="61" t="s">
        <v>325</v>
      </c>
      <c r="G130" s="61" t="s">
        <v>175</v>
      </c>
      <c r="H130" s="61" t="s">
        <v>18</v>
      </c>
      <c r="I130" s="61" t="s">
        <v>159</v>
      </c>
      <c r="J130" s="61" t="s">
        <v>239</v>
      </c>
      <c r="K130" s="63">
        <v>10</v>
      </c>
      <c r="L130" s="63">
        <f t="shared" si="18"/>
        <v>4</v>
      </c>
      <c r="M130" s="64">
        <f>prodnorm33</f>
        <v>0</v>
      </c>
      <c r="N130" s="65">
        <f>dagwerk33</f>
        <v>0</v>
      </c>
      <c r="O130" s="61" t="s">
        <v>43</v>
      </c>
      <c r="P130" s="66">
        <f>uurtarief33</f>
        <v>0</v>
      </c>
      <c r="Q130" s="63" t="e">
        <f t="shared" si="19"/>
        <v>#DIV/0!</v>
      </c>
      <c r="R130" s="63" t="e">
        <f t="shared" si="20"/>
        <v>#DIV/0!</v>
      </c>
      <c r="S130" s="66" t="e">
        <f t="shared" si="21"/>
        <v>#DIV/0!</v>
      </c>
      <c r="T130" s="63" t="e">
        <f t="shared" si="22"/>
        <v>#DIV/0!</v>
      </c>
      <c r="U130" s="67" t="e">
        <f t="shared" si="23"/>
        <v>#DIV/0!</v>
      </c>
    </row>
    <row r="131" spans="1:21" x14ac:dyDescent="0.2">
      <c r="A131" s="60" t="s">
        <v>368</v>
      </c>
      <c r="B131" s="61" t="s">
        <v>230</v>
      </c>
      <c r="C131" s="61" t="s">
        <v>231</v>
      </c>
      <c r="D131" s="61" t="s">
        <v>389</v>
      </c>
      <c r="E131" s="62" t="s">
        <v>332</v>
      </c>
      <c r="F131" s="61" t="s">
        <v>369</v>
      </c>
      <c r="G131" s="61" t="s">
        <v>195</v>
      </c>
      <c r="H131" s="61" t="s">
        <v>11</v>
      </c>
      <c r="I131" s="61" t="s">
        <v>159</v>
      </c>
      <c r="J131" s="61" t="s">
        <v>257</v>
      </c>
      <c r="K131" s="63">
        <v>6.7</v>
      </c>
      <c r="L131" s="63">
        <f t="shared" si="18"/>
        <v>6.7</v>
      </c>
      <c r="M131" s="64">
        <f>prodnorm49</f>
        <v>0</v>
      </c>
      <c r="N131" s="65">
        <f>dagwerk49</f>
        <v>0</v>
      </c>
      <c r="O131" s="61" t="s">
        <v>43</v>
      </c>
      <c r="P131" s="66">
        <f>uurtarief49</f>
        <v>0</v>
      </c>
      <c r="Q131" s="63" t="e">
        <f t="shared" si="19"/>
        <v>#DIV/0!</v>
      </c>
      <c r="R131" s="63" t="e">
        <f t="shared" si="20"/>
        <v>#DIV/0!</v>
      </c>
      <c r="S131" s="66" t="e">
        <f t="shared" si="21"/>
        <v>#DIV/0!</v>
      </c>
      <c r="T131" s="63" t="e">
        <f t="shared" si="22"/>
        <v>#DIV/0!</v>
      </c>
      <c r="U131" s="67" t="e">
        <f t="shared" si="23"/>
        <v>#DIV/0!</v>
      </c>
    </row>
    <row r="132" spans="1:21" x14ac:dyDescent="0.2">
      <c r="A132" s="60" t="s">
        <v>368</v>
      </c>
      <c r="B132" s="61" t="s">
        <v>230</v>
      </c>
      <c r="C132" s="61" t="s">
        <v>231</v>
      </c>
      <c r="D132" s="61" t="s">
        <v>390</v>
      </c>
      <c r="E132" s="62" t="s">
        <v>331</v>
      </c>
      <c r="F132" s="61" t="s">
        <v>234</v>
      </c>
      <c r="G132" s="61" t="s">
        <v>177</v>
      </c>
      <c r="H132" s="61" t="s">
        <v>18</v>
      </c>
      <c r="I132" s="61" t="s">
        <v>159</v>
      </c>
      <c r="J132" s="61" t="s">
        <v>239</v>
      </c>
      <c r="K132" s="63">
        <v>42.9</v>
      </c>
      <c r="L132" s="63">
        <f t="shared" si="18"/>
        <v>17.16</v>
      </c>
      <c r="M132" s="64">
        <f>prodnorm35</f>
        <v>0</v>
      </c>
      <c r="N132" s="65">
        <f>dagwerk35</f>
        <v>0</v>
      </c>
      <c r="O132" s="61" t="s">
        <v>43</v>
      </c>
      <c r="P132" s="66">
        <f>uurtarief35</f>
        <v>0</v>
      </c>
      <c r="Q132" s="63" t="e">
        <f t="shared" si="19"/>
        <v>#DIV/0!</v>
      </c>
      <c r="R132" s="63" t="e">
        <f t="shared" si="20"/>
        <v>#DIV/0!</v>
      </c>
      <c r="S132" s="66" t="e">
        <f t="shared" si="21"/>
        <v>#DIV/0!</v>
      </c>
      <c r="T132" s="63" t="e">
        <f t="shared" si="22"/>
        <v>#DIV/0!</v>
      </c>
      <c r="U132" s="67" t="e">
        <f t="shared" si="23"/>
        <v>#DIV/0!</v>
      </c>
    </row>
    <row r="133" spans="1:21" x14ac:dyDescent="0.2">
      <c r="A133" s="60" t="s">
        <v>368</v>
      </c>
      <c r="B133" s="61" t="s">
        <v>230</v>
      </c>
      <c r="C133" s="61" t="s">
        <v>231</v>
      </c>
      <c r="D133" s="61" t="s">
        <v>391</v>
      </c>
      <c r="E133" s="62" t="s">
        <v>331</v>
      </c>
      <c r="F133" s="61" t="s">
        <v>325</v>
      </c>
      <c r="G133" s="61" t="s">
        <v>175</v>
      </c>
      <c r="H133" s="61" t="s">
        <v>18</v>
      </c>
      <c r="I133" s="61" t="s">
        <v>159</v>
      </c>
      <c r="J133" s="61" t="s">
        <v>239</v>
      </c>
      <c r="K133" s="63">
        <v>10</v>
      </c>
      <c r="L133" s="63">
        <f t="shared" si="18"/>
        <v>4</v>
      </c>
      <c r="M133" s="64">
        <f>prodnorm33</f>
        <v>0</v>
      </c>
      <c r="N133" s="65">
        <f>dagwerk33</f>
        <v>0</v>
      </c>
      <c r="O133" s="61" t="s">
        <v>43</v>
      </c>
      <c r="P133" s="66">
        <f>uurtarief33</f>
        <v>0</v>
      </c>
      <c r="Q133" s="63" t="e">
        <f t="shared" si="19"/>
        <v>#DIV/0!</v>
      </c>
      <c r="R133" s="63" t="e">
        <f t="shared" si="20"/>
        <v>#DIV/0!</v>
      </c>
      <c r="S133" s="66" t="e">
        <f t="shared" si="21"/>
        <v>#DIV/0!</v>
      </c>
      <c r="T133" s="63" t="e">
        <f t="shared" si="22"/>
        <v>#DIV/0!</v>
      </c>
      <c r="U133" s="67" t="e">
        <f t="shared" si="23"/>
        <v>#DIV/0!</v>
      </c>
    </row>
    <row r="134" spans="1:21" x14ac:dyDescent="0.2">
      <c r="A134" s="60" t="s">
        <v>368</v>
      </c>
      <c r="B134" s="61" t="s">
        <v>230</v>
      </c>
      <c r="C134" s="61" t="s">
        <v>231</v>
      </c>
      <c r="D134" s="61" t="s">
        <v>392</v>
      </c>
      <c r="E134" s="62" t="s">
        <v>345</v>
      </c>
      <c r="F134" s="61" t="s">
        <v>234</v>
      </c>
      <c r="G134" s="61" t="s">
        <v>171</v>
      </c>
      <c r="H134" s="61" t="s">
        <v>11</v>
      </c>
      <c r="I134" s="61" t="s">
        <v>159</v>
      </c>
      <c r="J134" s="61" t="s">
        <v>235</v>
      </c>
      <c r="K134" s="63">
        <v>41</v>
      </c>
      <c r="L134" s="63">
        <f t="shared" si="18"/>
        <v>41</v>
      </c>
      <c r="M134" s="64">
        <f>prodnorm26</f>
        <v>0</v>
      </c>
      <c r="N134" s="65">
        <f>dagwerk26</f>
        <v>0</v>
      </c>
      <c r="O134" s="61" t="s">
        <v>43</v>
      </c>
      <c r="P134" s="66">
        <f>uurtarief26</f>
        <v>0</v>
      </c>
      <c r="Q134" s="63" t="e">
        <f t="shared" si="19"/>
        <v>#DIV/0!</v>
      </c>
      <c r="R134" s="63" t="e">
        <f t="shared" si="20"/>
        <v>#DIV/0!</v>
      </c>
      <c r="S134" s="66" t="e">
        <f t="shared" si="21"/>
        <v>#DIV/0!</v>
      </c>
      <c r="T134" s="63" t="e">
        <f t="shared" si="22"/>
        <v>#DIV/0!</v>
      </c>
      <c r="U134" s="67" t="e">
        <f t="shared" si="23"/>
        <v>#DIV/0!</v>
      </c>
    </row>
    <row r="135" spans="1:21" x14ac:dyDescent="0.2">
      <c r="A135" s="68" t="s">
        <v>368</v>
      </c>
      <c r="B135" s="69" t="s">
        <v>230</v>
      </c>
      <c r="C135" s="69" t="s">
        <v>231</v>
      </c>
      <c r="D135" s="69" t="s">
        <v>393</v>
      </c>
      <c r="E135" s="70" t="s">
        <v>345</v>
      </c>
      <c r="F135" s="69" t="s">
        <v>256</v>
      </c>
      <c r="G135" s="69" t="s">
        <v>169</v>
      </c>
      <c r="H135" s="69" t="s">
        <v>11</v>
      </c>
      <c r="I135" s="69" t="s">
        <v>159</v>
      </c>
      <c r="J135" s="69" t="s">
        <v>235</v>
      </c>
      <c r="K135" s="71">
        <v>2</v>
      </c>
      <c r="L135" s="71">
        <f t="shared" si="18"/>
        <v>2</v>
      </c>
      <c r="M135" s="72">
        <f>prodnorm25</f>
        <v>0</v>
      </c>
      <c r="N135" s="73">
        <f>dagwerk25</f>
        <v>0</v>
      </c>
      <c r="O135" s="69" t="s">
        <v>43</v>
      </c>
      <c r="P135" s="74">
        <f>uurtarief25</f>
        <v>0</v>
      </c>
      <c r="Q135" s="71" t="e">
        <f t="shared" si="19"/>
        <v>#DIV/0!</v>
      </c>
      <c r="R135" s="71" t="e">
        <f t="shared" si="20"/>
        <v>#DIV/0!</v>
      </c>
      <c r="S135" s="74" t="e">
        <f t="shared" si="21"/>
        <v>#DIV/0!</v>
      </c>
      <c r="T135" s="71" t="e">
        <f t="shared" si="22"/>
        <v>#DIV/0!</v>
      </c>
      <c r="U135" s="75" t="e">
        <f t="shared" si="23"/>
        <v>#DIV/0!</v>
      </c>
    </row>
    <row r="136" spans="1:21" x14ac:dyDescent="0.2">
      <c r="A136" s="76" t="s">
        <v>319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5" t="e">
        <f>IF(_xlfn.SINGLE(object3_urenjaar1)&gt;0,_xlfn.SINGLE(object3_prijsjaar1)/_xlfn.SINGLE(object3_urenjaar1),0)</f>
        <v>#DIV/0!</v>
      </c>
      <c r="Q136" s="44" t="e">
        <f>SUM(Q97:Q135)</f>
        <v>#DIV/0!</v>
      </c>
      <c r="R136" s="44" t="e">
        <f>SUM(R97:R135)</f>
        <v>#DIV/0!</v>
      </c>
      <c r="S136" s="45" t="e">
        <f>SUM(S97:S135)</f>
        <v>#DIV/0!</v>
      </c>
      <c r="T136" s="44" t="e">
        <f>SUM(T97:T135)</f>
        <v>#DIV/0!</v>
      </c>
      <c r="U136" s="46" t="e">
        <f>SUM(U97:U135)</f>
        <v>#DIV/0!</v>
      </c>
    </row>
    <row r="137" spans="1:21" x14ac:dyDescent="0.2">
      <c r="A137" s="51" t="s">
        <v>394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41"/>
    </row>
    <row r="138" spans="1:21" x14ac:dyDescent="0.2">
      <c r="A138" s="52" t="s">
        <v>395</v>
      </c>
      <c r="B138" s="53" t="s">
        <v>230</v>
      </c>
      <c r="C138" s="53" t="s">
        <v>231</v>
      </c>
      <c r="D138" s="53" t="s">
        <v>232</v>
      </c>
      <c r="E138" s="54" t="s">
        <v>322</v>
      </c>
      <c r="F138" s="53" t="s">
        <v>234</v>
      </c>
      <c r="G138" s="53" t="s">
        <v>205</v>
      </c>
      <c r="H138" s="53" t="s">
        <v>11</v>
      </c>
      <c r="I138" s="53" t="s">
        <v>159</v>
      </c>
      <c r="J138" s="53" t="s">
        <v>235</v>
      </c>
      <c r="K138" s="55">
        <v>7.8</v>
      </c>
      <c r="L138" s="55">
        <f t="shared" ref="L138:L179" si="24">K138*VLOOKUP(H138,dagsoorttabel1,2,FALSE)</f>
        <v>7.8</v>
      </c>
      <c r="M138" s="56">
        <f>prodnorm58</f>
        <v>0</v>
      </c>
      <c r="N138" s="57">
        <f>dagwerk58</f>
        <v>0</v>
      </c>
      <c r="O138" s="53" t="s">
        <v>43</v>
      </c>
      <c r="P138" s="58">
        <f>uurtarief58</f>
        <v>0</v>
      </c>
      <c r="Q138" s="55" t="e">
        <f t="shared" ref="Q138:Q179" si="25">IF(ISBLANK(M138),0,L138/ROUND(M138,4))</f>
        <v>#DIV/0!</v>
      </c>
      <c r="R138" s="55" t="e">
        <f t="shared" ref="R138:R179" si="26">IF(ISBLANK(M138),0,Q138*ROUND(N138,2))</f>
        <v>#DIV/0!</v>
      </c>
      <c r="S138" s="58" t="e">
        <f t="shared" ref="S138:S179" si="27">ROUND(P138,2)*Q138</f>
        <v>#DIV/0!</v>
      </c>
      <c r="T138" s="55" t="e">
        <f t="shared" ref="T138:T179" si="28">Q138*dagenperjaar1</f>
        <v>#DIV/0!</v>
      </c>
      <c r="U138" s="59" t="e">
        <f t="shared" ref="U138:U179" si="29">T138*ROUND(P138,2)</f>
        <v>#DIV/0!</v>
      </c>
    </row>
    <row r="139" spans="1:21" x14ac:dyDescent="0.2">
      <c r="A139" s="60" t="s">
        <v>395</v>
      </c>
      <c r="B139" s="61" t="s">
        <v>230</v>
      </c>
      <c r="C139" s="61" t="s">
        <v>231</v>
      </c>
      <c r="D139" s="61" t="s">
        <v>236</v>
      </c>
      <c r="E139" s="62" t="s">
        <v>332</v>
      </c>
      <c r="F139" s="61" t="s">
        <v>396</v>
      </c>
      <c r="G139" s="61" t="s">
        <v>195</v>
      </c>
      <c r="H139" s="61" t="s">
        <v>11</v>
      </c>
      <c r="I139" s="61" t="s">
        <v>159</v>
      </c>
      <c r="J139" s="61" t="s">
        <v>257</v>
      </c>
      <c r="K139" s="63">
        <v>6.7</v>
      </c>
      <c r="L139" s="63">
        <f t="shared" si="24"/>
        <v>6.7</v>
      </c>
      <c r="M139" s="64">
        <f>prodnorm49</f>
        <v>0</v>
      </c>
      <c r="N139" s="65">
        <f>dagwerk49</f>
        <v>0</v>
      </c>
      <c r="O139" s="61" t="s">
        <v>43</v>
      </c>
      <c r="P139" s="66">
        <f>uurtarief49</f>
        <v>0</v>
      </c>
      <c r="Q139" s="63" t="e">
        <f t="shared" si="25"/>
        <v>#DIV/0!</v>
      </c>
      <c r="R139" s="63" t="e">
        <f t="shared" si="26"/>
        <v>#DIV/0!</v>
      </c>
      <c r="S139" s="66" t="e">
        <f t="shared" si="27"/>
        <v>#DIV/0!</v>
      </c>
      <c r="T139" s="63" t="e">
        <f t="shared" si="28"/>
        <v>#DIV/0!</v>
      </c>
      <c r="U139" s="67" t="e">
        <f t="shared" si="29"/>
        <v>#DIV/0!</v>
      </c>
    </row>
    <row r="140" spans="1:21" x14ac:dyDescent="0.2">
      <c r="A140" s="60" t="s">
        <v>395</v>
      </c>
      <c r="B140" s="61" t="s">
        <v>230</v>
      </c>
      <c r="C140" s="61" t="s">
        <v>231</v>
      </c>
      <c r="D140" s="61" t="s">
        <v>245</v>
      </c>
      <c r="E140" s="62" t="s">
        <v>332</v>
      </c>
      <c r="F140" s="61" t="s">
        <v>396</v>
      </c>
      <c r="G140" s="61" t="s">
        <v>195</v>
      </c>
      <c r="H140" s="61" t="s">
        <v>11</v>
      </c>
      <c r="I140" s="61" t="s">
        <v>159</v>
      </c>
      <c r="J140" s="61" t="s">
        <v>257</v>
      </c>
      <c r="K140" s="63">
        <v>6.7</v>
      </c>
      <c r="L140" s="63">
        <f t="shared" si="24"/>
        <v>6.7</v>
      </c>
      <c r="M140" s="64">
        <f>prodnorm49</f>
        <v>0</v>
      </c>
      <c r="N140" s="65">
        <f>dagwerk49</f>
        <v>0</v>
      </c>
      <c r="O140" s="61" t="s">
        <v>43</v>
      </c>
      <c r="P140" s="66">
        <f>uurtarief49</f>
        <v>0</v>
      </c>
      <c r="Q140" s="63" t="e">
        <f t="shared" si="25"/>
        <v>#DIV/0!</v>
      </c>
      <c r="R140" s="63" t="e">
        <f t="shared" si="26"/>
        <v>#DIV/0!</v>
      </c>
      <c r="S140" s="66" t="e">
        <f t="shared" si="27"/>
        <v>#DIV/0!</v>
      </c>
      <c r="T140" s="63" t="e">
        <f t="shared" si="28"/>
        <v>#DIV/0!</v>
      </c>
      <c r="U140" s="67" t="e">
        <f t="shared" si="29"/>
        <v>#DIV/0!</v>
      </c>
    </row>
    <row r="141" spans="1:21" x14ac:dyDescent="0.2">
      <c r="A141" s="60" t="s">
        <v>395</v>
      </c>
      <c r="B141" s="61" t="s">
        <v>230</v>
      </c>
      <c r="C141" s="61" t="s">
        <v>231</v>
      </c>
      <c r="D141" s="61" t="s">
        <v>312</v>
      </c>
      <c r="E141" s="62" t="s">
        <v>358</v>
      </c>
      <c r="F141" s="61" t="s">
        <v>397</v>
      </c>
      <c r="G141" s="61" t="s">
        <v>199</v>
      </c>
      <c r="H141" s="61" t="s">
        <v>11</v>
      </c>
      <c r="I141" s="61" t="s">
        <v>159</v>
      </c>
      <c r="J141" s="61" t="s">
        <v>235</v>
      </c>
      <c r="K141" s="63">
        <v>47.9</v>
      </c>
      <c r="L141" s="63">
        <f t="shared" si="24"/>
        <v>47.9</v>
      </c>
      <c r="M141" s="64">
        <f>prodnorm53</f>
        <v>0</v>
      </c>
      <c r="N141" s="65">
        <f>dagwerk53</f>
        <v>0</v>
      </c>
      <c r="O141" s="61" t="s">
        <v>43</v>
      </c>
      <c r="P141" s="66">
        <f>uurtarief53</f>
        <v>0</v>
      </c>
      <c r="Q141" s="63" t="e">
        <f t="shared" si="25"/>
        <v>#DIV/0!</v>
      </c>
      <c r="R141" s="63" t="e">
        <f t="shared" si="26"/>
        <v>#DIV/0!</v>
      </c>
      <c r="S141" s="66" t="e">
        <f t="shared" si="27"/>
        <v>#DIV/0!</v>
      </c>
      <c r="T141" s="63" t="e">
        <f t="shared" si="28"/>
        <v>#DIV/0!</v>
      </c>
      <c r="U141" s="67" t="e">
        <f t="shared" si="29"/>
        <v>#DIV/0!</v>
      </c>
    </row>
    <row r="142" spans="1:21" x14ac:dyDescent="0.2">
      <c r="A142" s="60" t="s">
        <v>395</v>
      </c>
      <c r="B142" s="61" t="s">
        <v>230</v>
      </c>
      <c r="C142" s="61" t="s">
        <v>231</v>
      </c>
      <c r="D142" s="61" t="s">
        <v>328</v>
      </c>
      <c r="E142" s="62" t="s">
        <v>331</v>
      </c>
      <c r="F142" s="61" t="s">
        <v>238</v>
      </c>
      <c r="G142" s="61" t="s">
        <v>175</v>
      </c>
      <c r="H142" s="61" t="s">
        <v>18</v>
      </c>
      <c r="I142" s="61" t="s">
        <v>159</v>
      </c>
      <c r="J142" s="61" t="s">
        <v>239</v>
      </c>
      <c r="K142" s="63">
        <v>57.4</v>
      </c>
      <c r="L142" s="63">
        <f t="shared" si="24"/>
        <v>22.96</v>
      </c>
      <c r="M142" s="64">
        <f>prodnorm33</f>
        <v>0</v>
      </c>
      <c r="N142" s="65">
        <f>dagwerk33</f>
        <v>0</v>
      </c>
      <c r="O142" s="61" t="s">
        <v>43</v>
      </c>
      <c r="P142" s="66">
        <f>uurtarief33</f>
        <v>0</v>
      </c>
      <c r="Q142" s="63" t="e">
        <f t="shared" si="25"/>
        <v>#DIV/0!</v>
      </c>
      <c r="R142" s="63" t="e">
        <f t="shared" si="26"/>
        <v>#DIV/0!</v>
      </c>
      <c r="S142" s="66" t="e">
        <f t="shared" si="27"/>
        <v>#DIV/0!</v>
      </c>
      <c r="T142" s="63" t="e">
        <f t="shared" si="28"/>
        <v>#DIV/0!</v>
      </c>
      <c r="U142" s="67" t="e">
        <f t="shared" si="29"/>
        <v>#DIV/0!</v>
      </c>
    </row>
    <row r="143" spans="1:21" x14ac:dyDescent="0.2">
      <c r="A143" s="60" t="s">
        <v>395</v>
      </c>
      <c r="B143" s="61" t="s">
        <v>230</v>
      </c>
      <c r="C143" s="61" t="s">
        <v>231</v>
      </c>
      <c r="D143" s="61" t="s">
        <v>254</v>
      </c>
      <c r="E143" s="62" t="s">
        <v>331</v>
      </c>
      <c r="F143" s="61" t="s">
        <v>238</v>
      </c>
      <c r="G143" s="61" t="s">
        <v>175</v>
      </c>
      <c r="H143" s="61" t="s">
        <v>18</v>
      </c>
      <c r="I143" s="61" t="s">
        <v>159</v>
      </c>
      <c r="J143" s="61" t="s">
        <v>239</v>
      </c>
      <c r="K143" s="63">
        <v>58.3</v>
      </c>
      <c r="L143" s="63">
        <f t="shared" si="24"/>
        <v>23.32</v>
      </c>
      <c r="M143" s="64">
        <f>prodnorm33</f>
        <v>0</v>
      </c>
      <c r="N143" s="65">
        <f>dagwerk33</f>
        <v>0</v>
      </c>
      <c r="O143" s="61" t="s">
        <v>43</v>
      </c>
      <c r="P143" s="66">
        <f>uurtarief33</f>
        <v>0</v>
      </c>
      <c r="Q143" s="63" t="e">
        <f t="shared" si="25"/>
        <v>#DIV/0!</v>
      </c>
      <c r="R143" s="63" t="e">
        <f t="shared" si="26"/>
        <v>#DIV/0!</v>
      </c>
      <c r="S143" s="66" t="e">
        <f t="shared" si="27"/>
        <v>#DIV/0!</v>
      </c>
      <c r="T143" s="63" t="e">
        <f t="shared" si="28"/>
        <v>#DIV/0!</v>
      </c>
      <c r="U143" s="67" t="e">
        <f t="shared" si="29"/>
        <v>#DIV/0!</v>
      </c>
    </row>
    <row r="144" spans="1:21" x14ac:dyDescent="0.2">
      <c r="A144" s="60" t="s">
        <v>395</v>
      </c>
      <c r="B144" s="61" t="s">
        <v>230</v>
      </c>
      <c r="C144" s="61" t="s">
        <v>231</v>
      </c>
      <c r="D144" s="61" t="s">
        <v>258</v>
      </c>
      <c r="E144" s="62" t="s">
        <v>331</v>
      </c>
      <c r="F144" s="61" t="s">
        <v>238</v>
      </c>
      <c r="G144" s="61" t="s">
        <v>175</v>
      </c>
      <c r="H144" s="61" t="s">
        <v>18</v>
      </c>
      <c r="I144" s="61" t="s">
        <v>159</v>
      </c>
      <c r="J144" s="61" t="s">
        <v>239</v>
      </c>
      <c r="K144" s="63">
        <v>58.5</v>
      </c>
      <c r="L144" s="63">
        <f t="shared" si="24"/>
        <v>23.400000000000002</v>
      </c>
      <c r="M144" s="64">
        <f>prodnorm33</f>
        <v>0</v>
      </c>
      <c r="N144" s="65">
        <f>dagwerk33</f>
        <v>0</v>
      </c>
      <c r="O144" s="61" t="s">
        <v>43</v>
      </c>
      <c r="P144" s="66">
        <f>uurtarief33</f>
        <v>0</v>
      </c>
      <c r="Q144" s="63" t="e">
        <f t="shared" si="25"/>
        <v>#DIV/0!</v>
      </c>
      <c r="R144" s="63" t="e">
        <f t="shared" si="26"/>
        <v>#DIV/0!</v>
      </c>
      <c r="S144" s="66" t="e">
        <f t="shared" si="27"/>
        <v>#DIV/0!</v>
      </c>
      <c r="T144" s="63" t="e">
        <f t="shared" si="28"/>
        <v>#DIV/0!</v>
      </c>
      <c r="U144" s="67" t="e">
        <f t="shared" si="29"/>
        <v>#DIV/0!</v>
      </c>
    </row>
    <row r="145" spans="1:21" x14ac:dyDescent="0.2">
      <c r="A145" s="60" t="s">
        <v>395</v>
      </c>
      <c r="B145" s="61" t="s">
        <v>230</v>
      </c>
      <c r="C145" s="61" t="s">
        <v>231</v>
      </c>
      <c r="D145" s="61" t="s">
        <v>259</v>
      </c>
      <c r="E145" s="62" t="s">
        <v>373</v>
      </c>
      <c r="F145" s="61" t="s">
        <v>336</v>
      </c>
      <c r="G145" s="61" t="s">
        <v>163</v>
      </c>
      <c r="H145" s="61" t="s">
        <v>11</v>
      </c>
      <c r="I145" s="61" t="s">
        <v>159</v>
      </c>
      <c r="J145" s="61" t="s">
        <v>235</v>
      </c>
      <c r="K145" s="63">
        <v>86</v>
      </c>
      <c r="L145" s="63">
        <f t="shared" si="24"/>
        <v>86</v>
      </c>
      <c r="M145" s="64">
        <f>prodnorm21</f>
        <v>0</v>
      </c>
      <c r="N145" s="65">
        <f>dagwerk21</f>
        <v>0</v>
      </c>
      <c r="O145" s="61" t="s">
        <v>43</v>
      </c>
      <c r="P145" s="66">
        <f>uurtarief21</f>
        <v>0</v>
      </c>
      <c r="Q145" s="63" t="e">
        <f t="shared" si="25"/>
        <v>#DIV/0!</v>
      </c>
      <c r="R145" s="63" t="e">
        <f t="shared" si="26"/>
        <v>#DIV/0!</v>
      </c>
      <c r="S145" s="66" t="e">
        <f t="shared" si="27"/>
        <v>#DIV/0!</v>
      </c>
      <c r="T145" s="63" t="e">
        <f t="shared" si="28"/>
        <v>#DIV/0!</v>
      </c>
      <c r="U145" s="67" t="e">
        <f t="shared" si="29"/>
        <v>#DIV/0!</v>
      </c>
    </row>
    <row r="146" spans="1:21" x14ac:dyDescent="0.2">
      <c r="A146" s="60" t="s">
        <v>395</v>
      </c>
      <c r="B146" s="61" t="s">
        <v>230</v>
      </c>
      <c r="C146" s="61" t="s">
        <v>231</v>
      </c>
      <c r="D146" s="61" t="s">
        <v>262</v>
      </c>
      <c r="E146" s="62" t="s">
        <v>332</v>
      </c>
      <c r="F146" s="61" t="s">
        <v>396</v>
      </c>
      <c r="G146" s="61" t="s">
        <v>195</v>
      </c>
      <c r="H146" s="61" t="s">
        <v>11</v>
      </c>
      <c r="I146" s="61" t="s">
        <v>159</v>
      </c>
      <c r="J146" s="61" t="s">
        <v>257</v>
      </c>
      <c r="K146" s="63">
        <v>2.1</v>
      </c>
      <c r="L146" s="63">
        <f t="shared" si="24"/>
        <v>2.1</v>
      </c>
      <c r="M146" s="64">
        <f>prodnorm49</f>
        <v>0</v>
      </c>
      <c r="N146" s="65">
        <f>dagwerk49</f>
        <v>0</v>
      </c>
      <c r="O146" s="61" t="s">
        <v>43</v>
      </c>
      <c r="P146" s="66">
        <f>uurtarief49</f>
        <v>0</v>
      </c>
      <c r="Q146" s="63" t="e">
        <f t="shared" si="25"/>
        <v>#DIV/0!</v>
      </c>
      <c r="R146" s="63" t="e">
        <f t="shared" si="26"/>
        <v>#DIV/0!</v>
      </c>
      <c r="S146" s="66" t="e">
        <f t="shared" si="27"/>
        <v>#DIV/0!</v>
      </c>
      <c r="T146" s="63" t="e">
        <f t="shared" si="28"/>
        <v>#DIV/0!</v>
      </c>
      <c r="U146" s="67" t="e">
        <f t="shared" si="29"/>
        <v>#DIV/0!</v>
      </c>
    </row>
    <row r="147" spans="1:21" x14ac:dyDescent="0.2">
      <c r="A147" s="60" t="s">
        <v>395</v>
      </c>
      <c r="B147" s="61" t="s">
        <v>230</v>
      </c>
      <c r="C147" s="61" t="s">
        <v>231</v>
      </c>
      <c r="D147" s="61" t="s">
        <v>265</v>
      </c>
      <c r="E147" s="62" t="s">
        <v>332</v>
      </c>
      <c r="F147" s="61" t="s">
        <v>396</v>
      </c>
      <c r="G147" s="61" t="s">
        <v>195</v>
      </c>
      <c r="H147" s="61" t="s">
        <v>11</v>
      </c>
      <c r="I147" s="61" t="s">
        <v>159</v>
      </c>
      <c r="J147" s="61" t="s">
        <v>257</v>
      </c>
      <c r="K147" s="63">
        <v>8.6</v>
      </c>
      <c r="L147" s="63">
        <f t="shared" si="24"/>
        <v>8.6</v>
      </c>
      <c r="M147" s="64">
        <f>prodnorm49</f>
        <v>0</v>
      </c>
      <c r="N147" s="65">
        <f>dagwerk49</f>
        <v>0</v>
      </c>
      <c r="O147" s="61" t="s">
        <v>43</v>
      </c>
      <c r="P147" s="66">
        <f>uurtarief49</f>
        <v>0</v>
      </c>
      <c r="Q147" s="63" t="e">
        <f t="shared" si="25"/>
        <v>#DIV/0!</v>
      </c>
      <c r="R147" s="63" t="e">
        <f t="shared" si="26"/>
        <v>#DIV/0!</v>
      </c>
      <c r="S147" s="66" t="e">
        <f t="shared" si="27"/>
        <v>#DIV/0!</v>
      </c>
      <c r="T147" s="63" t="e">
        <f t="shared" si="28"/>
        <v>#DIV/0!</v>
      </c>
      <c r="U147" s="67" t="e">
        <f t="shared" si="29"/>
        <v>#DIV/0!</v>
      </c>
    </row>
    <row r="148" spans="1:21" x14ac:dyDescent="0.2">
      <c r="A148" s="60" t="s">
        <v>395</v>
      </c>
      <c r="B148" s="61" t="s">
        <v>230</v>
      </c>
      <c r="C148" s="61" t="s">
        <v>231</v>
      </c>
      <c r="D148" s="61" t="s">
        <v>269</v>
      </c>
      <c r="E148" s="62" t="s">
        <v>322</v>
      </c>
      <c r="F148" s="61" t="s">
        <v>234</v>
      </c>
      <c r="G148" s="61" t="s">
        <v>205</v>
      </c>
      <c r="H148" s="61" t="s">
        <v>11</v>
      </c>
      <c r="I148" s="61" t="s">
        <v>159</v>
      </c>
      <c r="J148" s="61" t="s">
        <v>235</v>
      </c>
      <c r="K148" s="63">
        <v>3.9</v>
      </c>
      <c r="L148" s="63">
        <f t="shared" si="24"/>
        <v>3.9</v>
      </c>
      <c r="M148" s="64">
        <f>prodnorm58</f>
        <v>0</v>
      </c>
      <c r="N148" s="65">
        <f>dagwerk58</f>
        <v>0</v>
      </c>
      <c r="O148" s="61" t="s">
        <v>43</v>
      </c>
      <c r="P148" s="66">
        <f>uurtarief58</f>
        <v>0</v>
      </c>
      <c r="Q148" s="63" t="e">
        <f t="shared" si="25"/>
        <v>#DIV/0!</v>
      </c>
      <c r="R148" s="63" t="e">
        <f t="shared" si="26"/>
        <v>#DIV/0!</v>
      </c>
      <c r="S148" s="66" t="e">
        <f t="shared" si="27"/>
        <v>#DIV/0!</v>
      </c>
      <c r="T148" s="63" t="e">
        <f t="shared" si="28"/>
        <v>#DIV/0!</v>
      </c>
      <c r="U148" s="67" t="e">
        <f t="shared" si="29"/>
        <v>#DIV/0!</v>
      </c>
    </row>
    <row r="149" spans="1:21" x14ac:dyDescent="0.2">
      <c r="A149" s="60" t="s">
        <v>395</v>
      </c>
      <c r="B149" s="61" t="s">
        <v>230</v>
      </c>
      <c r="C149" s="61" t="s">
        <v>231</v>
      </c>
      <c r="D149" s="61" t="s">
        <v>272</v>
      </c>
      <c r="E149" s="62" t="s">
        <v>398</v>
      </c>
      <c r="F149" s="61" t="s">
        <v>397</v>
      </c>
      <c r="G149" s="61" t="s">
        <v>199</v>
      </c>
      <c r="H149" s="61" t="s">
        <v>11</v>
      </c>
      <c r="I149" s="61" t="s">
        <v>159</v>
      </c>
      <c r="J149" s="61" t="s">
        <v>235</v>
      </c>
      <c r="K149" s="63">
        <v>55.4</v>
      </c>
      <c r="L149" s="63">
        <f t="shared" si="24"/>
        <v>55.4</v>
      </c>
      <c r="M149" s="64">
        <f>prodnorm53</f>
        <v>0</v>
      </c>
      <c r="N149" s="65">
        <f>dagwerk53</f>
        <v>0</v>
      </c>
      <c r="O149" s="61" t="s">
        <v>43</v>
      </c>
      <c r="P149" s="66">
        <f>uurtarief53</f>
        <v>0</v>
      </c>
      <c r="Q149" s="63" t="e">
        <f t="shared" si="25"/>
        <v>#DIV/0!</v>
      </c>
      <c r="R149" s="63" t="e">
        <f t="shared" si="26"/>
        <v>#DIV/0!</v>
      </c>
      <c r="S149" s="66" t="e">
        <f t="shared" si="27"/>
        <v>#DIV/0!</v>
      </c>
      <c r="T149" s="63" t="e">
        <f t="shared" si="28"/>
        <v>#DIV/0!</v>
      </c>
      <c r="U149" s="67" t="e">
        <f t="shared" si="29"/>
        <v>#DIV/0!</v>
      </c>
    </row>
    <row r="150" spans="1:21" x14ac:dyDescent="0.2">
      <c r="A150" s="60" t="s">
        <v>395</v>
      </c>
      <c r="B150" s="61" t="s">
        <v>230</v>
      </c>
      <c r="C150" s="61" t="s">
        <v>231</v>
      </c>
      <c r="D150" s="61" t="s">
        <v>275</v>
      </c>
      <c r="E150" s="62" t="s">
        <v>331</v>
      </c>
      <c r="F150" s="61" t="s">
        <v>238</v>
      </c>
      <c r="G150" s="61" t="s">
        <v>175</v>
      </c>
      <c r="H150" s="61" t="s">
        <v>18</v>
      </c>
      <c r="I150" s="61" t="s">
        <v>159</v>
      </c>
      <c r="J150" s="61" t="s">
        <v>239</v>
      </c>
      <c r="K150" s="63">
        <v>57.8</v>
      </c>
      <c r="L150" s="63">
        <f t="shared" si="24"/>
        <v>23.12</v>
      </c>
      <c r="M150" s="64">
        <f>prodnorm33</f>
        <v>0</v>
      </c>
      <c r="N150" s="65">
        <f>dagwerk33</f>
        <v>0</v>
      </c>
      <c r="O150" s="61" t="s">
        <v>43</v>
      </c>
      <c r="P150" s="66">
        <f>uurtarief33</f>
        <v>0</v>
      </c>
      <c r="Q150" s="63" t="e">
        <f t="shared" si="25"/>
        <v>#DIV/0!</v>
      </c>
      <c r="R150" s="63" t="e">
        <f t="shared" si="26"/>
        <v>#DIV/0!</v>
      </c>
      <c r="S150" s="66" t="e">
        <f t="shared" si="27"/>
        <v>#DIV/0!</v>
      </c>
      <c r="T150" s="63" t="e">
        <f t="shared" si="28"/>
        <v>#DIV/0!</v>
      </c>
      <c r="U150" s="67" t="e">
        <f t="shared" si="29"/>
        <v>#DIV/0!</v>
      </c>
    </row>
    <row r="151" spans="1:21" x14ac:dyDescent="0.2">
      <c r="A151" s="60" t="s">
        <v>395</v>
      </c>
      <c r="B151" s="61" t="s">
        <v>230</v>
      </c>
      <c r="C151" s="61" t="s">
        <v>231</v>
      </c>
      <c r="D151" s="61" t="s">
        <v>399</v>
      </c>
      <c r="E151" s="62" t="s">
        <v>331</v>
      </c>
      <c r="F151" s="61" t="s">
        <v>238</v>
      </c>
      <c r="G151" s="61" t="s">
        <v>175</v>
      </c>
      <c r="H151" s="61" t="s">
        <v>18</v>
      </c>
      <c r="I151" s="61" t="s">
        <v>159</v>
      </c>
      <c r="J151" s="61" t="s">
        <v>239</v>
      </c>
      <c r="K151" s="63">
        <v>58</v>
      </c>
      <c r="L151" s="63">
        <f t="shared" si="24"/>
        <v>23.200000000000003</v>
      </c>
      <c r="M151" s="64">
        <f>prodnorm33</f>
        <v>0</v>
      </c>
      <c r="N151" s="65">
        <f>dagwerk33</f>
        <v>0</v>
      </c>
      <c r="O151" s="61" t="s">
        <v>43</v>
      </c>
      <c r="P151" s="66">
        <f>uurtarief33</f>
        <v>0</v>
      </c>
      <c r="Q151" s="63" t="e">
        <f t="shared" si="25"/>
        <v>#DIV/0!</v>
      </c>
      <c r="R151" s="63" t="e">
        <f t="shared" si="26"/>
        <v>#DIV/0!</v>
      </c>
      <c r="S151" s="66" t="e">
        <f t="shared" si="27"/>
        <v>#DIV/0!</v>
      </c>
      <c r="T151" s="63" t="e">
        <f t="shared" si="28"/>
        <v>#DIV/0!</v>
      </c>
      <c r="U151" s="67" t="e">
        <f t="shared" si="29"/>
        <v>#DIV/0!</v>
      </c>
    </row>
    <row r="152" spans="1:21" x14ac:dyDescent="0.2">
      <c r="A152" s="60" t="s">
        <v>395</v>
      </c>
      <c r="B152" s="61" t="s">
        <v>230</v>
      </c>
      <c r="C152" s="61" t="s">
        <v>231</v>
      </c>
      <c r="D152" s="61" t="s">
        <v>375</v>
      </c>
      <c r="E152" s="62" t="s">
        <v>331</v>
      </c>
      <c r="F152" s="61" t="s">
        <v>238</v>
      </c>
      <c r="G152" s="61" t="s">
        <v>175</v>
      </c>
      <c r="H152" s="61" t="s">
        <v>18</v>
      </c>
      <c r="I152" s="61" t="s">
        <v>159</v>
      </c>
      <c r="J152" s="61" t="s">
        <v>239</v>
      </c>
      <c r="K152" s="63">
        <v>66.7</v>
      </c>
      <c r="L152" s="63">
        <f t="shared" si="24"/>
        <v>26.680000000000003</v>
      </c>
      <c r="M152" s="64">
        <f>prodnorm33</f>
        <v>0</v>
      </c>
      <c r="N152" s="65">
        <f>dagwerk33</f>
        <v>0</v>
      </c>
      <c r="O152" s="61" t="s">
        <v>43</v>
      </c>
      <c r="P152" s="66">
        <f>uurtarief33</f>
        <v>0</v>
      </c>
      <c r="Q152" s="63" t="e">
        <f t="shared" si="25"/>
        <v>#DIV/0!</v>
      </c>
      <c r="R152" s="63" t="e">
        <f t="shared" si="26"/>
        <v>#DIV/0!</v>
      </c>
      <c r="S152" s="66" t="e">
        <f t="shared" si="27"/>
        <v>#DIV/0!</v>
      </c>
      <c r="T152" s="63" t="e">
        <f t="shared" si="28"/>
        <v>#DIV/0!</v>
      </c>
      <c r="U152" s="67" t="e">
        <f t="shared" si="29"/>
        <v>#DIV/0!</v>
      </c>
    </row>
    <row r="153" spans="1:21" x14ac:dyDescent="0.2">
      <c r="A153" s="60" t="s">
        <v>395</v>
      </c>
      <c r="B153" s="61" t="s">
        <v>230</v>
      </c>
      <c r="C153" s="61" t="s">
        <v>231</v>
      </c>
      <c r="D153" s="61" t="s">
        <v>334</v>
      </c>
      <c r="E153" s="62" t="s">
        <v>400</v>
      </c>
      <c r="F153" s="61" t="s">
        <v>401</v>
      </c>
      <c r="G153" s="61" t="s">
        <v>201</v>
      </c>
      <c r="H153" s="61" t="s">
        <v>11</v>
      </c>
      <c r="I153" s="61" t="s">
        <v>159</v>
      </c>
      <c r="J153" s="61" t="s">
        <v>235</v>
      </c>
      <c r="K153" s="63">
        <v>67.7</v>
      </c>
      <c r="L153" s="63">
        <f t="shared" si="24"/>
        <v>67.7</v>
      </c>
      <c r="M153" s="64">
        <f>prodnorm56</f>
        <v>0</v>
      </c>
      <c r="N153" s="65">
        <f>dagwerk56</f>
        <v>0</v>
      </c>
      <c r="O153" s="61" t="s">
        <v>43</v>
      </c>
      <c r="P153" s="66">
        <f>uurtarief56</f>
        <v>0</v>
      </c>
      <c r="Q153" s="63" t="e">
        <f t="shared" si="25"/>
        <v>#DIV/0!</v>
      </c>
      <c r="R153" s="63" t="e">
        <f t="shared" si="26"/>
        <v>#DIV/0!</v>
      </c>
      <c r="S153" s="66" t="e">
        <f t="shared" si="27"/>
        <v>#DIV/0!</v>
      </c>
      <c r="T153" s="63" t="e">
        <f t="shared" si="28"/>
        <v>#DIV/0!</v>
      </c>
      <c r="U153" s="67" t="e">
        <f t="shared" si="29"/>
        <v>#DIV/0!</v>
      </c>
    </row>
    <row r="154" spans="1:21" x14ac:dyDescent="0.2">
      <c r="A154" s="60" t="s">
        <v>395</v>
      </c>
      <c r="B154" s="61" t="s">
        <v>230</v>
      </c>
      <c r="C154" s="61" t="s">
        <v>231</v>
      </c>
      <c r="D154" s="61" t="s">
        <v>283</v>
      </c>
      <c r="E154" s="62" t="s">
        <v>402</v>
      </c>
      <c r="F154" s="61" t="s">
        <v>234</v>
      </c>
      <c r="G154" s="61" t="s">
        <v>161</v>
      </c>
      <c r="H154" s="61" t="s">
        <v>20</v>
      </c>
      <c r="I154" s="61" t="s">
        <v>159</v>
      </c>
      <c r="J154" s="61" t="s">
        <v>282</v>
      </c>
      <c r="K154" s="63">
        <v>38.9</v>
      </c>
      <c r="L154" s="63">
        <f t="shared" si="24"/>
        <v>7.78</v>
      </c>
      <c r="M154" s="64">
        <f>prodnorm19</f>
        <v>0</v>
      </c>
      <c r="N154" s="65">
        <f>dagwerk19</f>
        <v>0</v>
      </c>
      <c r="O154" s="61" t="s">
        <v>43</v>
      </c>
      <c r="P154" s="66">
        <f>uurtarief19</f>
        <v>0</v>
      </c>
      <c r="Q154" s="63" t="e">
        <f t="shared" si="25"/>
        <v>#DIV/0!</v>
      </c>
      <c r="R154" s="63" t="e">
        <f t="shared" si="26"/>
        <v>#DIV/0!</v>
      </c>
      <c r="S154" s="66" t="e">
        <f t="shared" si="27"/>
        <v>#DIV/0!</v>
      </c>
      <c r="T154" s="63" t="e">
        <f t="shared" si="28"/>
        <v>#DIV/0!</v>
      </c>
      <c r="U154" s="67" t="e">
        <f t="shared" si="29"/>
        <v>#DIV/0!</v>
      </c>
    </row>
    <row r="155" spans="1:21" x14ac:dyDescent="0.2">
      <c r="A155" s="60" t="s">
        <v>395</v>
      </c>
      <c r="B155" s="61" t="s">
        <v>230</v>
      </c>
      <c r="C155" s="61" t="s">
        <v>231</v>
      </c>
      <c r="D155" s="61" t="s">
        <v>284</v>
      </c>
      <c r="E155" s="62" t="s">
        <v>343</v>
      </c>
      <c r="F155" s="61" t="s">
        <v>234</v>
      </c>
      <c r="G155" s="61" t="s">
        <v>161</v>
      </c>
      <c r="H155" s="61" t="s">
        <v>20</v>
      </c>
      <c r="I155" s="61" t="s">
        <v>159</v>
      </c>
      <c r="J155" s="61" t="s">
        <v>282</v>
      </c>
      <c r="K155" s="63">
        <v>12.7</v>
      </c>
      <c r="L155" s="63">
        <f t="shared" si="24"/>
        <v>2.54</v>
      </c>
      <c r="M155" s="64">
        <f>prodnorm19</f>
        <v>0</v>
      </c>
      <c r="N155" s="65">
        <f>dagwerk19</f>
        <v>0</v>
      </c>
      <c r="O155" s="61" t="s">
        <v>43</v>
      </c>
      <c r="P155" s="66">
        <f>uurtarief19</f>
        <v>0</v>
      </c>
      <c r="Q155" s="63" t="e">
        <f t="shared" si="25"/>
        <v>#DIV/0!</v>
      </c>
      <c r="R155" s="63" t="e">
        <f t="shared" si="26"/>
        <v>#DIV/0!</v>
      </c>
      <c r="S155" s="66" t="e">
        <f t="shared" si="27"/>
        <v>#DIV/0!</v>
      </c>
      <c r="T155" s="63" t="e">
        <f t="shared" si="28"/>
        <v>#DIV/0!</v>
      </c>
      <c r="U155" s="67" t="e">
        <f t="shared" si="29"/>
        <v>#DIV/0!</v>
      </c>
    </row>
    <row r="156" spans="1:21" x14ac:dyDescent="0.2">
      <c r="A156" s="60" t="s">
        <v>395</v>
      </c>
      <c r="B156" s="61" t="s">
        <v>230</v>
      </c>
      <c r="C156" s="61" t="s">
        <v>231</v>
      </c>
      <c r="D156" s="61" t="s">
        <v>285</v>
      </c>
      <c r="E156" s="62" t="s">
        <v>332</v>
      </c>
      <c r="F156" s="61" t="s">
        <v>396</v>
      </c>
      <c r="G156" s="61" t="s">
        <v>195</v>
      </c>
      <c r="H156" s="61" t="s">
        <v>11</v>
      </c>
      <c r="I156" s="61" t="s">
        <v>159</v>
      </c>
      <c r="J156" s="61" t="s">
        <v>257</v>
      </c>
      <c r="K156" s="63">
        <v>1.7</v>
      </c>
      <c r="L156" s="63">
        <f t="shared" si="24"/>
        <v>1.7</v>
      </c>
      <c r="M156" s="64">
        <f>prodnorm49</f>
        <v>0</v>
      </c>
      <c r="N156" s="65">
        <f>dagwerk49</f>
        <v>0</v>
      </c>
      <c r="O156" s="61" t="s">
        <v>43</v>
      </c>
      <c r="P156" s="66">
        <f>uurtarief49</f>
        <v>0</v>
      </c>
      <c r="Q156" s="63" t="e">
        <f t="shared" si="25"/>
        <v>#DIV/0!</v>
      </c>
      <c r="R156" s="63" t="e">
        <f t="shared" si="26"/>
        <v>#DIV/0!</v>
      </c>
      <c r="S156" s="66" t="e">
        <f t="shared" si="27"/>
        <v>#DIV/0!</v>
      </c>
      <c r="T156" s="63" t="e">
        <f t="shared" si="28"/>
        <v>#DIV/0!</v>
      </c>
      <c r="U156" s="67" t="e">
        <f t="shared" si="29"/>
        <v>#DIV/0!</v>
      </c>
    </row>
    <row r="157" spans="1:21" x14ac:dyDescent="0.2">
      <c r="A157" s="60" t="s">
        <v>395</v>
      </c>
      <c r="B157" s="61" t="s">
        <v>230</v>
      </c>
      <c r="C157" s="61" t="s">
        <v>231</v>
      </c>
      <c r="D157" s="61" t="s">
        <v>286</v>
      </c>
      <c r="E157" s="62" t="s">
        <v>347</v>
      </c>
      <c r="F157" s="61" t="s">
        <v>397</v>
      </c>
      <c r="G157" s="61" t="s">
        <v>173</v>
      </c>
      <c r="H157" s="61" t="s">
        <v>11</v>
      </c>
      <c r="I157" s="61" t="s">
        <v>159</v>
      </c>
      <c r="J157" s="61" t="s">
        <v>235</v>
      </c>
      <c r="K157" s="63">
        <v>5</v>
      </c>
      <c r="L157" s="63">
        <f t="shared" si="24"/>
        <v>5</v>
      </c>
      <c r="M157" s="64">
        <f>prodnorm28</f>
        <v>0</v>
      </c>
      <c r="N157" s="65">
        <f>dagwerk28</f>
        <v>0</v>
      </c>
      <c r="O157" s="61" t="s">
        <v>43</v>
      </c>
      <c r="P157" s="66">
        <f>uurtarief28</f>
        <v>0</v>
      </c>
      <c r="Q157" s="63" t="e">
        <f t="shared" si="25"/>
        <v>#DIV/0!</v>
      </c>
      <c r="R157" s="63" t="e">
        <f t="shared" si="26"/>
        <v>#DIV/0!</v>
      </c>
      <c r="S157" s="66" t="e">
        <f t="shared" si="27"/>
        <v>#DIV/0!</v>
      </c>
      <c r="T157" s="63" t="e">
        <f t="shared" si="28"/>
        <v>#DIV/0!</v>
      </c>
      <c r="U157" s="67" t="e">
        <f t="shared" si="29"/>
        <v>#DIV/0!</v>
      </c>
    </row>
    <row r="158" spans="1:21" x14ac:dyDescent="0.2">
      <c r="A158" s="60" t="s">
        <v>395</v>
      </c>
      <c r="B158" s="61" t="s">
        <v>230</v>
      </c>
      <c r="C158" s="61" t="s">
        <v>231</v>
      </c>
      <c r="D158" s="61" t="s">
        <v>287</v>
      </c>
      <c r="E158" s="62" t="s">
        <v>400</v>
      </c>
      <c r="F158" s="61" t="s">
        <v>397</v>
      </c>
      <c r="G158" s="61" t="s">
        <v>165</v>
      </c>
      <c r="H158" s="61" t="s">
        <v>11</v>
      </c>
      <c r="I158" s="61" t="s">
        <v>159</v>
      </c>
      <c r="J158" s="61" t="s">
        <v>235</v>
      </c>
      <c r="K158" s="63">
        <v>141.5</v>
      </c>
      <c r="L158" s="63">
        <f t="shared" si="24"/>
        <v>141.5</v>
      </c>
      <c r="M158" s="64">
        <f>prodnorm23</f>
        <v>0</v>
      </c>
      <c r="N158" s="65">
        <f>dagwerk23</f>
        <v>0</v>
      </c>
      <c r="O158" s="61" t="s">
        <v>43</v>
      </c>
      <c r="P158" s="66">
        <f>uurtarief23</f>
        <v>0</v>
      </c>
      <c r="Q158" s="63" t="e">
        <f t="shared" si="25"/>
        <v>#DIV/0!</v>
      </c>
      <c r="R158" s="63" t="e">
        <f t="shared" si="26"/>
        <v>#DIV/0!</v>
      </c>
      <c r="S158" s="66" t="e">
        <f t="shared" si="27"/>
        <v>#DIV/0!</v>
      </c>
      <c r="T158" s="63" t="e">
        <f t="shared" si="28"/>
        <v>#DIV/0!</v>
      </c>
      <c r="U158" s="67" t="e">
        <f t="shared" si="29"/>
        <v>#DIV/0!</v>
      </c>
    </row>
    <row r="159" spans="1:21" x14ac:dyDescent="0.2">
      <c r="A159" s="60" t="s">
        <v>395</v>
      </c>
      <c r="B159" s="61" t="s">
        <v>230</v>
      </c>
      <c r="C159" s="61" t="s">
        <v>231</v>
      </c>
      <c r="D159" s="61" t="s">
        <v>291</v>
      </c>
      <c r="E159" s="62" t="s">
        <v>332</v>
      </c>
      <c r="F159" s="61" t="s">
        <v>396</v>
      </c>
      <c r="G159" s="61" t="s">
        <v>195</v>
      </c>
      <c r="H159" s="61" t="s">
        <v>11</v>
      </c>
      <c r="I159" s="61" t="s">
        <v>159</v>
      </c>
      <c r="J159" s="61" t="s">
        <v>257</v>
      </c>
      <c r="K159" s="63">
        <v>9.6</v>
      </c>
      <c r="L159" s="63">
        <f t="shared" si="24"/>
        <v>9.6</v>
      </c>
      <c r="M159" s="64">
        <f>prodnorm49</f>
        <v>0</v>
      </c>
      <c r="N159" s="65">
        <f>dagwerk49</f>
        <v>0</v>
      </c>
      <c r="O159" s="61" t="s">
        <v>43</v>
      </c>
      <c r="P159" s="66">
        <f>uurtarief49</f>
        <v>0</v>
      </c>
      <c r="Q159" s="63" t="e">
        <f t="shared" si="25"/>
        <v>#DIV/0!</v>
      </c>
      <c r="R159" s="63" t="e">
        <f t="shared" si="26"/>
        <v>#DIV/0!</v>
      </c>
      <c r="S159" s="66" t="e">
        <f t="shared" si="27"/>
        <v>#DIV/0!</v>
      </c>
      <c r="T159" s="63" t="e">
        <f t="shared" si="28"/>
        <v>#DIV/0!</v>
      </c>
      <c r="U159" s="67" t="e">
        <f t="shared" si="29"/>
        <v>#DIV/0!</v>
      </c>
    </row>
    <row r="160" spans="1:21" x14ac:dyDescent="0.2">
      <c r="A160" s="60" t="s">
        <v>395</v>
      </c>
      <c r="B160" s="61" t="s">
        <v>230</v>
      </c>
      <c r="C160" s="61" t="s">
        <v>231</v>
      </c>
      <c r="D160" s="61" t="s">
        <v>403</v>
      </c>
      <c r="E160" s="62" t="s">
        <v>370</v>
      </c>
      <c r="F160" s="61" t="s">
        <v>396</v>
      </c>
      <c r="G160" s="61" t="s">
        <v>195</v>
      </c>
      <c r="H160" s="61" t="s">
        <v>11</v>
      </c>
      <c r="I160" s="61" t="s">
        <v>159</v>
      </c>
      <c r="J160" s="61" t="s">
        <v>257</v>
      </c>
      <c r="K160" s="63">
        <v>3.8</v>
      </c>
      <c r="L160" s="63">
        <f t="shared" si="24"/>
        <v>3.8</v>
      </c>
      <c r="M160" s="64">
        <f>prodnorm49</f>
        <v>0</v>
      </c>
      <c r="N160" s="65">
        <f>dagwerk49</f>
        <v>0</v>
      </c>
      <c r="O160" s="61" t="s">
        <v>43</v>
      </c>
      <c r="P160" s="66">
        <f>uurtarief49</f>
        <v>0</v>
      </c>
      <c r="Q160" s="63" t="e">
        <f t="shared" si="25"/>
        <v>#DIV/0!</v>
      </c>
      <c r="R160" s="63" t="e">
        <f t="shared" si="26"/>
        <v>#DIV/0!</v>
      </c>
      <c r="S160" s="66" t="e">
        <f t="shared" si="27"/>
        <v>#DIV/0!</v>
      </c>
      <c r="T160" s="63" t="e">
        <f t="shared" si="28"/>
        <v>#DIV/0!</v>
      </c>
      <c r="U160" s="67" t="e">
        <f t="shared" si="29"/>
        <v>#DIV/0!</v>
      </c>
    </row>
    <row r="161" spans="1:21" x14ac:dyDescent="0.2">
      <c r="A161" s="60" t="s">
        <v>395</v>
      </c>
      <c r="B161" s="61" t="s">
        <v>230</v>
      </c>
      <c r="C161" s="61" t="s">
        <v>231</v>
      </c>
      <c r="D161" s="61" t="s">
        <v>381</v>
      </c>
      <c r="E161" s="62" t="s">
        <v>332</v>
      </c>
      <c r="F161" s="61" t="s">
        <v>396</v>
      </c>
      <c r="G161" s="61" t="s">
        <v>195</v>
      </c>
      <c r="H161" s="61" t="s">
        <v>11</v>
      </c>
      <c r="I161" s="61" t="s">
        <v>159</v>
      </c>
      <c r="J161" s="61" t="s">
        <v>257</v>
      </c>
      <c r="K161" s="63">
        <v>9.6</v>
      </c>
      <c r="L161" s="63">
        <f t="shared" si="24"/>
        <v>9.6</v>
      </c>
      <c r="M161" s="64">
        <f>prodnorm49</f>
        <v>0</v>
      </c>
      <c r="N161" s="65">
        <f>dagwerk49</f>
        <v>0</v>
      </c>
      <c r="O161" s="61" t="s">
        <v>43</v>
      </c>
      <c r="P161" s="66">
        <f>uurtarief49</f>
        <v>0</v>
      </c>
      <c r="Q161" s="63" t="e">
        <f t="shared" si="25"/>
        <v>#DIV/0!</v>
      </c>
      <c r="R161" s="63" t="e">
        <f t="shared" si="26"/>
        <v>#DIV/0!</v>
      </c>
      <c r="S161" s="66" t="e">
        <f t="shared" si="27"/>
        <v>#DIV/0!</v>
      </c>
      <c r="T161" s="63" t="e">
        <f t="shared" si="28"/>
        <v>#DIV/0!</v>
      </c>
      <c r="U161" s="67" t="e">
        <f t="shared" si="29"/>
        <v>#DIV/0!</v>
      </c>
    </row>
    <row r="162" spans="1:21" x14ac:dyDescent="0.2">
      <c r="A162" s="60" t="s">
        <v>395</v>
      </c>
      <c r="B162" s="61" t="s">
        <v>230</v>
      </c>
      <c r="C162" s="61" t="s">
        <v>231</v>
      </c>
      <c r="D162" s="61" t="s">
        <v>294</v>
      </c>
      <c r="E162" s="62" t="s">
        <v>358</v>
      </c>
      <c r="F162" s="61" t="s">
        <v>397</v>
      </c>
      <c r="G162" s="61" t="s">
        <v>199</v>
      </c>
      <c r="H162" s="61" t="s">
        <v>11</v>
      </c>
      <c r="I162" s="61" t="s">
        <v>159</v>
      </c>
      <c r="J162" s="61" t="s">
        <v>235</v>
      </c>
      <c r="K162" s="63">
        <v>50.5</v>
      </c>
      <c r="L162" s="63">
        <f t="shared" si="24"/>
        <v>50.5</v>
      </c>
      <c r="M162" s="64">
        <f>prodnorm53</f>
        <v>0</v>
      </c>
      <c r="N162" s="65">
        <f>dagwerk53</f>
        <v>0</v>
      </c>
      <c r="O162" s="61" t="s">
        <v>43</v>
      </c>
      <c r="P162" s="66">
        <f>uurtarief53</f>
        <v>0</v>
      </c>
      <c r="Q162" s="63" t="e">
        <f t="shared" si="25"/>
        <v>#DIV/0!</v>
      </c>
      <c r="R162" s="63" t="e">
        <f t="shared" si="26"/>
        <v>#DIV/0!</v>
      </c>
      <c r="S162" s="66" t="e">
        <f t="shared" si="27"/>
        <v>#DIV/0!</v>
      </c>
      <c r="T162" s="63" t="e">
        <f t="shared" si="28"/>
        <v>#DIV/0!</v>
      </c>
      <c r="U162" s="67" t="e">
        <f t="shared" si="29"/>
        <v>#DIV/0!</v>
      </c>
    </row>
    <row r="163" spans="1:21" x14ac:dyDescent="0.2">
      <c r="A163" s="60" t="s">
        <v>395</v>
      </c>
      <c r="B163" s="61" t="s">
        <v>230</v>
      </c>
      <c r="C163" s="61" t="s">
        <v>231</v>
      </c>
      <c r="D163" s="61" t="s">
        <v>295</v>
      </c>
      <c r="E163" s="62" t="s">
        <v>322</v>
      </c>
      <c r="F163" s="61" t="s">
        <v>234</v>
      </c>
      <c r="G163" s="61" t="s">
        <v>205</v>
      </c>
      <c r="H163" s="61" t="s">
        <v>11</v>
      </c>
      <c r="I163" s="61" t="s">
        <v>159</v>
      </c>
      <c r="J163" s="61" t="s">
        <v>235</v>
      </c>
      <c r="K163" s="63">
        <v>3.9</v>
      </c>
      <c r="L163" s="63">
        <f t="shared" si="24"/>
        <v>3.9</v>
      </c>
      <c r="M163" s="64">
        <f>prodnorm58</f>
        <v>0</v>
      </c>
      <c r="N163" s="65">
        <f>dagwerk58</f>
        <v>0</v>
      </c>
      <c r="O163" s="61" t="s">
        <v>43</v>
      </c>
      <c r="P163" s="66">
        <f>uurtarief58</f>
        <v>0</v>
      </c>
      <c r="Q163" s="63" t="e">
        <f t="shared" si="25"/>
        <v>#DIV/0!</v>
      </c>
      <c r="R163" s="63" t="e">
        <f t="shared" si="26"/>
        <v>#DIV/0!</v>
      </c>
      <c r="S163" s="66" t="e">
        <f t="shared" si="27"/>
        <v>#DIV/0!</v>
      </c>
      <c r="T163" s="63" t="e">
        <f t="shared" si="28"/>
        <v>#DIV/0!</v>
      </c>
      <c r="U163" s="67" t="e">
        <f t="shared" si="29"/>
        <v>#DIV/0!</v>
      </c>
    </row>
    <row r="164" spans="1:21" x14ac:dyDescent="0.2">
      <c r="A164" s="60" t="s">
        <v>395</v>
      </c>
      <c r="B164" s="61" t="s">
        <v>230</v>
      </c>
      <c r="C164" s="61" t="s">
        <v>231</v>
      </c>
      <c r="D164" s="61" t="s">
        <v>298</v>
      </c>
      <c r="E164" s="62" t="s">
        <v>327</v>
      </c>
      <c r="F164" s="61" t="s">
        <v>238</v>
      </c>
      <c r="G164" s="61" t="s">
        <v>175</v>
      </c>
      <c r="H164" s="61" t="s">
        <v>11</v>
      </c>
      <c r="I164" s="61" t="s">
        <v>159</v>
      </c>
      <c r="J164" s="61" t="s">
        <v>239</v>
      </c>
      <c r="K164" s="63">
        <v>57.4</v>
      </c>
      <c r="L164" s="63">
        <f t="shared" si="24"/>
        <v>57.4</v>
      </c>
      <c r="M164" s="64">
        <f>prodnorm31</f>
        <v>0</v>
      </c>
      <c r="N164" s="65">
        <f>dagwerk31</f>
        <v>0</v>
      </c>
      <c r="O164" s="61" t="s">
        <v>43</v>
      </c>
      <c r="P164" s="66">
        <f>uurtarief31</f>
        <v>0</v>
      </c>
      <c r="Q164" s="63" t="e">
        <f t="shared" si="25"/>
        <v>#DIV/0!</v>
      </c>
      <c r="R164" s="63" t="e">
        <f t="shared" si="26"/>
        <v>#DIV/0!</v>
      </c>
      <c r="S164" s="66" t="e">
        <f t="shared" si="27"/>
        <v>#DIV/0!</v>
      </c>
      <c r="T164" s="63" t="e">
        <f t="shared" si="28"/>
        <v>#DIV/0!</v>
      </c>
      <c r="U164" s="67" t="e">
        <f t="shared" si="29"/>
        <v>#DIV/0!</v>
      </c>
    </row>
    <row r="165" spans="1:21" x14ac:dyDescent="0.2">
      <c r="A165" s="60" t="s">
        <v>395</v>
      </c>
      <c r="B165" s="61" t="s">
        <v>230</v>
      </c>
      <c r="C165" s="61" t="s">
        <v>231</v>
      </c>
      <c r="D165" s="61" t="s">
        <v>383</v>
      </c>
      <c r="E165" s="62" t="s">
        <v>327</v>
      </c>
      <c r="F165" s="61" t="s">
        <v>238</v>
      </c>
      <c r="G165" s="61" t="s">
        <v>175</v>
      </c>
      <c r="H165" s="61" t="s">
        <v>11</v>
      </c>
      <c r="I165" s="61" t="s">
        <v>159</v>
      </c>
      <c r="J165" s="61" t="s">
        <v>239</v>
      </c>
      <c r="K165" s="63">
        <v>58.3</v>
      </c>
      <c r="L165" s="63">
        <f t="shared" si="24"/>
        <v>58.3</v>
      </c>
      <c r="M165" s="64">
        <f>prodnorm31</f>
        <v>0</v>
      </c>
      <c r="N165" s="65">
        <f>dagwerk31</f>
        <v>0</v>
      </c>
      <c r="O165" s="61" t="s">
        <v>43</v>
      </c>
      <c r="P165" s="66">
        <f>uurtarief31</f>
        <v>0</v>
      </c>
      <c r="Q165" s="63" t="e">
        <f t="shared" si="25"/>
        <v>#DIV/0!</v>
      </c>
      <c r="R165" s="63" t="e">
        <f t="shared" si="26"/>
        <v>#DIV/0!</v>
      </c>
      <c r="S165" s="66" t="e">
        <f t="shared" si="27"/>
        <v>#DIV/0!</v>
      </c>
      <c r="T165" s="63" t="e">
        <f t="shared" si="28"/>
        <v>#DIV/0!</v>
      </c>
      <c r="U165" s="67" t="e">
        <f t="shared" si="29"/>
        <v>#DIV/0!</v>
      </c>
    </row>
    <row r="166" spans="1:21" x14ac:dyDescent="0.2">
      <c r="A166" s="60" t="s">
        <v>395</v>
      </c>
      <c r="B166" s="61" t="s">
        <v>230</v>
      </c>
      <c r="C166" s="61" t="s">
        <v>231</v>
      </c>
      <c r="D166" s="61" t="s">
        <v>384</v>
      </c>
      <c r="E166" s="62" t="s">
        <v>327</v>
      </c>
      <c r="F166" s="61" t="s">
        <v>238</v>
      </c>
      <c r="G166" s="61" t="s">
        <v>175</v>
      </c>
      <c r="H166" s="61" t="s">
        <v>11</v>
      </c>
      <c r="I166" s="61" t="s">
        <v>159</v>
      </c>
      <c r="J166" s="61" t="s">
        <v>239</v>
      </c>
      <c r="K166" s="63">
        <v>58.4</v>
      </c>
      <c r="L166" s="63">
        <f t="shared" si="24"/>
        <v>58.4</v>
      </c>
      <c r="M166" s="64">
        <f>prodnorm31</f>
        <v>0</v>
      </c>
      <c r="N166" s="65">
        <f>dagwerk31</f>
        <v>0</v>
      </c>
      <c r="O166" s="61" t="s">
        <v>43</v>
      </c>
      <c r="P166" s="66">
        <f>uurtarief31</f>
        <v>0</v>
      </c>
      <c r="Q166" s="63" t="e">
        <f t="shared" si="25"/>
        <v>#DIV/0!</v>
      </c>
      <c r="R166" s="63" t="e">
        <f t="shared" si="26"/>
        <v>#DIV/0!</v>
      </c>
      <c r="S166" s="66" t="e">
        <f t="shared" si="27"/>
        <v>#DIV/0!</v>
      </c>
      <c r="T166" s="63" t="e">
        <f t="shared" si="28"/>
        <v>#DIV/0!</v>
      </c>
      <c r="U166" s="67" t="e">
        <f t="shared" si="29"/>
        <v>#DIV/0!</v>
      </c>
    </row>
    <row r="167" spans="1:21" x14ac:dyDescent="0.2">
      <c r="A167" s="60" t="s">
        <v>395</v>
      </c>
      <c r="B167" s="61" t="s">
        <v>230</v>
      </c>
      <c r="C167" s="61" t="s">
        <v>231</v>
      </c>
      <c r="D167" s="61" t="s">
        <v>386</v>
      </c>
      <c r="E167" s="62" t="s">
        <v>332</v>
      </c>
      <c r="F167" s="61" t="s">
        <v>396</v>
      </c>
      <c r="G167" s="61" t="s">
        <v>195</v>
      </c>
      <c r="H167" s="61" t="s">
        <v>11</v>
      </c>
      <c r="I167" s="61" t="s">
        <v>159</v>
      </c>
      <c r="J167" s="61" t="s">
        <v>257</v>
      </c>
      <c r="K167" s="63">
        <v>8.6</v>
      </c>
      <c r="L167" s="63">
        <f t="shared" si="24"/>
        <v>8.6</v>
      </c>
      <c r="M167" s="64">
        <f>prodnorm49</f>
        <v>0</v>
      </c>
      <c r="N167" s="65">
        <f>dagwerk49</f>
        <v>0</v>
      </c>
      <c r="O167" s="61" t="s">
        <v>43</v>
      </c>
      <c r="P167" s="66">
        <f>uurtarief49</f>
        <v>0</v>
      </c>
      <c r="Q167" s="63" t="e">
        <f t="shared" si="25"/>
        <v>#DIV/0!</v>
      </c>
      <c r="R167" s="63" t="e">
        <f t="shared" si="26"/>
        <v>#DIV/0!</v>
      </c>
      <c r="S167" s="66" t="e">
        <f t="shared" si="27"/>
        <v>#DIV/0!</v>
      </c>
      <c r="T167" s="63" t="e">
        <f t="shared" si="28"/>
        <v>#DIV/0!</v>
      </c>
      <c r="U167" s="67" t="e">
        <f t="shared" si="29"/>
        <v>#DIV/0!</v>
      </c>
    </row>
    <row r="168" spans="1:21" x14ac:dyDescent="0.2">
      <c r="A168" s="60" t="s">
        <v>395</v>
      </c>
      <c r="B168" s="61" t="s">
        <v>230</v>
      </c>
      <c r="C168" s="61" t="s">
        <v>231</v>
      </c>
      <c r="D168" s="61" t="s">
        <v>387</v>
      </c>
      <c r="E168" s="62" t="s">
        <v>332</v>
      </c>
      <c r="F168" s="61" t="s">
        <v>396</v>
      </c>
      <c r="G168" s="61" t="s">
        <v>195</v>
      </c>
      <c r="H168" s="61" t="s">
        <v>11</v>
      </c>
      <c r="I168" s="61" t="s">
        <v>159</v>
      </c>
      <c r="J168" s="61" t="s">
        <v>257</v>
      </c>
      <c r="K168" s="63">
        <v>8.6</v>
      </c>
      <c r="L168" s="63">
        <f t="shared" si="24"/>
        <v>8.6</v>
      </c>
      <c r="M168" s="64">
        <f>prodnorm49</f>
        <v>0</v>
      </c>
      <c r="N168" s="65">
        <f>dagwerk49</f>
        <v>0</v>
      </c>
      <c r="O168" s="61" t="s">
        <v>43</v>
      </c>
      <c r="P168" s="66">
        <f>uurtarief49</f>
        <v>0</v>
      </c>
      <c r="Q168" s="63" t="e">
        <f t="shared" si="25"/>
        <v>#DIV/0!</v>
      </c>
      <c r="R168" s="63" t="e">
        <f t="shared" si="26"/>
        <v>#DIV/0!</v>
      </c>
      <c r="S168" s="66" t="e">
        <f t="shared" si="27"/>
        <v>#DIV/0!</v>
      </c>
      <c r="T168" s="63" t="e">
        <f t="shared" si="28"/>
        <v>#DIV/0!</v>
      </c>
      <c r="U168" s="67" t="e">
        <f t="shared" si="29"/>
        <v>#DIV/0!</v>
      </c>
    </row>
    <row r="169" spans="1:21" x14ac:dyDescent="0.2">
      <c r="A169" s="60" t="s">
        <v>395</v>
      </c>
      <c r="B169" s="61" t="s">
        <v>230</v>
      </c>
      <c r="C169" s="61" t="s">
        <v>231</v>
      </c>
      <c r="D169" s="61" t="s">
        <v>389</v>
      </c>
      <c r="E169" s="62" t="s">
        <v>358</v>
      </c>
      <c r="F169" s="61" t="s">
        <v>238</v>
      </c>
      <c r="G169" s="61" t="s">
        <v>199</v>
      </c>
      <c r="H169" s="61" t="s">
        <v>11</v>
      </c>
      <c r="I169" s="61" t="s">
        <v>159</v>
      </c>
      <c r="J169" s="61" t="s">
        <v>235</v>
      </c>
      <c r="K169" s="63">
        <v>54.5</v>
      </c>
      <c r="L169" s="63">
        <f t="shared" si="24"/>
        <v>54.5</v>
      </c>
      <c r="M169" s="64">
        <f>prodnorm53</f>
        <v>0</v>
      </c>
      <c r="N169" s="65">
        <f>dagwerk53</f>
        <v>0</v>
      </c>
      <c r="O169" s="61" t="s">
        <v>43</v>
      </c>
      <c r="P169" s="66">
        <f>uurtarief53</f>
        <v>0</v>
      </c>
      <c r="Q169" s="63" t="e">
        <f t="shared" si="25"/>
        <v>#DIV/0!</v>
      </c>
      <c r="R169" s="63" t="e">
        <f t="shared" si="26"/>
        <v>#DIV/0!</v>
      </c>
      <c r="S169" s="66" t="e">
        <f t="shared" si="27"/>
        <v>#DIV/0!</v>
      </c>
      <c r="T169" s="63" t="e">
        <f t="shared" si="28"/>
        <v>#DIV/0!</v>
      </c>
      <c r="U169" s="67" t="e">
        <f t="shared" si="29"/>
        <v>#DIV/0!</v>
      </c>
    </row>
    <row r="170" spans="1:21" x14ac:dyDescent="0.2">
      <c r="A170" s="60" t="s">
        <v>395</v>
      </c>
      <c r="B170" s="61" t="s">
        <v>230</v>
      </c>
      <c r="C170" s="61" t="s">
        <v>231</v>
      </c>
      <c r="D170" s="61" t="s">
        <v>390</v>
      </c>
      <c r="E170" s="62" t="s">
        <v>331</v>
      </c>
      <c r="F170" s="61" t="s">
        <v>234</v>
      </c>
      <c r="G170" s="61" t="s">
        <v>177</v>
      </c>
      <c r="H170" s="61" t="s">
        <v>18</v>
      </c>
      <c r="I170" s="61" t="s">
        <v>159</v>
      </c>
      <c r="J170" s="61" t="s">
        <v>239</v>
      </c>
      <c r="K170" s="63">
        <v>57.4</v>
      </c>
      <c r="L170" s="63">
        <f t="shared" si="24"/>
        <v>22.96</v>
      </c>
      <c r="M170" s="64">
        <f>prodnorm35</f>
        <v>0</v>
      </c>
      <c r="N170" s="65">
        <f>dagwerk35</f>
        <v>0</v>
      </c>
      <c r="O170" s="61" t="s">
        <v>43</v>
      </c>
      <c r="P170" s="66">
        <f>uurtarief35</f>
        <v>0</v>
      </c>
      <c r="Q170" s="63" t="e">
        <f t="shared" si="25"/>
        <v>#DIV/0!</v>
      </c>
      <c r="R170" s="63" t="e">
        <f t="shared" si="26"/>
        <v>#DIV/0!</v>
      </c>
      <c r="S170" s="66" t="e">
        <f t="shared" si="27"/>
        <v>#DIV/0!</v>
      </c>
      <c r="T170" s="63" t="e">
        <f t="shared" si="28"/>
        <v>#DIV/0!</v>
      </c>
      <c r="U170" s="67" t="e">
        <f t="shared" si="29"/>
        <v>#DIV/0!</v>
      </c>
    </row>
    <row r="171" spans="1:21" x14ac:dyDescent="0.2">
      <c r="A171" s="60" t="s">
        <v>395</v>
      </c>
      <c r="B171" s="61" t="s">
        <v>230</v>
      </c>
      <c r="C171" s="61" t="s">
        <v>231</v>
      </c>
      <c r="D171" s="61" t="s">
        <v>392</v>
      </c>
      <c r="E171" s="62" t="s">
        <v>404</v>
      </c>
      <c r="F171" s="61" t="s">
        <v>234</v>
      </c>
      <c r="G171" s="61" t="s">
        <v>161</v>
      </c>
      <c r="H171" s="61" t="s">
        <v>11</v>
      </c>
      <c r="I171" s="61" t="s">
        <v>159</v>
      </c>
      <c r="J171" s="61" t="s">
        <v>282</v>
      </c>
      <c r="K171" s="63">
        <v>58.3</v>
      </c>
      <c r="L171" s="63">
        <f t="shared" si="24"/>
        <v>58.3</v>
      </c>
      <c r="M171" s="64">
        <f>prodnorm17</f>
        <v>0</v>
      </c>
      <c r="N171" s="65">
        <f>dagwerk17</f>
        <v>0</v>
      </c>
      <c r="O171" s="61" t="s">
        <v>43</v>
      </c>
      <c r="P171" s="66">
        <f>uurtarief17</f>
        <v>0</v>
      </c>
      <c r="Q171" s="63" t="e">
        <f t="shared" si="25"/>
        <v>#DIV/0!</v>
      </c>
      <c r="R171" s="63" t="e">
        <f t="shared" si="26"/>
        <v>#DIV/0!</v>
      </c>
      <c r="S171" s="66" t="e">
        <f t="shared" si="27"/>
        <v>#DIV/0!</v>
      </c>
      <c r="T171" s="63" t="e">
        <f t="shared" si="28"/>
        <v>#DIV/0!</v>
      </c>
      <c r="U171" s="67" t="e">
        <f t="shared" si="29"/>
        <v>#DIV/0!</v>
      </c>
    </row>
    <row r="172" spans="1:21" x14ac:dyDescent="0.2">
      <c r="A172" s="60" t="s">
        <v>395</v>
      </c>
      <c r="B172" s="61" t="s">
        <v>230</v>
      </c>
      <c r="C172" s="61" t="s">
        <v>231</v>
      </c>
      <c r="D172" s="61" t="s">
        <v>405</v>
      </c>
      <c r="E172" s="62" t="s">
        <v>331</v>
      </c>
      <c r="F172" s="61" t="s">
        <v>234</v>
      </c>
      <c r="G172" s="61" t="s">
        <v>177</v>
      </c>
      <c r="H172" s="61" t="s">
        <v>18</v>
      </c>
      <c r="I172" s="61" t="s">
        <v>159</v>
      </c>
      <c r="J172" s="61" t="s">
        <v>239</v>
      </c>
      <c r="K172" s="63">
        <v>67.2</v>
      </c>
      <c r="L172" s="63">
        <f t="shared" si="24"/>
        <v>26.880000000000003</v>
      </c>
      <c r="M172" s="64">
        <f>prodnorm35</f>
        <v>0</v>
      </c>
      <c r="N172" s="65">
        <f>dagwerk35</f>
        <v>0</v>
      </c>
      <c r="O172" s="61" t="s">
        <v>43</v>
      </c>
      <c r="P172" s="66">
        <f>uurtarief35</f>
        <v>0</v>
      </c>
      <c r="Q172" s="63" t="e">
        <f t="shared" si="25"/>
        <v>#DIV/0!</v>
      </c>
      <c r="R172" s="63" t="e">
        <f t="shared" si="26"/>
        <v>#DIV/0!</v>
      </c>
      <c r="S172" s="66" t="e">
        <f t="shared" si="27"/>
        <v>#DIV/0!</v>
      </c>
      <c r="T172" s="63" t="e">
        <f t="shared" si="28"/>
        <v>#DIV/0!</v>
      </c>
      <c r="U172" s="67" t="e">
        <f t="shared" si="29"/>
        <v>#DIV/0!</v>
      </c>
    </row>
    <row r="173" spans="1:21" x14ac:dyDescent="0.2">
      <c r="A173" s="60" t="s">
        <v>395</v>
      </c>
      <c r="B173" s="61" t="s">
        <v>230</v>
      </c>
      <c r="C173" s="61" t="s">
        <v>231</v>
      </c>
      <c r="D173" s="61" t="s">
        <v>406</v>
      </c>
      <c r="E173" s="62" t="s">
        <v>407</v>
      </c>
      <c r="F173" s="61" t="s">
        <v>234</v>
      </c>
      <c r="G173" s="61" t="s">
        <v>161</v>
      </c>
      <c r="H173" s="61" t="s">
        <v>20</v>
      </c>
      <c r="I173" s="61" t="s">
        <v>159</v>
      </c>
      <c r="J173" s="61" t="s">
        <v>282</v>
      </c>
      <c r="K173" s="63">
        <v>12.8</v>
      </c>
      <c r="L173" s="63">
        <f t="shared" si="24"/>
        <v>2.5600000000000005</v>
      </c>
      <c r="M173" s="64">
        <f>prodnorm19</f>
        <v>0</v>
      </c>
      <c r="N173" s="65">
        <f>dagwerk19</f>
        <v>0</v>
      </c>
      <c r="O173" s="61" t="s">
        <v>43</v>
      </c>
      <c r="P173" s="66">
        <f>uurtarief19</f>
        <v>0</v>
      </c>
      <c r="Q173" s="63" t="e">
        <f t="shared" si="25"/>
        <v>#DIV/0!</v>
      </c>
      <c r="R173" s="63" t="e">
        <f t="shared" si="26"/>
        <v>#DIV/0!</v>
      </c>
      <c r="S173" s="66" t="e">
        <f t="shared" si="27"/>
        <v>#DIV/0!</v>
      </c>
      <c r="T173" s="63" t="e">
        <f t="shared" si="28"/>
        <v>#DIV/0!</v>
      </c>
      <c r="U173" s="67" t="e">
        <f t="shared" si="29"/>
        <v>#DIV/0!</v>
      </c>
    </row>
    <row r="174" spans="1:21" x14ac:dyDescent="0.2">
      <c r="A174" s="60" t="s">
        <v>395</v>
      </c>
      <c r="B174" s="61" t="s">
        <v>230</v>
      </c>
      <c r="C174" s="61" t="s">
        <v>231</v>
      </c>
      <c r="D174" s="61" t="s">
        <v>408</v>
      </c>
      <c r="E174" s="62" t="s">
        <v>343</v>
      </c>
      <c r="F174" s="61" t="s">
        <v>234</v>
      </c>
      <c r="G174" s="61" t="s">
        <v>161</v>
      </c>
      <c r="H174" s="61" t="s">
        <v>20</v>
      </c>
      <c r="I174" s="61" t="s">
        <v>159</v>
      </c>
      <c r="J174" s="61" t="s">
        <v>282</v>
      </c>
      <c r="K174" s="63">
        <v>12.8</v>
      </c>
      <c r="L174" s="63">
        <f t="shared" si="24"/>
        <v>2.5600000000000005</v>
      </c>
      <c r="M174" s="64">
        <f>prodnorm19</f>
        <v>0</v>
      </c>
      <c r="N174" s="65">
        <f>dagwerk19</f>
        <v>0</v>
      </c>
      <c r="O174" s="61" t="s">
        <v>43</v>
      </c>
      <c r="P174" s="66">
        <f>uurtarief19</f>
        <v>0</v>
      </c>
      <c r="Q174" s="63" t="e">
        <f t="shared" si="25"/>
        <v>#DIV/0!</v>
      </c>
      <c r="R174" s="63" t="e">
        <f t="shared" si="26"/>
        <v>#DIV/0!</v>
      </c>
      <c r="S174" s="66" t="e">
        <f t="shared" si="27"/>
        <v>#DIV/0!</v>
      </c>
      <c r="T174" s="63" t="e">
        <f t="shared" si="28"/>
        <v>#DIV/0!</v>
      </c>
      <c r="U174" s="67" t="e">
        <f t="shared" si="29"/>
        <v>#DIV/0!</v>
      </c>
    </row>
    <row r="175" spans="1:21" x14ac:dyDescent="0.2">
      <c r="A175" s="60" t="s">
        <v>395</v>
      </c>
      <c r="B175" s="61" t="s">
        <v>230</v>
      </c>
      <c r="C175" s="61" t="s">
        <v>231</v>
      </c>
      <c r="D175" s="61" t="s">
        <v>409</v>
      </c>
      <c r="E175" s="62" t="s">
        <v>322</v>
      </c>
      <c r="F175" s="61" t="s">
        <v>234</v>
      </c>
      <c r="G175" s="61" t="s">
        <v>205</v>
      </c>
      <c r="H175" s="61" t="s">
        <v>11</v>
      </c>
      <c r="I175" s="61" t="s">
        <v>159</v>
      </c>
      <c r="J175" s="61" t="s">
        <v>235</v>
      </c>
      <c r="K175" s="63">
        <v>5</v>
      </c>
      <c r="L175" s="63">
        <f t="shared" si="24"/>
        <v>5</v>
      </c>
      <c r="M175" s="64">
        <f>prodnorm58</f>
        <v>0</v>
      </c>
      <c r="N175" s="65">
        <f>dagwerk58</f>
        <v>0</v>
      </c>
      <c r="O175" s="61" t="s">
        <v>43</v>
      </c>
      <c r="P175" s="66">
        <f>uurtarief58</f>
        <v>0</v>
      </c>
      <c r="Q175" s="63" t="e">
        <f t="shared" si="25"/>
        <v>#DIV/0!</v>
      </c>
      <c r="R175" s="63" t="e">
        <f t="shared" si="26"/>
        <v>#DIV/0!</v>
      </c>
      <c r="S175" s="66" t="e">
        <f t="shared" si="27"/>
        <v>#DIV/0!</v>
      </c>
      <c r="T175" s="63" t="e">
        <f t="shared" si="28"/>
        <v>#DIV/0!</v>
      </c>
      <c r="U175" s="67" t="e">
        <f t="shared" si="29"/>
        <v>#DIV/0!</v>
      </c>
    </row>
    <row r="176" spans="1:21" x14ac:dyDescent="0.2">
      <c r="A176" s="60" t="s">
        <v>395</v>
      </c>
      <c r="B176" s="61" t="s">
        <v>230</v>
      </c>
      <c r="C176" s="61" t="s">
        <v>231</v>
      </c>
      <c r="D176" s="61" t="s">
        <v>410</v>
      </c>
      <c r="E176" s="62" t="s">
        <v>358</v>
      </c>
      <c r="F176" s="61" t="s">
        <v>238</v>
      </c>
      <c r="G176" s="61" t="s">
        <v>199</v>
      </c>
      <c r="H176" s="61" t="s">
        <v>11</v>
      </c>
      <c r="I176" s="61" t="s">
        <v>159</v>
      </c>
      <c r="J176" s="61" t="s">
        <v>235</v>
      </c>
      <c r="K176" s="63">
        <v>11.4</v>
      </c>
      <c r="L176" s="63">
        <f t="shared" si="24"/>
        <v>11.4</v>
      </c>
      <c r="M176" s="64">
        <f>prodnorm53</f>
        <v>0</v>
      </c>
      <c r="N176" s="65">
        <f>dagwerk53</f>
        <v>0</v>
      </c>
      <c r="O176" s="61" t="s">
        <v>43</v>
      </c>
      <c r="P176" s="66">
        <f>uurtarief53</f>
        <v>0</v>
      </c>
      <c r="Q176" s="63" t="e">
        <f t="shared" si="25"/>
        <v>#DIV/0!</v>
      </c>
      <c r="R176" s="63" t="e">
        <f t="shared" si="26"/>
        <v>#DIV/0!</v>
      </c>
      <c r="S176" s="66" t="e">
        <f t="shared" si="27"/>
        <v>#DIV/0!</v>
      </c>
      <c r="T176" s="63" t="e">
        <f t="shared" si="28"/>
        <v>#DIV/0!</v>
      </c>
      <c r="U176" s="67" t="e">
        <f t="shared" si="29"/>
        <v>#DIV/0!</v>
      </c>
    </row>
    <row r="177" spans="1:21" x14ac:dyDescent="0.2">
      <c r="A177" s="60" t="s">
        <v>395</v>
      </c>
      <c r="B177" s="61" t="s">
        <v>230</v>
      </c>
      <c r="C177" s="61" t="s">
        <v>231</v>
      </c>
      <c r="D177" s="61" t="s">
        <v>411</v>
      </c>
      <c r="E177" s="62" t="s">
        <v>370</v>
      </c>
      <c r="F177" s="61" t="s">
        <v>396</v>
      </c>
      <c r="G177" s="61" t="s">
        <v>195</v>
      </c>
      <c r="H177" s="61" t="s">
        <v>11</v>
      </c>
      <c r="I177" s="61" t="s">
        <v>159</v>
      </c>
      <c r="J177" s="61" t="s">
        <v>257</v>
      </c>
      <c r="K177" s="63">
        <v>5.4</v>
      </c>
      <c r="L177" s="63">
        <f t="shared" si="24"/>
        <v>5.4</v>
      </c>
      <c r="M177" s="64">
        <f>prodnorm49</f>
        <v>0</v>
      </c>
      <c r="N177" s="65">
        <f>dagwerk49</f>
        <v>0</v>
      </c>
      <c r="O177" s="61" t="s">
        <v>43</v>
      </c>
      <c r="P177" s="66">
        <f>uurtarief49</f>
        <v>0</v>
      </c>
      <c r="Q177" s="63" t="e">
        <f t="shared" si="25"/>
        <v>#DIV/0!</v>
      </c>
      <c r="R177" s="63" t="e">
        <f t="shared" si="26"/>
        <v>#DIV/0!</v>
      </c>
      <c r="S177" s="66" t="e">
        <f t="shared" si="27"/>
        <v>#DIV/0!</v>
      </c>
      <c r="T177" s="63" t="e">
        <f t="shared" si="28"/>
        <v>#DIV/0!</v>
      </c>
      <c r="U177" s="67" t="e">
        <f t="shared" si="29"/>
        <v>#DIV/0!</v>
      </c>
    </row>
    <row r="178" spans="1:21" x14ac:dyDescent="0.2">
      <c r="A178" s="60" t="s">
        <v>395</v>
      </c>
      <c r="B178" s="61" t="s">
        <v>230</v>
      </c>
      <c r="C178" s="61" t="s">
        <v>231</v>
      </c>
      <c r="D178" s="61" t="s">
        <v>412</v>
      </c>
      <c r="E178" s="62" t="s">
        <v>343</v>
      </c>
      <c r="F178" s="61" t="s">
        <v>234</v>
      </c>
      <c r="G178" s="61" t="s">
        <v>161</v>
      </c>
      <c r="H178" s="61" t="s">
        <v>20</v>
      </c>
      <c r="I178" s="61" t="s">
        <v>159</v>
      </c>
      <c r="J178" s="61" t="s">
        <v>282</v>
      </c>
      <c r="K178" s="63">
        <v>10.6</v>
      </c>
      <c r="L178" s="63">
        <f t="shared" si="24"/>
        <v>2.12</v>
      </c>
      <c r="M178" s="64">
        <f>prodnorm19</f>
        <v>0</v>
      </c>
      <c r="N178" s="65">
        <f>dagwerk19</f>
        <v>0</v>
      </c>
      <c r="O178" s="61" t="s">
        <v>43</v>
      </c>
      <c r="P178" s="66">
        <f>uurtarief19</f>
        <v>0</v>
      </c>
      <c r="Q178" s="63" t="e">
        <f t="shared" si="25"/>
        <v>#DIV/0!</v>
      </c>
      <c r="R178" s="63" t="e">
        <f t="shared" si="26"/>
        <v>#DIV/0!</v>
      </c>
      <c r="S178" s="66" t="e">
        <f t="shared" si="27"/>
        <v>#DIV/0!</v>
      </c>
      <c r="T178" s="63" t="e">
        <f t="shared" si="28"/>
        <v>#DIV/0!</v>
      </c>
      <c r="U178" s="67" t="e">
        <f t="shared" si="29"/>
        <v>#DIV/0!</v>
      </c>
    </row>
    <row r="179" spans="1:21" x14ac:dyDescent="0.2">
      <c r="A179" s="68" t="s">
        <v>395</v>
      </c>
      <c r="B179" s="69" t="s">
        <v>230</v>
      </c>
      <c r="C179" s="69" t="s">
        <v>231</v>
      </c>
      <c r="D179" s="69" t="s">
        <v>413</v>
      </c>
      <c r="E179" s="70" t="s">
        <v>343</v>
      </c>
      <c r="F179" s="69" t="s">
        <v>234</v>
      </c>
      <c r="G179" s="69" t="s">
        <v>161</v>
      </c>
      <c r="H179" s="69" t="s">
        <v>20</v>
      </c>
      <c r="I179" s="69" t="s">
        <v>159</v>
      </c>
      <c r="J179" s="69" t="s">
        <v>282</v>
      </c>
      <c r="K179" s="71">
        <v>10.6</v>
      </c>
      <c r="L179" s="71">
        <f t="shared" si="24"/>
        <v>2.12</v>
      </c>
      <c r="M179" s="72">
        <f>prodnorm19</f>
        <v>0</v>
      </c>
      <c r="N179" s="73">
        <f>dagwerk19</f>
        <v>0</v>
      </c>
      <c r="O179" s="69" t="s">
        <v>43</v>
      </c>
      <c r="P179" s="74">
        <f>uurtarief19</f>
        <v>0</v>
      </c>
      <c r="Q179" s="71" t="e">
        <f t="shared" si="25"/>
        <v>#DIV/0!</v>
      </c>
      <c r="R179" s="71" t="e">
        <f t="shared" si="26"/>
        <v>#DIV/0!</v>
      </c>
      <c r="S179" s="74" t="e">
        <f t="shared" si="27"/>
        <v>#DIV/0!</v>
      </c>
      <c r="T179" s="71" t="e">
        <f t="shared" si="28"/>
        <v>#DIV/0!</v>
      </c>
      <c r="U179" s="75" t="e">
        <f t="shared" si="29"/>
        <v>#DIV/0!</v>
      </c>
    </row>
    <row r="180" spans="1:21" x14ac:dyDescent="0.2">
      <c r="A180" s="76" t="s">
        <v>319</v>
      </c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5" t="e">
        <f>IF(_xlfn.SINGLE(object4_urenjaar1)&gt;0,_xlfn.SINGLE(object4_prijsjaar1)/_xlfn.SINGLE(object4_urenjaar1),0)</f>
        <v>#DIV/0!</v>
      </c>
      <c r="Q180" s="44" t="e">
        <f>SUM(Q138:Q179)</f>
        <v>#DIV/0!</v>
      </c>
      <c r="R180" s="44" t="e">
        <f>SUM(R138:R179)</f>
        <v>#DIV/0!</v>
      </c>
      <c r="S180" s="45" t="e">
        <f>SUM(S138:S179)</f>
        <v>#DIV/0!</v>
      </c>
      <c r="T180" s="44" t="e">
        <f>SUM(T138:T179)</f>
        <v>#DIV/0!</v>
      </c>
      <c r="U180" s="46" t="e">
        <f>SUM(U138:U179)</f>
        <v>#DIV/0!</v>
      </c>
    </row>
    <row r="181" spans="1:21" x14ac:dyDescent="0.2">
      <c r="A181" s="51" t="s">
        <v>414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41"/>
    </row>
    <row r="182" spans="1:21" x14ac:dyDescent="0.2">
      <c r="A182" s="52" t="s">
        <v>415</v>
      </c>
      <c r="B182" s="53" t="s">
        <v>230</v>
      </c>
      <c r="C182" s="53" t="s">
        <v>231</v>
      </c>
      <c r="D182" s="53" t="s">
        <v>232</v>
      </c>
      <c r="E182" s="54" t="s">
        <v>322</v>
      </c>
      <c r="F182" s="53" t="s">
        <v>310</v>
      </c>
      <c r="G182" s="53" t="s">
        <v>203</v>
      </c>
      <c r="H182" s="53" t="s">
        <v>11</v>
      </c>
      <c r="I182" s="53" t="s">
        <v>159</v>
      </c>
      <c r="J182" s="53" t="s">
        <v>235</v>
      </c>
      <c r="K182" s="55">
        <v>2</v>
      </c>
      <c r="L182" s="55">
        <f t="shared" ref="L182:L221" si="30">K182*VLOOKUP(H182,dagsoorttabel1,2,FALSE)</f>
        <v>2</v>
      </c>
      <c r="M182" s="56">
        <f>prodnorm57</f>
        <v>0</v>
      </c>
      <c r="N182" s="57">
        <f>dagwerk57</f>
        <v>0</v>
      </c>
      <c r="O182" s="53" t="s">
        <v>43</v>
      </c>
      <c r="P182" s="58">
        <f>uurtarief57</f>
        <v>0</v>
      </c>
      <c r="Q182" s="55" t="e">
        <f t="shared" ref="Q182:Q221" si="31">IF(ISBLANK(M182),0,L182/ROUND(M182,4))</f>
        <v>#DIV/0!</v>
      </c>
      <c r="R182" s="55" t="e">
        <f t="shared" ref="R182:R221" si="32">IF(ISBLANK(M182),0,Q182*ROUND(N182,2))</f>
        <v>#DIV/0!</v>
      </c>
      <c r="S182" s="58" t="e">
        <f t="shared" ref="S182:S221" si="33">ROUND(P182,2)*Q182</f>
        <v>#DIV/0!</v>
      </c>
      <c r="T182" s="55" t="e">
        <f t="shared" ref="T182:T221" si="34">Q182*dagenperjaar1</f>
        <v>#DIV/0!</v>
      </c>
      <c r="U182" s="59" t="e">
        <f t="shared" ref="U182:U221" si="35">T182*ROUND(P182,2)</f>
        <v>#DIV/0!</v>
      </c>
    </row>
    <row r="183" spans="1:21" x14ac:dyDescent="0.2">
      <c r="A183" s="60" t="s">
        <v>415</v>
      </c>
      <c r="B183" s="61" t="s">
        <v>230</v>
      </c>
      <c r="C183" s="61" t="s">
        <v>231</v>
      </c>
      <c r="D183" s="61" t="s">
        <v>323</v>
      </c>
      <c r="E183" s="62" t="s">
        <v>322</v>
      </c>
      <c r="F183" s="61" t="s">
        <v>297</v>
      </c>
      <c r="G183" s="61" t="s">
        <v>203</v>
      </c>
      <c r="H183" s="61" t="s">
        <v>11</v>
      </c>
      <c r="I183" s="61" t="s">
        <v>159</v>
      </c>
      <c r="J183" s="61" t="s">
        <v>235</v>
      </c>
      <c r="K183" s="63">
        <v>1.36</v>
      </c>
      <c r="L183" s="63">
        <f t="shared" si="30"/>
        <v>1.36</v>
      </c>
      <c r="M183" s="64">
        <f>prodnorm57</f>
        <v>0</v>
      </c>
      <c r="N183" s="65">
        <f>dagwerk57</f>
        <v>0</v>
      </c>
      <c r="O183" s="61" t="s">
        <v>43</v>
      </c>
      <c r="P183" s="66">
        <f>uurtarief57</f>
        <v>0</v>
      </c>
      <c r="Q183" s="63" t="e">
        <f t="shared" si="31"/>
        <v>#DIV/0!</v>
      </c>
      <c r="R183" s="63" t="e">
        <f t="shared" si="32"/>
        <v>#DIV/0!</v>
      </c>
      <c r="S183" s="66" t="e">
        <f t="shared" si="33"/>
        <v>#DIV/0!</v>
      </c>
      <c r="T183" s="63" t="e">
        <f t="shared" si="34"/>
        <v>#DIV/0!</v>
      </c>
      <c r="U183" s="67" t="e">
        <f t="shared" si="35"/>
        <v>#DIV/0!</v>
      </c>
    </row>
    <row r="184" spans="1:21" x14ac:dyDescent="0.2">
      <c r="A184" s="60" t="s">
        <v>415</v>
      </c>
      <c r="B184" s="61" t="s">
        <v>230</v>
      </c>
      <c r="C184" s="61" t="s">
        <v>231</v>
      </c>
      <c r="D184" s="61" t="s">
        <v>248</v>
      </c>
      <c r="E184" s="62" t="s">
        <v>416</v>
      </c>
      <c r="F184" s="61" t="s">
        <v>234</v>
      </c>
      <c r="G184" s="61" t="s">
        <v>177</v>
      </c>
      <c r="H184" s="61" t="s">
        <v>18</v>
      </c>
      <c r="I184" s="61" t="s">
        <v>159</v>
      </c>
      <c r="J184" s="61" t="s">
        <v>239</v>
      </c>
      <c r="K184" s="63">
        <v>45</v>
      </c>
      <c r="L184" s="63">
        <f t="shared" si="30"/>
        <v>18</v>
      </c>
      <c r="M184" s="64">
        <f>prodnorm35</f>
        <v>0</v>
      </c>
      <c r="N184" s="65">
        <f>dagwerk35</f>
        <v>0</v>
      </c>
      <c r="O184" s="61" t="s">
        <v>43</v>
      </c>
      <c r="P184" s="66">
        <f>uurtarief35</f>
        <v>0</v>
      </c>
      <c r="Q184" s="63" t="e">
        <f t="shared" si="31"/>
        <v>#DIV/0!</v>
      </c>
      <c r="R184" s="63" t="e">
        <f t="shared" si="32"/>
        <v>#DIV/0!</v>
      </c>
      <c r="S184" s="66" t="e">
        <f t="shared" si="33"/>
        <v>#DIV/0!</v>
      </c>
      <c r="T184" s="63" t="e">
        <f t="shared" si="34"/>
        <v>#DIV/0!</v>
      </c>
      <c r="U184" s="67" t="e">
        <f t="shared" si="35"/>
        <v>#DIV/0!</v>
      </c>
    </row>
    <row r="185" spans="1:21" x14ac:dyDescent="0.2">
      <c r="A185" s="60" t="s">
        <v>415</v>
      </c>
      <c r="B185" s="61" t="s">
        <v>230</v>
      </c>
      <c r="C185" s="61" t="s">
        <v>231</v>
      </c>
      <c r="D185" s="61" t="s">
        <v>328</v>
      </c>
      <c r="E185" s="62" t="s">
        <v>417</v>
      </c>
      <c r="F185" s="61" t="s">
        <v>234</v>
      </c>
      <c r="G185" s="61" t="s">
        <v>177</v>
      </c>
      <c r="H185" s="61" t="s">
        <v>18</v>
      </c>
      <c r="I185" s="61" t="s">
        <v>159</v>
      </c>
      <c r="J185" s="61" t="s">
        <v>239</v>
      </c>
      <c r="K185" s="63">
        <v>45</v>
      </c>
      <c r="L185" s="63">
        <f t="shared" si="30"/>
        <v>18</v>
      </c>
      <c r="M185" s="64">
        <f>prodnorm35</f>
        <v>0</v>
      </c>
      <c r="N185" s="65">
        <f>dagwerk35</f>
        <v>0</v>
      </c>
      <c r="O185" s="61" t="s">
        <v>43</v>
      </c>
      <c r="P185" s="66">
        <f>uurtarief35</f>
        <v>0</v>
      </c>
      <c r="Q185" s="63" t="e">
        <f t="shared" si="31"/>
        <v>#DIV/0!</v>
      </c>
      <c r="R185" s="63" t="e">
        <f t="shared" si="32"/>
        <v>#DIV/0!</v>
      </c>
      <c r="S185" s="66" t="e">
        <f t="shared" si="33"/>
        <v>#DIV/0!</v>
      </c>
      <c r="T185" s="63" t="e">
        <f t="shared" si="34"/>
        <v>#DIV/0!</v>
      </c>
      <c r="U185" s="67" t="e">
        <f t="shared" si="35"/>
        <v>#DIV/0!</v>
      </c>
    </row>
    <row r="186" spans="1:21" x14ac:dyDescent="0.2">
      <c r="A186" s="60" t="s">
        <v>415</v>
      </c>
      <c r="B186" s="61" t="s">
        <v>230</v>
      </c>
      <c r="C186" s="61" t="s">
        <v>231</v>
      </c>
      <c r="D186" s="61" t="s">
        <v>254</v>
      </c>
      <c r="E186" s="62" t="s">
        <v>418</v>
      </c>
      <c r="F186" s="61" t="s">
        <v>234</v>
      </c>
      <c r="G186" s="61" t="s">
        <v>177</v>
      </c>
      <c r="H186" s="61" t="s">
        <v>18</v>
      </c>
      <c r="I186" s="61" t="s">
        <v>159</v>
      </c>
      <c r="J186" s="61" t="s">
        <v>239</v>
      </c>
      <c r="K186" s="63">
        <v>45</v>
      </c>
      <c r="L186" s="63">
        <f t="shared" si="30"/>
        <v>18</v>
      </c>
      <c r="M186" s="64">
        <f>prodnorm35</f>
        <v>0</v>
      </c>
      <c r="N186" s="65">
        <f>dagwerk35</f>
        <v>0</v>
      </c>
      <c r="O186" s="61" t="s">
        <v>43</v>
      </c>
      <c r="P186" s="66">
        <f>uurtarief35</f>
        <v>0</v>
      </c>
      <c r="Q186" s="63" t="e">
        <f t="shared" si="31"/>
        <v>#DIV/0!</v>
      </c>
      <c r="R186" s="63" t="e">
        <f t="shared" si="32"/>
        <v>#DIV/0!</v>
      </c>
      <c r="S186" s="66" t="e">
        <f t="shared" si="33"/>
        <v>#DIV/0!</v>
      </c>
      <c r="T186" s="63" t="e">
        <f t="shared" si="34"/>
        <v>#DIV/0!</v>
      </c>
      <c r="U186" s="67" t="e">
        <f t="shared" si="35"/>
        <v>#DIV/0!</v>
      </c>
    </row>
    <row r="187" spans="1:21" x14ac:dyDescent="0.2">
      <c r="A187" s="60" t="s">
        <v>415</v>
      </c>
      <c r="B187" s="61" t="s">
        <v>230</v>
      </c>
      <c r="C187" s="61" t="s">
        <v>231</v>
      </c>
      <c r="D187" s="61" t="s">
        <v>258</v>
      </c>
      <c r="E187" s="62" t="s">
        <v>419</v>
      </c>
      <c r="F187" s="61" t="s">
        <v>234</v>
      </c>
      <c r="G187" s="61" t="s">
        <v>177</v>
      </c>
      <c r="H187" s="61" t="s">
        <v>18</v>
      </c>
      <c r="I187" s="61" t="s">
        <v>159</v>
      </c>
      <c r="J187" s="61" t="s">
        <v>239</v>
      </c>
      <c r="K187" s="63">
        <v>55.9</v>
      </c>
      <c r="L187" s="63">
        <f t="shared" si="30"/>
        <v>22.36</v>
      </c>
      <c r="M187" s="64">
        <f>prodnorm35</f>
        <v>0</v>
      </c>
      <c r="N187" s="65">
        <f>dagwerk35</f>
        <v>0</v>
      </c>
      <c r="O187" s="61" t="s">
        <v>43</v>
      </c>
      <c r="P187" s="66">
        <f>uurtarief35</f>
        <v>0</v>
      </c>
      <c r="Q187" s="63" t="e">
        <f t="shared" si="31"/>
        <v>#DIV/0!</v>
      </c>
      <c r="R187" s="63" t="e">
        <f t="shared" si="32"/>
        <v>#DIV/0!</v>
      </c>
      <c r="S187" s="66" t="e">
        <f t="shared" si="33"/>
        <v>#DIV/0!</v>
      </c>
      <c r="T187" s="63" t="e">
        <f t="shared" si="34"/>
        <v>#DIV/0!</v>
      </c>
      <c r="U187" s="67" t="e">
        <f t="shared" si="35"/>
        <v>#DIV/0!</v>
      </c>
    </row>
    <row r="188" spans="1:21" x14ac:dyDescent="0.2">
      <c r="A188" s="60" t="s">
        <v>415</v>
      </c>
      <c r="B188" s="61" t="s">
        <v>230</v>
      </c>
      <c r="C188" s="61" t="s">
        <v>231</v>
      </c>
      <c r="D188" s="61" t="s">
        <v>260</v>
      </c>
      <c r="E188" s="62" t="s">
        <v>420</v>
      </c>
      <c r="F188" s="61" t="s">
        <v>234</v>
      </c>
      <c r="G188" s="61" t="s">
        <v>161</v>
      </c>
      <c r="H188" s="61" t="s">
        <v>27</v>
      </c>
      <c r="I188" s="61" t="s">
        <v>159</v>
      </c>
      <c r="J188" s="61" t="s">
        <v>230</v>
      </c>
      <c r="K188" s="63">
        <v>9.59</v>
      </c>
      <c r="L188" s="63">
        <f t="shared" si="30"/>
        <v>9.5899999999999999E-2</v>
      </c>
      <c r="M188" s="64">
        <f>prodnorm18</f>
        <v>0</v>
      </c>
      <c r="N188" s="65">
        <f>dagwerk18</f>
        <v>0</v>
      </c>
      <c r="O188" s="61" t="s">
        <v>43</v>
      </c>
      <c r="P188" s="66">
        <f>uurtarief18</f>
        <v>0</v>
      </c>
      <c r="Q188" s="63" t="e">
        <f t="shared" si="31"/>
        <v>#DIV/0!</v>
      </c>
      <c r="R188" s="63" t="e">
        <f t="shared" si="32"/>
        <v>#DIV/0!</v>
      </c>
      <c r="S188" s="66" t="e">
        <f t="shared" si="33"/>
        <v>#DIV/0!</v>
      </c>
      <c r="T188" s="63" t="e">
        <f t="shared" si="34"/>
        <v>#DIV/0!</v>
      </c>
      <c r="U188" s="67" t="e">
        <f t="shared" si="35"/>
        <v>#DIV/0!</v>
      </c>
    </row>
    <row r="189" spans="1:21" x14ac:dyDescent="0.2">
      <c r="A189" s="60" t="s">
        <v>415</v>
      </c>
      <c r="B189" s="61" t="s">
        <v>230</v>
      </c>
      <c r="C189" s="61" t="s">
        <v>231</v>
      </c>
      <c r="D189" s="61" t="s">
        <v>262</v>
      </c>
      <c r="E189" s="62" t="s">
        <v>421</v>
      </c>
      <c r="F189" s="61" t="s">
        <v>234</v>
      </c>
      <c r="G189" s="61" t="s">
        <v>161</v>
      </c>
      <c r="H189" s="61" t="s">
        <v>27</v>
      </c>
      <c r="I189" s="61" t="s">
        <v>159</v>
      </c>
      <c r="J189" s="61" t="s">
        <v>230</v>
      </c>
      <c r="K189" s="63">
        <v>12.18</v>
      </c>
      <c r="L189" s="63">
        <f t="shared" si="30"/>
        <v>0.12180000000000001</v>
      </c>
      <c r="M189" s="64">
        <f>prodnorm18</f>
        <v>0</v>
      </c>
      <c r="N189" s="65">
        <f>dagwerk18</f>
        <v>0</v>
      </c>
      <c r="O189" s="61" t="s">
        <v>43</v>
      </c>
      <c r="P189" s="66">
        <f>uurtarief18</f>
        <v>0</v>
      </c>
      <c r="Q189" s="63" t="e">
        <f t="shared" si="31"/>
        <v>#DIV/0!</v>
      </c>
      <c r="R189" s="63" t="e">
        <f t="shared" si="32"/>
        <v>#DIV/0!</v>
      </c>
      <c r="S189" s="66" t="e">
        <f t="shared" si="33"/>
        <v>#DIV/0!</v>
      </c>
      <c r="T189" s="63" t="e">
        <f t="shared" si="34"/>
        <v>#DIV/0!</v>
      </c>
      <c r="U189" s="67" t="e">
        <f t="shared" si="35"/>
        <v>#DIV/0!</v>
      </c>
    </row>
    <row r="190" spans="1:21" x14ac:dyDescent="0.2">
      <c r="A190" s="60" t="s">
        <v>415</v>
      </c>
      <c r="B190" s="61" t="s">
        <v>230</v>
      </c>
      <c r="C190" s="61" t="s">
        <v>231</v>
      </c>
      <c r="D190" s="61" t="s">
        <v>265</v>
      </c>
      <c r="E190" s="62" t="s">
        <v>422</v>
      </c>
      <c r="F190" s="61" t="s">
        <v>234</v>
      </c>
      <c r="G190" s="61" t="s">
        <v>177</v>
      </c>
      <c r="H190" s="61" t="s">
        <v>18</v>
      </c>
      <c r="I190" s="61" t="s">
        <v>159</v>
      </c>
      <c r="J190" s="61" t="s">
        <v>239</v>
      </c>
      <c r="K190" s="63">
        <v>52.1</v>
      </c>
      <c r="L190" s="63">
        <f t="shared" si="30"/>
        <v>20.840000000000003</v>
      </c>
      <c r="M190" s="64">
        <f>prodnorm35</f>
        <v>0</v>
      </c>
      <c r="N190" s="65">
        <f>dagwerk35</f>
        <v>0</v>
      </c>
      <c r="O190" s="61" t="s">
        <v>43</v>
      </c>
      <c r="P190" s="66">
        <f>uurtarief35</f>
        <v>0</v>
      </c>
      <c r="Q190" s="63" t="e">
        <f t="shared" si="31"/>
        <v>#DIV/0!</v>
      </c>
      <c r="R190" s="63" t="e">
        <f t="shared" si="32"/>
        <v>#DIV/0!</v>
      </c>
      <c r="S190" s="66" t="e">
        <f t="shared" si="33"/>
        <v>#DIV/0!</v>
      </c>
      <c r="T190" s="63" t="e">
        <f t="shared" si="34"/>
        <v>#DIV/0!</v>
      </c>
      <c r="U190" s="67" t="e">
        <f t="shared" si="35"/>
        <v>#DIV/0!</v>
      </c>
    </row>
    <row r="191" spans="1:21" x14ac:dyDescent="0.2">
      <c r="A191" s="60" t="s">
        <v>415</v>
      </c>
      <c r="B191" s="61" t="s">
        <v>230</v>
      </c>
      <c r="C191" s="61" t="s">
        <v>231</v>
      </c>
      <c r="D191" s="61" t="s">
        <v>269</v>
      </c>
      <c r="E191" s="62" t="s">
        <v>358</v>
      </c>
      <c r="F191" s="61" t="s">
        <v>397</v>
      </c>
      <c r="G191" s="61" t="s">
        <v>199</v>
      </c>
      <c r="H191" s="61" t="s">
        <v>11</v>
      </c>
      <c r="I191" s="61" t="s">
        <v>159</v>
      </c>
      <c r="J191" s="61" t="s">
        <v>235</v>
      </c>
      <c r="K191" s="63">
        <v>37.68</v>
      </c>
      <c r="L191" s="63">
        <f t="shared" si="30"/>
        <v>37.68</v>
      </c>
      <c r="M191" s="64">
        <f>prodnorm53</f>
        <v>0</v>
      </c>
      <c r="N191" s="65">
        <f>dagwerk53</f>
        <v>0</v>
      </c>
      <c r="O191" s="61" t="s">
        <v>43</v>
      </c>
      <c r="P191" s="66">
        <f>uurtarief53</f>
        <v>0</v>
      </c>
      <c r="Q191" s="63" t="e">
        <f t="shared" si="31"/>
        <v>#DIV/0!</v>
      </c>
      <c r="R191" s="63" t="e">
        <f t="shared" si="32"/>
        <v>#DIV/0!</v>
      </c>
      <c r="S191" s="66" t="e">
        <f t="shared" si="33"/>
        <v>#DIV/0!</v>
      </c>
      <c r="T191" s="63" t="e">
        <f t="shared" si="34"/>
        <v>#DIV/0!</v>
      </c>
      <c r="U191" s="67" t="e">
        <f t="shared" si="35"/>
        <v>#DIV/0!</v>
      </c>
    </row>
    <row r="192" spans="1:21" x14ac:dyDescent="0.2">
      <c r="A192" s="60" t="s">
        <v>415</v>
      </c>
      <c r="B192" s="61" t="s">
        <v>230</v>
      </c>
      <c r="C192" s="61" t="s">
        <v>231</v>
      </c>
      <c r="D192" s="61" t="s">
        <v>270</v>
      </c>
      <c r="E192" s="62" t="s">
        <v>322</v>
      </c>
      <c r="F192" s="61" t="s">
        <v>310</v>
      </c>
      <c r="G192" s="61" t="s">
        <v>203</v>
      </c>
      <c r="H192" s="61" t="s">
        <v>11</v>
      </c>
      <c r="I192" s="61" t="s">
        <v>159</v>
      </c>
      <c r="J192" s="61" t="s">
        <v>235</v>
      </c>
      <c r="K192" s="63">
        <v>12</v>
      </c>
      <c r="L192" s="63">
        <f t="shared" si="30"/>
        <v>12</v>
      </c>
      <c r="M192" s="64">
        <f>prodnorm57</f>
        <v>0</v>
      </c>
      <c r="N192" s="65">
        <f>dagwerk57</f>
        <v>0</v>
      </c>
      <c r="O192" s="61" t="s">
        <v>43</v>
      </c>
      <c r="P192" s="66">
        <f>uurtarief57</f>
        <v>0</v>
      </c>
      <c r="Q192" s="63" t="e">
        <f t="shared" si="31"/>
        <v>#DIV/0!</v>
      </c>
      <c r="R192" s="63" t="e">
        <f t="shared" si="32"/>
        <v>#DIV/0!</v>
      </c>
      <c r="S192" s="66" t="e">
        <f t="shared" si="33"/>
        <v>#DIV/0!</v>
      </c>
      <c r="T192" s="63" t="e">
        <f t="shared" si="34"/>
        <v>#DIV/0!</v>
      </c>
      <c r="U192" s="67" t="e">
        <f t="shared" si="35"/>
        <v>#DIV/0!</v>
      </c>
    </row>
    <row r="193" spans="1:21" x14ac:dyDescent="0.2">
      <c r="A193" s="60" t="s">
        <v>415</v>
      </c>
      <c r="B193" s="61" t="s">
        <v>230</v>
      </c>
      <c r="C193" s="61" t="s">
        <v>231</v>
      </c>
      <c r="D193" s="61" t="s">
        <v>271</v>
      </c>
      <c r="E193" s="62" t="s">
        <v>322</v>
      </c>
      <c r="F193" s="61" t="s">
        <v>397</v>
      </c>
      <c r="G193" s="61" t="s">
        <v>203</v>
      </c>
      <c r="H193" s="61" t="s">
        <v>11</v>
      </c>
      <c r="I193" s="61" t="s">
        <v>159</v>
      </c>
      <c r="J193" s="61" t="s">
        <v>235</v>
      </c>
      <c r="K193" s="63">
        <v>5.0999999999999996</v>
      </c>
      <c r="L193" s="63">
        <f t="shared" si="30"/>
        <v>5.0999999999999996</v>
      </c>
      <c r="M193" s="64">
        <f>prodnorm57</f>
        <v>0</v>
      </c>
      <c r="N193" s="65">
        <f>dagwerk57</f>
        <v>0</v>
      </c>
      <c r="O193" s="61" t="s">
        <v>43</v>
      </c>
      <c r="P193" s="66">
        <f>uurtarief57</f>
        <v>0</v>
      </c>
      <c r="Q193" s="63" t="e">
        <f t="shared" si="31"/>
        <v>#DIV/0!</v>
      </c>
      <c r="R193" s="63" t="e">
        <f t="shared" si="32"/>
        <v>#DIV/0!</v>
      </c>
      <c r="S193" s="66" t="e">
        <f t="shared" si="33"/>
        <v>#DIV/0!</v>
      </c>
      <c r="T193" s="63" t="e">
        <f t="shared" si="34"/>
        <v>#DIV/0!</v>
      </c>
      <c r="U193" s="67" t="e">
        <f t="shared" si="35"/>
        <v>#DIV/0!</v>
      </c>
    </row>
    <row r="194" spans="1:21" x14ac:dyDescent="0.2">
      <c r="A194" s="60" t="s">
        <v>415</v>
      </c>
      <c r="B194" s="61" t="s">
        <v>230</v>
      </c>
      <c r="C194" s="61" t="s">
        <v>231</v>
      </c>
      <c r="D194" s="61" t="s">
        <v>275</v>
      </c>
      <c r="E194" s="62" t="s">
        <v>358</v>
      </c>
      <c r="F194" s="61" t="s">
        <v>397</v>
      </c>
      <c r="G194" s="61" t="s">
        <v>199</v>
      </c>
      <c r="H194" s="61" t="s">
        <v>11</v>
      </c>
      <c r="I194" s="61" t="s">
        <v>159</v>
      </c>
      <c r="J194" s="61" t="s">
        <v>235</v>
      </c>
      <c r="K194" s="63">
        <v>74.7</v>
      </c>
      <c r="L194" s="63">
        <f t="shared" si="30"/>
        <v>74.7</v>
      </c>
      <c r="M194" s="64">
        <f>prodnorm53</f>
        <v>0</v>
      </c>
      <c r="N194" s="65">
        <f>dagwerk53</f>
        <v>0</v>
      </c>
      <c r="O194" s="61" t="s">
        <v>43</v>
      </c>
      <c r="P194" s="66">
        <f>uurtarief53</f>
        <v>0</v>
      </c>
      <c r="Q194" s="63" t="e">
        <f t="shared" si="31"/>
        <v>#DIV/0!</v>
      </c>
      <c r="R194" s="63" t="e">
        <f t="shared" si="32"/>
        <v>#DIV/0!</v>
      </c>
      <c r="S194" s="66" t="e">
        <f t="shared" si="33"/>
        <v>#DIV/0!</v>
      </c>
      <c r="T194" s="63" t="e">
        <f t="shared" si="34"/>
        <v>#DIV/0!</v>
      </c>
      <c r="U194" s="67" t="e">
        <f t="shared" si="35"/>
        <v>#DIV/0!</v>
      </c>
    </row>
    <row r="195" spans="1:21" x14ac:dyDescent="0.2">
      <c r="A195" s="60" t="s">
        <v>415</v>
      </c>
      <c r="B195" s="61" t="s">
        <v>230</v>
      </c>
      <c r="C195" s="61" t="s">
        <v>231</v>
      </c>
      <c r="D195" s="61" t="s">
        <v>399</v>
      </c>
      <c r="E195" s="62" t="s">
        <v>423</v>
      </c>
      <c r="F195" s="61" t="s">
        <v>234</v>
      </c>
      <c r="G195" s="61" t="s">
        <v>161</v>
      </c>
      <c r="H195" s="61" t="s">
        <v>20</v>
      </c>
      <c r="I195" s="61" t="s">
        <v>159</v>
      </c>
      <c r="J195" s="61" t="s">
        <v>282</v>
      </c>
      <c r="K195" s="63">
        <v>29.6</v>
      </c>
      <c r="L195" s="63">
        <f t="shared" si="30"/>
        <v>5.9200000000000008</v>
      </c>
      <c r="M195" s="64">
        <f>prodnorm19</f>
        <v>0</v>
      </c>
      <c r="N195" s="65">
        <f>dagwerk19</f>
        <v>0</v>
      </c>
      <c r="O195" s="61" t="s">
        <v>43</v>
      </c>
      <c r="P195" s="66">
        <f>uurtarief19</f>
        <v>0</v>
      </c>
      <c r="Q195" s="63" t="e">
        <f t="shared" si="31"/>
        <v>#DIV/0!</v>
      </c>
      <c r="R195" s="63" t="e">
        <f t="shared" si="32"/>
        <v>#DIV/0!</v>
      </c>
      <c r="S195" s="66" t="e">
        <f t="shared" si="33"/>
        <v>#DIV/0!</v>
      </c>
      <c r="T195" s="63" t="e">
        <f t="shared" si="34"/>
        <v>#DIV/0!</v>
      </c>
      <c r="U195" s="67" t="e">
        <f t="shared" si="35"/>
        <v>#DIV/0!</v>
      </c>
    </row>
    <row r="196" spans="1:21" x14ac:dyDescent="0.2">
      <c r="A196" s="60" t="s">
        <v>415</v>
      </c>
      <c r="B196" s="61" t="s">
        <v>230</v>
      </c>
      <c r="C196" s="61" t="s">
        <v>231</v>
      </c>
      <c r="D196" s="61" t="s">
        <v>375</v>
      </c>
      <c r="E196" s="62" t="s">
        <v>424</v>
      </c>
      <c r="F196" s="61" t="s">
        <v>425</v>
      </c>
      <c r="G196" s="61" t="s">
        <v>195</v>
      </c>
      <c r="H196" s="61" t="s">
        <v>11</v>
      </c>
      <c r="I196" s="61" t="s">
        <v>159</v>
      </c>
      <c r="J196" s="61" t="s">
        <v>257</v>
      </c>
      <c r="K196" s="63">
        <v>14.1</v>
      </c>
      <c r="L196" s="63">
        <f t="shared" si="30"/>
        <v>14.1</v>
      </c>
      <c r="M196" s="64">
        <f>prodnorm49</f>
        <v>0</v>
      </c>
      <c r="N196" s="65">
        <f>dagwerk49</f>
        <v>0</v>
      </c>
      <c r="O196" s="61" t="s">
        <v>43</v>
      </c>
      <c r="P196" s="66">
        <f>uurtarief49</f>
        <v>0</v>
      </c>
      <c r="Q196" s="63" t="e">
        <f t="shared" si="31"/>
        <v>#DIV/0!</v>
      </c>
      <c r="R196" s="63" t="e">
        <f t="shared" si="32"/>
        <v>#DIV/0!</v>
      </c>
      <c r="S196" s="66" t="e">
        <f t="shared" si="33"/>
        <v>#DIV/0!</v>
      </c>
      <c r="T196" s="63" t="e">
        <f t="shared" si="34"/>
        <v>#DIV/0!</v>
      </c>
      <c r="U196" s="67" t="e">
        <f t="shared" si="35"/>
        <v>#DIV/0!</v>
      </c>
    </row>
    <row r="197" spans="1:21" x14ac:dyDescent="0.2">
      <c r="A197" s="60" t="s">
        <v>415</v>
      </c>
      <c r="B197" s="61" t="s">
        <v>230</v>
      </c>
      <c r="C197" s="61" t="s">
        <v>231</v>
      </c>
      <c r="D197" s="61" t="s">
        <v>278</v>
      </c>
      <c r="E197" s="62" t="s">
        <v>426</v>
      </c>
      <c r="F197" s="61" t="s">
        <v>425</v>
      </c>
      <c r="G197" s="61" t="s">
        <v>195</v>
      </c>
      <c r="H197" s="61" t="s">
        <v>11</v>
      </c>
      <c r="I197" s="61" t="s">
        <v>159</v>
      </c>
      <c r="J197" s="61" t="s">
        <v>257</v>
      </c>
      <c r="K197" s="63">
        <v>14.1</v>
      </c>
      <c r="L197" s="63">
        <f t="shared" si="30"/>
        <v>14.1</v>
      </c>
      <c r="M197" s="64">
        <f>prodnorm49</f>
        <v>0</v>
      </c>
      <c r="N197" s="65">
        <f>dagwerk49</f>
        <v>0</v>
      </c>
      <c r="O197" s="61" t="s">
        <v>43</v>
      </c>
      <c r="P197" s="66">
        <f>uurtarief49</f>
        <v>0</v>
      </c>
      <c r="Q197" s="63" t="e">
        <f t="shared" si="31"/>
        <v>#DIV/0!</v>
      </c>
      <c r="R197" s="63" t="e">
        <f t="shared" si="32"/>
        <v>#DIV/0!</v>
      </c>
      <c r="S197" s="66" t="e">
        <f t="shared" si="33"/>
        <v>#DIV/0!</v>
      </c>
      <c r="T197" s="63" t="e">
        <f t="shared" si="34"/>
        <v>#DIV/0!</v>
      </c>
      <c r="U197" s="67" t="e">
        <f t="shared" si="35"/>
        <v>#DIV/0!</v>
      </c>
    </row>
    <row r="198" spans="1:21" x14ac:dyDescent="0.2">
      <c r="A198" s="60" t="s">
        <v>415</v>
      </c>
      <c r="B198" s="61" t="s">
        <v>230</v>
      </c>
      <c r="C198" s="61" t="s">
        <v>231</v>
      </c>
      <c r="D198" s="61" t="s">
        <v>280</v>
      </c>
      <c r="E198" s="62" t="s">
        <v>427</v>
      </c>
      <c r="F198" s="61" t="s">
        <v>425</v>
      </c>
      <c r="G198" s="61" t="s">
        <v>207</v>
      </c>
      <c r="H198" s="61" t="s">
        <v>11</v>
      </c>
      <c r="I198" s="61" t="s">
        <v>159</v>
      </c>
      <c r="J198" s="61" t="s">
        <v>235</v>
      </c>
      <c r="K198" s="63">
        <v>3.9</v>
      </c>
      <c r="L198" s="63">
        <f t="shared" si="30"/>
        <v>3.9</v>
      </c>
      <c r="M198" s="64">
        <f>prodnorm60</f>
        <v>0</v>
      </c>
      <c r="N198" s="65">
        <f>dagwerk60</f>
        <v>0</v>
      </c>
      <c r="O198" s="61" t="s">
        <v>43</v>
      </c>
      <c r="P198" s="66">
        <f>uurtarief60</f>
        <v>0</v>
      </c>
      <c r="Q198" s="63" t="e">
        <f t="shared" si="31"/>
        <v>#DIV/0!</v>
      </c>
      <c r="R198" s="63" t="e">
        <f t="shared" si="32"/>
        <v>#DIV/0!</v>
      </c>
      <c r="S198" s="66" t="e">
        <f t="shared" si="33"/>
        <v>#DIV/0!</v>
      </c>
      <c r="T198" s="63" t="e">
        <f t="shared" si="34"/>
        <v>#DIV/0!</v>
      </c>
      <c r="U198" s="67" t="e">
        <f t="shared" si="35"/>
        <v>#DIV/0!</v>
      </c>
    </row>
    <row r="199" spans="1:21" x14ac:dyDescent="0.2">
      <c r="A199" s="60" t="s">
        <v>415</v>
      </c>
      <c r="B199" s="61" t="s">
        <v>230</v>
      </c>
      <c r="C199" s="61" t="s">
        <v>231</v>
      </c>
      <c r="D199" s="61" t="s">
        <v>334</v>
      </c>
      <c r="E199" s="62" t="s">
        <v>428</v>
      </c>
      <c r="F199" s="61" t="s">
        <v>425</v>
      </c>
      <c r="G199" s="61" t="s">
        <v>195</v>
      </c>
      <c r="H199" s="61" t="s">
        <v>11</v>
      </c>
      <c r="I199" s="61" t="s">
        <v>159</v>
      </c>
      <c r="J199" s="61" t="s">
        <v>257</v>
      </c>
      <c r="K199" s="63">
        <v>4.8</v>
      </c>
      <c r="L199" s="63">
        <f t="shared" si="30"/>
        <v>4.8</v>
      </c>
      <c r="M199" s="64">
        <f>prodnorm49</f>
        <v>0</v>
      </c>
      <c r="N199" s="65">
        <f>dagwerk49</f>
        <v>0</v>
      </c>
      <c r="O199" s="61" t="s">
        <v>43</v>
      </c>
      <c r="P199" s="66">
        <f>uurtarief49</f>
        <v>0</v>
      </c>
      <c r="Q199" s="63" t="e">
        <f t="shared" si="31"/>
        <v>#DIV/0!</v>
      </c>
      <c r="R199" s="63" t="e">
        <f t="shared" si="32"/>
        <v>#DIV/0!</v>
      </c>
      <c r="S199" s="66" t="e">
        <f t="shared" si="33"/>
        <v>#DIV/0!</v>
      </c>
      <c r="T199" s="63" t="e">
        <f t="shared" si="34"/>
        <v>#DIV/0!</v>
      </c>
      <c r="U199" s="67" t="e">
        <f t="shared" si="35"/>
        <v>#DIV/0!</v>
      </c>
    </row>
    <row r="200" spans="1:21" x14ac:dyDescent="0.2">
      <c r="A200" s="60" t="s">
        <v>415</v>
      </c>
      <c r="B200" s="61" t="s">
        <v>230</v>
      </c>
      <c r="C200" s="61" t="s">
        <v>231</v>
      </c>
      <c r="D200" s="61" t="s">
        <v>283</v>
      </c>
      <c r="E200" s="62" t="s">
        <v>429</v>
      </c>
      <c r="F200" s="61" t="s">
        <v>234</v>
      </c>
      <c r="G200" s="61" t="s">
        <v>171</v>
      </c>
      <c r="H200" s="61" t="s">
        <v>20</v>
      </c>
      <c r="I200" s="61" t="s">
        <v>159</v>
      </c>
      <c r="J200" s="61" t="s">
        <v>235</v>
      </c>
      <c r="K200" s="63">
        <v>40.299999999999997</v>
      </c>
      <c r="L200" s="63">
        <f t="shared" si="30"/>
        <v>8.06</v>
      </c>
      <c r="M200" s="64">
        <f>prodnorm27</f>
        <v>0</v>
      </c>
      <c r="N200" s="65">
        <f>dagwerk27</f>
        <v>0</v>
      </c>
      <c r="O200" s="61" t="s">
        <v>43</v>
      </c>
      <c r="P200" s="66">
        <f>uurtarief27</f>
        <v>0</v>
      </c>
      <c r="Q200" s="63" t="e">
        <f t="shared" si="31"/>
        <v>#DIV/0!</v>
      </c>
      <c r="R200" s="63" t="e">
        <f t="shared" si="32"/>
        <v>#DIV/0!</v>
      </c>
      <c r="S200" s="66" t="e">
        <f t="shared" si="33"/>
        <v>#DIV/0!</v>
      </c>
      <c r="T200" s="63" t="e">
        <f t="shared" si="34"/>
        <v>#DIV/0!</v>
      </c>
      <c r="U200" s="67" t="e">
        <f t="shared" si="35"/>
        <v>#DIV/0!</v>
      </c>
    </row>
    <row r="201" spans="1:21" x14ac:dyDescent="0.2">
      <c r="A201" s="60" t="s">
        <v>415</v>
      </c>
      <c r="B201" s="61" t="s">
        <v>230</v>
      </c>
      <c r="C201" s="61" t="s">
        <v>231</v>
      </c>
      <c r="D201" s="61" t="s">
        <v>286</v>
      </c>
      <c r="E201" s="62" t="s">
        <v>430</v>
      </c>
      <c r="F201" s="61" t="s">
        <v>397</v>
      </c>
      <c r="G201" s="61" t="s">
        <v>173</v>
      </c>
      <c r="H201" s="61" t="s">
        <v>11</v>
      </c>
      <c r="I201" s="61" t="s">
        <v>159</v>
      </c>
      <c r="J201" s="61" t="s">
        <v>235</v>
      </c>
      <c r="K201" s="63">
        <v>5.0999999999999996</v>
      </c>
      <c r="L201" s="63">
        <f t="shared" si="30"/>
        <v>5.0999999999999996</v>
      </c>
      <c r="M201" s="64">
        <f>prodnorm28</f>
        <v>0</v>
      </c>
      <c r="N201" s="65">
        <f>dagwerk28</f>
        <v>0</v>
      </c>
      <c r="O201" s="61" t="s">
        <v>43</v>
      </c>
      <c r="P201" s="66">
        <f>uurtarief28</f>
        <v>0</v>
      </c>
      <c r="Q201" s="63" t="e">
        <f t="shared" si="31"/>
        <v>#DIV/0!</v>
      </c>
      <c r="R201" s="63" t="e">
        <f t="shared" si="32"/>
        <v>#DIV/0!</v>
      </c>
      <c r="S201" s="66" t="e">
        <f t="shared" si="33"/>
        <v>#DIV/0!</v>
      </c>
      <c r="T201" s="63" t="e">
        <f t="shared" si="34"/>
        <v>#DIV/0!</v>
      </c>
      <c r="U201" s="67" t="e">
        <f t="shared" si="35"/>
        <v>#DIV/0!</v>
      </c>
    </row>
    <row r="202" spans="1:21" x14ac:dyDescent="0.2">
      <c r="A202" s="60" t="s">
        <v>415</v>
      </c>
      <c r="B202" s="61" t="s">
        <v>230</v>
      </c>
      <c r="C202" s="61" t="s">
        <v>231</v>
      </c>
      <c r="D202" s="61" t="s">
        <v>431</v>
      </c>
      <c r="E202" s="62" t="s">
        <v>432</v>
      </c>
      <c r="F202" s="61" t="s">
        <v>397</v>
      </c>
      <c r="G202" s="61" t="s">
        <v>199</v>
      </c>
      <c r="H202" s="61" t="s">
        <v>11</v>
      </c>
      <c r="I202" s="61" t="s">
        <v>159</v>
      </c>
      <c r="J202" s="61" t="s">
        <v>235</v>
      </c>
      <c r="K202" s="63">
        <v>2.2600000000000002</v>
      </c>
      <c r="L202" s="63">
        <f t="shared" si="30"/>
        <v>2.2600000000000002</v>
      </c>
      <c r="M202" s="64">
        <f>prodnorm53</f>
        <v>0</v>
      </c>
      <c r="N202" s="65">
        <f>dagwerk53</f>
        <v>0</v>
      </c>
      <c r="O202" s="61" t="s">
        <v>43</v>
      </c>
      <c r="P202" s="66">
        <f>uurtarief53</f>
        <v>0</v>
      </c>
      <c r="Q202" s="63" t="e">
        <f t="shared" si="31"/>
        <v>#DIV/0!</v>
      </c>
      <c r="R202" s="63" t="e">
        <f t="shared" si="32"/>
        <v>#DIV/0!</v>
      </c>
      <c r="S202" s="66" t="e">
        <f t="shared" si="33"/>
        <v>#DIV/0!</v>
      </c>
      <c r="T202" s="63" t="e">
        <f t="shared" si="34"/>
        <v>#DIV/0!</v>
      </c>
      <c r="U202" s="67" t="e">
        <f t="shared" si="35"/>
        <v>#DIV/0!</v>
      </c>
    </row>
    <row r="203" spans="1:21" x14ac:dyDescent="0.2">
      <c r="A203" s="60" t="s">
        <v>415</v>
      </c>
      <c r="B203" s="61" t="s">
        <v>230</v>
      </c>
      <c r="C203" s="61" t="s">
        <v>231</v>
      </c>
      <c r="D203" s="61" t="s">
        <v>287</v>
      </c>
      <c r="E203" s="62" t="s">
        <v>433</v>
      </c>
      <c r="F203" s="61" t="s">
        <v>234</v>
      </c>
      <c r="G203" s="61" t="s">
        <v>177</v>
      </c>
      <c r="H203" s="61" t="s">
        <v>18</v>
      </c>
      <c r="I203" s="61" t="s">
        <v>159</v>
      </c>
      <c r="J203" s="61" t="s">
        <v>239</v>
      </c>
      <c r="K203" s="63">
        <v>53.65</v>
      </c>
      <c r="L203" s="63">
        <f t="shared" si="30"/>
        <v>21.46</v>
      </c>
      <c r="M203" s="64">
        <f>prodnorm35</f>
        <v>0</v>
      </c>
      <c r="N203" s="65">
        <f>dagwerk35</f>
        <v>0</v>
      </c>
      <c r="O203" s="61" t="s">
        <v>43</v>
      </c>
      <c r="P203" s="66">
        <f>uurtarief35</f>
        <v>0</v>
      </c>
      <c r="Q203" s="63" t="e">
        <f t="shared" si="31"/>
        <v>#DIV/0!</v>
      </c>
      <c r="R203" s="63" t="e">
        <f t="shared" si="32"/>
        <v>#DIV/0!</v>
      </c>
      <c r="S203" s="66" t="e">
        <f t="shared" si="33"/>
        <v>#DIV/0!</v>
      </c>
      <c r="T203" s="63" t="e">
        <f t="shared" si="34"/>
        <v>#DIV/0!</v>
      </c>
      <c r="U203" s="67" t="e">
        <f t="shared" si="35"/>
        <v>#DIV/0!</v>
      </c>
    </row>
    <row r="204" spans="1:21" x14ac:dyDescent="0.2">
      <c r="A204" s="60" t="s">
        <v>415</v>
      </c>
      <c r="B204" s="61" t="s">
        <v>230</v>
      </c>
      <c r="C204" s="61" t="s">
        <v>231</v>
      </c>
      <c r="D204" s="61" t="s">
        <v>288</v>
      </c>
      <c r="E204" s="62" t="s">
        <v>329</v>
      </c>
      <c r="F204" s="61" t="s">
        <v>397</v>
      </c>
      <c r="G204" s="61" t="s">
        <v>181</v>
      </c>
      <c r="H204" s="61" t="s">
        <v>11</v>
      </c>
      <c r="I204" s="61" t="s">
        <v>159</v>
      </c>
      <c r="J204" s="61" t="s">
        <v>235</v>
      </c>
      <c r="K204" s="63">
        <v>59.5</v>
      </c>
      <c r="L204" s="63">
        <f t="shared" si="30"/>
        <v>59.5</v>
      </c>
      <c r="M204" s="64">
        <f>prodnorm38</f>
        <v>0</v>
      </c>
      <c r="N204" s="65">
        <f>dagwerk38</f>
        <v>0</v>
      </c>
      <c r="O204" s="61" t="s">
        <v>43</v>
      </c>
      <c r="P204" s="66">
        <f>uurtarief38</f>
        <v>0</v>
      </c>
      <c r="Q204" s="63" t="e">
        <f t="shared" si="31"/>
        <v>#DIV/0!</v>
      </c>
      <c r="R204" s="63" t="e">
        <f t="shared" si="32"/>
        <v>#DIV/0!</v>
      </c>
      <c r="S204" s="66" t="e">
        <f t="shared" si="33"/>
        <v>#DIV/0!</v>
      </c>
      <c r="T204" s="63" t="e">
        <f t="shared" si="34"/>
        <v>#DIV/0!</v>
      </c>
      <c r="U204" s="67" t="e">
        <f t="shared" si="35"/>
        <v>#DIV/0!</v>
      </c>
    </row>
    <row r="205" spans="1:21" x14ac:dyDescent="0.2">
      <c r="A205" s="60" t="s">
        <v>415</v>
      </c>
      <c r="B205" s="61" t="s">
        <v>230</v>
      </c>
      <c r="C205" s="61" t="s">
        <v>231</v>
      </c>
      <c r="D205" s="61" t="s">
        <v>289</v>
      </c>
      <c r="E205" s="62" t="s">
        <v>358</v>
      </c>
      <c r="F205" s="61" t="s">
        <v>397</v>
      </c>
      <c r="G205" s="61" t="s">
        <v>199</v>
      </c>
      <c r="H205" s="61" t="s">
        <v>11</v>
      </c>
      <c r="I205" s="61" t="s">
        <v>159</v>
      </c>
      <c r="J205" s="61" t="s">
        <v>235</v>
      </c>
      <c r="K205" s="63">
        <v>49.260000000000005</v>
      </c>
      <c r="L205" s="63">
        <f t="shared" si="30"/>
        <v>49.260000000000005</v>
      </c>
      <c r="M205" s="64">
        <f>prodnorm53</f>
        <v>0</v>
      </c>
      <c r="N205" s="65">
        <f>dagwerk53</f>
        <v>0</v>
      </c>
      <c r="O205" s="61" t="s">
        <v>43</v>
      </c>
      <c r="P205" s="66">
        <f>uurtarief53</f>
        <v>0</v>
      </c>
      <c r="Q205" s="63" t="e">
        <f t="shared" si="31"/>
        <v>#DIV/0!</v>
      </c>
      <c r="R205" s="63" t="e">
        <f t="shared" si="32"/>
        <v>#DIV/0!</v>
      </c>
      <c r="S205" s="66" t="e">
        <f t="shared" si="33"/>
        <v>#DIV/0!</v>
      </c>
      <c r="T205" s="63" t="e">
        <f t="shared" si="34"/>
        <v>#DIV/0!</v>
      </c>
      <c r="U205" s="67" t="e">
        <f t="shared" si="35"/>
        <v>#DIV/0!</v>
      </c>
    </row>
    <row r="206" spans="1:21" x14ac:dyDescent="0.2">
      <c r="A206" s="60" t="s">
        <v>415</v>
      </c>
      <c r="B206" s="61" t="s">
        <v>230</v>
      </c>
      <c r="C206" s="61" t="s">
        <v>231</v>
      </c>
      <c r="D206" s="61" t="s">
        <v>291</v>
      </c>
      <c r="E206" s="62" t="s">
        <v>358</v>
      </c>
      <c r="F206" s="61" t="s">
        <v>397</v>
      </c>
      <c r="G206" s="61" t="s">
        <v>199</v>
      </c>
      <c r="H206" s="61" t="s">
        <v>11</v>
      </c>
      <c r="I206" s="61" t="s">
        <v>159</v>
      </c>
      <c r="J206" s="61" t="s">
        <v>235</v>
      </c>
      <c r="K206" s="63">
        <v>51.120000000000005</v>
      </c>
      <c r="L206" s="63">
        <f t="shared" si="30"/>
        <v>51.120000000000005</v>
      </c>
      <c r="M206" s="64">
        <f>prodnorm53</f>
        <v>0</v>
      </c>
      <c r="N206" s="65">
        <f>dagwerk53</f>
        <v>0</v>
      </c>
      <c r="O206" s="61" t="s">
        <v>43</v>
      </c>
      <c r="P206" s="66">
        <f>uurtarief53</f>
        <v>0</v>
      </c>
      <c r="Q206" s="63" t="e">
        <f t="shared" si="31"/>
        <v>#DIV/0!</v>
      </c>
      <c r="R206" s="63" t="e">
        <f t="shared" si="32"/>
        <v>#DIV/0!</v>
      </c>
      <c r="S206" s="66" t="e">
        <f t="shared" si="33"/>
        <v>#DIV/0!</v>
      </c>
      <c r="T206" s="63" t="e">
        <f t="shared" si="34"/>
        <v>#DIV/0!</v>
      </c>
      <c r="U206" s="67" t="e">
        <f t="shared" si="35"/>
        <v>#DIV/0!</v>
      </c>
    </row>
    <row r="207" spans="1:21" x14ac:dyDescent="0.2">
      <c r="A207" s="60" t="s">
        <v>415</v>
      </c>
      <c r="B207" s="61" t="s">
        <v>230</v>
      </c>
      <c r="C207" s="61" t="s">
        <v>231</v>
      </c>
      <c r="D207" s="61" t="s">
        <v>434</v>
      </c>
      <c r="E207" s="62" t="s">
        <v>435</v>
      </c>
      <c r="F207" s="61" t="s">
        <v>238</v>
      </c>
      <c r="G207" s="61" t="s">
        <v>175</v>
      </c>
      <c r="H207" s="61" t="s">
        <v>11</v>
      </c>
      <c r="I207" s="61" t="s">
        <v>159</v>
      </c>
      <c r="J207" s="61" t="s">
        <v>239</v>
      </c>
      <c r="K207" s="63">
        <v>64.5</v>
      </c>
      <c r="L207" s="63">
        <f t="shared" si="30"/>
        <v>64.5</v>
      </c>
      <c r="M207" s="64">
        <f>prodnorm31</f>
        <v>0</v>
      </c>
      <c r="N207" s="65">
        <f>dagwerk31</f>
        <v>0</v>
      </c>
      <c r="O207" s="61" t="s">
        <v>43</v>
      </c>
      <c r="P207" s="66">
        <f>uurtarief31</f>
        <v>0</v>
      </c>
      <c r="Q207" s="63" t="e">
        <f t="shared" si="31"/>
        <v>#DIV/0!</v>
      </c>
      <c r="R207" s="63" t="e">
        <f t="shared" si="32"/>
        <v>#DIV/0!</v>
      </c>
      <c r="S207" s="66" t="e">
        <f t="shared" si="33"/>
        <v>#DIV/0!</v>
      </c>
      <c r="T207" s="63" t="e">
        <f t="shared" si="34"/>
        <v>#DIV/0!</v>
      </c>
      <c r="U207" s="67" t="e">
        <f t="shared" si="35"/>
        <v>#DIV/0!</v>
      </c>
    </row>
    <row r="208" spans="1:21" x14ac:dyDescent="0.2">
      <c r="A208" s="60" t="s">
        <v>415</v>
      </c>
      <c r="B208" s="61" t="s">
        <v>230</v>
      </c>
      <c r="C208" s="61" t="s">
        <v>231</v>
      </c>
      <c r="D208" s="61" t="s">
        <v>403</v>
      </c>
      <c r="E208" s="62" t="s">
        <v>436</v>
      </c>
      <c r="F208" s="61" t="s">
        <v>238</v>
      </c>
      <c r="G208" s="61" t="s">
        <v>175</v>
      </c>
      <c r="H208" s="61" t="s">
        <v>11</v>
      </c>
      <c r="I208" s="61" t="s">
        <v>159</v>
      </c>
      <c r="J208" s="61" t="s">
        <v>239</v>
      </c>
      <c r="K208" s="63">
        <v>57.6</v>
      </c>
      <c r="L208" s="63">
        <f t="shared" si="30"/>
        <v>57.6</v>
      </c>
      <c r="M208" s="64">
        <f>prodnorm31</f>
        <v>0</v>
      </c>
      <c r="N208" s="65">
        <f>dagwerk31</f>
        <v>0</v>
      </c>
      <c r="O208" s="61" t="s">
        <v>43</v>
      </c>
      <c r="P208" s="66">
        <f>uurtarief31</f>
        <v>0</v>
      </c>
      <c r="Q208" s="63" t="e">
        <f t="shared" si="31"/>
        <v>#DIV/0!</v>
      </c>
      <c r="R208" s="63" t="e">
        <f t="shared" si="32"/>
        <v>#DIV/0!</v>
      </c>
      <c r="S208" s="66" t="e">
        <f t="shared" si="33"/>
        <v>#DIV/0!</v>
      </c>
      <c r="T208" s="63" t="e">
        <f t="shared" si="34"/>
        <v>#DIV/0!</v>
      </c>
      <c r="U208" s="67" t="e">
        <f t="shared" si="35"/>
        <v>#DIV/0!</v>
      </c>
    </row>
    <row r="209" spans="1:21" x14ac:dyDescent="0.2">
      <c r="A209" s="60" t="s">
        <v>415</v>
      </c>
      <c r="B209" s="61" t="s">
        <v>230</v>
      </c>
      <c r="C209" s="61" t="s">
        <v>231</v>
      </c>
      <c r="D209" s="61" t="s">
        <v>292</v>
      </c>
      <c r="E209" s="62" t="s">
        <v>437</v>
      </c>
      <c r="F209" s="61" t="s">
        <v>397</v>
      </c>
      <c r="G209" s="61" t="s">
        <v>158</v>
      </c>
      <c r="H209" s="61" t="s">
        <v>20</v>
      </c>
      <c r="I209" s="61" t="s">
        <v>159</v>
      </c>
      <c r="J209" s="61" t="s">
        <v>282</v>
      </c>
      <c r="K209" s="63">
        <v>24.2</v>
      </c>
      <c r="L209" s="63">
        <f t="shared" si="30"/>
        <v>4.84</v>
      </c>
      <c r="M209" s="64">
        <f>prodnorm15</f>
        <v>0</v>
      </c>
      <c r="N209" s="65">
        <f>dagwerk15</f>
        <v>0</v>
      </c>
      <c r="O209" s="61" t="s">
        <v>43</v>
      </c>
      <c r="P209" s="66">
        <f>uurtarief15</f>
        <v>0</v>
      </c>
      <c r="Q209" s="63" t="e">
        <f t="shared" si="31"/>
        <v>#DIV/0!</v>
      </c>
      <c r="R209" s="63" t="e">
        <f t="shared" si="32"/>
        <v>#DIV/0!</v>
      </c>
      <c r="S209" s="66" t="e">
        <f t="shared" si="33"/>
        <v>#DIV/0!</v>
      </c>
      <c r="T209" s="63" t="e">
        <f t="shared" si="34"/>
        <v>#DIV/0!</v>
      </c>
      <c r="U209" s="67" t="e">
        <f t="shared" si="35"/>
        <v>#DIV/0!</v>
      </c>
    </row>
    <row r="210" spans="1:21" x14ac:dyDescent="0.2">
      <c r="A210" s="60" t="s">
        <v>415</v>
      </c>
      <c r="B210" s="61" t="s">
        <v>230</v>
      </c>
      <c r="C210" s="61" t="s">
        <v>231</v>
      </c>
      <c r="D210" s="61" t="s">
        <v>294</v>
      </c>
      <c r="E210" s="62" t="s">
        <v>438</v>
      </c>
      <c r="F210" s="61" t="s">
        <v>234</v>
      </c>
      <c r="G210" s="61" t="s">
        <v>161</v>
      </c>
      <c r="H210" s="61" t="s">
        <v>20</v>
      </c>
      <c r="I210" s="61" t="s">
        <v>159</v>
      </c>
      <c r="J210" s="61" t="s">
        <v>282</v>
      </c>
      <c r="K210" s="63">
        <v>13.9</v>
      </c>
      <c r="L210" s="63">
        <f t="shared" si="30"/>
        <v>2.7800000000000002</v>
      </c>
      <c r="M210" s="64">
        <f>prodnorm19</f>
        <v>0</v>
      </c>
      <c r="N210" s="65">
        <f>dagwerk19</f>
        <v>0</v>
      </c>
      <c r="O210" s="61" t="s">
        <v>43</v>
      </c>
      <c r="P210" s="66">
        <f>uurtarief19</f>
        <v>0</v>
      </c>
      <c r="Q210" s="63" t="e">
        <f t="shared" si="31"/>
        <v>#DIV/0!</v>
      </c>
      <c r="R210" s="63" t="e">
        <f t="shared" si="32"/>
        <v>#DIV/0!</v>
      </c>
      <c r="S210" s="66" t="e">
        <f t="shared" si="33"/>
        <v>#DIV/0!</v>
      </c>
      <c r="T210" s="63" t="e">
        <f t="shared" si="34"/>
        <v>#DIV/0!</v>
      </c>
      <c r="U210" s="67" t="e">
        <f t="shared" si="35"/>
        <v>#DIV/0!</v>
      </c>
    </row>
    <row r="211" spans="1:21" x14ac:dyDescent="0.2">
      <c r="A211" s="60" t="s">
        <v>415</v>
      </c>
      <c r="B211" s="61" t="s">
        <v>230</v>
      </c>
      <c r="C211" s="61" t="s">
        <v>231</v>
      </c>
      <c r="D211" s="61" t="s">
        <v>295</v>
      </c>
      <c r="E211" s="62" t="s">
        <v>439</v>
      </c>
      <c r="F211" s="61" t="s">
        <v>425</v>
      </c>
      <c r="G211" s="61" t="s">
        <v>195</v>
      </c>
      <c r="H211" s="61" t="s">
        <v>11</v>
      </c>
      <c r="I211" s="61" t="s">
        <v>159</v>
      </c>
      <c r="J211" s="61" t="s">
        <v>257</v>
      </c>
      <c r="K211" s="63">
        <v>8.6999999999999993</v>
      </c>
      <c r="L211" s="63">
        <f t="shared" si="30"/>
        <v>8.6999999999999993</v>
      </c>
      <c r="M211" s="64">
        <f>prodnorm49</f>
        <v>0</v>
      </c>
      <c r="N211" s="65">
        <f>dagwerk49</f>
        <v>0</v>
      </c>
      <c r="O211" s="61" t="s">
        <v>43</v>
      </c>
      <c r="P211" s="66">
        <f>uurtarief49</f>
        <v>0</v>
      </c>
      <c r="Q211" s="63" t="e">
        <f t="shared" si="31"/>
        <v>#DIV/0!</v>
      </c>
      <c r="R211" s="63" t="e">
        <f t="shared" si="32"/>
        <v>#DIV/0!</v>
      </c>
      <c r="S211" s="66" t="e">
        <f t="shared" si="33"/>
        <v>#DIV/0!</v>
      </c>
      <c r="T211" s="63" t="e">
        <f t="shared" si="34"/>
        <v>#DIV/0!</v>
      </c>
      <c r="U211" s="67" t="e">
        <f t="shared" si="35"/>
        <v>#DIV/0!</v>
      </c>
    </row>
    <row r="212" spans="1:21" x14ac:dyDescent="0.2">
      <c r="A212" s="60" t="s">
        <v>415</v>
      </c>
      <c r="B212" s="61" t="s">
        <v>230</v>
      </c>
      <c r="C212" s="61" t="s">
        <v>231</v>
      </c>
      <c r="D212" s="61" t="s">
        <v>298</v>
      </c>
      <c r="E212" s="62" t="s">
        <v>440</v>
      </c>
      <c r="F212" s="61" t="s">
        <v>238</v>
      </c>
      <c r="G212" s="61" t="s">
        <v>175</v>
      </c>
      <c r="H212" s="61" t="s">
        <v>22</v>
      </c>
      <c r="I212" s="61" t="s">
        <v>159</v>
      </c>
      <c r="J212" s="61" t="s">
        <v>239</v>
      </c>
      <c r="K212" s="63">
        <v>48.2</v>
      </c>
      <c r="L212" s="63">
        <f t="shared" si="30"/>
        <v>2.8919999999999999</v>
      </c>
      <c r="M212" s="64">
        <f>prodnorm30</f>
        <v>0</v>
      </c>
      <c r="N212" s="65">
        <f>dagwerk30</f>
        <v>0</v>
      </c>
      <c r="O212" s="61" t="s">
        <v>43</v>
      </c>
      <c r="P212" s="66">
        <f>uurtarief30</f>
        <v>0</v>
      </c>
      <c r="Q212" s="63" t="e">
        <f t="shared" si="31"/>
        <v>#DIV/0!</v>
      </c>
      <c r="R212" s="63" t="e">
        <f t="shared" si="32"/>
        <v>#DIV/0!</v>
      </c>
      <c r="S212" s="66" t="e">
        <f t="shared" si="33"/>
        <v>#DIV/0!</v>
      </c>
      <c r="T212" s="63" t="e">
        <f t="shared" si="34"/>
        <v>#DIV/0!</v>
      </c>
      <c r="U212" s="67" t="e">
        <f t="shared" si="35"/>
        <v>#DIV/0!</v>
      </c>
    </row>
    <row r="213" spans="1:21" x14ac:dyDescent="0.2">
      <c r="A213" s="60" t="s">
        <v>415</v>
      </c>
      <c r="B213" s="61" t="s">
        <v>230</v>
      </c>
      <c r="C213" s="61" t="s">
        <v>231</v>
      </c>
      <c r="D213" s="61" t="s">
        <v>303</v>
      </c>
      <c r="E213" s="62" t="s">
        <v>441</v>
      </c>
      <c r="F213" s="61" t="s">
        <v>425</v>
      </c>
      <c r="G213" s="61" t="s">
        <v>191</v>
      </c>
      <c r="H213" s="61" t="s">
        <v>11</v>
      </c>
      <c r="I213" s="61" t="s">
        <v>159</v>
      </c>
      <c r="J213" s="61" t="s">
        <v>257</v>
      </c>
      <c r="K213" s="63">
        <v>11.1</v>
      </c>
      <c r="L213" s="63">
        <f t="shared" si="30"/>
        <v>11.1</v>
      </c>
      <c r="M213" s="64">
        <f>prodnorm45</f>
        <v>0</v>
      </c>
      <c r="N213" s="65">
        <f>dagwerk45</f>
        <v>0</v>
      </c>
      <c r="O213" s="61" t="s">
        <v>43</v>
      </c>
      <c r="P213" s="66">
        <f>uurtarief45</f>
        <v>0</v>
      </c>
      <c r="Q213" s="63" t="e">
        <f t="shared" si="31"/>
        <v>#DIV/0!</v>
      </c>
      <c r="R213" s="63" t="e">
        <f t="shared" si="32"/>
        <v>#DIV/0!</v>
      </c>
      <c r="S213" s="66" t="e">
        <f t="shared" si="33"/>
        <v>#DIV/0!</v>
      </c>
      <c r="T213" s="63" t="e">
        <f t="shared" si="34"/>
        <v>#DIV/0!</v>
      </c>
      <c r="U213" s="67" t="e">
        <f t="shared" si="35"/>
        <v>#DIV/0!</v>
      </c>
    </row>
    <row r="214" spans="1:21" x14ac:dyDescent="0.2">
      <c r="A214" s="60" t="s">
        <v>415</v>
      </c>
      <c r="B214" s="61" t="s">
        <v>230</v>
      </c>
      <c r="C214" s="61" t="s">
        <v>231</v>
      </c>
      <c r="D214" s="61" t="s">
        <v>384</v>
      </c>
      <c r="E214" s="62" t="s">
        <v>442</v>
      </c>
      <c r="F214" s="61" t="s">
        <v>425</v>
      </c>
      <c r="G214" s="61" t="s">
        <v>195</v>
      </c>
      <c r="H214" s="61" t="s">
        <v>11</v>
      </c>
      <c r="I214" s="61" t="s">
        <v>159</v>
      </c>
      <c r="J214" s="61" t="s">
        <v>257</v>
      </c>
      <c r="K214" s="63">
        <v>10.5</v>
      </c>
      <c r="L214" s="63">
        <f t="shared" si="30"/>
        <v>10.5</v>
      </c>
      <c r="M214" s="64">
        <f>prodnorm49</f>
        <v>0</v>
      </c>
      <c r="N214" s="65">
        <f>dagwerk49</f>
        <v>0</v>
      </c>
      <c r="O214" s="61" t="s">
        <v>43</v>
      </c>
      <c r="P214" s="66">
        <f>uurtarief49</f>
        <v>0</v>
      </c>
      <c r="Q214" s="63" t="e">
        <f t="shared" si="31"/>
        <v>#DIV/0!</v>
      </c>
      <c r="R214" s="63" t="e">
        <f t="shared" si="32"/>
        <v>#DIV/0!</v>
      </c>
      <c r="S214" s="66" t="e">
        <f t="shared" si="33"/>
        <v>#DIV/0!</v>
      </c>
      <c r="T214" s="63" t="e">
        <f t="shared" si="34"/>
        <v>#DIV/0!</v>
      </c>
      <c r="U214" s="67" t="e">
        <f t="shared" si="35"/>
        <v>#DIV/0!</v>
      </c>
    </row>
    <row r="215" spans="1:21" x14ac:dyDescent="0.2">
      <c r="A215" s="60" t="s">
        <v>415</v>
      </c>
      <c r="B215" s="61" t="s">
        <v>230</v>
      </c>
      <c r="C215" s="61" t="s">
        <v>305</v>
      </c>
      <c r="D215" s="61" t="s">
        <v>339</v>
      </c>
      <c r="E215" s="62" t="s">
        <v>376</v>
      </c>
      <c r="F215" s="61" t="s">
        <v>234</v>
      </c>
      <c r="G215" s="61" t="s">
        <v>167</v>
      </c>
      <c r="H215" s="61" t="s">
        <v>11</v>
      </c>
      <c r="I215" s="61" t="s">
        <v>159</v>
      </c>
      <c r="J215" s="61" t="s">
        <v>235</v>
      </c>
      <c r="K215" s="63">
        <v>59.28</v>
      </c>
      <c r="L215" s="63">
        <f t="shared" si="30"/>
        <v>59.28</v>
      </c>
      <c r="M215" s="64">
        <f>prodnorm24</f>
        <v>0</v>
      </c>
      <c r="N215" s="65">
        <f>dagwerk24</f>
        <v>0</v>
      </c>
      <c r="O215" s="61" t="s">
        <v>43</v>
      </c>
      <c r="P215" s="66">
        <f>uurtarief24</f>
        <v>0</v>
      </c>
      <c r="Q215" s="63" t="e">
        <f t="shared" si="31"/>
        <v>#DIV/0!</v>
      </c>
      <c r="R215" s="63" t="e">
        <f t="shared" si="32"/>
        <v>#DIV/0!</v>
      </c>
      <c r="S215" s="66" t="e">
        <f t="shared" si="33"/>
        <v>#DIV/0!</v>
      </c>
      <c r="T215" s="63" t="e">
        <f t="shared" si="34"/>
        <v>#DIV/0!</v>
      </c>
      <c r="U215" s="67" t="e">
        <f t="shared" si="35"/>
        <v>#DIV/0!</v>
      </c>
    </row>
    <row r="216" spans="1:21" x14ac:dyDescent="0.2">
      <c r="A216" s="60" t="s">
        <v>415</v>
      </c>
      <c r="B216" s="61" t="s">
        <v>230</v>
      </c>
      <c r="C216" s="61" t="s">
        <v>305</v>
      </c>
      <c r="D216" s="61" t="s">
        <v>339</v>
      </c>
      <c r="E216" s="62" t="s">
        <v>376</v>
      </c>
      <c r="F216" s="61" t="s">
        <v>256</v>
      </c>
      <c r="G216" s="61" t="s">
        <v>165</v>
      </c>
      <c r="H216" s="61" t="s">
        <v>11</v>
      </c>
      <c r="I216" s="61" t="s">
        <v>159</v>
      </c>
      <c r="J216" s="61" t="s">
        <v>235</v>
      </c>
      <c r="K216" s="63">
        <v>59.36</v>
      </c>
      <c r="L216" s="63">
        <f t="shared" si="30"/>
        <v>59.36</v>
      </c>
      <c r="M216" s="64">
        <f>prodnorm23</f>
        <v>0</v>
      </c>
      <c r="N216" s="65">
        <f>dagwerk23</f>
        <v>0</v>
      </c>
      <c r="O216" s="61" t="s">
        <v>43</v>
      </c>
      <c r="P216" s="66">
        <f>uurtarief23</f>
        <v>0</v>
      </c>
      <c r="Q216" s="63" t="e">
        <f t="shared" si="31"/>
        <v>#DIV/0!</v>
      </c>
      <c r="R216" s="63" t="e">
        <f t="shared" si="32"/>
        <v>#DIV/0!</v>
      </c>
      <c r="S216" s="66" t="e">
        <f t="shared" si="33"/>
        <v>#DIV/0!</v>
      </c>
      <c r="T216" s="63" t="e">
        <f t="shared" si="34"/>
        <v>#DIV/0!</v>
      </c>
      <c r="U216" s="67" t="e">
        <f t="shared" si="35"/>
        <v>#DIV/0!</v>
      </c>
    </row>
    <row r="217" spans="1:21" x14ac:dyDescent="0.2">
      <c r="A217" s="60" t="s">
        <v>415</v>
      </c>
      <c r="B217" s="61" t="s">
        <v>230</v>
      </c>
      <c r="C217" s="61" t="s">
        <v>305</v>
      </c>
      <c r="D217" s="61" t="s">
        <v>339</v>
      </c>
      <c r="E217" s="62" t="s">
        <v>376</v>
      </c>
      <c r="F217" s="61" t="s">
        <v>238</v>
      </c>
      <c r="G217" s="61" t="s">
        <v>165</v>
      </c>
      <c r="H217" s="61" t="s">
        <v>11</v>
      </c>
      <c r="I217" s="61" t="s">
        <v>159</v>
      </c>
      <c r="J217" s="61" t="s">
        <v>235</v>
      </c>
      <c r="K217" s="63">
        <v>24.130000000000003</v>
      </c>
      <c r="L217" s="63">
        <f t="shared" si="30"/>
        <v>24.130000000000003</v>
      </c>
      <c r="M217" s="64">
        <f>prodnorm23</f>
        <v>0</v>
      </c>
      <c r="N217" s="65">
        <f>dagwerk23</f>
        <v>0</v>
      </c>
      <c r="O217" s="61" t="s">
        <v>43</v>
      </c>
      <c r="P217" s="66">
        <f>uurtarief23</f>
        <v>0</v>
      </c>
      <c r="Q217" s="63" t="e">
        <f t="shared" si="31"/>
        <v>#DIV/0!</v>
      </c>
      <c r="R217" s="63" t="e">
        <f t="shared" si="32"/>
        <v>#DIV/0!</v>
      </c>
      <c r="S217" s="66" t="e">
        <f t="shared" si="33"/>
        <v>#DIV/0!</v>
      </c>
      <c r="T217" s="63" t="e">
        <f t="shared" si="34"/>
        <v>#DIV/0!</v>
      </c>
      <c r="U217" s="67" t="e">
        <f t="shared" si="35"/>
        <v>#DIV/0!</v>
      </c>
    </row>
    <row r="218" spans="1:21" x14ac:dyDescent="0.2">
      <c r="A218" s="60" t="s">
        <v>415</v>
      </c>
      <c r="B218" s="61" t="s">
        <v>230</v>
      </c>
      <c r="C218" s="61" t="s">
        <v>305</v>
      </c>
      <c r="D218" s="61" t="s">
        <v>443</v>
      </c>
      <c r="E218" s="62" t="s">
        <v>444</v>
      </c>
      <c r="F218" s="61" t="s">
        <v>297</v>
      </c>
      <c r="G218" s="61" t="s">
        <v>195</v>
      </c>
      <c r="H218" s="61" t="s">
        <v>11</v>
      </c>
      <c r="I218" s="61" t="s">
        <v>159</v>
      </c>
      <c r="J218" s="61" t="s">
        <v>257</v>
      </c>
      <c r="K218" s="63">
        <v>1.31</v>
      </c>
      <c r="L218" s="63">
        <f t="shared" si="30"/>
        <v>1.31</v>
      </c>
      <c r="M218" s="64">
        <f>prodnorm49</f>
        <v>0</v>
      </c>
      <c r="N218" s="65">
        <f>dagwerk49</f>
        <v>0</v>
      </c>
      <c r="O218" s="61" t="s">
        <v>43</v>
      </c>
      <c r="P218" s="66">
        <f>uurtarief49</f>
        <v>0</v>
      </c>
      <c r="Q218" s="63" t="e">
        <f t="shared" si="31"/>
        <v>#DIV/0!</v>
      </c>
      <c r="R218" s="63" t="e">
        <f t="shared" si="32"/>
        <v>#DIV/0!</v>
      </c>
      <c r="S218" s="66" t="e">
        <f t="shared" si="33"/>
        <v>#DIV/0!</v>
      </c>
      <c r="T218" s="63" t="e">
        <f t="shared" si="34"/>
        <v>#DIV/0!</v>
      </c>
      <c r="U218" s="67" t="e">
        <f t="shared" si="35"/>
        <v>#DIV/0!</v>
      </c>
    </row>
    <row r="219" spans="1:21" x14ac:dyDescent="0.2">
      <c r="A219" s="60" t="s">
        <v>415</v>
      </c>
      <c r="B219" s="61" t="s">
        <v>230</v>
      </c>
      <c r="C219" s="61" t="s">
        <v>305</v>
      </c>
      <c r="D219" s="61" t="s">
        <v>341</v>
      </c>
      <c r="E219" s="62" t="s">
        <v>445</v>
      </c>
      <c r="F219" s="61" t="s">
        <v>297</v>
      </c>
      <c r="G219" s="61" t="s">
        <v>195</v>
      </c>
      <c r="H219" s="61" t="s">
        <v>11</v>
      </c>
      <c r="I219" s="61" t="s">
        <v>159</v>
      </c>
      <c r="J219" s="61" t="s">
        <v>257</v>
      </c>
      <c r="K219" s="63">
        <v>1.22</v>
      </c>
      <c r="L219" s="63">
        <f t="shared" si="30"/>
        <v>1.22</v>
      </c>
      <c r="M219" s="64">
        <f>prodnorm49</f>
        <v>0</v>
      </c>
      <c r="N219" s="65">
        <f>dagwerk49</f>
        <v>0</v>
      </c>
      <c r="O219" s="61" t="s">
        <v>43</v>
      </c>
      <c r="P219" s="66">
        <f>uurtarief49</f>
        <v>0</v>
      </c>
      <c r="Q219" s="63" t="e">
        <f t="shared" si="31"/>
        <v>#DIV/0!</v>
      </c>
      <c r="R219" s="63" t="e">
        <f t="shared" si="32"/>
        <v>#DIV/0!</v>
      </c>
      <c r="S219" s="66" t="e">
        <f t="shared" si="33"/>
        <v>#DIV/0!</v>
      </c>
      <c r="T219" s="63" t="e">
        <f t="shared" si="34"/>
        <v>#DIV/0!</v>
      </c>
      <c r="U219" s="67" t="e">
        <f t="shared" si="35"/>
        <v>#DIV/0!</v>
      </c>
    </row>
    <row r="220" spans="1:21" x14ac:dyDescent="0.2">
      <c r="A220" s="60" t="s">
        <v>415</v>
      </c>
      <c r="B220" s="61" t="s">
        <v>230</v>
      </c>
      <c r="C220" s="61" t="s">
        <v>305</v>
      </c>
      <c r="D220" s="61" t="s">
        <v>306</v>
      </c>
      <c r="E220" s="62" t="s">
        <v>430</v>
      </c>
      <c r="F220" s="61" t="s">
        <v>297</v>
      </c>
      <c r="G220" s="61" t="s">
        <v>173</v>
      </c>
      <c r="H220" s="61" t="s">
        <v>11</v>
      </c>
      <c r="I220" s="61" t="s">
        <v>159</v>
      </c>
      <c r="J220" s="61" t="s">
        <v>235</v>
      </c>
      <c r="K220" s="63">
        <v>6.6599999999999993</v>
      </c>
      <c r="L220" s="63">
        <f t="shared" si="30"/>
        <v>6.6599999999999993</v>
      </c>
      <c r="M220" s="64">
        <f>prodnorm28</f>
        <v>0</v>
      </c>
      <c r="N220" s="65">
        <f>dagwerk28</f>
        <v>0</v>
      </c>
      <c r="O220" s="61" t="s">
        <v>43</v>
      </c>
      <c r="P220" s="66">
        <f>uurtarief28</f>
        <v>0</v>
      </c>
      <c r="Q220" s="63" t="e">
        <f t="shared" si="31"/>
        <v>#DIV/0!</v>
      </c>
      <c r="R220" s="63" t="e">
        <f t="shared" si="32"/>
        <v>#DIV/0!</v>
      </c>
      <c r="S220" s="66" t="e">
        <f t="shared" si="33"/>
        <v>#DIV/0!</v>
      </c>
      <c r="T220" s="63" t="e">
        <f t="shared" si="34"/>
        <v>#DIV/0!</v>
      </c>
      <c r="U220" s="67" t="e">
        <f t="shared" si="35"/>
        <v>#DIV/0!</v>
      </c>
    </row>
    <row r="221" spans="1:21" x14ac:dyDescent="0.2">
      <c r="A221" s="68" t="s">
        <v>415</v>
      </c>
      <c r="B221" s="69" t="s">
        <v>230</v>
      </c>
      <c r="C221" s="69" t="s">
        <v>305</v>
      </c>
      <c r="D221" s="69" t="s">
        <v>342</v>
      </c>
      <c r="E221" s="70" t="s">
        <v>446</v>
      </c>
      <c r="F221" s="69" t="s">
        <v>256</v>
      </c>
      <c r="G221" s="69" t="s">
        <v>211</v>
      </c>
      <c r="H221" s="69" t="s">
        <v>20</v>
      </c>
      <c r="I221" s="69" t="s">
        <v>159</v>
      </c>
      <c r="J221" s="69" t="s">
        <v>235</v>
      </c>
      <c r="K221" s="71">
        <v>5.3599999999999994</v>
      </c>
      <c r="L221" s="71">
        <f t="shared" si="30"/>
        <v>1.0719999999999998</v>
      </c>
      <c r="M221" s="72">
        <f>prodnorm65</f>
        <v>0</v>
      </c>
      <c r="N221" s="73">
        <f>dagwerk65</f>
        <v>0</v>
      </c>
      <c r="O221" s="69" t="s">
        <v>43</v>
      </c>
      <c r="P221" s="74">
        <f>uurtarief65</f>
        <v>0</v>
      </c>
      <c r="Q221" s="71" t="e">
        <f t="shared" si="31"/>
        <v>#DIV/0!</v>
      </c>
      <c r="R221" s="71" t="e">
        <f t="shared" si="32"/>
        <v>#DIV/0!</v>
      </c>
      <c r="S221" s="74" t="e">
        <f t="shared" si="33"/>
        <v>#DIV/0!</v>
      </c>
      <c r="T221" s="71" t="e">
        <f t="shared" si="34"/>
        <v>#DIV/0!</v>
      </c>
      <c r="U221" s="75" t="e">
        <f t="shared" si="35"/>
        <v>#DIV/0!</v>
      </c>
    </row>
    <row r="222" spans="1:21" x14ac:dyDescent="0.2">
      <c r="A222" s="76" t="s">
        <v>319</v>
      </c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5" t="e">
        <f>IF(_xlfn.SINGLE(object5_urenjaar1)&gt;0,_xlfn.SINGLE(object5_prijsjaar1)/_xlfn.SINGLE(object5_urenjaar1),0)</f>
        <v>#DIV/0!</v>
      </c>
      <c r="Q222" s="44" t="e">
        <f>SUM(Q182:Q221)</f>
        <v>#DIV/0!</v>
      </c>
      <c r="R222" s="44" t="e">
        <f>SUM(R182:R221)</f>
        <v>#DIV/0!</v>
      </c>
      <c r="S222" s="45" t="e">
        <f>SUM(S182:S221)</f>
        <v>#DIV/0!</v>
      </c>
      <c r="T222" s="44" t="e">
        <f>SUM(T182:T221)</f>
        <v>#DIV/0!</v>
      </c>
      <c r="U222" s="46" t="e">
        <f>SUM(U182:U221)</f>
        <v>#DIV/0!</v>
      </c>
    </row>
    <row r="223" spans="1:21" x14ac:dyDescent="0.2">
      <c r="A223" s="51" t="s">
        <v>447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41"/>
    </row>
    <row r="224" spans="1:21" x14ac:dyDescent="0.2">
      <c r="A224" s="52" t="s">
        <v>448</v>
      </c>
      <c r="B224" s="53" t="s">
        <v>230</v>
      </c>
      <c r="C224" s="53" t="s">
        <v>231</v>
      </c>
      <c r="D224" s="53" t="s">
        <v>232</v>
      </c>
      <c r="E224" s="54" t="s">
        <v>322</v>
      </c>
      <c r="F224" s="53" t="s">
        <v>234</v>
      </c>
      <c r="G224" s="53" t="s">
        <v>205</v>
      </c>
      <c r="H224" s="53" t="s">
        <v>11</v>
      </c>
      <c r="I224" s="53" t="s">
        <v>159</v>
      </c>
      <c r="J224" s="53" t="s">
        <v>235</v>
      </c>
      <c r="K224" s="55">
        <v>10.1</v>
      </c>
      <c r="L224" s="55">
        <f t="shared" ref="L224:L256" si="36">K224*VLOOKUP(H224,dagsoorttabel1,2,FALSE)</f>
        <v>10.1</v>
      </c>
      <c r="M224" s="56">
        <f>prodnorm58</f>
        <v>0</v>
      </c>
      <c r="N224" s="57">
        <f>dagwerk58</f>
        <v>0</v>
      </c>
      <c r="O224" s="53" t="s">
        <v>43</v>
      </c>
      <c r="P224" s="58">
        <f>uurtarief58</f>
        <v>0</v>
      </c>
      <c r="Q224" s="55" t="e">
        <f t="shared" ref="Q224:Q256" si="37">IF(ISBLANK(M224),0,L224/ROUND(M224,4))</f>
        <v>#DIV/0!</v>
      </c>
      <c r="R224" s="55" t="e">
        <f t="shared" ref="R224:R256" si="38">IF(ISBLANK(M224),0,Q224*ROUND(N224,2))</f>
        <v>#DIV/0!</v>
      </c>
      <c r="S224" s="58" t="e">
        <f t="shared" ref="S224:S256" si="39">ROUND(P224,2)*Q224</f>
        <v>#DIV/0!</v>
      </c>
      <c r="T224" s="55" t="e">
        <f t="shared" ref="T224:T256" si="40">Q224*dagenperjaar1</f>
        <v>#DIV/0!</v>
      </c>
      <c r="U224" s="59" t="e">
        <f t="shared" ref="U224:U256" si="41">T224*ROUND(P224,2)</f>
        <v>#DIV/0!</v>
      </c>
    </row>
    <row r="225" spans="1:21" x14ac:dyDescent="0.2">
      <c r="A225" s="60" t="s">
        <v>448</v>
      </c>
      <c r="B225" s="61" t="s">
        <v>230</v>
      </c>
      <c r="C225" s="61" t="s">
        <v>231</v>
      </c>
      <c r="D225" s="61" t="s">
        <v>236</v>
      </c>
      <c r="E225" s="62" t="s">
        <v>449</v>
      </c>
      <c r="F225" s="61" t="s">
        <v>234</v>
      </c>
      <c r="G225" s="61" t="s">
        <v>205</v>
      </c>
      <c r="H225" s="61" t="s">
        <v>11</v>
      </c>
      <c r="I225" s="61" t="s">
        <v>159</v>
      </c>
      <c r="J225" s="61" t="s">
        <v>235</v>
      </c>
      <c r="K225" s="63">
        <v>12.1</v>
      </c>
      <c r="L225" s="63">
        <f t="shared" si="36"/>
        <v>12.1</v>
      </c>
      <c r="M225" s="64">
        <f>prodnorm58</f>
        <v>0</v>
      </c>
      <c r="N225" s="65">
        <f>dagwerk58</f>
        <v>0</v>
      </c>
      <c r="O225" s="61" t="s">
        <v>43</v>
      </c>
      <c r="P225" s="66">
        <f>uurtarief58</f>
        <v>0</v>
      </c>
      <c r="Q225" s="63" t="e">
        <f t="shared" si="37"/>
        <v>#DIV/0!</v>
      </c>
      <c r="R225" s="63" t="e">
        <f t="shared" si="38"/>
        <v>#DIV/0!</v>
      </c>
      <c r="S225" s="66" t="e">
        <f t="shared" si="39"/>
        <v>#DIV/0!</v>
      </c>
      <c r="T225" s="63" t="e">
        <f t="shared" si="40"/>
        <v>#DIV/0!</v>
      </c>
      <c r="U225" s="67" t="e">
        <f t="shared" si="41"/>
        <v>#DIV/0!</v>
      </c>
    </row>
    <row r="226" spans="1:21" x14ac:dyDescent="0.2">
      <c r="A226" s="60" t="s">
        <v>448</v>
      </c>
      <c r="B226" s="61" t="s">
        <v>230</v>
      </c>
      <c r="C226" s="61" t="s">
        <v>231</v>
      </c>
      <c r="D226" s="61" t="s">
        <v>245</v>
      </c>
      <c r="E226" s="62" t="s">
        <v>446</v>
      </c>
      <c r="F226" s="61" t="s">
        <v>397</v>
      </c>
      <c r="G226" s="61" t="s">
        <v>211</v>
      </c>
      <c r="H226" s="61" t="s">
        <v>11</v>
      </c>
      <c r="I226" s="61" t="s">
        <v>159</v>
      </c>
      <c r="J226" s="61" t="s">
        <v>235</v>
      </c>
      <c r="K226" s="63">
        <v>43.1</v>
      </c>
      <c r="L226" s="63">
        <f t="shared" si="36"/>
        <v>43.1</v>
      </c>
      <c r="M226" s="64">
        <f>prodnorm64</f>
        <v>0</v>
      </c>
      <c r="N226" s="65">
        <f>dagwerk64</f>
        <v>0</v>
      </c>
      <c r="O226" s="61" t="s">
        <v>43</v>
      </c>
      <c r="P226" s="66">
        <f>uurtarief64</f>
        <v>0</v>
      </c>
      <c r="Q226" s="63" t="e">
        <f t="shared" si="37"/>
        <v>#DIV/0!</v>
      </c>
      <c r="R226" s="63" t="e">
        <f t="shared" si="38"/>
        <v>#DIV/0!</v>
      </c>
      <c r="S226" s="66" t="e">
        <f t="shared" si="39"/>
        <v>#DIV/0!</v>
      </c>
      <c r="T226" s="63" t="e">
        <f t="shared" si="40"/>
        <v>#DIV/0!</v>
      </c>
      <c r="U226" s="67" t="e">
        <f t="shared" si="41"/>
        <v>#DIV/0!</v>
      </c>
    </row>
    <row r="227" spans="1:21" x14ac:dyDescent="0.2">
      <c r="A227" s="60" t="s">
        <v>448</v>
      </c>
      <c r="B227" s="61" t="s">
        <v>230</v>
      </c>
      <c r="C227" s="61" t="s">
        <v>231</v>
      </c>
      <c r="D227" s="61" t="s">
        <v>248</v>
      </c>
      <c r="E227" s="62" t="s">
        <v>450</v>
      </c>
      <c r="F227" s="61" t="s">
        <v>397</v>
      </c>
      <c r="G227" s="61" t="s">
        <v>207</v>
      </c>
      <c r="H227" s="61" t="s">
        <v>11</v>
      </c>
      <c r="I227" s="61" t="s">
        <v>159</v>
      </c>
      <c r="J227" s="61" t="s">
        <v>235</v>
      </c>
      <c r="K227" s="63">
        <v>101.2</v>
      </c>
      <c r="L227" s="63">
        <f t="shared" si="36"/>
        <v>101.2</v>
      </c>
      <c r="M227" s="64">
        <f>prodnorm60</f>
        <v>0</v>
      </c>
      <c r="N227" s="65">
        <f>dagwerk60</f>
        <v>0</v>
      </c>
      <c r="O227" s="61" t="s">
        <v>43</v>
      </c>
      <c r="P227" s="66">
        <f>uurtarief60</f>
        <v>0</v>
      </c>
      <c r="Q227" s="63" t="e">
        <f t="shared" si="37"/>
        <v>#DIV/0!</v>
      </c>
      <c r="R227" s="63" t="e">
        <f t="shared" si="38"/>
        <v>#DIV/0!</v>
      </c>
      <c r="S227" s="66" t="e">
        <f t="shared" si="39"/>
        <v>#DIV/0!</v>
      </c>
      <c r="T227" s="63" t="e">
        <f t="shared" si="40"/>
        <v>#DIV/0!</v>
      </c>
      <c r="U227" s="67" t="e">
        <f t="shared" si="41"/>
        <v>#DIV/0!</v>
      </c>
    </row>
    <row r="228" spans="1:21" ht="25.5" x14ac:dyDescent="0.2">
      <c r="A228" s="60" t="s">
        <v>448</v>
      </c>
      <c r="B228" s="61" t="s">
        <v>230</v>
      </c>
      <c r="C228" s="61" t="s">
        <v>231</v>
      </c>
      <c r="D228" s="61" t="s">
        <v>250</v>
      </c>
      <c r="E228" s="62" t="s">
        <v>451</v>
      </c>
      <c r="F228" s="61" t="s">
        <v>238</v>
      </c>
      <c r="G228" s="61" t="s">
        <v>207</v>
      </c>
      <c r="H228" s="61" t="s">
        <v>11</v>
      </c>
      <c r="I228" s="61" t="s">
        <v>159</v>
      </c>
      <c r="J228" s="61" t="s">
        <v>235</v>
      </c>
      <c r="K228" s="63">
        <v>60</v>
      </c>
      <c r="L228" s="63">
        <f t="shared" si="36"/>
        <v>60</v>
      </c>
      <c r="M228" s="64">
        <f>prodnorm60</f>
        <v>0</v>
      </c>
      <c r="N228" s="65">
        <f>dagwerk60</f>
        <v>0</v>
      </c>
      <c r="O228" s="61" t="s">
        <v>43</v>
      </c>
      <c r="P228" s="66">
        <f>uurtarief60</f>
        <v>0</v>
      </c>
      <c r="Q228" s="63" t="e">
        <f t="shared" si="37"/>
        <v>#DIV/0!</v>
      </c>
      <c r="R228" s="63" t="e">
        <f t="shared" si="38"/>
        <v>#DIV/0!</v>
      </c>
      <c r="S228" s="66" t="e">
        <f t="shared" si="39"/>
        <v>#DIV/0!</v>
      </c>
      <c r="T228" s="63" t="e">
        <f t="shared" si="40"/>
        <v>#DIV/0!</v>
      </c>
      <c r="U228" s="67" t="e">
        <f t="shared" si="41"/>
        <v>#DIV/0!</v>
      </c>
    </row>
    <row r="229" spans="1:21" x14ac:dyDescent="0.2">
      <c r="A229" s="60" t="s">
        <v>448</v>
      </c>
      <c r="B229" s="61" t="s">
        <v>230</v>
      </c>
      <c r="C229" s="61" t="s">
        <v>231</v>
      </c>
      <c r="D229" s="61" t="s">
        <v>312</v>
      </c>
      <c r="E229" s="62" t="s">
        <v>452</v>
      </c>
      <c r="F229" s="61" t="s">
        <v>234</v>
      </c>
      <c r="G229" s="61" t="s">
        <v>205</v>
      </c>
      <c r="H229" s="61" t="s">
        <v>11</v>
      </c>
      <c r="I229" s="61" t="s">
        <v>159</v>
      </c>
      <c r="J229" s="61" t="s">
        <v>235</v>
      </c>
      <c r="K229" s="63">
        <v>12.2</v>
      </c>
      <c r="L229" s="63">
        <f t="shared" si="36"/>
        <v>12.2</v>
      </c>
      <c r="M229" s="64">
        <f>prodnorm58</f>
        <v>0</v>
      </c>
      <c r="N229" s="65">
        <f>dagwerk58</f>
        <v>0</v>
      </c>
      <c r="O229" s="61" t="s">
        <v>43</v>
      </c>
      <c r="P229" s="66">
        <f>uurtarief58</f>
        <v>0</v>
      </c>
      <c r="Q229" s="63" t="e">
        <f t="shared" si="37"/>
        <v>#DIV/0!</v>
      </c>
      <c r="R229" s="63" t="e">
        <f t="shared" si="38"/>
        <v>#DIV/0!</v>
      </c>
      <c r="S229" s="66" t="e">
        <f t="shared" si="39"/>
        <v>#DIV/0!</v>
      </c>
      <c r="T229" s="63" t="e">
        <f t="shared" si="40"/>
        <v>#DIV/0!</v>
      </c>
      <c r="U229" s="67" t="e">
        <f t="shared" si="41"/>
        <v>#DIV/0!</v>
      </c>
    </row>
    <row r="230" spans="1:21" x14ac:dyDescent="0.2">
      <c r="A230" s="60" t="s">
        <v>448</v>
      </c>
      <c r="B230" s="61" t="s">
        <v>230</v>
      </c>
      <c r="C230" s="61" t="s">
        <v>231</v>
      </c>
      <c r="D230" s="61" t="s">
        <v>328</v>
      </c>
      <c r="E230" s="62" t="s">
        <v>446</v>
      </c>
      <c r="F230" s="61" t="s">
        <v>397</v>
      </c>
      <c r="G230" s="61" t="s">
        <v>211</v>
      </c>
      <c r="H230" s="61" t="s">
        <v>11</v>
      </c>
      <c r="I230" s="61" t="s">
        <v>159</v>
      </c>
      <c r="J230" s="61" t="s">
        <v>235</v>
      </c>
      <c r="K230" s="63">
        <v>53.5</v>
      </c>
      <c r="L230" s="63">
        <f t="shared" si="36"/>
        <v>53.5</v>
      </c>
      <c r="M230" s="64">
        <f>prodnorm64</f>
        <v>0</v>
      </c>
      <c r="N230" s="65">
        <f>dagwerk64</f>
        <v>0</v>
      </c>
      <c r="O230" s="61" t="s">
        <v>43</v>
      </c>
      <c r="P230" s="66">
        <f>uurtarief64</f>
        <v>0</v>
      </c>
      <c r="Q230" s="63" t="e">
        <f t="shared" si="37"/>
        <v>#DIV/0!</v>
      </c>
      <c r="R230" s="63" t="e">
        <f t="shared" si="38"/>
        <v>#DIV/0!</v>
      </c>
      <c r="S230" s="66" t="e">
        <f t="shared" si="39"/>
        <v>#DIV/0!</v>
      </c>
      <c r="T230" s="63" t="e">
        <f t="shared" si="40"/>
        <v>#DIV/0!</v>
      </c>
      <c r="U230" s="67" t="e">
        <f t="shared" si="41"/>
        <v>#DIV/0!</v>
      </c>
    </row>
    <row r="231" spans="1:21" x14ac:dyDescent="0.2">
      <c r="A231" s="60" t="s">
        <v>448</v>
      </c>
      <c r="B231" s="61" t="s">
        <v>230</v>
      </c>
      <c r="C231" s="61" t="s">
        <v>231</v>
      </c>
      <c r="D231" s="61" t="s">
        <v>254</v>
      </c>
      <c r="E231" s="62" t="s">
        <v>453</v>
      </c>
      <c r="F231" s="61" t="s">
        <v>256</v>
      </c>
      <c r="G231" s="61" t="s">
        <v>158</v>
      </c>
      <c r="H231" s="61" t="s">
        <v>20</v>
      </c>
      <c r="I231" s="61" t="s">
        <v>159</v>
      </c>
      <c r="J231" s="61" t="s">
        <v>282</v>
      </c>
      <c r="K231" s="63">
        <v>17.899999999999999</v>
      </c>
      <c r="L231" s="63">
        <f t="shared" si="36"/>
        <v>3.58</v>
      </c>
      <c r="M231" s="64">
        <f>prodnorm15</f>
        <v>0</v>
      </c>
      <c r="N231" s="65">
        <f>dagwerk15</f>
        <v>0</v>
      </c>
      <c r="O231" s="61" t="s">
        <v>43</v>
      </c>
      <c r="P231" s="66">
        <f>uurtarief15</f>
        <v>0</v>
      </c>
      <c r="Q231" s="63" t="e">
        <f t="shared" si="37"/>
        <v>#DIV/0!</v>
      </c>
      <c r="R231" s="63" t="e">
        <f t="shared" si="38"/>
        <v>#DIV/0!</v>
      </c>
      <c r="S231" s="66" t="e">
        <f t="shared" si="39"/>
        <v>#DIV/0!</v>
      </c>
      <c r="T231" s="63" t="e">
        <f t="shared" si="40"/>
        <v>#DIV/0!</v>
      </c>
      <c r="U231" s="67" t="e">
        <f t="shared" si="41"/>
        <v>#DIV/0!</v>
      </c>
    </row>
    <row r="232" spans="1:21" x14ac:dyDescent="0.2">
      <c r="A232" s="60" t="s">
        <v>448</v>
      </c>
      <c r="B232" s="61" t="s">
        <v>230</v>
      </c>
      <c r="C232" s="61" t="s">
        <v>231</v>
      </c>
      <c r="D232" s="61" t="s">
        <v>258</v>
      </c>
      <c r="E232" s="62" t="s">
        <v>454</v>
      </c>
      <c r="F232" s="61" t="s">
        <v>256</v>
      </c>
      <c r="G232" s="61" t="s">
        <v>185</v>
      </c>
      <c r="H232" s="61" t="s">
        <v>11</v>
      </c>
      <c r="I232" s="61" t="s">
        <v>159</v>
      </c>
      <c r="J232" s="61" t="s">
        <v>235</v>
      </c>
      <c r="K232" s="63">
        <v>51.8</v>
      </c>
      <c r="L232" s="63">
        <f t="shared" si="36"/>
        <v>51.8</v>
      </c>
      <c r="M232" s="64">
        <f>prodnorm40</f>
        <v>0</v>
      </c>
      <c r="N232" s="65">
        <f>dagwerk40</f>
        <v>0</v>
      </c>
      <c r="O232" s="61" t="s">
        <v>43</v>
      </c>
      <c r="P232" s="66">
        <f>uurtarief40</f>
        <v>0</v>
      </c>
      <c r="Q232" s="63" t="e">
        <f t="shared" si="37"/>
        <v>#DIV/0!</v>
      </c>
      <c r="R232" s="63" t="e">
        <f t="shared" si="38"/>
        <v>#DIV/0!</v>
      </c>
      <c r="S232" s="66" t="e">
        <f t="shared" si="39"/>
        <v>#DIV/0!</v>
      </c>
      <c r="T232" s="63" t="e">
        <f t="shared" si="40"/>
        <v>#DIV/0!</v>
      </c>
      <c r="U232" s="67" t="e">
        <f t="shared" si="41"/>
        <v>#DIV/0!</v>
      </c>
    </row>
    <row r="233" spans="1:21" x14ac:dyDescent="0.2">
      <c r="A233" s="60" t="s">
        <v>448</v>
      </c>
      <c r="B233" s="61" t="s">
        <v>230</v>
      </c>
      <c r="C233" s="61" t="s">
        <v>231</v>
      </c>
      <c r="D233" s="61" t="s">
        <v>259</v>
      </c>
      <c r="E233" s="62" t="s">
        <v>453</v>
      </c>
      <c r="F233" s="61" t="s">
        <v>256</v>
      </c>
      <c r="G233" s="61" t="s">
        <v>158</v>
      </c>
      <c r="H233" s="61" t="s">
        <v>20</v>
      </c>
      <c r="I233" s="61" t="s">
        <v>159</v>
      </c>
      <c r="J233" s="61" t="s">
        <v>282</v>
      </c>
      <c r="K233" s="63">
        <v>18.7</v>
      </c>
      <c r="L233" s="63">
        <f t="shared" si="36"/>
        <v>3.74</v>
      </c>
      <c r="M233" s="64">
        <f>prodnorm15</f>
        <v>0</v>
      </c>
      <c r="N233" s="65">
        <f>dagwerk15</f>
        <v>0</v>
      </c>
      <c r="O233" s="61" t="s">
        <v>43</v>
      </c>
      <c r="P233" s="66">
        <f>uurtarief15</f>
        <v>0</v>
      </c>
      <c r="Q233" s="63" t="e">
        <f t="shared" si="37"/>
        <v>#DIV/0!</v>
      </c>
      <c r="R233" s="63" t="e">
        <f t="shared" si="38"/>
        <v>#DIV/0!</v>
      </c>
      <c r="S233" s="66" t="e">
        <f t="shared" si="39"/>
        <v>#DIV/0!</v>
      </c>
      <c r="T233" s="63" t="e">
        <f t="shared" si="40"/>
        <v>#DIV/0!</v>
      </c>
      <c r="U233" s="67" t="e">
        <f t="shared" si="41"/>
        <v>#DIV/0!</v>
      </c>
    </row>
    <row r="234" spans="1:21" x14ac:dyDescent="0.2">
      <c r="A234" s="60" t="s">
        <v>448</v>
      </c>
      <c r="B234" s="61" t="s">
        <v>230</v>
      </c>
      <c r="C234" s="61" t="s">
        <v>231</v>
      </c>
      <c r="D234" s="61" t="s">
        <v>260</v>
      </c>
      <c r="E234" s="62" t="s">
        <v>455</v>
      </c>
      <c r="F234" s="61" t="s">
        <v>256</v>
      </c>
      <c r="G234" s="61" t="s">
        <v>163</v>
      </c>
      <c r="H234" s="61" t="s">
        <v>11</v>
      </c>
      <c r="I234" s="61" t="s">
        <v>159</v>
      </c>
      <c r="J234" s="61" t="s">
        <v>239</v>
      </c>
      <c r="K234" s="63">
        <v>84</v>
      </c>
      <c r="L234" s="63">
        <f t="shared" si="36"/>
        <v>84</v>
      </c>
      <c r="M234" s="64">
        <f>prodnorm21</f>
        <v>0</v>
      </c>
      <c r="N234" s="65">
        <f>dagwerk21</f>
        <v>0</v>
      </c>
      <c r="O234" s="61" t="s">
        <v>43</v>
      </c>
      <c r="P234" s="66">
        <f>uurtarief21</f>
        <v>0</v>
      </c>
      <c r="Q234" s="63" t="e">
        <f t="shared" si="37"/>
        <v>#DIV/0!</v>
      </c>
      <c r="R234" s="63" t="e">
        <f t="shared" si="38"/>
        <v>#DIV/0!</v>
      </c>
      <c r="S234" s="66" t="e">
        <f t="shared" si="39"/>
        <v>#DIV/0!</v>
      </c>
      <c r="T234" s="63" t="e">
        <f t="shared" si="40"/>
        <v>#DIV/0!</v>
      </c>
      <c r="U234" s="67" t="e">
        <f t="shared" si="41"/>
        <v>#DIV/0!</v>
      </c>
    </row>
    <row r="235" spans="1:21" x14ac:dyDescent="0.2">
      <c r="A235" s="60" t="s">
        <v>448</v>
      </c>
      <c r="B235" s="61" t="s">
        <v>230</v>
      </c>
      <c r="C235" s="61" t="s">
        <v>231</v>
      </c>
      <c r="D235" s="61" t="s">
        <v>265</v>
      </c>
      <c r="E235" s="62" t="s">
        <v>456</v>
      </c>
      <c r="F235" s="61" t="s">
        <v>425</v>
      </c>
      <c r="G235" s="61" t="s">
        <v>195</v>
      </c>
      <c r="H235" s="61" t="s">
        <v>11</v>
      </c>
      <c r="I235" s="61" t="s">
        <v>159</v>
      </c>
      <c r="J235" s="61" t="s">
        <v>257</v>
      </c>
      <c r="K235" s="63">
        <v>5.5</v>
      </c>
      <c r="L235" s="63">
        <f t="shared" si="36"/>
        <v>5.5</v>
      </c>
      <c r="M235" s="64">
        <f>prodnorm49</f>
        <v>0</v>
      </c>
      <c r="N235" s="65">
        <f>dagwerk49</f>
        <v>0</v>
      </c>
      <c r="O235" s="61" t="s">
        <v>43</v>
      </c>
      <c r="P235" s="66">
        <f>uurtarief49</f>
        <v>0</v>
      </c>
      <c r="Q235" s="63" t="e">
        <f t="shared" si="37"/>
        <v>#DIV/0!</v>
      </c>
      <c r="R235" s="63" t="e">
        <f t="shared" si="38"/>
        <v>#DIV/0!</v>
      </c>
      <c r="S235" s="66" t="e">
        <f t="shared" si="39"/>
        <v>#DIV/0!</v>
      </c>
      <c r="T235" s="63" t="e">
        <f t="shared" si="40"/>
        <v>#DIV/0!</v>
      </c>
      <c r="U235" s="67" t="e">
        <f t="shared" si="41"/>
        <v>#DIV/0!</v>
      </c>
    </row>
    <row r="236" spans="1:21" x14ac:dyDescent="0.2">
      <c r="A236" s="60" t="s">
        <v>448</v>
      </c>
      <c r="B236" s="61" t="s">
        <v>230</v>
      </c>
      <c r="C236" s="61" t="s">
        <v>231</v>
      </c>
      <c r="D236" s="61" t="s">
        <v>269</v>
      </c>
      <c r="E236" s="62" t="s">
        <v>332</v>
      </c>
      <c r="F236" s="61" t="s">
        <v>397</v>
      </c>
      <c r="G236" s="61" t="s">
        <v>195</v>
      </c>
      <c r="H236" s="61" t="s">
        <v>11</v>
      </c>
      <c r="I236" s="61" t="s">
        <v>159</v>
      </c>
      <c r="J236" s="61" t="s">
        <v>257</v>
      </c>
      <c r="K236" s="63">
        <v>5.5</v>
      </c>
      <c r="L236" s="63">
        <f t="shared" si="36"/>
        <v>5.5</v>
      </c>
      <c r="M236" s="64">
        <f>prodnorm49</f>
        <v>0</v>
      </c>
      <c r="N236" s="65">
        <f>dagwerk49</f>
        <v>0</v>
      </c>
      <c r="O236" s="61" t="s">
        <v>43</v>
      </c>
      <c r="P236" s="66">
        <f>uurtarief49</f>
        <v>0</v>
      </c>
      <c r="Q236" s="63" t="e">
        <f t="shared" si="37"/>
        <v>#DIV/0!</v>
      </c>
      <c r="R236" s="63" t="e">
        <f t="shared" si="38"/>
        <v>#DIV/0!</v>
      </c>
      <c r="S236" s="66" t="e">
        <f t="shared" si="39"/>
        <v>#DIV/0!</v>
      </c>
      <c r="T236" s="63" t="e">
        <f t="shared" si="40"/>
        <v>#DIV/0!</v>
      </c>
      <c r="U236" s="67" t="e">
        <f t="shared" si="41"/>
        <v>#DIV/0!</v>
      </c>
    </row>
    <row r="237" spans="1:21" x14ac:dyDescent="0.2">
      <c r="A237" s="60" t="s">
        <v>448</v>
      </c>
      <c r="B237" s="61" t="s">
        <v>230</v>
      </c>
      <c r="C237" s="61" t="s">
        <v>231</v>
      </c>
      <c r="D237" s="61" t="s">
        <v>272</v>
      </c>
      <c r="E237" s="62" t="s">
        <v>457</v>
      </c>
      <c r="F237" s="61" t="s">
        <v>256</v>
      </c>
      <c r="G237" s="61" t="s">
        <v>158</v>
      </c>
      <c r="H237" s="61" t="s">
        <v>20</v>
      </c>
      <c r="I237" s="61" t="s">
        <v>159</v>
      </c>
      <c r="J237" s="61" t="s">
        <v>282</v>
      </c>
      <c r="K237" s="63">
        <v>10.8</v>
      </c>
      <c r="L237" s="63">
        <f t="shared" si="36"/>
        <v>2.16</v>
      </c>
      <c r="M237" s="64">
        <f>prodnorm15</f>
        <v>0</v>
      </c>
      <c r="N237" s="65">
        <f>dagwerk15</f>
        <v>0</v>
      </c>
      <c r="O237" s="61" t="s">
        <v>43</v>
      </c>
      <c r="P237" s="66">
        <f>uurtarief15</f>
        <v>0</v>
      </c>
      <c r="Q237" s="63" t="e">
        <f t="shared" si="37"/>
        <v>#DIV/0!</v>
      </c>
      <c r="R237" s="63" t="e">
        <f t="shared" si="38"/>
        <v>#DIV/0!</v>
      </c>
      <c r="S237" s="66" t="e">
        <f t="shared" si="39"/>
        <v>#DIV/0!</v>
      </c>
      <c r="T237" s="63" t="e">
        <f t="shared" si="40"/>
        <v>#DIV/0!</v>
      </c>
      <c r="U237" s="67" t="e">
        <f t="shared" si="41"/>
        <v>#DIV/0!</v>
      </c>
    </row>
    <row r="238" spans="1:21" ht="25.5" x14ac:dyDescent="0.2">
      <c r="A238" s="60" t="s">
        <v>448</v>
      </c>
      <c r="B238" s="61" t="s">
        <v>230</v>
      </c>
      <c r="C238" s="61" t="s">
        <v>231</v>
      </c>
      <c r="D238" s="61" t="s">
        <v>275</v>
      </c>
      <c r="E238" s="62" t="s">
        <v>458</v>
      </c>
      <c r="F238" s="61" t="s">
        <v>238</v>
      </c>
      <c r="G238" s="61" t="s">
        <v>175</v>
      </c>
      <c r="H238" s="61" t="s">
        <v>11</v>
      </c>
      <c r="I238" s="61" t="s">
        <v>159</v>
      </c>
      <c r="J238" s="61" t="s">
        <v>239</v>
      </c>
      <c r="K238" s="63">
        <v>53.6</v>
      </c>
      <c r="L238" s="63">
        <f t="shared" si="36"/>
        <v>53.6</v>
      </c>
      <c r="M238" s="64">
        <f>prodnorm31</f>
        <v>0</v>
      </c>
      <c r="N238" s="65">
        <f>dagwerk31</f>
        <v>0</v>
      </c>
      <c r="O238" s="61" t="s">
        <v>43</v>
      </c>
      <c r="P238" s="66">
        <f>uurtarief31</f>
        <v>0</v>
      </c>
      <c r="Q238" s="63" t="e">
        <f t="shared" si="37"/>
        <v>#DIV/0!</v>
      </c>
      <c r="R238" s="63" t="e">
        <f t="shared" si="38"/>
        <v>#DIV/0!</v>
      </c>
      <c r="S238" s="66" t="e">
        <f t="shared" si="39"/>
        <v>#DIV/0!</v>
      </c>
      <c r="T238" s="63" t="e">
        <f t="shared" si="40"/>
        <v>#DIV/0!</v>
      </c>
      <c r="U238" s="67" t="e">
        <f t="shared" si="41"/>
        <v>#DIV/0!</v>
      </c>
    </row>
    <row r="239" spans="1:21" x14ac:dyDescent="0.2">
      <c r="A239" s="60" t="s">
        <v>448</v>
      </c>
      <c r="B239" s="61" t="s">
        <v>230</v>
      </c>
      <c r="C239" s="61" t="s">
        <v>231</v>
      </c>
      <c r="D239" s="61" t="s">
        <v>399</v>
      </c>
      <c r="E239" s="62" t="s">
        <v>459</v>
      </c>
      <c r="F239" s="61" t="s">
        <v>238</v>
      </c>
      <c r="G239" s="61" t="s">
        <v>179</v>
      </c>
      <c r="H239" s="61" t="s">
        <v>20</v>
      </c>
      <c r="I239" s="61" t="s">
        <v>159</v>
      </c>
      <c r="J239" s="61" t="s">
        <v>239</v>
      </c>
      <c r="K239" s="63">
        <v>7.2</v>
      </c>
      <c r="L239" s="63">
        <f t="shared" si="36"/>
        <v>1.4400000000000002</v>
      </c>
      <c r="M239" s="64">
        <f>prodnorm36</f>
        <v>0</v>
      </c>
      <c r="N239" s="65">
        <f>dagwerk36</f>
        <v>0</v>
      </c>
      <c r="O239" s="61" t="s">
        <v>43</v>
      </c>
      <c r="P239" s="66">
        <f>uurtarief36</f>
        <v>0</v>
      </c>
      <c r="Q239" s="63" t="e">
        <f t="shared" si="37"/>
        <v>#DIV/0!</v>
      </c>
      <c r="R239" s="63" t="e">
        <f t="shared" si="38"/>
        <v>#DIV/0!</v>
      </c>
      <c r="S239" s="66" t="e">
        <f t="shared" si="39"/>
        <v>#DIV/0!</v>
      </c>
      <c r="T239" s="63" t="e">
        <f t="shared" si="40"/>
        <v>#DIV/0!</v>
      </c>
      <c r="U239" s="67" t="e">
        <f t="shared" si="41"/>
        <v>#DIV/0!</v>
      </c>
    </row>
    <row r="240" spans="1:21" ht="25.5" x14ac:dyDescent="0.2">
      <c r="A240" s="60" t="s">
        <v>448</v>
      </c>
      <c r="B240" s="61" t="s">
        <v>230</v>
      </c>
      <c r="C240" s="61" t="s">
        <v>231</v>
      </c>
      <c r="D240" s="61" t="s">
        <v>375</v>
      </c>
      <c r="E240" s="62" t="s">
        <v>458</v>
      </c>
      <c r="F240" s="61" t="s">
        <v>238</v>
      </c>
      <c r="G240" s="61" t="s">
        <v>175</v>
      </c>
      <c r="H240" s="61" t="s">
        <v>11</v>
      </c>
      <c r="I240" s="61" t="s">
        <v>159</v>
      </c>
      <c r="J240" s="61" t="s">
        <v>239</v>
      </c>
      <c r="K240" s="63">
        <v>53.5</v>
      </c>
      <c r="L240" s="63">
        <f t="shared" si="36"/>
        <v>53.5</v>
      </c>
      <c r="M240" s="64">
        <f>prodnorm31</f>
        <v>0</v>
      </c>
      <c r="N240" s="65">
        <f>dagwerk31</f>
        <v>0</v>
      </c>
      <c r="O240" s="61" t="s">
        <v>43</v>
      </c>
      <c r="P240" s="66">
        <f>uurtarief31</f>
        <v>0</v>
      </c>
      <c r="Q240" s="63" t="e">
        <f t="shared" si="37"/>
        <v>#DIV/0!</v>
      </c>
      <c r="R240" s="63" t="e">
        <f t="shared" si="38"/>
        <v>#DIV/0!</v>
      </c>
      <c r="S240" s="66" t="e">
        <f t="shared" si="39"/>
        <v>#DIV/0!</v>
      </c>
      <c r="T240" s="63" t="e">
        <f t="shared" si="40"/>
        <v>#DIV/0!</v>
      </c>
      <c r="U240" s="67" t="e">
        <f t="shared" si="41"/>
        <v>#DIV/0!</v>
      </c>
    </row>
    <row r="241" spans="1:21" x14ac:dyDescent="0.2">
      <c r="A241" s="60" t="s">
        <v>448</v>
      </c>
      <c r="B241" s="61" t="s">
        <v>230</v>
      </c>
      <c r="C241" s="61" t="s">
        <v>231</v>
      </c>
      <c r="D241" s="61" t="s">
        <v>334</v>
      </c>
      <c r="E241" s="62" t="s">
        <v>460</v>
      </c>
      <c r="F241" s="61" t="s">
        <v>397</v>
      </c>
      <c r="G241" s="61" t="s">
        <v>197</v>
      </c>
      <c r="H241" s="61" t="s">
        <v>11</v>
      </c>
      <c r="I241" s="61" t="s">
        <v>159</v>
      </c>
      <c r="J241" s="61" t="s">
        <v>257</v>
      </c>
      <c r="K241" s="63">
        <v>10</v>
      </c>
      <c r="L241" s="63">
        <f t="shared" si="36"/>
        <v>10</v>
      </c>
      <c r="M241" s="64">
        <f>prodnorm52</f>
        <v>0</v>
      </c>
      <c r="N241" s="65">
        <f>dagwerk52</f>
        <v>0</v>
      </c>
      <c r="O241" s="61" t="s">
        <v>43</v>
      </c>
      <c r="P241" s="66">
        <f>uurtarief52</f>
        <v>0</v>
      </c>
      <c r="Q241" s="63" t="e">
        <f t="shared" si="37"/>
        <v>#DIV/0!</v>
      </c>
      <c r="R241" s="63" t="e">
        <f t="shared" si="38"/>
        <v>#DIV/0!</v>
      </c>
      <c r="S241" s="66" t="e">
        <f t="shared" si="39"/>
        <v>#DIV/0!</v>
      </c>
      <c r="T241" s="63" t="e">
        <f t="shared" si="40"/>
        <v>#DIV/0!</v>
      </c>
      <c r="U241" s="67" t="e">
        <f t="shared" si="41"/>
        <v>#DIV/0!</v>
      </c>
    </row>
    <row r="242" spans="1:21" x14ac:dyDescent="0.2">
      <c r="A242" s="60" t="s">
        <v>448</v>
      </c>
      <c r="B242" s="61" t="s">
        <v>230</v>
      </c>
      <c r="C242" s="61" t="s">
        <v>231</v>
      </c>
      <c r="D242" s="61" t="s">
        <v>283</v>
      </c>
      <c r="E242" s="62" t="s">
        <v>430</v>
      </c>
      <c r="F242" s="61" t="s">
        <v>425</v>
      </c>
      <c r="G242" s="61" t="s">
        <v>173</v>
      </c>
      <c r="H242" s="61" t="s">
        <v>11</v>
      </c>
      <c r="I242" s="61" t="s">
        <v>159</v>
      </c>
      <c r="J242" s="61" t="s">
        <v>235</v>
      </c>
      <c r="K242" s="63">
        <v>10.3</v>
      </c>
      <c r="L242" s="63">
        <f t="shared" si="36"/>
        <v>10.3</v>
      </c>
      <c r="M242" s="64">
        <f>prodnorm28</f>
        <v>0</v>
      </c>
      <c r="N242" s="65">
        <f>dagwerk28</f>
        <v>0</v>
      </c>
      <c r="O242" s="61" t="s">
        <v>43</v>
      </c>
      <c r="P242" s="66">
        <f>uurtarief28</f>
        <v>0</v>
      </c>
      <c r="Q242" s="63" t="e">
        <f t="shared" si="37"/>
        <v>#DIV/0!</v>
      </c>
      <c r="R242" s="63" t="e">
        <f t="shared" si="38"/>
        <v>#DIV/0!</v>
      </c>
      <c r="S242" s="66" t="e">
        <f t="shared" si="39"/>
        <v>#DIV/0!</v>
      </c>
      <c r="T242" s="63" t="e">
        <f t="shared" si="40"/>
        <v>#DIV/0!</v>
      </c>
      <c r="U242" s="67" t="e">
        <f t="shared" si="41"/>
        <v>#DIV/0!</v>
      </c>
    </row>
    <row r="243" spans="1:21" x14ac:dyDescent="0.2">
      <c r="A243" s="60" t="s">
        <v>448</v>
      </c>
      <c r="B243" s="61" t="s">
        <v>230</v>
      </c>
      <c r="C243" s="61" t="s">
        <v>231</v>
      </c>
      <c r="D243" s="61" t="s">
        <v>284</v>
      </c>
      <c r="E243" s="62" t="s">
        <v>461</v>
      </c>
      <c r="F243" s="61" t="s">
        <v>425</v>
      </c>
      <c r="G243" s="61" t="s">
        <v>195</v>
      </c>
      <c r="H243" s="61" t="s">
        <v>11</v>
      </c>
      <c r="I243" s="61" t="s">
        <v>159</v>
      </c>
      <c r="J243" s="61" t="s">
        <v>257</v>
      </c>
      <c r="K243" s="63">
        <v>11.2</v>
      </c>
      <c r="L243" s="63">
        <f t="shared" si="36"/>
        <v>11.2</v>
      </c>
      <c r="M243" s="64">
        <f>prodnorm49</f>
        <v>0</v>
      </c>
      <c r="N243" s="65">
        <f>dagwerk49</f>
        <v>0</v>
      </c>
      <c r="O243" s="61" t="s">
        <v>43</v>
      </c>
      <c r="P243" s="66">
        <f>uurtarief49</f>
        <v>0</v>
      </c>
      <c r="Q243" s="63" t="e">
        <f t="shared" si="37"/>
        <v>#DIV/0!</v>
      </c>
      <c r="R243" s="63" t="e">
        <f t="shared" si="38"/>
        <v>#DIV/0!</v>
      </c>
      <c r="S243" s="66" t="e">
        <f t="shared" si="39"/>
        <v>#DIV/0!</v>
      </c>
      <c r="T243" s="63" t="e">
        <f t="shared" si="40"/>
        <v>#DIV/0!</v>
      </c>
      <c r="U243" s="67" t="e">
        <f t="shared" si="41"/>
        <v>#DIV/0!</v>
      </c>
    </row>
    <row r="244" spans="1:21" x14ac:dyDescent="0.2">
      <c r="A244" s="60" t="s">
        <v>448</v>
      </c>
      <c r="B244" s="61" t="s">
        <v>230</v>
      </c>
      <c r="C244" s="61" t="s">
        <v>231</v>
      </c>
      <c r="D244" s="61" t="s">
        <v>285</v>
      </c>
      <c r="E244" s="62" t="s">
        <v>462</v>
      </c>
      <c r="F244" s="61" t="s">
        <v>238</v>
      </c>
      <c r="G244" s="61" t="s">
        <v>209</v>
      </c>
      <c r="H244" s="61" t="s">
        <v>11</v>
      </c>
      <c r="I244" s="61" t="s">
        <v>159</v>
      </c>
      <c r="J244" s="61" t="s">
        <v>235</v>
      </c>
      <c r="K244" s="63">
        <v>52.1</v>
      </c>
      <c r="L244" s="63">
        <f t="shared" si="36"/>
        <v>52.1</v>
      </c>
      <c r="M244" s="64">
        <f>prodnorm62</f>
        <v>0</v>
      </c>
      <c r="N244" s="65">
        <f>dagwerk62</f>
        <v>0</v>
      </c>
      <c r="O244" s="61" t="s">
        <v>43</v>
      </c>
      <c r="P244" s="66">
        <f>uurtarief62</f>
        <v>0</v>
      </c>
      <c r="Q244" s="63" t="e">
        <f t="shared" si="37"/>
        <v>#DIV/0!</v>
      </c>
      <c r="R244" s="63" t="e">
        <f t="shared" si="38"/>
        <v>#DIV/0!</v>
      </c>
      <c r="S244" s="66" t="e">
        <f t="shared" si="39"/>
        <v>#DIV/0!</v>
      </c>
      <c r="T244" s="63" t="e">
        <f t="shared" si="40"/>
        <v>#DIV/0!</v>
      </c>
      <c r="U244" s="67" t="e">
        <f t="shared" si="41"/>
        <v>#DIV/0!</v>
      </c>
    </row>
    <row r="245" spans="1:21" x14ac:dyDescent="0.2">
      <c r="A245" s="60" t="s">
        <v>448</v>
      </c>
      <c r="B245" s="61" t="s">
        <v>230</v>
      </c>
      <c r="C245" s="61" t="s">
        <v>231</v>
      </c>
      <c r="D245" s="61" t="s">
        <v>294</v>
      </c>
      <c r="E245" s="62" t="s">
        <v>463</v>
      </c>
      <c r="F245" s="61" t="s">
        <v>238</v>
      </c>
      <c r="G245" s="61" t="s">
        <v>169</v>
      </c>
      <c r="H245" s="61" t="s">
        <v>11</v>
      </c>
      <c r="I245" s="61" t="s">
        <v>159</v>
      </c>
      <c r="J245" s="61" t="s">
        <v>235</v>
      </c>
      <c r="K245" s="63">
        <v>28.2</v>
      </c>
      <c r="L245" s="63">
        <f t="shared" si="36"/>
        <v>28.2</v>
      </c>
      <c r="M245" s="64">
        <f>prodnorm25</f>
        <v>0</v>
      </c>
      <c r="N245" s="65">
        <f>dagwerk25</f>
        <v>0</v>
      </c>
      <c r="O245" s="61" t="s">
        <v>43</v>
      </c>
      <c r="P245" s="66">
        <f>uurtarief25</f>
        <v>0</v>
      </c>
      <c r="Q245" s="63" t="e">
        <f t="shared" si="37"/>
        <v>#DIV/0!</v>
      </c>
      <c r="R245" s="63" t="e">
        <f t="shared" si="38"/>
        <v>#DIV/0!</v>
      </c>
      <c r="S245" s="66" t="e">
        <f t="shared" si="39"/>
        <v>#DIV/0!</v>
      </c>
      <c r="T245" s="63" t="e">
        <f t="shared" si="40"/>
        <v>#DIV/0!</v>
      </c>
      <c r="U245" s="67" t="e">
        <f t="shared" si="41"/>
        <v>#DIV/0!</v>
      </c>
    </row>
    <row r="246" spans="1:21" x14ac:dyDescent="0.2">
      <c r="A246" s="60" t="s">
        <v>448</v>
      </c>
      <c r="B246" s="61" t="s">
        <v>230</v>
      </c>
      <c r="C246" s="61" t="s">
        <v>231</v>
      </c>
      <c r="D246" s="61" t="s">
        <v>295</v>
      </c>
      <c r="E246" s="62" t="s">
        <v>437</v>
      </c>
      <c r="F246" s="61" t="s">
        <v>238</v>
      </c>
      <c r="G246" s="61" t="s">
        <v>158</v>
      </c>
      <c r="H246" s="61" t="s">
        <v>20</v>
      </c>
      <c r="I246" s="61" t="s">
        <v>159</v>
      </c>
      <c r="J246" s="61" t="s">
        <v>282</v>
      </c>
      <c r="K246" s="63">
        <v>13.6</v>
      </c>
      <c r="L246" s="63">
        <f t="shared" si="36"/>
        <v>2.72</v>
      </c>
      <c r="M246" s="64">
        <f>prodnorm15</f>
        <v>0</v>
      </c>
      <c r="N246" s="65">
        <f>dagwerk15</f>
        <v>0</v>
      </c>
      <c r="O246" s="61" t="s">
        <v>43</v>
      </c>
      <c r="P246" s="66">
        <f>uurtarief15</f>
        <v>0</v>
      </c>
      <c r="Q246" s="63" t="e">
        <f t="shared" si="37"/>
        <v>#DIV/0!</v>
      </c>
      <c r="R246" s="63" t="e">
        <f t="shared" si="38"/>
        <v>#DIV/0!</v>
      </c>
      <c r="S246" s="66" t="e">
        <f t="shared" si="39"/>
        <v>#DIV/0!</v>
      </c>
      <c r="T246" s="63" t="e">
        <f t="shared" si="40"/>
        <v>#DIV/0!</v>
      </c>
      <c r="U246" s="67" t="e">
        <f t="shared" si="41"/>
        <v>#DIV/0!</v>
      </c>
    </row>
    <row r="247" spans="1:21" x14ac:dyDescent="0.2">
      <c r="A247" s="60" t="s">
        <v>448</v>
      </c>
      <c r="B247" s="61" t="s">
        <v>230</v>
      </c>
      <c r="C247" s="61" t="s">
        <v>231</v>
      </c>
      <c r="D247" s="61" t="s">
        <v>298</v>
      </c>
      <c r="E247" s="62" t="s">
        <v>464</v>
      </c>
      <c r="F247" s="61" t="s">
        <v>238</v>
      </c>
      <c r="G247" s="61" t="s">
        <v>158</v>
      </c>
      <c r="H247" s="61" t="s">
        <v>20</v>
      </c>
      <c r="I247" s="61" t="s">
        <v>159</v>
      </c>
      <c r="J247" s="61" t="s">
        <v>282</v>
      </c>
      <c r="K247" s="63">
        <v>13.6</v>
      </c>
      <c r="L247" s="63">
        <f t="shared" si="36"/>
        <v>2.72</v>
      </c>
      <c r="M247" s="64">
        <f>prodnorm15</f>
        <v>0</v>
      </c>
      <c r="N247" s="65">
        <f>dagwerk15</f>
        <v>0</v>
      </c>
      <c r="O247" s="61" t="s">
        <v>43</v>
      </c>
      <c r="P247" s="66">
        <f>uurtarief15</f>
        <v>0</v>
      </c>
      <c r="Q247" s="63" t="e">
        <f t="shared" si="37"/>
        <v>#DIV/0!</v>
      </c>
      <c r="R247" s="63" t="e">
        <f t="shared" si="38"/>
        <v>#DIV/0!</v>
      </c>
      <c r="S247" s="66" t="e">
        <f t="shared" si="39"/>
        <v>#DIV/0!</v>
      </c>
      <c r="T247" s="63" t="e">
        <f t="shared" si="40"/>
        <v>#DIV/0!</v>
      </c>
      <c r="U247" s="67" t="e">
        <f t="shared" si="41"/>
        <v>#DIV/0!</v>
      </c>
    </row>
    <row r="248" spans="1:21" x14ac:dyDescent="0.2">
      <c r="A248" s="60" t="s">
        <v>448</v>
      </c>
      <c r="B248" s="61" t="s">
        <v>230</v>
      </c>
      <c r="C248" s="61" t="s">
        <v>305</v>
      </c>
      <c r="D248" s="61" t="s">
        <v>339</v>
      </c>
      <c r="E248" s="62" t="s">
        <v>465</v>
      </c>
      <c r="F248" s="61" t="s">
        <v>238</v>
      </c>
      <c r="G248" s="61" t="s">
        <v>175</v>
      </c>
      <c r="H248" s="61" t="s">
        <v>18</v>
      </c>
      <c r="I248" s="61" t="s">
        <v>159</v>
      </c>
      <c r="J248" s="61" t="s">
        <v>239</v>
      </c>
      <c r="K248" s="63">
        <v>56.63</v>
      </c>
      <c r="L248" s="63">
        <f t="shared" si="36"/>
        <v>22.652000000000001</v>
      </c>
      <c r="M248" s="64">
        <f>prodnorm33</f>
        <v>0</v>
      </c>
      <c r="N248" s="65">
        <f>dagwerk33</f>
        <v>0</v>
      </c>
      <c r="O248" s="61" t="s">
        <v>43</v>
      </c>
      <c r="P248" s="66">
        <f>uurtarief33</f>
        <v>0</v>
      </c>
      <c r="Q248" s="63" t="e">
        <f t="shared" si="37"/>
        <v>#DIV/0!</v>
      </c>
      <c r="R248" s="63" t="e">
        <f t="shared" si="38"/>
        <v>#DIV/0!</v>
      </c>
      <c r="S248" s="66" t="e">
        <f t="shared" si="39"/>
        <v>#DIV/0!</v>
      </c>
      <c r="T248" s="63" t="e">
        <f t="shared" si="40"/>
        <v>#DIV/0!</v>
      </c>
      <c r="U248" s="67" t="e">
        <f t="shared" si="41"/>
        <v>#DIV/0!</v>
      </c>
    </row>
    <row r="249" spans="1:21" x14ac:dyDescent="0.2">
      <c r="A249" s="60" t="s">
        <v>448</v>
      </c>
      <c r="B249" s="61" t="s">
        <v>230</v>
      </c>
      <c r="C249" s="61" t="s">
        <v>305</v>
      </c>
      <c r="D249" s="61" t="s">
        <v>443</v>
      </c>
      <c r="E249" s="62" t="s">
        <v>446</v>
      </c>
      <c r="F249" s="61" t="s">
        <v>397</v>
      </c>
      <c r="G249" s="61" t="s">
        <v>211</v>
      </c>
      <c r="H249" s="61" t="s">
        <v>11</v>
      </c>
      <c r="I249" s="61" t="s">
        <v>159</v>
      </c>
      <c r="J249" s="61" t="s">
        <v>235</v>
      </c>
      <c r="K249" s="63">
        <v>41.7</v>
      </c>
      <c r="L249" s="63">
        <f t="shared" si="36"/>
        <v>41.7</v>
      </c>
      <c r="M249" s="64">
        <f>prodnorm64</f>
        <v>0</v>
      </c>
      <c r="N249" s="65">
        <f>dagwerk64</f>
        <v>0</v>
      </c>
      <c r="O249" s="61" t="s">
        <v>43</v>
      </c>
      <c r="P249" s="66">
        <f>uurtarief64</f>
        <v>0</v>
      </c>
      <c r="Q249" s="63" t="e">
        <f t="shared" si="37"/>
        <v>#DIV/0!</v>
      </c>
      <c r="R249" s="63" t="e">
        <f t="shared" si="38"/>
        <v>#DIV/0!</v>
      </c>
      <c r="S249" s="66" t="e">
        <f t="shared" si="39"/>
        <v>#DIV/0!</v>
      </c>
      <c r="T249" s="63" t="e">
        <f t="shared" si="40"/>
        <v>#DIV/0!</v>
      </c>
      <c r="U249" s="67" t="e">
        <f t="shared" si="41"/>
        <v>#DIV/0!</v>
      </c>
    </row>
    <row r="250" spans="1:21" x14ac:dyDescent="0.2">
      <c r="A250" s="60" t="s">
        <v>448</v>
      </c>
      <c r="B250" s="61" t="s">
        <v>230</v>
      </c>
      <c r="C250" s="61" t="s">
        <v>305</v>
      </c>
      <c r="D250" s="61" t="s">
        <v>341</v>
      </c>
      <c r="E250" s="62" t="s">
        <v>461</v>
      </c>
      <c r="F250" s="61" t="s">
        <v>425</v>
      </c>
      <c r="G250" s="61" t="s">
        <v>195</v>
      </c>
      <c r="H250" s="61" t="s">
        <v>11</v>
      </c>
      <c r="I250" s="61" t="s">
        <v>159</v>
      </c>
      <c r="J250" s="61" t="s">
        <v>257</v>
      </c>
      <c r="K250" s="63">
        <v>12.3</v>
      </c>
      <c r="L250" s="63">
        <f t="shared" si="36"/>
        <v>12.3</v>
      </c>
      <c r="M250" s="64">
        <f>prodnorm49</f>
        <v>0</v>
      </c>
      <c r="N250" s="65">
        <f>dagwerk49</f>
        <v>0</v>
      </c>
      <c r="O250" s="61" t="s">
        <v>43</v>
      </c>
      <c r="P250" s="66">
        <f>uurtarief49</f>
        <v>0</v>
      </c>
      <c r="Q250" s="63" t="e">
        <f t="shared" si="37"/>
        <v>#DIV/0!</v>
      </c>
      <c r="R250" s="63" t="e">
        <f t="shared" si="38"/>
        <v>#DIV/0!</v>
      </c>
      <c r="S250" s="66" t="e">
        <f t="shared" si="39"/>
        <v>#DIV/0!</v>
      </c>
      <c r="T250" s="63" t="e">
        <f t="shared" si="40"/>
        <v>#DIV/0!</v>
      </c>
      <c r="U250" s="67" t="e">
        <f t="shared" si="41"/>
        <v>#DIV/0!</v>
      </c>
    </row>
    <row r="251" spans="1:21" x14ac:dyDescent="0.2">
      <c r="A251" s="60" t="s">
        <v>448</v>
      </c>
      <c r="B251" s="61" t="s">
        <v>230</v>
      </c>
      <c r="C251" s="61" t="s">
        <v>305</v>
      </c>
      <c r="D251" s="61" t="s">
        <v>342</v>
      </c>
      <c r="E251" s="62" t="s">
        <v>466</v>
      </c>
      <c r="F251" s="61" t="s">
        <v>238</v>
      </c>
      <c r="G251" s="61" t="s">
        <v>207</v>
      </c>
      <c r="H251" s="61" t="s">
        <v>20</v>
      </c>
      <c r="I251" s="61" t="s">
        <v>159</v>
      </c>
      <c r="J251" s="61" t="s">
        <v>235</v>
      </c>
      <c r="K251" s="63">
        <v>34.4</v>
      </c>
      <c r="L251" s="63">
        <f t="shared" si="36"/>
        <v>6.88</v>
      </c>
      <c r="M251" s="64">
        <f>prodnorm61</f>
        <v>0</v>
      </c>
      <c r="N251" s="65">
        <f>dagwerk61</f>
        <v>0</v>
      </c>
      <c r="O251" s="61" t="s">
        <v>43</v>
      </c>
      <c r="P251" s="66">
        <f>uurtarief61</f>
        <v>0</v>
      </c>
      <c r="Q251" s="63" t="e">
        <f t="shared" si="37"/>
        <v>#DIV/0!</v>
      </c>
      <c r="R251" s="63" t="e">
        <f t="shared" si="38"/>
        <v>#DIV/0!</v>
      </c>
      <c r="S251" s="66" t="e">
        <f t="shared" si="39"/>
        <v>#DIV/0!</v>
      </c>
      <c r="T251" s="63" t="e">
        <f t="shared" si="40"/>
        <v>#DIV/0!</v>
      </c>
      <c r="U251" s="67" t="e">
        <f t="shared" si="41"/>
        <v>#DIV/0!</v>
      </c>
    </row>
    <row r="252" spans="1:21" x14ac:dyDescent="0.2">
      <c r="A252" s="60" t="s">
        <v>448</v>
      </c>
      <c r="B252" s="61" t="s">
        <v>230</v>
      </c>
      <c r="C252" s="61" t="s">
        <v>305</v>
      </c>
      <c r="D252" s="61" t="s">
        <v>344</v>
      </c>
      <c r="E252" s="62" t="s">
        <v>461</v>
      </c>
      <c r="F252" s="61" t="s">
        <v>425</v>
      </c>
      <c r="G252" s="61" t="s">
        <v>195</v>
      </c>
      <c r="H252" s="61" t="s">
        <v>11</v>
      </c>
      <c r="I252" s="61" t="s">
        <v>159</v>
      </c>
      <c r="J252" s="61" t="s">
        <v>257</v>
      </c>
      <c r="K252" s="63">
        <v>12.3</v>
      </c>
      <c r="L252" s="63">
        <f t="shared" si="36"/>
        <v>12.3</v>
      </c>
      <c r="M252" s="64">
        <f>prodnorm49</f>
        <v>0</v>
      </c>
      <c r="N252" s="65">
        <f>dagwerk49</f>
        <v>0</v>
      </c>
      <c r="O252" s="61" t="s">
        <v>43</v>
      </c>
      <c r="P252" s="66">
        <f>uurtarief49</f>
        <v>0</v>
      </c>
      <c r="Q252" s="63" t="e">
        <f t="shared" si="37"/>
        <v>#DIV/0!</v>
      </c>
      <c r="R252" s="63" t="e">
        <f t="shared" si="38"/>
        <v>#DIV/0!</v>
      </c>
      <c r="S252" s="66" t="e">
        <f t="shared" si="39"/>
        <v>#DIV/0!</v>
      </c>
      <c r="T252" s="63" t="e">
        <f t="shared" si="40"/>
        <v>#DIV/0!</v>
      </c>
      <c r="U252" s="67" t="e">
        <f t="shared" si="41"/>
        <v>#DIV/0!</v>
      </c>
    </row>
    <row r="253" spans="1:21" x14ac:dyDescent="0.2">
      <c r="A253" s="60" t="s">
        <v>448</v>
      </c>
      <c r="B253" s="61" t="s">
        <v>230</v>
      </c>
      <c r="C253" s="61" t="s">
        <v>305</v>
      </c>
      <c r="D253" s="61" t="s">
        <v>307</v>
      </c>
      <c r="E253" s="62" t="s">
        <v>465</v>
      </c>
      <c r="F253" s="61" t="s">
        <v>238</v>
      </c>
      <c r="G253" s="61" t="s">
        <v>175</v>
      </c>
      <c r="H253" s="61" t="s">
        <v>18</v>
      </c>
      <c r="I253" s="61" t="s">
        <v>159</v>
      </c>
      <c r="J253" s="61" t="s">
        <v>239</v>
      </c>
      <c r="K253" s="63">
        <v>56.6</v>
      </c>
      <c r="L253" s="63">
        <f t="shared" si="36"/>
        <v>22.64</v>
      </c>
      <c r="M253" s="64">
        <f>prodnorm33</f>
        <v>0</v>
      </c>
      <c r="N253" s="65">
        <f>dagwerk33</f>
        <v>0</v>
      </c>
      <c r="O253" s="61" t="s">
        <v>43</v>
      </c>
      <c r="P253" s="66">
        <f>uurtarief33</f>
        <v>0</v>
      </c>
      <c r="Q253" s="63" t="e">
        <f t="shared" si="37"/>
        <v>#DIV/0!</v>
      </c>
      <c r="R253" s="63" t="e">
        <f t="shared" si="38"/>
        <v>#DIV/0!</v>
      </c>
      <c r="S253" s="66" t="e">
        <f t="shared" si="39"/>
        <v>#DIV/0!</v>
      </c>
      <c r="T253" s="63" t="e">
        <f t="shared" si="40"/>
        <v>#DIV/0!</v>
      </c>
      <c r="U253" s="67" t="e">
        <f t="shared" si="41"/>
        <v>#DIV/0!</v>
      </c>
    </row>
    <row r="254" spans="1:21" x14ac:dyDescent="0.2">
      <c r="A254" s="60" t="s">
        <v>448</v>
      </c>
      <c r="B254" s="61" t="s">
        <v>230</v>
      </c>
      <c r="C254" s="61" t="s">
        <v>305</v>
      </c>
      <c r="D254" s="61" t="s">
        <v>348</v>
      </c>
      <c r="E254" s="62" t="s">
        <v>446</v>
      </c>
      <c r="F254" s="61" t="s">
        <v>397</v>
      </c>
      <c r="G254" s="61" t="s">
        <v>211</v>
      </c>
      <c r="H254" s="61" t="s">
        <v>11</v>
      </c>
      <c r="I254" s="61" t="s">
        <v>159</v>
      </c>
      <c r="J254" s="61" t="s">
        <v>235</v>
      </c>
      <c r="K254" s="63">
        <v>41.7</v>
      </c>
      <c r="L254" s="63">
        <f t="shared" si="36"/>
        <v>41.7</v>
      </c>
      <c r="M254" s="64">
        <f>prodnorm64</f>
        <v>0</v>
      </c>
      <c r="N254" s="65">
        <f>dagwerk64</f>
        <v>0</v>
      </c>
      <c r="O254" s="61" t="s">
        <v>43</v>
      </c>
      <c r="P254" s="66">
        <f>uurtarief64</f>
        <v>0</v>
      </c>
      <c r="Q254" s="63" t="e">
        <f t="shared" si="37"/>
        <v>#DIV/0!</v>
      </c>
      <c r="R254" s="63" t="e">
        <f t="shared" si="38"/>
        <v>#DIV/0!</v>
      </c>
      <c r="S254" s="66" t="e">
        <f t="shared" si="39"/>
        <v>#DIV/0!</v>
      </c>
      <c r="T254" s="63" t="e">
        <f t="shared" si="40"/>
        <v>#DIV/0!</v>
      </c>
      <c r="U254" s="67" t="e">
        <f t="shared" si="41"/>
        <v>#DIV/0!</v>
      </c>
    </row>
    <row r="255" spans="1:21" x14ac:dyDescent="0.2">
      <c r="A255" s="60" t="s">
        <v>448</v>
      </c>
      <c r="B255" s="61" t="s">
        <v>230</v>
      </c>
      <c r="C255" s="61" t="s">
        <v>305</v>
      </c>
      <c r="D255" s="61" t="s">
        <v>349</v>
      </c>
      <c r="E255" s="62" t="s">
        <v>465</v>
      </c>
      <c r="F255" s="61" t="s">
        <v>238</v>
      </c>
      <c r="G255" s="61" t="s">
        <v>175</v>
      </c>
      <c r="H255" s="61" t="s">
        <v>18</v>
      </c>
      <c r="I255" s="61" t="s">
        <v>159</v>
      </c>
      <c r="J255" s="61" t="s">
        <v>239</v>
      </c>
      <c r="K255" s="63">
        <v>56.2</v>
      </c>
      <c r="L255" s="63">
        <f t="shared" si="36"/>
        <v>22.480000000000004</v>
      </c>
      <c r="M255" s="64">
        <f>prodnorm33</f>
        <v>0</v>
      </c>
      <c r="N255" s="65">
        <f>dagwerk33</f>
        <v>0</v>
      </c>
      <c r="O255" s="61" t="s">
        <v>43</v>
      </c>
      <c r="P255" s="66">
        <f>uurtarief33</f>
        <v>0</v>
      </c>
      <c r="Q255" s="63" t="e">
        <f t="shared" si="37"/>
        <v>#DIV/0!</v>
      </c>
      <c r="R255" s="63" t="e">
        <f t="shared" si="38"/>
        <v>#DIV/0!</v>
      </c>
      <c r="S255" s="66" t="e">
        <f t="shared" si="39"/>
        <v>#DIV/0!</v>
      </c>
      <c r="T255" s="63" t="e">
        <f t="shared" si="40"/>
        <v>#DIV/0!</v>
      </c>
      <c r="U255" s="67" t="e">
        <f t="shared" si="41"/>
        <v>#DIV/0!</v>
      </c>
    </row>
    <row r="256" spans="1:21" x14ac:dyDescent="0.2">
      <c r="A256" s="68" t="s">
        <v>448</v>
      </c>
      <c r="B256" s="69" t="s">
        <v>230</v>
      </c>
      <c r="C256" s="69" t="s">
        <v>305</v>
      </c>
      <c r="D256" s="69" t="s">
        <v>350</v>
      </c>
      <c r="E256" s="70" t="s">
        <v>465</v>
      </c>
      <c r="F256" s="69" t="s">
        <v>238</v>
      </c>
      <c r="G256" s="69" t="s">
        <v>175</v>
      </c>
      <c r="H256" s="69" t="s">
        <v>18</v>
      </c>
      <c r="I256" s="69" t="s">
        <v>159</v>
      </c>
      <c r="J256" s="69" t="s">
        <v>239</v>
      </c>
      <c r="K256" s="71">
        <v>56.4</v>
      </c>
      <c r="L256" s="71">
        <f t="shared" si="36"/>
        <v>22.560000000000002</v>
      </c>
      <c r="M256" s="72">
        <f>prodnorm33</f>
        <v>0</v>
      </c>
      <c r="N256" s="73">
        <f>dagwerk33</f>
        <v>0</v>
      </c>
      <c r="O256" s="69" t="s">
        <v>43</v>
      </c>
      <c r="P256" s="74">
        <f>uurtarief33</f>
        <v>0</v>
      </c>
      <c r="Q256" s="71" t="e">
        <f t="shared" si="37"/>
        <v>#DIV/0!</v>
      </c>
      <c r="R256" s="71" t="e">
        <f t="shared" si="38"/>
        <v>#DIV/0!</v>
      </c>
      <c r="S256" s="74" t="e">
        <f t="shared" si="39"/>
        <v>#DIV/0!</v>
      </c>
      <c r="T256" s="71" t="e">
        <f t="shared" si="40"/>
        <v>#DIV/0!</v>
      </c>
      <c r="U256" s="75" t="e">
        <f t="shared" si="41"/>
        <v>#DIV/0!</v>
      </c>
    </row>
    <row r="257" spans="1:21" x14ac:dyDescent="0.2">
      <c r="A257" s="76" t="s">
        <v>319</v>
      </c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5" t="e">
        <f>IF(_xlfn.SINGLE(object6_urenjaar1)&gt;0,_xlfn.SINGLE(object6_prijsjaar1)/_xlfn.SINGLE(object6_urenjaar1),0)</f>
        <v>#DIV/0!</v>
      </c>
      <c r="Q257" s="44" t="e">
        <f>SUM(Q224:Q256)</f>
        <v>#DIV/0!</v>
      </c>
      <c r="R257" s="44" t="e">
        <f>SUM(R224:R256)</f>
        <v>#DIV/0!</v>
      </c>
      <c r="S257" s="45" t="e">
        <f>SUM(S224:S256)</f>
        <v>#DIV/0!</v>
      </c>
      <c r="T257" s="44" t="e">
        <f>SUM(T224:T256)</f>
        <v>#DIV/0!</v>
      </c>
      <c r="U257" s="46" t="e">
        <f>SUM(U224:U256)</f>
        <v>#DIV/0!</v>
      </c>
    </row>
    <row r="258" spans="1:21" x14ac:dyDescent="0.2">
      <c r="A258" s="51" t="s">
        <v>467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41"/>
    </row>
    <row r="259" spans="1:21" x14ac:dyDescent="0.2">
      <c r="A259" s="52" t="s">
        <v>468</v>
      </c>
      <c r="B259" s="53" t="s">
        <v>230</v>
      </c>
      <c r="C259" s="53" t="s">
        <v>231</v>
      </c>
      <c r="D259" s="53" t="s">
        <v>232</v>
      </c>
      <c r="E259" s="54" t="s">
        <v>322</v>
      </c>
      <c r="F259" s="53" t="s">
        <v>234</v>
      </c>
      <c r="G259" s="53" t="s">
        <v>205</v>
      </c>
      <c r="H259" s="53" t="s">
        <v>11</v>
      </c>
      <c r="I259" s="53" t="s">
        <v>159</v>
      </c>
      <c r="J259" s="53" t="s">
        <v>235</v>
      </c>
      <c r="K259" s="55">
        <v>23.2</v>
      </c>
      <c r="L259" s="55">
        <f t="shared" ref="L259:L292" si="42">K259*VLOOKUP(H259,dagsoorttabel1,2,FALSE)</f>
        <v>23.2</v>
      </c>
      <c r="M259" s="56">
        <f>prodnorm58</f>
        <v>0</v>
      </c>
      <c r="N259" s="57">
        <f>dagwerk58</f>
        <v>0</v>
      </c>
      <c r="O259" s="53" t="s">
        <v>43</v>
      </c>
      <c r="P259" s="58">
        <f>uurtarief58</f>
        <v>0</v>
      </c>
      <c r="Q259" s="55" t="e">
        <f t="shared" ref="Q259:Q292" si="43">IF(ISBLANK(M259),0,L259/ROUND(M259,4))</f>
        <v>#DIV/0!</v>
      </c>
      <c r="R259" s="55" t="e">
        <f t="shared" ref="R259:R292" si="44">IF(ISBLANK(M259),0,Q259*ROUND(N259,2))</f>
        <v>#DIV/0!</v>
      </c>
      <c r="S259" s="58" t="e">
        <f t="shared" ref="S259:S292" si="45">ROUND(P259,2)*Q259</f>
        <v>#DIV/0!</v>
      </c>
      <c r="T259" s="55" t="e">
        <f t="shared" ref="T259:T292" si="46">Q259*dagenperjaar1</f>
        <v>#DIV/0!</v>
      </c>
      <c r="U259" s="59" t="e">
        <f t="shared" ref="U259:U292" si="47">T259*ROUND(P259,2)</f>
        <v>#DIV/0!</v>
      </c>
    </row>
    <row r="260" spans="1:21" x14ac:dyDescent="0.2">
      <c r="A260" s="60" t="s">
        <v>468</v>
      </c>
      <c r="B260" s="61" t="s">
        <v>230</v>
      </c>
      <c r="C260" s="61" t="s">
        <v>231</v>
      </c>
      <c r="D260" s="61" t="s">
        <v>245</v>
      </c>
      <c r="E260" s="62" t="s">
        <v>469</v>
      </c>
      <c r="F260" s="61" t="s">
        <v>238</v>
      </c>
      <c r="G260" s="61" t="s">
        <v>187</v>
      </c>
      <c r="H260" s="61" t="s">
        <v>18</v>
      </c>
      <c r="I260" s="61" t="s">
        <v>159</v>
      </c>
      <c r="J260" s="61" t="s">
        <v>239</v>
      </c>
      <c r="K260" s="63">
        <v>55.7</v>
      </c>
      <c r="L260" s="63">
        <f t="shared" si="42"/>
        <v>22.28</v>
      </c>
      <c r="M260" s="64">
        <f>prodnorm43</f>
        <v>0</v>
      </c>
      <c r="N260" s="65">
        <f>dagwerk43</f>
        <v>0</v>
      </c>
      <c r="O260" s="61" t="s">
        <v>43</v>
      </c>
      <c r="P260" s="66">
        <f>uurtarief43</f>
        <v>0</v>
      </c>
      <c r="Q260" s="63" t="e">
        <f t="shared" si="43"/>
        <v>#DIV/0!</v>
      </c>
      <c r="R260" s="63" t="e">
        <f t="shared" si="44"/>
        <v>#DIV/0!</v>
      </c>
      <c r="S260" s="66" t="e">
        <f t="shared" si="45"/>
        <v>#DIV/0!</v>
      </c>
      <c r="T260" s="63" t="e">
        <f t="shared" si="46"/>
        <v>#DIV/0!</v>
      </c>
      <c r="U260" s="67" t="e">
        <f t="shared" si="47"/>
        <v>#DIV/0!</v>
      </c>
    </row>
    <row r="261" spans="1:21" x14ac:dyDescent="0.2">
      <c r="A261" s="60" t="s">
        <v>468</v>
      </c>
      <c r="B261" s="61" t="s">
        <v>230</v>
      </c>
      <c r="C261" s="61" t="s">
        <v>231</v>
      </c>
      <c r="D261" s="61" t="s">
        <v>248</v>
      </c>
      <c r="E261" s="62" t="s">
        <v>332</v>
      </c>
      <c r="F261" s="61" t="s">
        <v>364</v>
      </c>
      <c r="G261" s="61" t="s">
        <v>195</v>
      </c>
      <c r="H261" s="61" t="s">
        <v>11</v>
      </c>
      <c r="I261" s="61" t="s">
        <v>159</v>
      </c>
      <c r="J261" s="61" t="s">
        <v>257</v>
      </c>
      <c r="K261" s="63">
        <v>7.3</v>
      </c>
      <c r="L261" s="63">
        <f t="shared" si="42"/>
        <v>7.3</v>
      </c>
      <c r="M261" s="64">
        <f>prodnorm49</f>
        <v>0</v>
      </c>
      <c r="N261" s="65">
        <f>dagwerk49</f>
        <v>0</v>
      </c>
      <c r="O261" s="61" t="s">
        <v>43</v>
      </c>
      <c r="P261" s="66">
        <f>uurtarief49</f>
        <v>0</v>
      </c>
      <c r="Q261" s="63" t="e">
        <f t="shared" si="43"/>
        <v>#DIV/0!</v>
      </c>
      <c r="R261" s="63" t="e">
        <f t="shared" si="44"/>
        <v>#DIV/0!</v>
      </c>
      <c r="S261" s="66" t="e">
        <f t="shared" si="45"/>
        <v>#DIV/0!</v>
      </c>
      <c r="T261" s="63" t="e">
        <f t="shared" si="46"/>
        <v>#DIV/0!</v>
      </c>
      <c r="U261" s="67" t="e">
        <f t="shared" si="47"/>
        <v>#DIV/0!</v>
      </c>
    </row>
    <row r="262" spans="1:21" x14ac:dyDescent="0.2">
      <c r="A262" s="60" t="s">
        <v>468</v>
      </c>
      <c r="B262" s="61" t="s">
        <v>230</v>
      </c>
      <c r="C262" s="61" t="s">
        <v>231</v>
      </c>
      <c r="D262" s="61" t="s">
        <v>312</v>
      </c>
      <c r="E262" s="62" t="s">
        <v>327</v>
      </c>
      <c r="F262" s="61" t="s">
        <v>238</v>
      </c>
      <c r="G262" s="61" t="s">
        <v>213</v>
      </c>
      <c r="H262" s="61" t="s">
        <v>13</v>
      </c>
      <c r="I262" s="61" t="s">
        <v>214</v>
      </c>
      <c r="J262" s="61" t="s">
        <v>239</v>
      </c>
      <c r="K262" s="63">
        <v>55.7</v>
      </c>
      <c r="L262" s="63">
        <f t="shared" si="42"/>
        <v>44.56</v>
      </c>
      <c r="M262" s="64">
        <f>prodnorm13</f>
        <v>0</v>
      </c>
      <c r="N262" s="65">
        <f>dagwerk13</f>
        <v>0</v>
      </c>
      <c r="O262" s="61" t="s">
        <v>43</v>
      </c>
      <c r="P262" s="66">
        <f>uurtarief13</f>
        <v>0</v>
      </c>
      <c r="Q262" s="63" t="e">
        <f t="shared" si="43"/>
        <v>#DIV/0!</v>
      </c>
      <c r="R262" s="63" t="e">
        <f t="shared" si="44"/>
        <v>#DIV/0!</v>
      </c>
      <c r="S262" s="66" t="e">
        <f t="shared" si="45"/>
        <v>#DIV/0!</v>
      </c>
      <c r="T262" s="63" t="e">
        <f t="shared" si="46"/>
        <v>#DIV/0!</v>
      </c>
      <c r="U262" s="67" t="e">
        <f t="shared" si="47"/>
        <v>#DIV/0!</v>
      </c>
    </row>
    <row r="263" spans="1:21" x14ac:dyDescent="0.2">
      <c r="A263" s="60" t="s">
        <v>468</v>
      </c>
      <c r="B263" s="61" t="s">
        <v>230</v>
      </c>
      <c r="C263" s="61" t="s">
        <v>231</v>
      </c>
      <c r="D263" s="61" t="s">
        <v>312</v>
      </c>
      <c r="E263" s="62" t="s">
        <v>327</v>
      </c>
      <c r="F263" s="61" t="s">
        <v>238</v>
      </c>
      <c r="G263" s="61" t="s">
        <v>175</v>
      </c>
      <c r="H263" s="61" t="s">
        <v>11</v>
      </c>
      <c r="I263" s="61" t="s">
        <v>159</v>
      </c>
      <c r="J263" s="61" t="s">
        <v>239</v>
      </c>
      <c r="K263" s="63">
        <v>55.7</v>
      </c>
      <c r="L263" s="63">
        <f t="shared" si="42"/>
        <v>55.7</v>
      </c>
      <c r="M263" s="64">
        <f>prodnorm31</f>
        <v>0</v>
      </c>
      <c r="N263" s="65">
        <f>dagwerk31</f>
        <v>0</v>
      </c>
      <c r="O263" s="61" t="s">
        <v>43</v>
      </c>
      <c r="P263" s="66">
        <f>uurtarief31</f>
        <v>0</v>
      </c>
      <c r="Q263" s="63" t="e">
        <f t="shared" si="43"/>
        <v>#DIV/0!</v>
      </c>
      <c r="R263" s="63" t="e">
        <f t="shared" si="44"/>
        <v>#DIV/0!</v>
      </c>
      <c r="S263" s="66" t="e">
        <f t="shared" si="45"/>
        <v>#DIV/0!</v>
      </c>
      <c r="T263" s="63" t="e">
        <f t="shared" si="46"/>
        <v>#DIV/0!</v>
      </c>
      <c r="U263" s="67" t="e">
        <f t="shared" si="47"/>
        <v>#DIV/0!</v>
      </c>
    </row>
    <row r="264" spans="1:21" x14ac:dyDescent="0.2">
      <c r="A264" s="60" t="s">
        <v>468</v>
      </c>
      <c r="B264" s="61" t="s">
        <v>230</v>
      </c>
      <c r="C264" s="61" t="s">
        <v>231</v>
      </c>
      <c r="D264" s="61" t="s">
        <v>328</v>
      </c>
      <c r="E264" s="62" t="s">
        <v>327</v>
      </c>
      <c r="F264" s="61" t="s">
        <v>238</v>
      </c>
      <c r="G264" s="61" t="s">
        <v>213</v>
      </c>
      <c r="H264" s="61" t="s">
        <v>13</v>
      </c>
      <c r="I264" s="61" t="s">
        <v>214</v>
      </c>
      <c r="J264" s="61" t="s">
        <v>239</v>
      </c>
      <c r="K264" s="63">
        <v>55.7</v>
      </c>
      <c r="L264" s="63">
        <f t="shared" si="42"/>
        <v>44.56</v>
      </c>
      <c r="M264" s="64">
        <f>prodnorm13</f>
        <v>0</v>
      </c>
      <c r="N264" s="65">
        <f>dagwerk13</f>
        <v>0</v>
      </c>
      <c r="O264" s="61" t="s">
        <v>43</v>
      </c>
      <c r="P264" s="66">
        <f>uurtarief13</f>
        <v>0</v>
      </c>
      <c r="Q264" s="63" t="e">
        <f t="shared" si="43"/>
        <v>#DIV/0!</v>
      </c>
      <c r="R264" s="63" t="e">
        <f t="shared" si="44"/>
        <v>#DIV/0!</v>
      </c>
      <c r="S264" s="66" t="e">
        <f t="shared" si="45"/>
        <v>#DIV/0!</v>
      </c>
      <c r="T264" s="63" t="e">
        <f t="shared" si="46"/>
        <v>#DIV/0!</v>
      </c>
      <c r="U264" s="67" t="e">
        <f t="shared" si="47"/>
        <v>#DIV/0!</v>
      </c>
    </row>
    <row r="265" spans="1:21" x14ac:dyDescent="0.2">
      <c r="A265" s="60" t="s">
        <v>468</v>
      </c>
      <c r="B265" s="61" t="s">
        <v>230</v>
      </c>
      <c r="C265" s="61" t="s">
        <v>231</v>
      </c>
      <c r="D265" s="61" t="s">
        <v>328</v>
      </c>
      <c r="E265" s="62" t="s">
        <v>327</v>
      </c>
      <c r="F265" s="61" t="s">
        <v>238</v>
      </c>
      <c r="G265" s="61" t="s">
        <v>175</v>
      </c>
      <c r="H265" s="61" t="s">
        <v>11</v>
      </c>
      <c r="I265" s="61" t="s">
        <v>159</v>
      </c>
      <c r="J265" s="61" t="s">
        <v>239</v>
      </c>
      <c r="K265" s="63">
        <v>55.7</v>
      </c>
      <c r="L265" s="63">
        <f t="shared" si="42"/>
        <v>55.7</v>
      </c>
      <c r="M265" s="64">
        <f>prodnorm31</f>
        <v>0</v>
      </c>
      <c r="N265" s="65">
        <f>dagwerk31</f>
        <v>0</v>
      </c>
      <c r="O265" s="61" t="s">
        <v>43</v>
      </c>
      <c r="P265" s="66">
        <f>uurtarief31</f>
        <v>0</v>
      </c>
      <c r="Q265" s="63" t="e">
        <f t="shared" si="43"/>
        <v>#DIV/0!</v>
      </c>
      <c r="R265" s="63" t="e">
        <f t="shared" si="44"/>
        <v>#DIV/0!</v>
      </c>
      <c r="S265" s="66" t="e">
        <f t="shared" si="45"/>
        <v>#DIV/0!</v>
      </c>
      <c r="T265" s="63" t="e">
        <f t="shared" si="46"/>
        <v>#DIV/0!</v>
      </c>
      <c r="U265" s="67" t="e">
        <f t="shared" si="47"/>
        <v>#DIV/0!</v>
      </c>
    </row>
    <row r="266" spans="1:21" x14ac:dyDescent="0.2">
      <c r="A266" s="60" t="s">
        <v>468</v>
      </c>
      <c r="B266" s="61" t="s">
        <v>230</v>
      </c>
      <c r="C266" s="61" t="s">
        <v>231</v>
      </c>
      <c r="D266" s="61" t="s">
        <v>254</v>
      </c>
      <c r="E266" s="62" t="s">
        <v>332</v>
      </c>
      <c r="F266" s="61" t="s">
        <v>364</v>
      </c>
      <c r="G266" s="61" t="s">
        <v>195</v>
      </c>
      <c r="H266" s="61" t="s">
        <v>11</v>
      </c>
      <c r="I266" s="61" t="s">
        <v>159</v>
      </c>
      <c r="J266" s="61" t="s">
        <v>257</v>
      </c>
      <c r="K266" s="63">
        <v>7.3</v>
      </c>
      <c r="L266" s="63">
        <f t="shared" si="42"/>
        <v>7.3</v>
      </c>
      <c r="M266" s="64">
        <f>prodnorm49</f>
        <v>0</v>
      </c>
      <c r="N266" s="65">
        <f>dagwerk49</f>
        <v>0</v>
      </c>
      <c r="O266" s="61" t="s">
        <v>43</v>
      </c>
      <c r="P266" s="66">
        <f>uurtarief49</f>
        <v>0</v>
      </c>
      <c r="Q266" s="63" t="e">
        <f t="shared" si="43"/>
        <v>#DIV/0!</v>
      </c>
      <c r="R266" s="63" t="e">
        <f t="shared" si="44"/>
        <v>#DIV/0!</v>
      </c>
      <c r="S266" s="66" t="e">
        <f t="shared" si="45"/>
        <v>#DIV/0!</v>
      </c>
      <c r="T266" s="63" t="e">
        <f t="shared" si="46"/>
        <v>#DIV/0!</v>
      </c>
      <c r="U266" s="67" t="e">
        <f t="shared" si="47"/>
        <v>#DIV/0!</v>
      </c>
    </row>
    <row r="267" spans="1:21" x14ac:dyDescent="0.2">
      <c r="A267" s="60" t="s">
        <v>468</v>
      </c>
      <c r="B267" s="61" t="s">
        <v>230</v>
      </c>
      <c r="C267" s="61" t="s">
        <v>231</v>
      </c>
      <c r="D267" s="61" t="s">
        <v>258</v>
      </c>
      <c r="E267" s="62" t="s">
        <v>331</v>
      </c>
      <c r="F267" s="61" t="s">
        <v>238</v>
      </c>
      <c r="G267" s="61" t="s">
        <v>175</v>
      </c>
      <c r="H267" s="61" t="s">
        <v>18</v>
      </c>
      <c r="I267" s="61" t="s">
        <v>159</v>
      </c>
      <c r="J267" s="61" t="s">
        <v>239</v>
      </c>
      <c r="K267" s="63">
        <v>55.7</v>
      </c>
      <c r="L267" s="63">
        <f t="shared" si="42"/>
        <v>22.28</v>
      </c>
      <c r="M267" s="64">
        <f>prodnorm33</f>
        <v>0</v>
      </c>
      <c r="N267" s="65">
        <f>dagwerk33</f>
        <v>0</v>
      </c>
      <c r="O267" s="61" t="s">
        <v>43</v>
      </c>
      <c r="P267" s="66">
        <f>uurtarief33</f>
        <v>0</v>
      </c>
      <c r="Q267" s="63" t="e">
        <f t="shared" si="43"/>
        <v>#DIV/0!</v>
      </c>
      <c r="R267" s="63" t="e">
        <f t="shared" si="44"/>
        <v>#DIV/0!</v>
      </c>
      <c r="S267" s="66" t="e">
        <f t="shared" si="45"/>
        <v>#DIV/0!</v>
      </c>
      <c r="T267" s="63" t="e">
        <f t="shared" si="46"/>
        <v>#DIV/0!</v>
      </c>
      <c r="U267" s="67" t="e">
        <f t="shared" si="47"/>
        <v>#DIV/0!</v>
      </c>
    </row>
    <row r="268" spans="1:21" x14ac:dyDescent="0.2">
      <c r="A268" s="60" t="s">
        <v>468</v>
      </c>
      <c r="B268" s="61" t="s">
        <v>230</v>
      </c>
      <c r="C268" s="61" t="s">
        <v>231</v>
      </c>
      <c r="D268" s="61" t="s">
        <v>259</v>
      </c>
      <c r="E268" s="62" t="s">
        <v>331</v>
      </c>
      <c r="F268" s="61" t="s">
        <v>238</v>
      </c>
      <c r="G268" s="61" t="s">
        <v>175</v>
      </c>
      <c r="H268" s="61" t="s">
        <v>18</v>
      </c>
      <c r="I268" s="61" t="s">
        <v>159</v>
      </c>
      <c r="J268" s="61" t="s">
        <v>239</v>
      </c>
      <c r="K268" s="63">
        <v>55.7</v>
      </c>
      <c r="L268" s="63">
        <f t="shared" si="42"/>
        <v>22.28</v>
      </c>
      <c r="M268" s="64">
        <f>prodnorm33</f>
        <v>0</v>
      </c>
      <c r="N268" s="65">
        <f>dagwerk33</f>
        <v>0</v>
      </c>
      <c r="O268" s="61" t="s">
        <v>43</v>
      </c>
      <c r="P268" s="66">
        <f>uurtarief33</f>
        <v>0</v>
      </c>
      <c r="Q268" s="63" t="e">
        <f t="shared" si="43"/>
        <v>#DIV/0!</v>
      </c>
      <c r="R268" s="63" t="e">
        <f t="shared" si="44"/>
        <v>#DIV/0!</v>
      </c>
      <c r="S268" s="66" t="e">
        <f t="shared" si="45"/>
        <v>#DIV/0!</v>
      </c>
      <c r="T268" s="63" t="e">
        <f t="shared" si="46"/>
        <v>#DIV/0!</v>
      </c>
      <c r="U268" s="67" t="e">
        <f t="shared" si="47"/>
        <v>#DIV/0!</v>
      </c>
    </row>
    <row r="269" spans="1:21" x14ac:dyDescent="0.2">
      <c r="A269" s="60" t="s">
        <v>468</v>
      </c>
      <c r="B269" s="61" t="s">
        <v>230</v>
      </c>
      <c r="C269" s="61" t="s">
        <v>231</v>
      </c>
      <c r="D269" s="61" t="s">
        <v>260</v>
      </c>
      <c r="E269" s="62" t="s">
        <v>332</v>
      </c>
      <c r="F269" s="61" t="s">
        <v>364</v>
      </c>
      <c r="G269" s="61" t="s">
        <v>195</v>
      </c>
      <c r="H269" s="61" t="s">
        <v>11</v>
      </c>
      <c r="I269" s="61" t="s">
        <v>159</v>
      </c>
      <c r="J269" s="61" t="s">
        <v>257</v>
      </c>
      <c r="K269" s="63">
        <v>7.3</v>
      </c>
      <c r="L269" s="63">
        <f t="shared" si="42"/>
        <v>7.3</v>
      </c>
      <c r="M269" s="64">
        <f>prodnorm49</f>
        <v>0</v>
      </c>
      <c r="N269" s="65">
        <f>dagwerk49</f>
        <v>0</v>
      </c>
      <c r="O269" s="61" t="s">
        <v>43</v>
      </c>
      <c r="P269" s="66">
        <f>uurtarief49</f>
        <v>0</v>
      </c>
      <c r="Q269" s="63" t="e">
        <f t="shared" si="43"/>
        <v>#DIV/0!</v>
      </c>
      <c r="R269" s="63" t="e">
        <f t="shared" si="44"/>
        <v>#DIV/0!</v>
      </c>
      <c r="S269" s="66" t="e">
        <f t="shared" si="45"/>
        <v>#DIV/0!</v>
      </c>
      <c r="T269" s="63" t="e">
        <f t="shared" si="46"/>
        <v>#DIV/0!</v>
      </c>
      <c r="U269" s="67" t="e">
        <f t="shared" si="47"/>
        <v>#DIV/0!</v>
      </c>
    </row>
    <row r="270" spans="1:21" x14ac:dyDescent="0.2">
      <c r="A270" s="60" t="s">
        <v>468</v>
      </c>
      <c r="B270" s="61" t="s">
        <v>230</v>
      </c>
      <c r="C270" s="61" t="s">
        <v>231</v>
      </c>
      <c r="D270" s="61" t="s">
        <v>262</v>
      </c>
      <c r="E270" s="62" t="s">
        <v>462</v>
      </c>
      <c r="F270" s="61" t="s">
        <v>238</v>
      </c>
      <c r="G270" s="61" t="s">
        <v>209</v>
      </c>
      <c r="H270" s="61" t="s">
        <v>11</v>
      </c>
      <c r="I270" s="61" t="s">
        <v>159</v>
      </c>
      <c r="J270" s="61" t="s">
        <v>235</v>
      </c>
      <c r="K270" s="63">
        <v>55.7</v>
      </c>
      <c r="L270" s="63">
        <f t="shared" si="42"/>
        <v>55.7</v>
      </c>
      <c r="M270" s="64">
        <f>prodnorm62</f>
        <v>0</v>
      </c>
      <c r="N270" s="65">
        <f>dagwerk62</f>
        <v>0</v>
      </c>
      <c r="O270" s="61" t="s">
        <v>43</v>
      </c>
      <c r="P270" s="66">
        <f>uurtarief62</f>
        <v>0</v>
      </c>
      <c r="Q270" s="63" t="e">
        <f t="shared" si="43"/>
        <v>#DIV/0!</v>
      </c>
      <c r="R270" s="63" t="e">
        <f t="shared" si="44"/>
        <v>#DIV/0!</v>
      </c>
      <c r="S270" s="66" t="e">
        <f t="shared" si="45"/>
        <v>#DIV/0!</v>
      </c>
      <c r="T270" s="63" t="e">
        <f t="shared" si="46"/>
        <v>#DIV/0!</v>
      </c>
      <c r="U270" s="67" t="e">
        <f t="shared" si="47"/>
        <v>#DIV/0!</v>
      </c>
    </row>
    <row r="271" spans="1:21" x14ac:dyDescent="0.2">
      <c r="A271" s="60" t="s">
        <v>468</v>
      </c>
      <c r="B271" s="61" t="s">
        <v>230</v>
      </c>
      <c r="C271" s="61" t="s">
        <v>231</v>
      </c>
      <c r="D271" s="61" t="s">
        <v>265</v>
      </c>
      <c r="E271" s="62" t="s">
        <v>470</v>
      </c>
      <c r="F271" s="61" t="s">
        <v>238</v>
      </c>
      <c r="G271" s="61" t="s">
        <v>199</v>
      </c>
      <c r="H271" s="61" t="s">
        <v>11</v>
      </c>
      <c r="I271" s="61" t="s">
        <v>159</v>
      </c>
      <c r="J271" s="61" t="s">
        <v>235</v>
      </c>
      <c r="K271" s="63">
        <v>25.8</v>
      </c>
      <c r="L271" s="63">
        <f t="shared" si="42"/>
        <v>25.8</v>
      </c>
      <c r="M271" s="64">
        <f>prodnorm53</f>
        <v>0</v>
      </c>
      <c r="N271" s="65">
        <f>dagwerk53</f>
        <v>0</v>
      </c>
      <c r="O271" s="61" t="s">
        <v>43</v>
      </c>
      <c r="P271" s="66">
        <f>uurtarief53</f>
        <v>0</v>
      </c>
      <c r="Q271" s="63" t="e">
        <f t="shared" si="43"/>
        <v>#DIV/0!</v>
      </c>
      <c r="R271" s="63" t="e">
        <f t="shared" si="44"/>
        <v>#DIV/0!</v>
      </c>
      <c r="S271" s="66" t="e">
        <f t="shared" si="45"/>
        <v>#DIV/0!</v>
      </c>
      <c r="T271" s="63" t="e">
        <f t="shared" si="46"/>
        <v>#DIV/0!</v>
      </c>
      <c r="U271" s="67" t="e">
        <f t="shared" si="47"/>
        <v>#DIV/0!</v>
      </c>
    </row>
    <row r="272" spans="1:21" x14ac:dyDescent="0.2">
      <c r="A272" s="60" t="s">
        <v>468</v>
      </c>
      <c r="B272" s="61" t="s">
        <v>230</v>
      </c>
      <c r="C272" s="61" t="s">
        <v>231</v>
      </c>
      <c r="D272" s="61" t="s">
        <v>275</v>
      </c>
      <c r="E272" s="62" t="s">
        <v>322</v>
      </c>
      <c r="F272" s="61" t="s">
        <v>234</v>
      </c>
      <c r="G272" s="61" t="s">
        <v>205</v>
      </c>
      <c r="H272" s="61" t="s">
        <v>11</v>
      </c>
      <c r="I272" s="61" t="s">
        <v>159</v>
      </c>
      <c r="J272" s="61" t="s">
        <v>235</v>
      </c>
      <c r="K272" s="63">
        <v>13.1</v>
      </c>
      <c r="L272" s="63">
        <f t="shared" si="42"/>
        <v>13.1</v>
      </c>
      <c r="M272" s="64">
        <f>prodnorm58</f>
        <v>0</v>
      </c>
      <c r="N272" s="65">
        <f>dagwerk58</f>
        <v>0</v>
      </c>
      <c r="O272" s="61" t="s">
        <v>43</v>
      </c>
      <c r="P272" s="66">
        <f>uurtarief58</f>
        <v>0</v>
      </c>
      <c r="Q272" s="63" t="e">
        <f t="shared" si="43"/>
        <v>#DIV/0!</v>
      </c>
      <c r="R272" s="63" t="e">
        <f t="shared" si="44"/>
        <v>#DIV/0!</v>
      </c>
      <c r="S272" s="66" t="e">
        <f t="shared" si="45"/>
        <v>#DIV/0!</v>
      </c>
      <c r="T272" s="63" t="e">
        <f t="shared" si="46"/>
        <v>#DIV/0!</v>
      </c>
      <c r="U272" s="67" t="e">
        <f t="shared" si="47"/>
        <v>#DIV/0!</v>
      </c>
    </row>
    <row r="273" spans="1:21" x14ac:dyDescent="0.2">
      <c r="A273" s="60" t="s">
        <v>468</v>
      </c>
      <c r="B273" s="61" t="s">
        <v>230</v>
      </c>
      <c r="C273" s="61" t="s">
        <v>231</v>
      </c>
      <c r="D273" s="61" t="s">
        <v>399</v>
      </c>
      <c r="E273" s="62" t="s">
        <v>398</v>
      </c>
      <c r="F273" s="61" t="s">
        <v>238</v>
      </c>
      <c r="G273" s="61" t="s">
        <v>199</v>
      </c>
      <c r="H273" s="61" t="s">
        <v>11</v>
      </c>
      <c r="I273" s="61" t="s">
        <v>159</v>
      </c>
      <c r="J273" s="61" t="s">
        <v>235</v>
      </c>
      <c r="K273" s="63">
        <v>197.5</v>
      </c>
      <c r="L273" s="63">
        <f t="shared" si="42"/>
        <v>197.5</v>
      </c>
      <c r="M273" s="64">
        <f>prodnorm53</f>
        <v>0</v>
      </c>
      <c r="N273" s="65">
        <f>dagwerk53</f>
        <v>0</v>
      </c>
      <c r="O273" s="61" t="s">
        <v>43</v>
      </c>
      <c r="P273" s="66">
        <f>uurtarief53</f>
        <v>0</v>
      </c>
      <c r="Q273" s="63" t="e">
        <f t="shared" si="43"/>
        <v>#DIV/0!</v>
      </c>
      <c r="R273" s="63" t="e">
        <f t="shared" si="44"/>
        <v>#DIV/0!</v>
      </c>
      <c r="S273" s="66" t="e">
        <f t="shared" si="45"/>
        <v>#DIV/0!</v>
      </c>
      <c r="T273" s="63" t="e">
        <f t="shared" si="46"/>
        <v>#DIV/0!</v>
      </c>
      <c r="U273" s="67" t="e">
        <f t="shared" si="47"/>
        <v>#DIV/0!</v>
      </c>
    </row>
    <row r="274" spans="1:21" x14ac:dyDescent="0.2">
      <c r="A274" s="60" t="s">
        <v>468</v>
      </c>
      <c r="B274" s="61" t="s">
        <v>230</v>
      </c>
      <c r="C274" s="61" t="s">
        <v>231</v>
      </c>
      <c r="D274" s="61" t="s">
        <v>375</v>
      </c>
      <c r="E274" s="62" t="s">
        <v>335</v>
      </c>
      <c r="F274" s="61" t="s">
        <v>336</v>
      </c>
      <c r="G274" s="61" t="s">
        <v>163</v>
      </c>
      <c r="H274" s="61" t="s">
        <v>11</v>
      </c>
      <c r="I274" s="61" t="s">
        <v>159</v>
      </c>
      <c r="J274" s="61" t="s">
        <v>235</v>
      </c>
      <c r="K274" s="63">
        <v>84.1</v>
      </c>
      <c r="L274" s="63">
        <f t="shared" si="42"/>
        <v>84.1</v>
      </c>
      <c r="M274" s="64">
        <f>prodnorm21</f>
        <v>0</v>
      </c>
      <c r="N274" s="65">
        <f>dagwerk21</f>
        <v>0</v>
      </c>
      <c r="O274" s="61" t="s">
        <v>43</v>
      </c>
      <c r="P274" s="66">
        <f>uurtarief21</f>
        <v>0</v>
      </c>
      <c r="Q274" s="63" t="e">
        <f t="shared" si="43"/>
        <v>#DIV/0!</v>
      </c>
      <c r="R274" s="63" t="e">
        <f t="shared" si="44"/>
        <v>#DIV/0!</v>
      </c>
      <c r="S274" s="66" t="e">
        <f t="shared" si="45"/>
        <v>#DIV/0!</v>
      </c>
      <c r="T274" s="63" t="e">
        <f t="shared" si="46"/>
        <v>#DIV/0!</v>
      </c>
      <c r="U274" s="67" t="e">
        <f t="shared" si="47"/>
        <v>#DIV/0!</v>
      </c>
    </row>
    <row r="275" spans="1:21" x14ac:dyDescent="0.2">
      <c r="A275" s="60" t="s">
        <v>468</v>
      </c>
      <c r="B275" s="61" t="s">
        <v>230</v>
      </c>
      <c r="C275" s="61" t="s">
        <v>231</v>
      </c>
      <c r="D275" s="61" t="s">
        <v>284</v>
      </c>
      <c r="E275" s="62" t="s">
        <v>347</v>
      </c>
      <c r="F275" s="61" t="s">
        <v>238</v>
      </c>
      <c r="G275" s="61" t="s">
        <v>173</v>
      </c>
      <c r="H275" s="61" t="s">
        <v>11</v>
      </c>
      <c r="I275" s="61" t="s">
        <v>159</v>
      </c>
      <c r="J275" s="61" t="s">
        <v>235</v>
      </c>
      <c r="K275" s="63">
        <v>8.5</v>
      </c>
      <c r="L275" s="63">
        <f t="shared" si="42"/>
        <v>8.5</v>
      </c>
      <c r="M275" s="64">
        <f>prodnorm28</f>
        <v>0</v>
      </c>
      <c r="N275" s="65">
        <f>dagwerk28</f>
        <v>0</v>
      </c>
      <c r="O275" s="61" t="s">
        <v>43</v>
      </c>
      <c r="P275" s="66">
        <f>uurtarief28</f>
        <v>0</v>
      </c>
      <c r="Q275" s="63" t="e">
        <f t="shared" si="43"/>
        <v>#DIV/0!</v>
      </c>
      <c r="R275" s="63" t="e">
        <f t="shared" si="44"/>
        <v>#DIV/0!</v>
      </c>
      <c r="S275" s="66" t="e">
        <f t="shared" si="45"/>
        <v>#DIV/0!</v>
      </c>
      <c r="T275" s="63" t="e">
        <f t="shared" si="46"/>
        <v>#DIV/0!</v>
      </c>
      <c r="U275" s="67" t="e">
        <f t="shared" si="47"/>
        <v>#DIV/0!</v>
      </c>
    </row>
    <row r="276" spans="1:21" x14ac:dyDescent="0.2">
      <c r="A276" s="60" t="s">
        <v>468</v>
      </c>
      <c r="B276" s="61" t="s">
        <v>230</v>
      </c>
      <c r="C276" s="61" t="s">
        <v>231</v>
      </c>
      <c r="D276" s="61" t="s">
        <v>285</v>
      </c>
      <c r="E276" s="62" t="s">
        <v>370</v>
      </c>
      <c r="F276" s="61" t="s">
        <v>425</v>
      </c>
      <c r="G276" s="61" t="s">
        <v>195</v>
      </c>
      <c r="H276" s="61" t="s">
        <v>11</v>
      </c>
      <c r="I276" s="61" t="s">
        <v>159</v>
      </c>
      <c r="J276" s="61" t="s">
        <v>257</v>
      </c>
      <c r="K276" s="63">
        <v>4.0999999999999996</v>
      </c>
      <c r="L276" s="63">
        <f t="shared" si="42"/>
        <v>4.0999999999999996</v>
      </c>
      <c r="M276" s="64">
        <f>prodnorm49</f>
        <v>0</v>
      </c>
      <c r="N276" s="65">
        <f>dagwerk49</f>
        <v>0</v>
      </c>
      <c r="O276" s="61" t="s">
        <v>43</v>
      </c>
      <c r="P276" s="66">
        <f>uurtarief49</f>
        <v>0</v>
      </c>
      <c r="Q276" s="63" t="e">
        <f t="shared" si="43"/>
        <v>#DIV/0!</v>
      </c>
      <c r="R276" s="63" t="e">
        <f t="shared" si="44"/>
        <v>#DIV/0!</v>
      </c>
      <c r="S276" s="66" t="e">
        <f t="shared" si="45"/>
        <v>#DIV/0!</v>
      </c>
      <c r="T276" s="63" t="e">
        <f t="shared" si="46"/>
        <v>#DIV/0!</v>
      </c>
      <c r="U276" s="67" t="e">
        <f t="shared" si="47"/>
        <v>#DIV/0!</v>
      </c>
    </row>
    <row r="277" spans="1:21" x14ac:dyDescent="0.2">
      <c r="A277" s="60" t="s">
        <v>468</v>
      </c>
      <c r="B277" s="61" t="s">
        <v>230</v>
      </c>
      <c r="C277" s="61" t="s">
        <v>231</v>
      </c>
      <c r="D277" s="61" t="s">
        <v>286</v>
      </c>
      <c r="E277" s="62" t="s">
        <v>358</v>
      </c>
      <c r="F277" s="61" t="s">
        <v>238</v>
      </c>
      <c r="G277" s="61" t="s">
        <v>199</v>
      </c>
      <c r="H277" s="61" t="s">
        <v>11</v>
      </c>
      <c r="I277" s="61" t="s">
        <v>159</v>
      </c>
      <c r="J277" s="61" t="s">
        <v>235</v>
      </c>
      <c r="K277" s="63">
        <v>5.87</v>
      </c>
      <c r="L277" s="63">
        <f t="shared" si="42"/>
        <v>5.87</v>
      </c>
      <c r="M277" s="64">
        <f>prodnorm53</f>
        <v>0</v>
      </c>
      <c r="N277" s="65">
        <f>dagwerk53</f>
        <v>0</v>
      </c>
      <c r="O277" s="61" t="s">
        <v>43</v>
      </c>
      <c r="P277" s="66">
        <f>uurtarief53</f>
        <v>0</v>
      </c>
      <c r="Q277" s="63" t="e">
        <f t="shared" si="43"/>
        <v>#DIV/0!</v>
      </c>
      <c r="R277" s="63" t="e">
        <f t="shared" si="44"/>
        <v>#DIV/0!</v>
      </c>
      <c r="S277" s="66" t="e">
        <f t="shared" si="45"/>
        <v>#DIV/0!</v>
      </c>
      <c r="T277" s="63" t="e">
        <f t="shared" si="46"/>
        <v>#DIV/0!</v>
      </c>
      <c r="U277" s="67" t="e">
        <f t="shared" si="47"/>
        <v>#DIV/0!</v>
      </c>
    </row>
    <row r="278" spans="1:21" x14ac:dyDescent="0.2">
      <c r="A278" s="60" t="s">
        <v>468</v>
      </c>
      <c r="B278" s="61" t="s">
        <v>230</v>
      </c>
      <c r="C278" s="61" t="s">
        <v>231</v>
      </c>
      <c r="D278" s="61" t="s">
        <v>287</v>
      </c>
      <c r="E278" s="62" t="s">
        <v>343</v>
      </c>
      <c r="F278" s="61" t="s">
        <v>234</v>
      </c>
      <c r="G278" s="61" t="s">
        <v>161</v>
      </c>
      <c r="H278" s="61" t="s">
        <v>20</v>
      </c>
      <c r="I278" s="61" t="s">
        <v>159</v>
      </c>
      <c r="J278" s="61" t="s">
        <v>282</v>
      </c>
      <c r="K278" s="63">
        <v>14</v>
      </c>
      <c r="L278" s="63">
        <f t="shared" si="42"/>
        <v>2.8000000000000003</v>
      </c>
      <c r="M278" s="64">
        <f>prodnorm19</f>
        <v>0</v>
      </c>
      <c r="N278" s="65">
        <f>dagwerk19</f>
        <v>0</v>
      </c>
      <c r="O278" s="61" t="s">
        <v>43</v>
      </c>
      <c r="P278" s="66">
        <f>uurtarief19</f>
        <v>0</v>
      </c>
      <c r="Q278" s="63" t="e">
        <f t="shared" si="43"/>
        <v>#DIV/0!</v>
      </c>
      <c r="R278" s="63" t="e">
        <f t="shared" si="44"/>
        <v>#DIV/0!</v>
      </c>
      <c r="S278" s="66" t="e">
        <f t="shared" si="45"/>
        <v>#DIV/0!</v>
      </c>
      <c r="T278" s="63" t="e">
        <f t="shared" si="46"/>
        <v>#DIV/0!</v>
      </c>
      <c r="U278" s="67" t="e">
        <f t="shared" si="47"/>
        <v>#DIV/0!</v>
      </c>
    </row>
    <row r="279" spans="1:21" x14ac:dyDescent="0.2">
      <c r="A279" s="60" t="s">
        <v>468</v>
      </c>
      <c r="B279" s="61" t="s">
        <v>230</v>
      </c>
      <c r="C279" s="61" t="s">
        <v>231</v>
      </c>
      <c r="D279" s="61" t="s">
        <v>288</v>
      </c>
      <c r="E279" s="62" t="s">
        <v>343</v>
      </c>
      <c r="F279" s="61" t="s">
        <v>234</v>
      </c>
      <c r="G279" s="61" t="s">
        <v>161</v>
      </c>
      <c r="H279" s="61" t="s">
        <v>20</v>
      </c>
      <c r="I279" s="61" t="s">
        <v>159</v>
      </c>
      <c r="J279" s="61" t="s">
        <v>282</v>
      </c>
      <c r="K279" s="63">
        <v>12.5</v>
      </c>
      <c r="L279" s="63">
        <f t="shared" si="42"/>
        <v>2.5</v>
      </c>
      <c r="M279" s="64">
        <f>prodnorm19</f>
        <v>0</v>
      </c>
      <c r="N279" s="65">
        <f>dagwerk19</f>
        <v>0</v>
      </c>
      <c r="O279" s="61" t="s">
        <v>43</v>
      </c>
      <c r="P279" s="66">
        <f>uurtarief19</f>
        <v>0</v>
      </c>
      <c r="Q279" s="63" t="e">
        <f t="shared" si="43"/>
        <v>#DIV/0!</v>
      </c>
      <c r="R279" s="63" t="e">
        <f t="shared" si="44"/>
        <v>#DIV/0!</v>
      </c>
      <c r="S279" s="66" t="e">
        <f t="shared" si="45"/>
        <v>#DIV/0!</v>
      </c>
      <c r="T279" s="63" t="e">
        <f t="shared" si="46"/>
        <v>#DIV/0!</v>
      </c>
      <c r="U279" s="67" t="e">
        <f t="shared" si="47"/>
        <v>#DIV/0!</v>
      </c>
    </row>
    <row r="280" spans="1:21" x14ac:dyDescent="0.2">
      <c r="A280" s="60" t="s">
        <v>468</v>
      </c>
      <c r="B280" s="61" t="s">
        <v>230</v>
      </c>
      <c r="C280" s="61" t="s">
        <v>231</v>
      </c>
      <c r="D280" s="61" t="s">
        <v>289</v>
      </c>
      <c r="E280" s="62" t="s">
        <v>345</v>
      </c>
      <c r="F280" s="61" t="s">
        <v>234</v>
      </c>
      <c r="G280" s="61" t="s">
        <v>171</v>
      </c>
      <c r="H280" s="61" t="s">
        <v>11</v>
      </c>
      <c r="I280" s="61" t="s">
        <v>159</v>
      </c>
      <c r="J280" s="61" t="s">
        <v>235</v>
      </c>
      <c r="K280" s="63">
        <v>36.4</v>
      </c>
      <c r="L280" s="63">
        <f t="shared" si="42"/>
        <v>36.4</v>
      </c>
      <c r="M280" s="64">
        <f>prodnorm26</f>
        <v>0</v>
      </c>
      <c r="N280" s="65">
        <f>dagwerk26</f>
        <v>0</v>
      </c>
      <c r="O280" s="61" t="s">
        <v>43</v>
      </c>
      <c r="P280" s="66">
        <f>uurtarief26</f>
        <v>0</v>
      </c>
      <c r="Q280" s="63" t="e">
        <f t="shared" si="43"/>
        <v>#DIV/0!</v>
      </c>
      <c r="R280" s="63" t="e">
        <f t="shared" si="44"/>
        <v>#DIV/0!</v>
      </c>
      <c r="S280" s="66" t="e">
        <f t="shared" si="45"/>
        <v>#DIV/0!</v>
      </c>
      <c r="T280" s="63" t="e">
        <f t="shared" si="46"/>
        <v>#DIV/0!</v>
      </c>
      <c r="U280" s="67" t="e">
        <f t="shared" si="47"/>
        <v>#DIV/0!</v>
      </c>
    </row>
    <row r="281" spans="1:21" x14ac:dyDescent="0.2">
      <c r="A281" s="60" t="s">
        <v>468</v>
      </c>
      <c r="B281" s="61" t="s">
        <v>230</v>
      </c>
      <c r="C281" s="61" t="s">
        <v>305</v>
      </c>
      <c r="D281" s="61" t="s">
        <v>339</v>
      </c>
      <c r="E281" s="62" t="s">
        <v>324</v>
      </c>
      <c r="F281" s="61" t="s">
        <v>471</v>
      </c>
      <c r="G281" s="61" t="s">
        <v>211</v>
      </c>
      <c r="H281" s="61" t="s">
        <v>11</v>
      </c>
      <c r="I281" s="61" t="s">
        <v>159</v>
      </c>
      <c r="J281" s="61" t="s">
        <v>235</v>
      </c>
      <c r="K281" s="63">
        <v>22</v>
      </c>
      <c r="L281" s="63">
        <f t="shared" si="42"/>
        <v>22</v>
      </c>
      <c r="M281" s="64">
        <f>prodnorm64</f>
        <v>0</v>
      </c>
      <c r="N281" s="65">
        <f>dagwerk64</f>
        <v>0</v>
      </c>
      <c r="O281" s="61" t="s">
        <v>43</v>
      </c>
      <c r="P281" s="66">
        <f>uurtarief64</f>
        <v>0</v>
      </c>
      <c r="Q281" s="63" t="e">
        <f t="shared" si="43"/>
        <v>#DIV/0!</v>
      </c>
      <c r="R281" s="63" t="e">
        <f t="shared" si="44"/>
        <v>#DIV/0!</v>
      </c>
      <c r="S281" s="66" t="e">
        <f t="shared" si="45"/>
        <v>#DIV/0!</v>
      </c>
      <c r="T281" s="63" t="e">
        <f t="shared" si="46"/>
        <v>#DIV/0!</v>
      </c>
      <c r="U281" s="67" t="e">
        <f t="shared" si="47"/>
        <v>#DIV/0!</v>
      </c>
    </row>
    <row r="282" spans="1:21" x14ac:dyDescent="0.2">
      <c r="A282" s="60" t="s">
        <v>468</v>
      </c>
      <c r="B282" s="61" t="s">
        <v>230</v>
      </c>
      <c r="C282" s="61" t="s">
        <v>305</v>
      </c>
      <c r="D282" s="61" t="s">
        <v>341</v>
      </c>
      <c r="E282" s="62" t="s">
        <v>331</v>
      </c>
      <c r="F282" s="61" t="s">
        <v>238</v>
      </c>
      <c r="G282" s="61" t="s">
        <v>175</v>
      </c>
      <c r="H282" s="61" t="s">
        <v>18</v>
      </c>
      <c r="I282" s="61" t="s">
        <v>159</v>
      </c>
      <c r="J282" s="61" t="s">
        <v>239</v>
      </c>
      <c r="K282" s="63">
        <v>55.9</v>
      </c>
      <c r="L282" s="63">
        <f t="shared" si="42"/>
        <v>22.36</v>
      </c>
      <c r="M282" s="64">
        <f>prodnorm33</f>
        <v>0</v>
      </c>
      <c r="N282" s="65">
        <f>dagwerk33</f>
        <v>0</v>
      </c>
      <c r="O282" s="61" t="s">
        <v>43</v>
      </c>
      <c r="P282" s="66">
        <f>uurtarief33</f>
        <v>0</v>
      </c>
      <c r="Q282" s="63" t="e">
        <f t="shared" si="43"/>
        <v>#DIV/0!</v>
      </c>
      <c r="R282" s="63" t="e">
        <f t="shared" si="44"/>
        <v>#DIV/0!</v>
      </c>
      <c r="S282" s="66" t="e">
        <f t="shared" si="45"/>
        <v>#DIV/0!</v>
      </c>
      <c r="T282" s="63" t="e">
        <f t="shared" si="46"/>
        <v>#DIV/0!</v>
      </c>
      <c r="U282" s="67" t="e">
        <f t="shared" si="47"/>
        <v>#DIV/0!</v>
      </c>
    </row>
    <row r="283" spans="1:21" x14ac:dyDescent="0.2">
      <c r="A283" s="60" t="s">
        <v>468</v>
      </c>
      <c r="B283" s="61" t="s">
        <v>230</v>
      </c>
      <c r="C283" s="61" t="s">
        <v>305</v>
      </c>
      <c r="D283" s="61" t="s">
        <v>306</v>
      </c>
      <c r="E283" s="62" t="s">
        <v>332</v>
      </c>
      <c r="F283" s="61" t="s">
        <v>425</v>
      </c>
      <c r="G283" s="61" t="s">
        <v>195</v>
      </c>
      <c r="H283" s="61" t="s">
        <v>11</v>
      </c>
      <c r="I283" s="61" t="s">
        <v>159</v>
      </c>
      <c r="J283" s="61" t="s">
        <v>257</v>
      </c>
      <c r="K283" s="63">
        <v>7</v>
      </c>
      <c r="L283" s="63">
        <f t="shared" si="42"/>
        <v>7</v>
      </c>
      <c r="M283" s="64">
        <f>prodnorm49</f>
        <v>0</v>
      </c>
      <c r="N283" s="65">
        <f>dagwerk49</f>
        <v>0</v>
      </c>
      <c r="O283" s="61" t="s">
        <v>43</v>
      </c>
      <c r="P283" s="66">
        <f>uurtarief49</f>
        <v>0</v>
      </c>
      <c r="Q283" s="63" t="e">
        <f t="shared" si="43"/>
        <v>#DIV/0!</v>
      </c>
      <c r="R283" s="63" t="e">
        <f t="shared" si="44"/>
        <v>#DIV/0!</v>
      </c>
      <c r="S283" s="66" t="e">
        <f t="shared" si="45"/>
        <v>#DIV/0!</v>
      </c>
      <c r="T283" s="63" t="e">
        <f t="shared" si="46"/>
        <v>#DIV/0!</v>
      </c>
      <c r="U283" s="67" t="e">
        <f t="shared" si="47"/>
        <v>#DIV/0!</v>
      </c>
    </row>
    <row r="284" spans="1:21" x14ac:dyDescent="0.2">
      <c r="A284" s="60" t="s">
        <v>468</v>
      </c>
      <c r="B284" s="61" t="s">
        <v>230</v>
      </c>
      <c r="C284" s="61" t="s">
        <v>305</v>
      </c>
      <c r="D284" s="61" t="s">
        <v>342</v>
      </c>
      <c r="E284" s="62" t="s">
        <v>331</v>
      </c>
      <c r="F284" s="61" t="s">
        <v>238</v>
      </c>
      <c r="G284" s="61" t="s">
        <v>175</v>
      </c>
      <c r="H284" s="61" t="s">
        <v>18</v>
      </c>
      <c r="I284" s="61" t="s">
        <v>159</v>
      </c>
      <c r="J284" s="61" t="s">
        <v>239</v>
      </c>
      <c r="K284" s="63">
        <v>55.9</v>
      </c>
      <c r="L284" s="63">
        <f t="shared" si="42"/>
        <v>22.36</v>
      </c>
      <c r="M284" s="64">
        <f>prodnorm33</f>
        <v>0</v>
      </c>
      <c r="N284" s="65">
        <f>dagwerk33</f>
        <v>0</v>
      </c>
      <c r="O284" s="61" t="s">
        <v>43</v>
      </c>
      <c r="P284" s="66">
        <f>uurtarief33</f>
        <v>0</v>
      </c>
      <c r="Q284" s="63" t="e">
        <f t="shared" si="43"/>
        <v>#DIV/0!</v>
      </c>
      <c r="R284" s="63" t="e">
        <f t="shared" si="44"/>
        <v>#DIV/0!</v>
      </c>
      <c r="S284" s="66" t="e">
        <f t="shared" si="45"/>
        <v>#DIV/0!</v>
      </c>
      <c r="T284" s="63" t="e">
        <f t="shared" si="46"/>
        <v>#DIV/0!</v>
      </c>
      <c r="U284" s="67" t="e">
        <f t="shared" si="47"/>
        <v>#DIV/0!</v>
      </c>
    </row>
    <row r="285" spans="1:21" x14ac:dyDescent="0.2">
      <c r="A285" s="60" t="s">
        <v>468</v>
      </c>
      <c r="B285" s="61" t="s">
        <v>230</v>
      </c>
      <c r="C285" s="61" t="s">
        <v>305</v>
      </c>
      <c r="D285" s="61" t="s">
        <v>472</v>
      </c>
      <c r="E285" s="62" t="s">
        <v>331</v>
      </c>
      <c r="F285" s="61" t="s">
        <v>238</v>
      </c>
      <c r="G285" s="61" t="s">
        <v>175</v>
      </c>
      <c r="H285" s="61" t="s">
        <v>18</v>
      </c>
      <c r="I285" s="61" t="s">
        <v>159</v>
      </c>
      <c r="J285" s="61" t="s">
        <v>239</v>
      </c>
      <c r="K285" s="63">
        <v>55.9</v>
      </c>
      <c r="L285" s="63">
        <f t="shared" si="42"/>
        <v>22.36</v>
      </c>
      <c r="M285" s="64">
        <f>prodnorm33</f>
        <v>0</v>
      </c>
      <c r="N285" s="65">
        <f>dagwerk33</f>
        <v>0</v>
      </c>
      <c r="O285" s="61" t="s">
        <v>43</v>
      </c>
      <c r="P285" s="66">
        <f>uurtarief33</f>
        <v>0</v>
      </c>
      <c r="Q285" s="63" t="e">
        <f t="shared" si="43"/>
        <v>#DIV/0!</v>
      </c>
      <c r="R285" s="63" t="e">
        <f t="shared" si="44"/>
        <v>#DIV/0!</v>
      </c>
      <c r="S285" s="66" t="e">
        <f t="shared" si="45"/>
        <v>#DIV/0!</v>
      </c>
      <c r="T285" s="63" t="e">
        <f t="shared" si="46"/>
        <v>#DIV/0!</v>
      </c>
      <c r="U285" s="67" t="e">
        <f t="shared" si="47"/>
        <v>#DIV/0!</v>
      </c>
    </row>
    <row r="286" spans="1:21" x14ac:dyDescent="0.2">
      <c r="A286" s="60" t="s">
        <v>468</v>
      </c>
      <c r="B286" s="61" t="s">
        <v>230</v>
      </c>
      <c r="C286" s="61" t="s">
        <v>305</v>
      </c>
      <c r="D286" s="61" t="s">
        <v>344</v>
      </c>
      <c r="E286" s="62" t="s">
        <v>332</v>
      </c>
      <c r="F286" s="61" t="s">
        <v>425</v>
      </c>
      <c r="G286" s="61" t="s">
        <v>195</v>
      </c>
      <c r="H286" s="61" t="s">
        <v>11</v>
      </c>
      <c r="I286" s="61" t="s">
        <v>159</v>
      </c>
      <c r="J286" s="61" t="s">
        <v>257</v>
      </c>
      <c r="K286" s="63">
        <v>7</v>
      </c>
      <c r="L286" s="63">
        <f t="shared" si="42"/>
        <v>7</v>
      </c>
      <c r="M286" s="64">
        <f>prodnorm49</f>
        <v>0</v>
      </c>
      <c r="N286" s="65">
        <f>dagwerk49</f>
        <v>0</v>
      </c>
      <c r="O286" s="61" t="s">
        <v>43</v>
      </c>
      <c r="P286" s="66">
        <f>uurtarief49</f>
        <v>0</v>
      </c>
      <c r="Q286" s="63" t="e">
        <f t="shared" si="43"/>
        <v>#DIV/0!</v>
      </c>
      <c r="R286" s="63" t="e">
        <f t="shared" si="44"/>
        <v>#DIV/0!</v>
      </c>
      <c r="S286" s="66" t="e">
        <f t="shared" si="45"/>
        <v>#DIV/0!</v>
      </c>
      <c r="T286" s="63" t="e">
        <f t="shared" si="46"/>
        <v>#DIV/0!</v>
      </c>
      <c r="U286" s="67" t="e">
        <f t="shared" si="47"/>
        <v>#DIV/0!</v>
      </c>
    </row>
    <row r="287" spans="1:21" x14ac:dyDescent="0.2">
      <c r="A287" s="60" t="s">
        <v>468</v>
      </c>
      <c r="B287" s="61" t="s">
        <v>230</v>
      </c>
      <c r="C287" s="61" t="s">
        <v>305</v>
      </c>
      <c r="D287" s="61" t="s">
        <v>307</v>
      </c>
      <c r="E287" s="62" t="s">
        <v>331</v>
      </c>
      <c r="F287" s="61" t="s">
        <v>238</v>
      </c>
      <c r="G287" s="61" t="s">
        <v>175</v>
      </c>
      <c r="H287" s="61" t="s">
        <v>18</v>
      </c>
      <c r="I287" s="61" t="s">
        <v>159</v>
      </c>
      <c r="J287" s="61" t="s">
        <v>239</v>
      </c>
      <c r="K287" s="63">
        <v>55.9</v>
      </c>
      <c r="L287" s="63">
        <f t="shared" si="42"/>
        <v>22.36</v>
      </c>
      <c r="M287" s="64">
        <f>prodnorm33</f>
        <v>0</v>
      </c>
      <c r="N287" s="65">
        <f>dagwerk33</f>
        <v>0</v>
      </c>
      <c r="O287" s="61" t="s">
        <v>43</v>
      </c>
      <c r="P287" s="66">
        <f>uurtarief33</f>
        <v>0</v>
      </c>
      <c r="Q287" s="63" t="e">
        <f t="shared" si="43"/>
        <v>#DIV/0!</v>
      </c>
      <c r="R287" s="63" t="e">
        <f t="shared" si="44"/>
        <v>#DIV/0!</v>
      </c>
      <c r="S287" s="66" t="e">
        <f t="shared" si="45"/>
        <v>#DIV/0!</v>
      </c>
      <c r="T287" s="63" t="e">
        <f t="shared" si="46"/>
        <v>#DIV/0!</v>
      </c>
      <c r="U287" s="67" t="e">
        <f t="shared" si="47"/>
        <v>#DIV/0!</v>
      </c>
    </row>
    <row r="288" spans="1:21" x14ac:dyDescent="0.2">
      <c r="A288" s="60" t="s">
        <v>468</v>
      </c>
      <c r="B288" s="61" t="s">
        <v>230</v>
      </c>
      <c r="C288" s="61" t="s">
        <v>305</v>
      </c>
      <c r="D288" s="61" t="s">
        <v>348</v>
      </c>
      <c r="E288" s="62" t="s">
        <v>331</v>
      </c>
      <c r="F288" s="61" t="s">
        <v>238</v>
      </c>
      <c r="G288" s="61" t="s">
        <v>175</v>
      </c>
      <c r="H288" s="61" t="s">
        <v>18</v>
      </c>
      <c r="I288" s="61" t="s">
        <v>159</v>
      </c>
      <c r="J288" s="61" t="s">
        <v>239</v>
      </c>
      <c r="K288" s="63">
        <v>55.9</v>
      </c>
      <c r="L288" s="63">
        <f t="shared" si="42"/>
        <v>22.36</v>
      </c>
      <c r="M288" s="64">
        <f>prodnorm33</f>
        <v>0</v>
      </c>
      <c r="N288" s="65">
        <f>dagwerk33</f>
        <v>0</v>
      </c>
      <c r="O288" s="61" t="s">
        <v>43</v>
      </c>
      <c r="P288" s="66">
        <f>uurtarief33</f>
        <v>0</v>
      </c>
      <c r="Q288" s="63" t="e">
        <f t="shared" si="43"/>
        <v>#DIV/0!</v>
      </c>
      <c r="R288" s="63" t="e">
        <f t="shared" si="44"/>
        <v>#DIV/0!</v>
      </c>
      <c r="S288" s="66" t="e">
        <f t="shared" si="45"/>
        <v>#DIV/0!</v>
      </c>
      <c r="T288" s="63" t="e">
        <f t="shared" si="46"/>
        <v>#DIV/0!</v>
      </c>
      <c r="U288" s="67" t="e">
        <f t="shared" si="47"/>
        <v>#DIV/0!</v>
      </c>
    </row>
    <row r="289" spans="1:21" x14ac:dyDescent="0.2">
      <c r="A289" s="60" t="s">
        <v>468</v>
      </c>
      <c r="B289" s="61" t="s">
        <v>230</v>
      </c>
      <c r="C289" s="61" t="s">
        <v>305</v>
      </c>
      <c r="D289" s="61" t="s">
        <v>349</v>
      </c>
      <c r="E289" s="62" t="s">
        <v>332</v>
      </c>
      <c r="F289" s="61" t="s">
        <v>425</v>
      </c>
      <c r="G289" s="61" t="s">
        <v>195</v>
      </c>
      <c r="H289" s="61" t="s">
        <v>11</v>
      </c>
      <c r="I289" s="61" t="s">
        <v>159</v>
      </c>
      <c r="J289" s="61" t="s">
        <v>257</v>
      </c>
      <c r="K289" s="63">
        <v>7</v>
      </c>
      <c r="L289" s="63">
        <f t="shared" si="42"/>
        <v>7</v>
      </c>
      <c r="M289" s="64">
        <f>prodnorm49</f>
        <v>0</v>
      </c>
      <c r="N289" s="65">
        <f>dagwerk49</f>
        <v>0</v>
      </c>
      <c r="O289" s="61" t="s">
        <v>43</v>
      </c>
      <c r="P289" s="66">
        <f>uurtarief49</f>
        <v>0</v>
      </c>
      <c r="Q289" s="63" t="e">
        <f t="shared" si="43"/>
        <v>#DIV/0!</v>
      </c>
      <c r="R289" s="63" t="e">
        <f t="shared" si="44"/>
        <v>#DIV/0!</v>
      </c>
      <c r="S289" s="66" t="e">
        <f t="shared" si="45"/>
        <v>#DIV/0!</v>
      </c>
      <c r="T289" s="63" t="e">
        <f t="shared" si="46"/>
        <v>#DIV/0!</v>
      </c>
      <c r="U289" s="67" t="e">
        <f t="shared" si="47"/>
        <v>#DIV/0!</v>
      </c>
    </row>
    <row r="290" spans="1:21" x14ac:dyDescent="0.2">
      <c r="A290" s="60" t="s">
        <v>468</v>
      </c>
      <c r="B290" s="61" t="s">
        <v>230</v>
      </c>
      <c r="C290" s="61" t="s">
        <v>305</v>
      </c>
      <c r="D290" s="61" t="s">
        <v>350</v>
      </c>
      <c r="E290" s="62" t="s">
        <v>331</v>
      </c>
      <c r="F290" s="61" t="s">
        <v>238</v>
      </c>
      <c r="G290" s="61" t="s">
        <v>175</v>
      </c>
      <c r="H290" s="61" t="s">
        <v>18</v>
      </c>
      <c r="I290" s="61" t="s">
        <v>159</v>
      </c>
      <c r="J290" s="61" t="s">
        <v>239</v>
      </c>
      <c r="K290" s="63">
        <v>55.9</v>
      </c>
      <c r="L290" s="63">
        <f t="shared" si="42"/>
        <v>22.36</v>
      </c>
      <c r="M290" s="64">
        <f>prodnorm33</f>
        <v>0</v>
      </c>
      <c r="N290" s="65">
        <f>dagwerk33</f>
        <v>0</v>
      </c>
      <c r="O290" s="61" t="s">
        <v>43</v>
      </c>
      <c r="P290" s="66">
        <f>uurtarief33</f>
        <v>0</v>
      </c>
      <c r="Q290" s="63" t="e">
        <f t="shared" si="43"/>
        <v>#DIV/0!</v>
      </c>
      <c r="R290" s="63" t="e">
        <f t="shared" si="44"/>
        <v>#DIV/0!</v>
      </c>
      <c r="S290" s="66" t="e">
        <f t="shared" si="45"/>
        <v>#DIV/0!</v>
      </c>
      <c r="T290" s="63" t="e">
        <f t="shared" si="46"/>
        <v>#DIV/0!</v>
      </c>
      <c r="U290" s="67" t="e">
        <f t="shared" si="47"/>
        <v>#DIV/0!</v>
      </c>
    </row>
    <row r="291" spans="1:21" x14ac:dyDescent="0.2">
      <c r="A291" s="60" t="s">
        <v>468</v>
      </c>
      <c r="B291" s="61" t="s">
        <v>230</v>
      </c>
      <c r="C291" s="61" t="s">
        <v>305</v>
      </c>
      <c r="D291" s="61" t="s">
        <v>473</v>
      </c>
      <c r="E291" s="62" t="s">
        <v>324</v>
      </c>
      <c r="F291" s="61" t="s">
        <v>474</v>
      </c>
      <c r="G291" s="61" t="s">
        <v>211</v>
      </c>
      <c r="H291" s="61" t="s">
        <v>11</v>
      </c>
      <c r="I291" s="61" t="s">
        <v>159</v>
      </c>
      <c r="J291" s="61" t="s">
        <v>235</v>
      </c>
      <c r="K291" s="63">
        <v>19</v>
      </c>
      <c r="L291" s="63">
        <f t="shared" si="42"/>
        <v>19</v>
      </c>
      <c r="M291" s="64">
        <f>prodnorm64</f>
        <v>0</v>
      </c>
      <c r="N291" s="65">
        <f>dagwerk64</f>
        <v>0</v>
      </c>
      <c r="O291" s="61" t="s">
        <v>43</v>
      </c>
      <c r="P291" s="66">
        <f>uurtarief64</f>
        <v>0</v>
      </c>
      <c r="Q291" s="63" t="e">
        <f t="shared" si="43"/>
        <v>#DIV/0!</v>
      </c>
      <c r="R291" s="63" t="e">
        <f t="shared" si="44"/>
        <v>#DIV/0!</v>
      </c>
      <c r="S291" s="66" t="e">
        <f t="shared" si="45"/>
        <v>#DIV/0!</v>
      </c>
      <c r="T291" s="63" t="e">
        <f t="shared" si="46"/>
        <v>#DIV/0!</v>
      </c>
      <c r="U291" s="67" t="e">
        <f t="shared" si="47"/>
        <v>#DIV/0!</v>
      </c>
    </row>
    <row r="292" spans="1:21" x14ac:dyDescent="0.2">
      <c r="A292" s="68" t="s">
        <v>468</v>
      </c>
      <c r="B292" s="69" t="s">
        <v>230</v>
      </c>
      <c r="C292" s="69" t="s">
        <v>305</v>
      </c>
      <c r="D292" s="69" t="s">
        <v>475</v>
      </c>
      <c r="E292" s="70" t="s">
        <v>358</v>
      </c>
      <c r="F292" s="69" t="s">
        <v>238</v>
      </c>
      <c r="G292" s="69" t="s">
        <v>199</v>
      </c>
      <c r="H292" s="69" t="s">
        <v>11</v>
      </c>
      <c r="I292" s="69" t="s">
        <v>159</v>
      </c>
      <c r="J292" s="69" t="s">
        <v>235</v>
      </c>
      <c r="K292" s="71">
        <v>129</v>
      </c>
      <c r="L292" s="71">
        <f t="shared" si="42"/>
        <v>129</v>
      </c>
      <c r="M292" s="72">
        <f>prodnorm53</f>
        <v>0</v>
      </c>
      <c r="N292" s="73">
        <f>dagwerk53</f>
        <v>0</v>
      </c>
      <c r="O292" s="69" t="s">
        <v>43</v>
      </c>
      <c r="P292" s="74">
        <f>uurtarief53</f>
        <v>0</v>
      </c>
      <c r="Q292" s="71" t="e">
        <f t="shared" si="43"/>
        <v>#DIV/0!</v>
      </c>
      <c r="R292" s="71" t="e">
        <f t="shared" si="44"/>
        <v>#DIV/0!</v>
      </c>
      <c r="S292" s="74" t="e">
        <f t="shared" si="45"/>
        <v>#DIV/0!</v>
      </c>
      <c r="T292" s="71" t="e">
        <f t="shared" si="46"/>
        <v>#DIV/0!</v>
      </c>
      <c r="U292" s="75" t="e">
        <f t="shared" si="47"/>
        <v>#DIV/0!</v>
      </c>
    </row>
    <row r="293" spans="1:21" x14ac:dyDescent="0.2">
      <c r="A293" s="76" t="s">
        <v>319</v>
      </c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5" t="e">
        <f>IF(_xlfn.SINGLE(object7_urenjaar1)&gt;0,_xlfn.SINGLE(object7_prijsjaar1)/_xlfn.SINGLE(object7_urenjaar1),0)</f>
        <v>#DIV/0!</v>
      </c>
      <c r="Q293" s="44" t="e">
        <f>SUM(Q259:Q292)</f>
        <v>#DIV/0!</v>
      </c>
      <c r="R293" s="44" t="e">
        <f>SUM(R259:R292)</f>
        <v>#DIV/0!</v>
      </c>
      <c r="S293" s="45" t="e">
        <f>SUM(S259:S292)</f>
        <v>#DIV/0!</v>
      </c>
      <c r="T293" s="44" t="e">
        <f>SUM(T259:T292)</f>
        <v>#DIV/0!</v>
      </c>
      <c r="U293" s="46" t="e">
        <f>SUM(U259:U292)</f>
        <v>#DIV/0!</v>
      </c>
    </row>
    <row r="294" spans="1:21" x14ac:dyDescent="0.2">
      <c r="A294" s="51" t="s">
        <v>476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41"/>
    </row>
    <row r="295" spans="1:21" x14ac:dyDescent="0.2">
      <c r="A295" s="52" t="s">
        <v>477</v>
      </c>
      <c r="B295" s="53" t="s">
        <v>230</v>
      </c>
      <c r="C295" s="53" t="s">
        <v>231</v>
      </c>
      <c r="D295" s="53" t="s">
        <v>232</v>
      </c>
      <c r="E295" s="54" t="s">
        <v>478</v>
      </c>
      <c r="F295" s="53" t="s">
        <v>264</v>
      </c>
      <c r="G295" s="53" t="s">
        <v>213</v>
      </c>
      <c r="H295" s="53" t="s">
        <v>13</v>
      </c>
      <c r="I295" s="53" t="s">
        <v>214</v>
      </c>
      <c r="J295" s="53" t="s">
        <v>239</v>
      </c>
      <c r="K295" s="55">
        <v>69.7</v>
      </c>
      <c r="L295" s="55">
        <f t="shared" ref="L295:L315" si="48">K295*VLOOKUP(H295,dagsoorttabel1,2,FALSE)</f>
        <v>55.760000000000005</v>
      </c>
      <c r="M295" s="56">
        <f>prodnorm13</f>
        <v>0</v>
      </c>
      <c r="N295" s="57">
        <f>dagwerk13</f>
        <v>0</v>
      </c>
      <c r="O295" s="53" t="s">
        <v>43</v>
      </c>
      <c r="P295" s="58">
        <f>uurtarief13</f>
        <v>0</v>
      </c>
      <c r="Q295" s="55" t="e">
        <f t="shared" ref="Q295:Q315" si="49">IF(ISBLANK(M295),0,L295/ROUND(M295,4))</f>
        <v>#DIV/0!</v>
      </c>
      <c r="R295" s="55" t="e">
        <f t="shared" ref="R295:R315" si="50">IF(ISBLANK(M295),0,Q295*ROUND(N295,2))</f>
        <v>#DIV/0!</v>
      </c>
      <c r="S295" s="58" t="e">
        <f t="shared" ref="S295:S315" si="51">ROUND(P295,2)*Q295</f>
        <v>#DIV/0!</v>
      </c>
      <c r="T295" s="55" t="e">
        <f t="shared" ref="T295:T315" si="52">Q295*dagenperjaar1</f>
        <v>#DIV/0!</v>
      </c>
      <c r="U295" s="59" t="e">
        <f t="shared" ref="U295:U315" si="53">T295*ROUND(P295,2)</f>
        <v>#DIV/0!</v>
      </c>
    </row>
    <row r="296" spans="1:21" x14ac:dyDescent="0.2">
      <c r="A296" s="60" t="s">
        <v>477</v>
      </c>
      <c r="B296" s="61" t="s">
        <v>230</v>
      </c>
      <c r="C296" s="61" t="s">
        <v>231</v>
      </c>
      <c r="D296" s="61" t="s">
        <v>232</v>
      </c>
      <c r="E296" s="62" t="s">
        <v>478</v>
      </c>
      <c r="F296" s="61" t="s">
        <v>264</v>
      </c>
      <c r="G296" s="61" t="s">
        <v>175</v>
      </c>
      <c r="H296" s="61" t="s">
        <v>11</v>
      </c>
      <c r="I296" s="61" t="s">
        <v>159</v>
      </c>
      <c r="J296" s="61" t="s">
        <v>239</v>
      </c>
      <c r="K296" s="63">
        <v>69.7</v>
      </c>
      <c r="L296" s="63">
        <f t="shared" si="48"/>
        <v>69.7</v>
      </c>
      <c r="M296" s="64">
        <f>prodnorm31</f>
        <v>0</v>
      </c>
      <c r="N296" s="65">
        <f>dagwerk31</f>
        <v>0</v>
      </c>
      <c r="O296" s="61" t="s">
        <v>43</v>
      </c>
      <c r="P296" s="66">
        <f>uurtarief31</f>
        <v>0</v>
      </c>
      <c r="Q296" s="63" t="e">
        <f t="shared" si="49"/>
        <v>#DIV/0!</v>
      </c>
      <c r="R296" s="63" t="e">
        <f t="shared" si="50"/>
        <v>#DIV/0!</v>
      </c>
      <c r="S296" s="66" t="e">
        <f t="shared" si="51"/>
        <v>#DIV/0!</v>
      </c>
      <c r="T296" s="63" t="e">
        <f t="shared" si="52"/>
        <v>#DIV/0!</v>
      </c>
      <c r="U296" s="67" t="e">
        <f t="shared" si="53"/>
        <v>#DIV/0!</v>
      </c>
    </row>
    <row r="297" spans="1:21" x14ac:dyDescent="0.2">
      <c r="A297" s="60" t="s">
        <v>477</v>
      </c>
      <c r="B297" s="61" t="s">
        <v>230</v>
      </c>
      <c r="C297" s="61" t="s">
        <v>231</v>
      </c>
      <c r="D297" s="61" t="s">
        <v>236</v>
      </c>
      <c r="E297" s="62" t="s">
        <v>233</v>
      </c>
      <c r="F297" s="61" t="s">
        <v>264</v>
      </c>
      <c r="G297" s="61" t="s">
        <v>203</v>
      </c>
      <c r="H297" s="61" t="s">
        <v>11</v>
      </c>
      <c r="I297" s="61" t="s">
        <v>159</v>
      </c>
      <c r="J297" s="61" t="s">
        <v>235</v>
      </c>
      <c r="K297" s="63">
        <v>2.1</v>
      </c>
      <c r="L297" s="63">
        <f t="shared" si="48"/>
        <v>2.1</v>
      </c>
      <c r="M297" s="64">
        <f>prodnorm57</f>
        <v>0</v>
      </c>
      <c r="N297" s="65">
        <f>dagwerk57</f>
        <v>0</v>
      </c>
      <c r="O297" s="61" t="s">
        <v>43</v>
      </c>
      <c r="P297" s="66">
        <f>uurtarief57</f>
        <v>0</v>
      </c>
      <c r="Q297" s="63" t="e">
        <f t="shared" si="49"/>
        <v>#DIV/0!</v>
      </c>
      <c r="R297" s="63" t="e">
        <f t="shared" si="50"/>
        <v>#DIV/0!</v>
      </c>
      <c r="S297" s="66" t="e">
        <f t="shared" si="51"/>
        <v>#DIV/0!</v>
      </c>
      <c r="T297" s="63" t="e">
        <f t="shared" si="52"/>
        <v>#DIV/0!</v>
      </c>
      <c r="U297" s="67" t="e">
        <f t="shared" si="53"/>
        <v>#DIV/0!</v>
      </c>
    </row>
    <row r="298" spans="1:21" x14ac:dyDescent="0.2">
      <c r="A298" s="60" t="s">
        <v>477</v>
      </c>
      <c r="B298" s="61" t="s">
        <v>230</v>
      </c>
      <c r="C298" s="61" t="s">
        <v>231</v>
      </c>
      <c r="D298" s="61" t="s">
        <v>245</v>
      </c>
      <c r="E298" s="62" t="s">
        <v>479</v>
      </c>
      <c r="F298" s="61" t="s">
        <v>264</v>
      </c>
      <c r="G298" s="61" t="s">
        <v>175</v>
      </c>
      <c r="H298" s="61" t="s">
        <v>11</v>
      </c>
      <c r="I298" s="61" t="s">
        <v>159</v>
      </c>
      <c r="J298" s="61" t="s">
        <v>239</v>
      </c>
      <c r="K298" s="63">
        <v>54</v>
      </c>
      <c r="L298" s="63">
        <f t="shared" si="48"/>
        <v>54</v>
      </c>
      <c r="M298" s="64">
        <f>prodnorm31</f>
        <v>0</v>
      </c>
      <c r="N298" s="65">
        <f>dagwerk31</f>
        <v>0</v>
      </c>
      <c r="O298" s="61" t="s">
        <v>43</v>
      </c>
      <c r="P298" s="66">
        <f>uurtarief31</f>
        <v>0</v>
      </c>
      <c r="Q298" s="63" t="e">
        <f t="shared" si="49"/>
        <v>#DIV/0!</v>
      </c>
      <c r="R298" s="63" t="e">
        <f t="shared" si="50"/>
        <v>#DIV/0!</v>
      </c>
      <c r="S298" s="66" t="e">
        <f t="shared" si="51"/>
        <v>#DIV/0!</v>
      </c>
      <c r="T298" s="63" t="e">
        <f t="shared" si="52"/>
        <v>#DIV/0!</v>
      </c>
      <c r="U298" s="67" t="e">
        <f t="shared" si="53"/>
        <v>#DIV/0!</v>
      </c>
    </row>
    <row r="299" spans="1:21" x14ac:dyDescent="0.2">
      <c r="A299" s="60" t="s">
        <v>477</v>
      </c>
      <c r="B299" s="61" t="s">
        <v>230</v>
      </c>
      <c r="C299" s="61" t="s">
        <v>231</v>
      </c>
      <c r="D299" s="61" t="s">
        <v>248</v>
      </c>
      <c r="E299" s="62" t="s">
        <v>255</v>
      </c>
      <c r="F299" s="61" t="s">
        <v>264</v>
      </c>
      <c r="G299" s="61" t="s">
        <v>195</v>
      </c>
      <c r="H299" s="61" t="s">
        <v>11</v>
      </c>
      <c r="I299" s="61" t="s">
        <v>159</v>
      </c>
      <c r="J299" s="61" t="s">
        <v>257</v>
      </c>
      <c r="K299" s="63">
        <v>5.3</v>
      </c>
      <c r="L299" s="63">
        <f t="shared" si="48"/>
        <v>5.3</v>
      </c>
      <c r="M299" s="64">
        <f>prodnorm49</f>
        <v>0</v>
      </c>
      <c r="N299" s="65">
        <f>dagwerk49</f>
        <v>0</v>
      </c>
      <c r="O299" s="61" t="s">
        <v>43</v>
      </c>
      <c r="P299" s="66">
        <f>uurtarief49</f>
        <v>0</v>
      </c>
      <c r="Q299" s="63" t="e">
        <f t="shared" si="49"/>
        <v>#DIV/0!</v>
      </c>
      <c r="R299" s="63" t="e">
        <f t="shared" si="50"/>
        <v>#DIV/0!</v>
      </c>
      <c r="S299" s="66" t="e">
        <f t="shared" si="51"/>
        <v>#DIV/0!</v>
      </c>
      <c r="T299" s="63" t="e">
        <f t="shared" si="52"/>
        <v>#DIV/0!</v>
      </c>
      <c r="U299" s="67" t="e">
        <f t="shared" si="53"/>
        <v>#DIV/0!</v>
      </c>
    </row>
    <row r="300" spans="1:21" x14ac:dyDescent="0.2">
      <c r="A300" s="60" t="s">
        <v>477</v>
      </c>
      <c r="B300" s="61" t="s">
        <v>230</v>
      </c>
      <c r="C300" s="61" t="s">
        <v>231</v>
      </c>
      <c r="D300" s="61" t="s">
        <v>312</v>
      </c>
      <c r="E300" s="62" t="s">
        <v>266</v>
      </c>
      <c r="F300" s="61" t="s">
        <v>264</v>
      </c>
      <c r="G300" s="61" t="s">
        <v>199</v>
      </c>
      <c r="H300" s="61" t="s">
        <v>11</v>
      </c>
      <c r="I300" s="61" t="s">
        <v>159</v>
      </c>
      <c r="J300" s="61" t="s">
        <v>235</v>
      </c>
      <c r="K300" s="63">
        <v>20.399999999999999</v>
      </c>
      <c r="L300" s="63">
        <f t="shared" si="48"/>
        <v>20.399999999999999</v>
      </c>
      <c r="M300" s="64">
        <f>prodnorm53</f>
        <v>0</v>
      </c>
      <c r="N300" s="65">
        <f>dagwerk53</f>
        <v>0</v>
      </c>
      <c r="O300" s="61" t="s">
        <v>43</v>
      </c>
      <c r="P300" s="66">
        <f>uurtarief53</f>
        <v>0</v>
      </c>
      <c r="Q300" s="63" t="e">
        <f t="shared" si="49"/>
        <v>#DIV/0!</v>
      </c>
      <c r="R300" s="63" t="e">
        <f t="shared" si="50"/>
        <v>#DIV/0!</v>
      </c>
      <c r="S300" s="66" t="e">
        <f t="shared" si="51"/>
        <v>#DIV/0!</v>
      </c>
      <c r="T300" s="63" t="e">
        <f t="shared" si="52"/>
        <v>#DIV/0!</v>
      </c>
      <c r="U300" s="67" t="e">
        <f t="shared" si="53"/>
        <v>#DIV/0!</v>
      </c>
    </row>
    <row r="301" spans="1:21" x14ac:dyDescent="0.2">
      <c r="A301" s="60" t="s">
        <v>477</v>
      </c>
      <c r="B301" s="61" t="s">
        <v>230</v>
      </c>
      <c r="C301" s="61" t="s">
        <v>231</v>
      </c>
      <c r="D301" s="61" t="s">
        <v>328</v>
      </c>
      <c r="E301" s="62" t="s">
        <v>255</v>
      </c>
      <c r="F301" s="61" t="s">
        <v>264</v>
      </c>
      <c r="G301" s="61" t="s">
        <v>195</v>
      </c>
      <c r="H301" s="61" t="s">
        <v>11</v>
      </c>
      <c r="I301" s="61" t="s">
        <v>159</v>
      </c>
      <c r="J301" s="61" t="s">
        <v>257</v>
      </c>
      <c r="K301" s="63">
        <v>5.7</v>
      </c>
      <c r="L301" s="63">
        <f t="shared" si="48"/>
        <v>5.7</v>
      </c>
      <c r="M301" s="64">
        <f>prodnorm49</f>
        <v>0</v>
      </c>
      <c r="N301" s="65">
        <f>dagwerk49</f>
        <v>0</v>
      </c>
      <c r="O301" s="61" t="s">
        <v>43</v>
      </c>
      <c r="P301" s="66">
        <f>uurtarief49</f>
        <v>0</v>
      </c>
      <c r="Q301" s="63" t="e">
        <f t="shared" si="49"/>
        <v>#DIV/0!</v>
      </c>
      <c r="R301" s="63" t="e">
        <f t="shared" si="50"/>
        <v>#DIV/0!</v>
      </c>
      <c r="S301" s="66" t="e">
        <f t="shared" si="51"/>
        <v>#DIV/0!</v>
      </c>
      <c r="T301" s="63" t="e">
        <f t="shared" si="52"/>
        <v>#DIV/0!</v>
      </c>
      <c r="U301" s="67" t="e">
        <f t="shared" si="53"/>
        <v>#DIV/0!</v>
      </c>
    </row>
    <row r="302" spans="1:21" x14ac:dyDescent="0.2">
      <c r="A302" s="60" t="s">
        <v>477</v>
      </c>
      <c r="B302" s="61" t="s">
        <v>230</v>
      </c>
      <c r="C302" s="61" t="s">
        <v>231</v>
      </c>
      <c r="D302" s="61" t="s">
        <v>258</v>
      </c>
      <c r="E302" s="62" t="s">
        <v>480</v>
      </c>
      <c r="F302" s="61" t="s">
        <v>264</v>
      </c>
      <c r="G302" s="61" t="s">
        <v>158</v>
      </c>
      <c r="H302" s="61" t="s">
        <v>11</v>
      </c>
      <c r="I302" s="61" t="s">
        <v>159</v>
      </c>
      <c r="J302" s="61" t="s">
        <v>282</v>
      </c>
      <c r="K302" s="63">
        <v>9</v>
      </c>
      <c r="L302" s="63">
        <f t="shared" si="48"/>
        <v>9</v>
      </c>
      <c r="M302" s="64">
        <f>prodnorm14</f>
        <v>0</v>
      </c>
      <c r="N302" s="65">
        <f>dagwerk14</f>
        <v>0</v>
      </c>
      <c r="O302" s="61" t="s">
        <v>43</v>
      </c>
      <c r="P302" s="66">
        <f>uurtarief14</f>
        <v>0</v>
      </c>
      <c r="Q302" s="63" t="e">
        <f t="shared" si="49"/>
        <v>#DIV/0!</v>
      </c>
      <c r="R302" s="63" t="e">
        <f t="shared" si="50"/>
        <v>#DIV/0!</v>
      </c>
      <c r="S302" s="66" t="e">
        <f t="shared" si="51"/>
        <v>#DIV/0!</v>
      </c>
      <c r="T302" s="63" t="e">
        <f t="shared" si="52"/>
        <v>#DIV/0!</v>
      </c>
      <c r="U302" s="67" t="e">
        <f t="shared" si="53"/>
        <v>#DIV/0!</v>
      </c>
    </row>
    <row r="303" spans="1:21" x14ac:dyDescent="0.2">
      <c r="A303" s="60" t="s">
        <v>477</v>
      </c>
      <c r="B303" s="61" t="s">
        <v>230</v>
      </c>
      <c r="C303" s="61" t="s">
        <v>231</v>
      </c>
      <c r="D303" s="61" t="s">
        <v>316</v>
      </c>
      <c r="E303" s="62" t="s">
        <v>266</v>
      </c>
      <c r="F303" s="61" t="s">
        <v>264</v>
      </c>
      <c r="G303" s="61" t="s">
        <v>199</v>
      </c>
      <c r="H303" s="61" t="s">
        <v>11</v>
      </c>
      <c r="I303" s="61" t="s">
        <v>159</v>
      </c>
      <c r="J303" s="61" t="s">
        <v>235</v>
      </c>
      <c r="K303" s="63">
        <v>63.5</v>
      </c>
      <c r="L303" s="63">
        <f t="shared" si="48"/>
        <v>63.5</v>
      </c>
      <c r="M303" s="64">
        <f>prodnorm53</f>
        <v>0</v>
      </c>
      <c r="N303" s="65">
        <f>dagwerk53</f>
        <v>0</v>
      </c>
      <c r="O303" s="61" t="s">
        <v>43</v>
      </c>
      <c r="P303" s="66">
        <f>uurtarief53</f>
        <v>0</v>
      </c>
      <c r="Q303" s="63" t="e">
        <f t="shared" si="49"/>
        <v>#DIV/0!</v>
      </c>
      <c r="R303" s="63" t="e">
        <f t="shared" si="50"/>
        <v>#DIV/0!</v>
      </c>
      <c r="S303" s="66" t="e">
        <f t="shared" si="51"/>
        <v>#DIV/0!</v>
      </c>
      <c r="T303" s="63" t="e">
        <f t="shared" si="52"/>
        <v>#DIV/0!</v>
      </c>
      <c r="U303" s="67" t="e">
        <f t="shared" si="53"/>
        <v>#DIV/0!</v>
      </c>
    </row>
    <row r="304" spans="1:21" x14ac:dyDescent="0.2">
      <c r="A304" s="60" t="s">
        <v>477</v>
      </c>
      <c r="B304" s="61" t="s">
        <v>230</v>
      </c>
      <c r="C304" s="61" t="s">
        <v>231</v>
      </c>
      <c r="D304" s="61" t="s">
        <v>481</v>
      </c>
      <c r="E304" s="62" t="s">
        <v>482</v>
      </c>
      <c r="F304" s="61" t="s">
        <v>264</v>
      </c>
      <c r="G304" s="61" t="s">
        <v>199</v>
      </c>
      <c r="H304" s="61" t="s">
        <v>11</v>
      </c>
      <c r="I304" s="61" t="s">
        <v>159</v>
      </c>
      <c r="J304" s="61" t="s">
        <v>235</v>
      </c>
      <c r="K304" s="63">
        <v>2.9</v>
      </c>
      <c r="L304" s="63">
        <f t="shared" si="48"/>
        <v>2.9</v>
      </c>
      <c r="M304" s="64">
        <f>prodnorm53</f>
        <v>0</v>
      </c>
      <c r="N304" s="65">
        <f>dagwerk53</f>
        <v>0</v>
      </c>
      <c r="O304" s="61" t="s">
        <v>43</v>
      </c>
      <c r="P304" s="66">
        <f>uurtarief53</f>
        <v>0</v>
      </c>
      <c r="Q304" s="63" t="e">
        <f t="shared" si="49"/>
        <v>#DIV/0!</v>
      </c>
      <c r="R304" s="63" t="e">
        <f t="shared" si="50"/>
        <v>#DIV/0!</v>
      </c>
      <c r="S304" s="66" t="e">
        <f t="shared" si="51"/>
        <v>#DIV/0!</v>
      </c>
      <c r="T304" s="63" t="e">
        <f t="shared" si="52"/>
        <v>#DIV/0!</v>
      </c>
      <c r="U304" s="67" t="e">
        <f t="shared" si="53"/>
        <v>#DIV/0!</v>
      </c>
    </row>
    <row r="305" spans="1:21" x14ac:dyDescent="0.2">
      <c r="A305" s="60" t="s">
        <v>477</v>
      </c>
      <c r="B305" s="61" t="s">
        <v>230</v>
      </c>
      <c r="C305" s="61" t="s">
        <v>231</v>
      </c>
      <c r="D305" s="61" t="s">
        <v>272</v>
      </c>
      <c r="E305" s="62" t="s">
        <v>483</v>
      </c>
      <c r="F305" s="61" t="s">
        <v>264</v>
      </c>
      <c r="G305" s="61" t="s">
        <v>209</v>
      </c>
      <c r="H305" s="61" t="s">
        <v>9</v>
      </c>
      <c r="I305" s="61" t="s">
        <v>159</v>
      </c>
      <c r="J305" s="61" t="s">
        <v>235</v>
      </c>
      <c r="K305" s="63">
        <v>54</v>
      </c>
      <c r="L305" s="63">
        <f t="shared" si="48"/>
        <v>68.849999999999994</v>
      </c>
      <c r="M305" s="64">
        <f>prodnorm63</f>
        <v>0</v>
      </c>
      <c r="N305" s="65">
        <f>dagwerk63</f>
        <v>0</v>
      </c>
      <c r="O305" s="61" t="s">
        <v>43</v>
      </c>
      <c r="P305" s="66">
        <f>uurtarief63</f>
        <v>0</v>
      </c>
      <c r="Q305" s="63" t="e">
        <f t="shared" si="49"/>
        <v>#DIV/0!</v>
      </c>
      <c r="R305" s="63" t="e">
        <f t="shared" si="50"/>
        <v>#DIV/0!</v>
      </c>
      <c r="S305" s="66" t="e">
        <f t="shared" si="51"/>
        <v>#DIV/0!</v>
      </c>
      <c r="T305" s="63" t="e">
        <f t="shared" si="52"/>
        <v>#DIV/0!</v>
      </c>
      <c r="U305" s="67" t="e">
        <f t="shared" si="53"/>
        <v>#DIV/0!</v>
      </c>
    </row>
    <row r="306" spans="1:21" x14ac:dyDescent="0.2">
      <c r="A306" s="60" t="s">
        <v>477</v>
      </c>
      <c r="B306" s="61" t="s">
        <v>230</v>
      </c>
      <c r="C306" s="61" t="s">
        <v>231</v>
      </c>
      <c r="D306" s="61" t="s">
        <v>275</v>
      </c>
      <c r="E306" s="62" t="s">
        <v>255</v>
      </c>
      <c r="F306" s="61" t="s">
        <v>264</v>
      </c>
      <c r="G306" s="61" t="s">
        <v>195</v>
      </c>
      <c r="H306" s="61" t="s">
        <v>11</v>
      </c>
      <c r="I306" s="61" t="s">
        <v>159</v>
      </c>
      <c r="J306" s="61" t="s">
        <v>257</v>
      </c>
      <c r="K306" s="63">
        <v>4.5</v>
      </c>
      <c r="L306" s="63">
        <f t="shared" si="48"/>
        <v>4.5</v>
      </c>
      <c r="M306" s="64">
        <f>prodnorm49</f>
        <v>0</v>
      </c>
      <c r="N306" s="65">
        <f>dagwerk49</f>
        <v>0</v>
      </c>
      <c r="O306" s="61" t="s">
        <v>43</v>
      </c>
      <c r="P306" s="66">
        <f>uurtarief49</f>
        <v>0</v>
      </c>
      <c r="Q306" s="63" t="e">
        <f t="shared" si="49"/>
        <v>#DIV/0!</v>
      </c>
      <c r="R306" s="63" t="e">
        <f t="shared" si="50"/>
        <v>#DIV/0!</v>
      </c>
      <c r="S306" s="66" t="e">
        <f t="shared" si="51"/>
        <v>#DIV/0!</v>
      </c>
      <c r="T306" s="63" t="e">
        <f t="shared" si="52"/>
        <v>#DIV/0!</v>
      </c>
      <c r="U306" s="67" t="e">
        <f t="shared" si="53"/>
        <v>#DIV/0!</v>
      </c>
    </row>
    <row r="307" spans="1:21" x14ac:dyDescent="0.2">
      <c r="A307" s="60" t="s">
        <v>477</v>
      </c>
      <c r="B307" s="61" t="s">
        <v>230</v>
      </c>
      <c r="C307" s="61" t="s">
        <v>231</v>
      </c>
      <c r="D307" s="61" t="s">
        <v>399</v>
      </c>
      <c r="E307" s="62" t="s">
        <v>255</v>
      </c>
      <c r="F307" s="61" t="s">
        <v>264</v>
      </c>
      <c r="G307" s="61" t="s">
        <v>195</v>
      </c>
      <c r="H307" s="61" t="s">
        <v>11</v>
      </c>
      <c r="I307" s="61" t="s">
        <v>159</v>
      </c>
      <c r="J307" s="61" t="s">
        <v>257</v>
      </c>
      <c r="K307" s="63">
        <v>5.8</v>
      </c>
      <c r="L307" s="63">
        <f t="shared" si="48"/>
        <v>5.8</v>
      </c>
      <c r="M307" s="64">
        <f>prodnorm49</f>
        <v>0</v>
      </c>
      <c r="N307" s="65">
        <f>dagwerk49</f>
        <v>0</v>
      </c>
      <c r="O307" s="61" t="s">
        <v>43</v>
      </c>
      <c r="P307" s="66">
        <f>uurtarief49</f>
        <v>0</v>
      </c>
      <c r="Q307" s="63" t="e">
        <f t="shared" si="49"/>
        <v>#DIV/0!</v>
      </c>
      <c r="R307" s="63" t="e">
        <f t="shared" si="50"/>
        <v>#DIV/0!</v>
      </c>
      <c r="S307" s="66" t="e">
        <f t="shared" si="51"/>
        <v>#DIV/0!</v>
      </c>
      <c r="T307" s="63" t="e">
        <f t="shared" si="52"/>
        <v>#DIV/0!</v>
      </c>
      <c r="U307" s="67" t="e">
        <f t="shared" si="53"/>
        <v>#DIV/0!</v>
      </c>
    </row>
    <row r="308" spans="1:21" x14ac:dyDescent="0.2">
      <c r="A308" s="60" t="s">
        <v>477</v>
      </c>
      <c r="B308" s="61" t="s">
        <v>230</v>
      </c>
      <c r="C308" s="61" t="s">
        <v>231</v>
      </c>
      <c r="D308" s="61" t="s">
        <v>375</v>
      </c>
      <c r="E308" s="62" t="s">
        <v>479</v>
      </c>
      <c r="F308" s="61" t="s">
        <v>264</v>
      </c>
      <c r="G308" s="61" t="s">
        <v>175</v>
      </c>
      <c r="H308" s="61" t="s">
        <v>11</v>
      </c>
      <c r="I308" s="61" t="s">
        <v>159</v>
      </c>
      <c r="J308" s="61" t="s">
        <v>239</v>
      </c>
      <c r="K308" s="63">
        <v>54</v>
      </c>
      <c r="L308" s="63">
        <f t="shared" si="48"/>
        <v>54</v>
      </c>
      <c r="M308" s="64">
        <f>prodnorm31</f>
        <v>0</v>
      </c>
      <c r="N308" s="65">
        <f>dagwerk31</f>
        <v>0</v>
      </c>
      <c r="O308" s="61" t="s">
        <v>43</v>
      </c>
      <c r="P308" s="66">
        <f>uurtarief31</f>
        <v>0</v>
      </c>
      <c r="Q308" s="63" t="e">
        <f t="shared" si="49"/>
        <v>#DIV/0!</v>
      </c>
      <c r="R308" s="63" t="e">
        <f t="shared" si="50"/>
        <v>#DIV/0!</v>
      </c>
      <c r="S308" s="66" t="e">
        <f t="shared" si="51"/>
        <v>#DIV/0!</v>
      </c>
      <c r="T308" s="63" t="e">
        <f t="shared" si="52"/>
        <v>#DIV/0!</v>
      </c>
      <c r="U308" s="67" t="e">
        <f t="shared" si="53"/>
        <v>#DIV/0!</v>
      </c>
    </row>
    <row r="309" spans="1:21" x14ac:dyDescent="0.2">
      <c r="A309" s="60" t="s">
        <v>477</v>
      </c>
      <c r="B309" s="61" t="s">
        <v>230</v>
      </c>
      <c r="C309" s="61" t="s">
        <v>231</v>
      </c>
      <c r="D309" s="61" t="s">
        <v>278</v>
      </c>
      <c r="E309" s="62" t="s">
        <v>255</v>
      </c>
      <c r="F309" s="61" t="s">
        <v>264</v>
      </c>
      <c r="G309" s="61" t="s">
        <v>195</v>
      </c>
      <c r="H309" s="61" t="s">
        <v>11</v>
      </c>
      <c r="I309" s="61" t="s">
        <v>159</v>
      </c>
      <c r="J309" s="61" t="s">
        <v>257</v>
      </c>
      <c r="K309" s="63">
        <v>5.8</v>
      </c>
      <c r="L309" s="63">
        <f t="shared" si="48"/>
        <v>5.8</v>
      </c>
      <c r="M309" s="64">
        <f>prodnorm49</f>
        <v>0</v>
      </c>
      <c r="N309" s="65">
        <f>dagwerk49</f>
        <v>0</v>
      </c>
      <c r="O309" s="61" t="s">
        <v>43</v>
      </c>
      <c r="P309" s="66">
        <f>uurtarief49</f>
        <v>0</v>
      </c>
      <c r="Q309" s="63" t="e">
        <f t="shared" si="49"/>
        <v>#DIV/0!</v>
      </c>
      <c r="R309" s="63" t="e">
        <f t="shared" si="50"/>
        <v>#DIV/0!</v>
      </c>
      <c r="S309" s="66" t="e">
        <f t="shared" si="51"/>
        <v>#DIV/0!</v>
      </c>
      <c r="T309" s="63" t="e">
        <f t="shared" si="52"/>
        <v>#DIV/0!</v>
      </c>
      <c r="U309" s="67" t="e">
        <f t="shared" si="53"/>
        <v>#DIV/0!</v>
      </c>
    </row>
    <row r="310" spans="1:21" x14ac:dyDescent="0.2">
      <c r="A310" s="60" t="s">
        <v>477</v>
      </c>
      <c r="B310" s="61" t="s">
        <v>230</v>
      </c>
      <c r="C310" s="61" t="s">
        <v>231</v>
      </c>
      <c r="D310" s="61" t="s">
        <v>280</v>
      </c>
      <c r="E310" s="62" t="s">
        <v>479</v>
      </c>
      <c r="F310" s="61" t="s">
        <v>264</v>
      </c>
      <c r="G310" s="61" t="s">
        <v>175</v>
      </c>
      <c r="H310" s="61" t="s">
        <v>11</v>
      </c>
      <c r="I310" s="61" t="s">
        <v>159</v>
      </c>
      <c r="J310" s="61" t="s">
        <v>239</v>
      </c>
      <c r="K310" s="63">
        <v>34.700000000000003</v>
      </c>
      <c r="L310" s="63">
        <f t="shared" si="48"/>
        <v>34.700000000000003</v>
      </c>
      <c r="M310" s="64">
        <f>prodnorm31</f>
        <v>0</v>
      </c>
      <c r="N310" s="65">
        <f>dagwerk31</f>
        <v>0</v>
      </c>
      <c r="O310" s="61" t="s">
        <v>43</v>
      </c>
      <c r="P310" s="66">
        <f>uurtarief31</f>
        <v>0</v>
      </c>
      <c r="Q310" s="63" t="e">
        <f t="shared" si="49"/>
        <v>#DIV/0!</v>
      </c>
      <c r="R310" s="63" t="e">
        <f t="shared" si="50"/>
        <v>#DIV/0!</v>
      </c>
      <c r="S310" s="66" t="e">
        <f t="shared" si="51"/>
        <v>#DIV/0!</v>
      </c>
      <c r="T310" s="63" t="e">
        <f t="shared" si="52"/>
        <v>#DIV/0!</v>
      </c>
      <c r="U310" s="67" t="e">
        <f t="shared" si="53"/>
        <v>#DIV/0!</v>
      </c>
    </row>
    <row r="311" spans="1:21" x14ac:dyDescent="0.2">
      <c r="A311" s="60" t="s">
        <v>477</v>
      </c>
      <c r="B311" s="61" t="s">
        <v>230</v>
      </c>
      <c r="C311" s="61" t="s">
        <v>231</v>
      </c>
      <c r="D311" s="61" t="s">
        <v>334</v>
      </c>
      <c r="E311" s="62" t="s">
        <v>479</v>
      </c>
      <c r="F311" s="61" t="s">
        <v>264</v>
      </c>
      <c r="G311" s="61" t="s">
        <v>175</v>
      </c>
      <c r="H311" s="61" t="s">
        <v>11</v>
      </c>
      <c r="I311" s="61" t="s">
        <v>159</v>
      </c>
      <c r="J311" s="61" t="s">
        <v>239</v>
      </c>
      <c r="K311" s="63">
        <v>42.8</v>
      </c>
      <c r="L311" s="63">
        <f t="shared" si="48"/>
        <v>42.8</v>
      </c>
      <c r="M311" s="64">
        <f>prodnorm31</f>
        <v>0</v>
      </c>
      <c r="N311" s="65">
        <f>dagwerk31</f>
        <v>0</v>
      </c>
      <c r="O311" s="61" t="s">
        <v>43</v>
      </c>
      <c r="P311" s="66">
        <f>uurtarief31</f>
        <v>0</v>
      </c>
      <c r="Q311" s="63" t="e">
        <f t="shared" si="49"/>
        <v>#DIV/0!</v>
      </c>
      <c r="R311" s="63" t="e">
        <f t="shared" si="50"/>
        <v>#DIV/0!</v>
      </c>
      <c r="S311" s="66" t="e">
        <f t="shared" si="51"/>
        <v>#DIV/0!</v>
      </c>
      <c r="T311" s="63" t="e">
        <f t="shared" si="52"/>
        <v>#DIV/0!</v>
      </c>
      <c r="U311" s="67" t="e">
        <f t="shared" si="53"/>
        <v>#DIV/0!</v>
      </c>
    </row>
    <row r="312" spans="1:21" x14ac:dyDescent="0.2">
      <c r="A312" s="60" t="s">
        <v>477</v>
      </c>
      <c r="B312" s="61" t="s">
        <v>230</v>
      </c>
      <c r="C312" s="61" t="s">
        <v>231</v>
      </c>
      <c r="D312" s="61" t="s">
        <v>283</v>
      </c>
      <c r="E312" s="62" t="s">
        <v>266</v>
      </c>
      <c r="F312" s="61" t="s">
        <v>264</v>
      </c>
      <c r="G312" s="61" t="s">
        <v>199</v>
      </c>
      <c r="H312" s="61" t="s">
        <v>11</v>
      </c>
      <c r="I312" s="61" t="s">
        <v>159</v>
      </c>
      <c r="J312" s="61" t="s">
        <v>235</v>
      </c>
      <c r="K312" s="63">
        <v>36.799999999999997</v>
      </c>
      <c r="L312" s="63">
        <f t="shared" si="48"/>
        <v>36.799999999999997</v>
      </c>
      <c r="M312" s="64">
        <f>prodnorm53</f>
        <v>0</v>
      </c>
      <c r="N312" s="65">
        <f>dagwerk53</f>
        <v>0</v>
      </c>
      <c r="O312" s="61" t="s">
        <v>43</v>
      </c>
      <c r="P312" s="66">
        <f>uurtarief53</f>
        <v>0</v>
      </c>
      <c r="Q312" s="63" t="e">
        <f t="shared" si="49"/>
        <v>#DIV/0!</v>
      </c>
      <c r="R312" s="63" t="e">
        <f t="shared" si="50"/>
        <v>#DIV/0!</v>
      </c>
      <c r="S312" s="66" t="e">
        <f t="shared" si="51"/>
        <v>#DIV/0!</v>
      </c>
      <c r="T312" s="63" t="e">
        <f t="shared" si="52"/>
        <v>#DIV/0!</v>
      </c>
      <c r="U312" s="67" t="e">
        <f t="shared" si="53"/>
        <v>#DIV/0!</v>
      </c>
    </row>
    <row r="313" spans="1:21" x14ac:dyDescent="0.2">
      <c r="A313" s="60" t="s">
        <v>477</v>
      </c>
      <c r="B313" s="61" t="s">
        <v>230</v>
      </c>
      <c r="C313" s="61" t="s">
        <v>231</v>
      </c>
      <c r="D313" s="61" t="s">
        <v>284</v>
      </c>
      <c r="E313" s="62" t="s">
        <v>233</v>
      </c>
      <c r="F313" s="61" t="s">
        <v>264</v>
      </c>
      <c r="G313" s="61" t="s">
        <v>203</v>
      </c>
      <c r="H313" s="61" t="s">
        <v>11</v>
      </c>
      <c r="I313" s="61" t="s">
        <v>159</v>
      </c>
      <c r="J313" s="61" t="s">
        <v>235</v>
      </c>
      <c r="K313" s="63">
        <v>4.7</v>
      </c>
      <c r="L313" s="63">
        <f t="shared" si="48"/>
        <v>4.7</v>
      </c>
      <c r="M313" s="64">
        <f>prodnorm57</f>
        <v>0</v>
      </c>
      <c r="N313" s="65">
        <f>dagwerk57</f>
        <v>0</v>
      </c>
      <c r="O313" s="61" t="s">
        <v>43</v>
      </c>
      <c r="P313" s="66">
        <f>uurtarief57</f>
        <v>0</v>
      </c>
      <c r="Q313" s="63" t="e">
        <f t="shared" si="49"/>
        <v>#DIV/0!</v>
      </c>
      <c r="R313" s="63" t="e">
        <f t="shared" si="50"/>
        <v>#DIV/0!</v>
      </c>
      <c r="S313" s="66" t="e">
        <f t="shared" si="51"/>
        <v>#DIV/0!</v>
      </c>
      <c r="T313" s="63" t="e">
        <f t="shared" si="52"/>
        <v>#DIV/0!</v>
      </c>
      <c r="U313" s="67" t="e">
        <f t="shared" si="53"/>
        <v>#DIV/0!</v>
      </c>
    </row>
    <row r="314" spans="1:21" x14ac:dyDescent="0.2">
      <c r="A314" s="60" t="s">
        <v>477</v>
      </c>
      <c r="B314" s="61" t="s">
        <v>230</v>
      </c>
      <c r="C314" s="61" t="s">
        <v>231</v>
      </c>
      <c r="D314" s="61" t="s">
        <v>285</v>
      </c>
      <c r="E314" s="62" t="s">
        <v>484</v>
      </c>
      <c r="F314" s="61" t="s">
        <v>264</v>
      </c>
      <c r="G314" s="61" t="s">
        <v>158</v>
      </c>
      <c r="H314" s="61" t="s">
        <v>20</v>
      </c>
      <c r="I314" s="61" t="s">
        <v>159</v>
      </c>
      <c r="J314" s="61" t="s">
        <v>282</v>
      </c>
      <c r="K314" s="63">
        <v>18.3</v>
      </c>
      <c r="L314" s="63">
        <f t="shared" si="48"/>
        <v>3.66</v>
      </c>
      <c r="M314" s="64">
        <f>prodnorm15</f>
        <v>0</v>
      </c>
      <c r="N314" s="65">
        <f>dagwerk15</f>
        <v>0</v>
      </c>
      <c r="O314" s="61" t="s">
        <v>43</v>
      </c>
      <c r="P314" s="66">
        <f>uurtarief15</f>
        <v>0</v>
      </c>
      <c r="Q314" s="63" t="e">
        <f t="shared" si="49"/>
        <v>#DIV/0!</v>
      </c>
      <c r="R314" s="63" t="e">
        <f t="shared" si="50"/>
        <v>#DIV/0!</v>
      </c>
      <c r="S314" s="66" t="e">
        <f t="shared" si="51"/>
        <v>#DIV/0!</v>
      </c>
      <c r="T314" s="63" t="e">
        <f t="shared" si="52"/>
        <v>#DIV/0!</v>
      </c>
      <c r="U314" s="67" t="e">
        <f t="shared" si="53"/>
        <v>#DIV/0!</v>
      </c>
    </row>
    <row r="315" spans="1:21" x14ac:dyDescent="0.2">
      <c r="A315" s="68" t="s">
        <v>477</v>
      </c>
      <c r="B315" s="69" t="s">
        <v>230</v>
      </c>
      <c r="C315" s="69" t="s">
        <v>231</v>
      </c>
      <c r="D315" s="69" t="s">
        <v>288</v>
      </c>
      <c r="E315" s="70" t="s">
        <v>485</v>
      </c>
      <c r="F315" s="69" t="s">
        <v>264</v>
      </c>
      <c r="G315" s="69" t="s">
        <v>207</v>
      </c>
      <c r="H315" s="69" t="s">
        <v>11</v>
      </c>
      <c r="I315" s="69" t="s">
        <v>159</v>
      </c>
      <c r="J315" s="69" t="s">
        <v>235</v>
      </c>
      <c r="K315" s="71">
        <v>23.7</v>
      </c>
      <c r="L315" s="71">
        <f t="shared" si="48"/>
        <v>23.7</v>
      </c>
      <c r="M315" s="72">
        <f>prodnorm60</f>
        <v>0</v>
      </c>
      <c r="N315" s="73">
        <f>dagwerk60</f>
        <v>0</v>
      </c>
      <c r="O315" s="69" t="s">
        <v>43</v>
      </c>
      <c r="P315" s="74">
        <f>uurtarief60</f>
        <v>0</v>
      </c>
      <c r="Q315" s="71" t="e">
        <f t="shared" si="49"/>
        <v>#DIV/0!</v>
      </c>
      <c r="R315" s="71" t="e">
        <f t="shared" si="50"/>
        <v>#DIV/0!</v>
      </c>
      <c r="S315" s="74" t="e">
        <f t="shared" si="51"/>
        <v>#DIV/0!</v>
      </c>
      <c r="T315" s="71" t="e">
        <f t="shared" si="52"/>
        <v>#DIV/0!</v>
      </c>
      <c r="U315" s="75" t="e">
        <f t="shared" si="53"/>
        <v>#DIV/0!</v>
      </c>
    </row>
    <row r="316" spans="1:21" x14ac:dyDescent="0.2">
      <c r="A316" s="76" t="s">
        <v>319</v>
      </c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5" t="e">
        <f>IF(_xlfn.SINGLE(object8_urenjaar1)&gt;0,_xlfn.SINGLE(object8_prijsjaar1)/_xlfn.SINGLE(object8_urenjaar1),0)</f>
        <v>#DIV/0!</v>
      </c>
      <c r="Q316" s="44" t="e">
        <f>SUM(Q295:Q315)</f>
        <v>#DIV/0!</v>
      </c>
      <c r="R316" s="44" t="e">
        <f>SUM(R295:R315)</f>
        <v>#DIV/0!</v>
      </c>
      <c r="S316" s="45" t="e">
        <f>SUM(S295:S315)</f>
        <v>#DIV/0!</v>
      </c>
      <c r="T316" s="44" t="e">
        <f>SUM(T295:T315)</f>
        <v>#DIV/0!</v>
      </c>
      <c r="U316" s="46" t="e">
        <f>SUM(U295:U315)</f>
        <v>#DIV/0!</v>
      </c>
    </row>
    <row r="317" spans="1:21" x14ac:dyDescent="0.2">
      <c r="A317" s="51" t="s">
        <v>486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41"/>
    </row>
    <row r="318" spans="1:21" x14ac:dyDescent="0.2">
      <c r="A318" s="52" t="s">
        <v>487</v>
      </c>
      <c r="B318" s="53" t="s">
        <v>230</v>
      </c>
      <c r="C318" s="53" t="s">
        <v>231</v>
      </c>
      <c r="D318" s="53" t="s">
        <v>232</v>
      </c>
      <c r="E318" s="54" t="s">
        <v>331</v>
      </c>
      <c r="F318" s="53" t="s">
        <v>238</v>
      </c>
      <c r="G318" s="53" t="s">
        <v>175</v>
      </c>
      <c r="H318" s="53" t="s">
        <v>11</v>
      </c>
      <c r="I318" s="53" t="s">
        <v>159</v>
      </c>
      <c r="J318" s="53" t="s">
        <v>282</v>
      </c>
      <c r="K318" s="55">
        <v>49.5</v>
      </c>
      <c r="L318" s="55">
        <f t="shared" ref="L318:L349" si="54">K318*VLOOKUP(H318,dagsoorttabel1,2,FALSE)</f>
        <v>49.5</v>
      </c>
      <c r="M318" s="56">
        <f>prodnorm31</f>
        <v>0</v>
      </c>
      <c r="N318" s="57">
        <f>dagwerk31</f>
        <v>0</v>
      </c>
      <c r="O318" s="53" t="s">
        <v>43</v>
      </c>
      <c r="P318" s="58">
        <f>uurtarief31</f>
        <v>0</v>
      </c>
      <c r="Q318" s="55" t="e">
        <f t="shared" ref="Q318:Q349" si="55">IF(ISBLANK(M318),0,L318/ROUND(M318,4))</f>
        <v>#DIV/0!</v>
      </c>
      <c r="R318" s="55" t="e">
        <f t="shared" ref="R318:R349" si="56">IF(ISBLANK(M318),0,Q318*ROUND(N318,2))</f>
        <v>#DIV/0!</v>
      </c>
      <c r="S318" s="58" t="e">
        <f t="shared" ref="S318:S349" si="57">ROUND(P318,2)*Q318</f>
        <v>#DIV/0!</v>
      </c>
      <c r="T318" s="55" t="e">
        <f t="shared" ref="T318:T349" si="58">Q318*dagenperjaar1</f>
        <v>#DIV/0!</v>
      </c>
      <c r="U318" s="59" t="e">
        <f t="shared" ref="U318:U349" si="59">T318*ROUND(P318,2)</f>
        <v>#DIV/0!</v>
      </c>
    </row>
    <row r="319" spans="1:21" x14ac:dyDescent="0.2">
      <c r="A319" s="60" t="s">
        <v>487</v>
      </c>
      <c r="B319" s="61" t="s">
        <v>230</v>
      </c>
      <c r="C319" s="61" t="s">
        <v>231</v>
      </c>
      <c r="D319" s="61" t="s">
        <v>236</v>
      </c>
      <c r="E319" s="62" t="s">
        <v>488</v>
      </c>
      <c r="F319" s="61" t="s">
        <v>238</v>
      </c>
      <c r="G319" s="61" t="s">
        <v>175</v>
      </c>
      <c r="H319" s="61" t="s">
        <v>11</v>
      </c>
      <c r="I319" s="61" t="s">
        <v>159</v>
      </c>
      <c r="J319" s="61" t="s">
        <v>230</v>
      </c>
      <c r="K319" s="63">
        <v>49.5</v>
      </c>
      <c r="L319" s="63">
        <f t="shared" si="54"/>
        <v>49.5</v>
      </c>
      <c r="M319" s="64">
        <f>prodnorm31</f>
        <v>0</v>
      </c>
      <c r="N319" s="65">
        <f>dagwerk31</f>
        <v>0</v>
      </c>
      <c r="O319" s="61" t="s">
        <v>43</v>
      </c>
      <c r="P319" s="66">
        <f>uurtarief31</f>
        <v>0</v>
      </c>
      <c r="Q319" s="63" t="e">
        <f t="shared" si="55"/>
        <v>#DIV/0!</v>
      </c>
      <c r="R319" s="63" t="e">
        <f t="shared" si="56"/>
        <v>#DIV/0!</v>
      </c>
      <c r="S319" s="66" t="e">
        <f t="shared" si="57"/>
        <v>#DIV/0!</v>
      </c>
      <c r="T319" s="63" t="e">
        <f t="shared" si="58"/>
        <v>#DIV/0!</v>
      </c>
      <c r="U319" s="67" t="e">
        <f t="shared" si="59"/>
        <v>#DIV/0!</v>
      </c>
    </row>
    <row r="320" spans="1:21" x14ac:dyDescent="0.2">
      <c r="A320" s="60" t="s">
        <v>487</v>
      </c>
      <c r="B320" s="61" t="s">
        <v>230</v>
      </c>
      <c r="C320" s="61" t="s">
        <v>231</v>
      </c>
      <c r="D320" s="61" t="s">
        <v>245</v>
      </c>
      <c r="E320" s="62" t="s">
        <v>332</v>
      </c>
      <c r="F320" s="61" t="s">
        <v>238</v>
      </c>
      <c r="G320" s="61" t="s">
        <v>195</v>
      </c>
      <c r="H320" s="61" t="s">
        <v>11</v>
      </c>
      <c r="I320" s="61" t="s">
        <v>159</v>
      </c>
      <c r="J320" s="61" t="s">
        <v>257</v>
      </c>
      <c r="K320" s="63">
        <v>5</v>
      </c>
      <c r="L320" s="63">
        <f t="shared" si="54"/>
        <v>5</v>
      </c>
      <c r="M320" s="64">
        <f>prodnorm49</f>
        <v>0</v>
      </c>
      <c r="N320" s="65">
        <f>dagwerk49</f>
        <v>0</v>
      </c>
      <c r="O320" s="61" t="s">
        <v>43</v>
      </c>
      <c r="P320" s="66">
        <f>uurtarief49</f>
        <v>0</v>
      </c>
      <c r="Q320" s="63" t="e">
        <f t="shared" si="55"/>
        <v>#DIV/0!</v>
      </c>
      <c r="R320" s="63" t="e">
        <f t="shared" si="56"/>
        <v>#DIV/0!</v>
      </c>
      <c r="S320" s="66" t="e">
        <f t="shared" si="57"/>
        <v>#DIV/0!</v>
      </c>
      <c r="T320" s="63" t="e">
        <f t="shared" si="58"/>
        <v>#DIV/0!</v>
      </c>
      <c r="U320" s="67" t="e">
        <f t="shared" si="59"/>
        <v>#DIV/0!</v>
      </c>
    </row>
    <row r="321" spans="1:21" x14ac:dyDescent="0.2">
      <c r="A321" s="60" t="s">
        <v>487</v>
      </c>
      <c r="B321" s="61" t="s">
        <v>230</v>
      </c>
      <c r="C321" s="61" t="s">
        <v>231</v>
      </c>
      <c r="D321" s="61" t="s">
        <v>248</v>
      </c>
      <c r="E321" s="62" t="s">
        <v>358</v>
      </c>
      <c r="F321" s="61" t="s">
        <v>238</v>
      </c>
      <c r="G321" s="61" t="s">
        <v>199</v>
      </c>
      <c r="H321" s="61" t="s">
        <v>11</v>
      </c>
      <c r="I321" s="61" t="s">
        <v>159</v>
      </c>
      <c r="J321" s="61" t="s">
        <v>235</v>
      </c>
      <c r="K321" s="63">
        <v>45.2</v>
      </c>
      <c r="L321" s="63">
        <f t="shared" si="54"/>
        <v>45.2</v>
      </c>
      <c r="M321" s="64">
        <f>prodnorm53</f>
        <v>0</v>
      </c>
      <c r="N321" s="65">
        <f>dagwerk53</f>
        <v>0</v>
      </c>
      <c r="O321" s="61" t="s">
        <v>43</v>
      </c>
      <c r="P321" s="66">
        <f>uurtarief53</f>
        <v>0</v>
      </c>
      <c r="Q321" s="63" t="e">
        <f t="shared" si="55"/>
        <v>#DIV/0!</v>
      </c>
      <c r="R321" s="63" t="e">
        <f t="shared" si="56"/>
        <v>#DIV/0!</v>
      </c>
      <c r="S321" s="66" t="e">
        <f t="shared" si="57"/>
        <v>#DIV/0!</v>
      </c>
      <c r="T321" s="63" t="e">
        <f t="shared" si="58"/>
        <v>#DIV/0!</v>
      </c>
      <c r="U321" s="67" t="e">
        <f t="shared" si="59"/>
        <v>#DIV/0!</v>
      </c>
    </row>
    <row r="322" spans="1:21" x14ac:dyDescent="0.2">
      <c r="A322" s="60" t="s">
        <v>487</v>
      </c>
      <c r="B322" s="61" t="s">
        <v>230</v>
      </c>
      <c r="C322" s="61" t="s">
        <v>231</v>
      </c>
      <c r="D322" s="61" t="s">
        <v>250</v>
      </c>
      <c r="E322" s="62" t="s">
        <v>324</v>
      </c>
      <c r="F322" s="61" t="s">
        <v>471</v>
      </c>
      <c r="G322" s="61" t="s">
        <v>211</v>
      </c>
      <c r="H322" s="61" t="s">
        <v>18</v>
      </c>
      <c r="I322" s="61" t="s">
        <v>159</v>
      </c>
      <c r="J322" s="61" t="s">
        <v>235</v>
      </c>
      <c r="K322" s="63">
        <v>9.8000000000000007</v>
      </c>
      <c r="L322" s="63">
        <f t="shared" si="54"/>
        <v>3.9200000000000004</v>
      </c>
      <c r="M322" s="64">
        <f>prodnorm66</f>
        <v>0</v>
      </c>
      <c r="N322" s="65">
        <f>dagwerk66</f>
        <v>0</v>
      </c>
      <c r="O322" s="61" t="s">
        <v>43</v>
      </c>
      <c r="P322" s="66">
        <f>uurtarief66</f>
        <v>0</v>
      </c>
      <c r="Q322" s="63" t="e">
        <f t="shared" si="55"/>
        <v>#DIV/0!</v>
      </c>
      <c r="R322" s="63" t="e">
        <f t="shared" si="56"/>
        <v>#DIV/0!</v>
      </c>
      <c r="S322" s="66" t="e">
        <f t="shared" si="57"/>
        <v>#DIV/0!</v>
      </c>
      <c r="T322" s="63" t="e">
        <f t="shared" si="58"/>
        <v>#DIV/0!</v>
      </c>
      <c r="U322" s="67" t="e">
        <f t="shared" si="59"/>
        <v>#DIV/0!</v>
      </c>
    </row>
    <row r="323" spans="1:21" x14ac:dyDescent="0.2">
      <c r="A323" s="60" t="s">
        <v>487</v>
      </c>
      <c r="B323" s="61" t="s">
        <v>230</v>
      </c>
      <c r="C323" s="61" t="s">
        <v>231</v>
      </c>
      <c r="D323" s="61" t="s">
        <v>328</v>
      </c>
      <c r="E323" s="62" t="s">
        <v>322</v>
      </c>
      <c r="F323" s="61" t="s">
        <v>234</v>
      </c>
      <c r="G323" s="61" t="s">
        <v>205</v>
      </c>
      <c r="H323" s="61" t="s">
        <v>11</v>
      </c>
      <c r="I323" s="61" t="s">
        <v>159</v>
      </c>
      <c r="J323" s="61" t="s">
        <v>235</v>
      </c>
      <c r="K323" s="63">
        <v>4.3</v>
      </c>
      <c r="L323" s="63">
        <f t="shared" si="54"/>
        <v>4.3</v>
      </c>
      <c r="M323" s="64">
        <f>prodnorm58</f>
        <v>0</v>
      </c>
      <c r="N323" s="65">
        <f>dagwerk58</f>
        <v>0</v>
      </c>
      <c r="O323" s="61" t="s">
        <v>43</v>
      </c>
      <c r="P323" s="66">
        <f>uurtarief58</f>
        <v>0</v>
      </c>
      <c r="Q323" s="63" t="e">
        <f t="shared" si="55"/>
        <v>#DIV/0!</v>
      </c>
      <c r="R323" s="63" t="e">
        <f t="shared" si="56"/>
        <v>#DIV/0!</v>
      </c>
      <c r="S323" s="66" t="e">
        <f t="shared" si="57"/>
        <v>#DIV/0!</v>
      </c>
      <c r="T323" s="63" t="e">
        <f t="shared" si="58"/>
        <v>#DIV/0!</v>
      </c>
      <c r="U323" s="67" t="e">
        <f t="shared" si="59"/>
        <v>#DIV/0!</v>
      </c>
    </row>
    <row r="324" spans="1:21" x14ac:dyDescent="0.2">
      <c r="A324" s="60" t="s">
        <v>487</v>
      </c>
      <c r="B324" s="61" t="s">
        <v>230</v>
      </c>
      <c r="C324" s="61" t="s">
        <v>231</v>
      </c>
      <c r="D324" s="61" t="s">
        <v>259</v>
      </c>
      <c r="E324" s="62" t="s">
        <v>373</v>
      </c>
      <c r="F324" s="61" t="s">
        <v>336</v>
      </c>
      <c r="G324" s="61" t="s">
        <v>163</v>
      </c>
      <c r="H324" s="61" t="s">
        <v>15</v>
      </c>
      <c r="I324" s="61" t="s">
        <v>159</v>
      </c>
      <c r="J324" s="61" t="s">
        <v>235</v>
      </c>
      <c r="K324" s="63">
        <v>97.9</v>
      </c>
      <c r="L324" s="63">
        <f t="shared" si="54"/>
        <v>58.74</v>
      </c>
      <c r="M324" s="64">
        <f>prodnorm20</f>
        <v>0</v>
      </c>
      <c r="N324" s="65">
        <f>dagwerk20</f>
        <v>0</v>
      </c>
      <c r="O324" s="61" t="s">
        <v>43</v>
      </c>
      <c r="P324" s="66">
        <f>uurtarief20</f>
        <v>0</v>
      </c>
      <c r="Q324" s="63" t="e">
        <f t="shared" si="55"/>
        <v>#DIV/0!</v>
      </c>
      <c r="R324" s="63" t="e">
        <f t="shared" si="56"/>
        <v>#DIV/0!</v>
      </c>
      <c r="S324" s="66" t="e">
        <f t="shared" si="57"/>
        <v>#DIV/0!</v>
      </c>
      <c r="T324" s="63" t="e">
        <f t="shared" si="58"/>
        <v>#DIV/0!</v>
      </c>
      <c r="U324" s="67" t="e">
        <f t="shared" si="59"/>
        <v>#DIV/0!</v>
      </c>
    </row>
    <row r="325" spans="1:21" x14ac:dyDescent="0.2">
      <c r="A325" s="60" t="s">
        <v>487</v>
      </c>
      <c r="B325" s="61" t="s">
        <v>230</v>
      </c>
      <c r="C325" s="61" t="s">
        <v>231</v>
      </c>
      <c r="D325" s="61" t="s">
        <v>262</v>
      </c>
      <c r="E325" s="62" t="s">
        <v>332</v>
      </c>
      <c r="F325" s="61" t="s">
        <v>325</v>
      </c>
      <c r="G325" s="61" t="s">
        <v>195</v>
      </c>
      <c r="H325" s="61" t="s">
        <v>15</v>
      </c>
      <c r="I325" s="61" t="s">
        <v>159</v>
      </c>
      <c r="J325" s="61" t="s">
        <v>257</v>
      </c>
      <c r="K325" s="63">
        <v>5</v>
      </c>
      <c r="L325" s="63">
        <f t="shared" si="54"/>
        <v>3</v>
      </c>
      <c r="M325" s="64">
        <f>prodnorm48</f>
        <v>0</v>
      </c>
      <c r="N325" s="65">
        <f>dagwerk48</f>
        <v>0</v>
      </c>
      <c r="O325" s="61" t="s">
        <v>43</v>
      </c>
      <c r="P325" s="66">
        <f>uurtarief48</f>
        <v>0</v>
      </c>
      <c r="Q325" s="63" t="e">
        <f t="shared" si="55"/>
        <v>#DIV/0!</v>
      </c>
      <c r="R325" s="63" t="e">
        <f t="shared" si="56"/>
        <v>#DIV/0!</v>
      </c>
      <c r="S325" s="66" t="e">
        <f t="shared" si="57"/>
        <v>#DIV/0!</v>
      </c>
      <c r="T325" s="63" t="e">
        <f t="shared" si="58"/>
        <v>#DIV/0!</v>
      </c>
      <c r="U325" s="67" t="e">
        <f t="shared" si="59"/>
        <v>#DIV/0!</v>
      </c>
    </row>
    <row r="326" spans="1:21" x14ac:dyDescent="0.2">
      <c r="A326" s="60" t="s">
        <v>487</v>
      </c>
      <c r="B326" s="61" t="s">
        <v>230</v>
      </c>
      <c r="C326" s="61" t="s">
        <v>231</v>
      </c>
      <c r="D326" s="61" t="s">
        <v>265</v>
      </c>
      <c r="E326" s="62" t="s">
        <v>358</v>
      </c>
      <c r="F326" s="61" t="s">
        <v>238</v>
      </c>
      <c r="G326" s="61" t="s">
        <v>199</v>
      </c>
      <c r="H326" s="61" t="s">
        <v>11</v>
      </c>
      <c r="I326" s="61" t="s">
        <v>159</v>
      </c>
      <c r="J326" s="61" t="s">
        <v>235</v>
      </c>
      <c r="K326" s="63">
        <v>50.1</v>
      </c>
      <c r="L326" s="63">
        <f t="shared" si="54"/>
        <v>50.1</v>
      </c>
      <c r="M326" s="64">
        <f>prodnorm53</f>
        <v>0</v>
      </c>
      <c r="N326" s="65">
        <f>dagwerk53</f>
        <v>0</v>
      </c>
      <c r="O326" s="61" t="s">
        <v>43</v>
      </c>
      <c r="P326" s="66">
        <f>uurtarief53</f>
        <v>0</v>
      </c>
      <c r="Q326" s="63" t="e">
        <f t="shared" si="55"/>
        <v>#DIV/0!</v>
      </c>
      <c r="R326" s="63" t="e">
        <f t="shared" si="56"/>
        <v>#DIV/0!</v>
      </c>
      <c r="S326" s="66" t="e">
        <f t="shared" si="57"/>
        <v>#DIV/0!</v>
      </c>
      <c r="T326" s="63" t="e">
        <f t="shared" si="58"/>
        <v>#DIV/0!</v>
      </c>
      <c r="U326" s="67" t="e">
        <f t="shared" si="59"/>
        <v>#DIV/0!</v>
      </c>
    </row>
    <row r="327" spans="1:21" x14ac:dyDescent="0.2">
      <c r="A327" s="60" t="s">
        <v>487</v>
      </c>
      <c r="B327" s="61" t="s">
        <v>230</v>
      </c>
      <c r="C327" s="61" t="s">
        <v>231</v>
      </c>
      <c r="D327" s="61" t="s">
        <v>267</v>
      </c>
      <c r="E327" s="62" t="s">
        <v>322</v>
      </c>
      <c r="F327" s="61" t="s">
        <v>489</v>
      </c>
      <c r="G327" s="61" t="s">
        <v>203</v>
      </c>
      <c r="H327" s="61" t="s">
        <v>11</v>
      </c>
      <c r="I327" s="61" t="s">
        <v>159</v>
      </c>
      <c r="J327" s="61" t="s">
        <v>235</v>
      </c>
      <c r="K327" s="63">
        <v>4</v>
      </c>
      <c r="L327" s="63">
        <f t="shared" si="54"/>
        <v>4</v>
      </c>
      <c r="M327" s="64">
        <f>prodnorm57</f>
        <v>0</v>
      </c>
      <c r="N327" s="65">
        <f>dagwerk57</f>
        <v>0</v>
      </c>
      <c r="O327" s="61" t="s">
        <v>43</v>
      </c>
      <c r="P327" s="66">
        <f>uurtarief57</f>
        <v>0</v>
      </c>
      <c r="Q327" s="63" t="e">
        <f t="shared" si="55"/>
        <v>#DIV/0!</v>
      </c>
      <c r="R327" s="63" t="e">
        <f t="shared" si="56"/>
        <v>#DIV/0!</v>
      </c>
      <c r="S327" s="66" t="e">
        <f t="shared" si="57"/>
        <v>#DIV/0!</v>
      </c>
      <c r="T327" s="63" t="e">
        <f t="shared" si="58"/>
        <v>#DIV/0!</v>
      </c>
      <c r="U327" s="67" t="e">
        <f t="shared" si="59"/>
        <v>#DIV/0!</v>
      </c>
    </row>
    <row r="328" spans="1:21" x14ac:dyDescent="0.2">
      <c r="A328" s="60" t="s">
        <v>487</v>
      </c>
      <c r="B328" s="61" t="s">
        <v>230</v>
      </c>
      <c r="C328" s="61" t="s">
        <v>231</v>
      </c>
      <c r="D328" s="61" t="s">
        <v>272</v>
      </c>
      <c r="E328" s="62" t="s">
        <v>358</v>
      </c>
      <c r="F328" s="61" t="s">
        <v>238</v>
      </c>
      <c r="G328" s="61" t="s">
        <v>199</v>
      </c>
      <c r="H328" s="61" t="s">
        <v>11</v>
      </c>
      <c r="I328" s="61" t="s">
        <v>159</v>
      </c>
      <c r="J328" s="61" t="s">
        <v>235</v>
      </c>
      <c r="K328" s="63">
        <v>10</v>
      </c>
      <c r="L328" s="63">
        <f t="shared" si="54"/>
        <v>10</v>
      </c>
      <c r="M328" s="64">
        <f>prodnorm53</f>
        <v>0</v>
      </c>
      <c r="N328" s="65">
        <f>dagwerk53</f>
        <v>0</v>
      </c>
      <c r="O328" s="61" t="s">
        <v>43</v>
      </c>
      <c r="P328" s="66">
        <f>uurtarief53</f>
        <v>0</v>
      </c>
      <c r="Q328" s="63" t="e">
        <f t="shared" si="55"/>
        <v>#DIV/0!</v>
      </c>
      <c r="R328" s="63" t="e">
        <f t="shared" si="56"/>
        <v>#DIV/0!</v>
      </c>
      <c r="S328" s="66" t="e">
        <f t="shared" si="57"/>
        <v>#DIV/0!</v>
      </c>
      <c r="T328" s="63" t="e">
        <f t="shared" si="58"/>
        <v>#DIV/0!</v>
      </c>
      <c r="U328" s="67" t="e">
        <f t="shared" si="59"/>
        <v>#DIV/0!</v>
      </c>
    </row>
    <row r="329" spans="1:21" x14ac:dyDescent="0.2">
      <c r="A329" s="60" t="s">
        <v>487</v>
      </c>
      <c r="B329" s="61" t="s">
        <v>230</v>
      </c>
      <c r="C329" s="61" t="s">
        <v>231</v>
      </c>
      <c r="D329" s="61" t="s">
        <v>275</v>
      </c>
      <c r="E329" s="62" t="s">
        <v>343</v>
      </c>
      <c r="F329" s="61" t="s">
        <v>234</v>
      </c>
      <c r="G329" s="61" t="s">
        <v>161</v>
      </c>
      <c r="H329" s="61" t="s">
        <v>20</v>
      </c>
      <c r="I329" s="61" t="s">
        <v>159</v>
      </c>
      <c r="J329" s="61" t="s">
        <v>282</v>
      </c>
      <c r="K329" s="63">
        <v>29.2</v>
      </c>
      <c r="L329" s="63">
        <f t="shared" si="54"/>
        <v>5.84</v>
      </c>
      <c r="M329" s="64">
        <f>prodnorm19</f>
        <v>0</v>
      </c>
      <c r="N329" s="65">
        <f>dagwerk19</f>
        <v>0</v>
      </c>
      <c r="O329" s="61" t="s">
        <v>43</v>
      </c>
      <c r="P329" s="66">
        <f>uurtarief19</f>
        <v>0</v>
      </c>
      <c r="Q329" s="63" t="e">
        <f t="shared" si="55"/>
        <v>#DIV/0!</v>
      </c>
      <c r="R329" s="63" t="e">
        <f t="shared" si="56"/>
        <v>#DIV/0!</v>
      </c>
      <c r="S329" s="66" t="e">
        <f t="shared" si="57"/>
        <v>#DIV/0!</v>
      </c>
      <c r="T329" s="63" t="e">
        <f t="shared" si="58"/>
        <v>#DIV/0!</v>
      </c>
      <c r="U329" s="67" t="e">
        <f t="shared" si="59"/>
        <v>#DIV/0!</v>
      </c>
    </row>
    <row r="330" spans="1:21" x14ac:dyDescent="0.2">
      <c r="A330" s="60" t="s">
        <v>487</v>
      </c>
      <c r="B330" s="61" t="s">
        <v>230</v>
      </c>
      <c r="C330" s="61" t="s">
        <v>231</v>
      </c>
      <c r="D330" s="61" t="s">
        <v>399</v>
      </c>
      <c r="E330" s="62" t="s">
        <v>332</v>
      </c>
      <c r="F330" s="61" t="s">
        <v>364</v>
      </c>
      <c r="G330" s="61" t="s">
        <v>195</v>
      </c>
      <c r="H330" s="61" t="s">
        <v>11</v>
      </c>
      <c r="I330" s="61" t="s">
        <v>159</v>
      </c>
      <c r="J330" s="61" t="s">
        <v>257</v>
      </c>
      <c r="K330" s="63">
        <v>4</v>
      </c>
      <c r="L330" s="63">
        <f t="shared" si="54"/>
        <v>4</v>
      </c>
      <c r="M330" s="64">
        <f>prodnorm49</f>
        <v>0</v>
      </c>
      <c r="N330" s="65">
        <f>dagwerk49</f>
        <v>0</v>
      </c>
      <c r="O330" s="61" t="s">
        <v>43</v>
      </c>
      <c r="P330" s="66">
        <f>uurtarief49</f>
        <v>0</v>
      </c>
      <c r="Q330" s="63" t="e">
        <f t="shared" si="55"/>
        <v>#DIV/0!</v>
      </c>
      <c r="R330" s="63" t="e">
        <f t="shared" si="56"/>
        <v>#DIV/0!</v>
      </c>
      <c r="S330" s="66" t="e">
        <f t="shared" si="57"/>
        <v>#DIV/0!</v>
      </c>
      <c r="T330" s="63" t="e">
        <f t="shared" si="58"/>
        <v>#DIV/0!</v>
      </c>
      <c r="U330" s="67" t="e">
        <f t="shared" si="59"/>
        <v>#DIV/0!</v>
      </c>
    </row>
    <row r="331" spans="1:21" x14ac:dyDescent="0.2">
      <c r="A331" s="60" t="s">
        <v>487</v>
      </c>
      <c r="B331" s="61" t="s">
        <v>230</v>
      </c>
      <c r="C331" s="61" t="s">
        <v>231</v>
      </c>
      <c r="D331" s="61" t="s">
        <v>375</v>
      </c>
      <c r="E331" s="62" t="s">
        <v>332</v>
      </c>
      <c r="F331" s="61" t="s">
        <v>364</v>
      </c>
      <c r="G331" s="61" t="s">
        <v>195</v>
      </c>
      <c r="H331" s="61" t="s">
        <v>11</v>
      </c>
      <c r="I331" s="61" t="s">
        <v>159</v>
      </c>
      <c r="J331" s="61" t="s">
        <v>257</v>
      </c>
      <c r="K331" s="63">
        <v>4</v>
      </c>
      <c r="L331" s="63">
        <f t="shared" si="54"/>
        <v>4</v>
      </c>
      <c r="M331" s="64">
        <f>prodnorm49</f>
        <v>0</v>
      </c>
      <c r="N331" s="65">
        <f>dagwerk49</f>
        <v>0</v>
      </c>
      <c r="O331" s="61" t="s">
        <v>43</v>
      </c>
      <c r="P331" s="66">
        <f>uurtarief49</f>
        <v>0</v>
      </c>
      <c r="Q331" s="63" t="e">
        <f t="shared" si="55"/>
        <v>#DIV/0!</v>
      </c>
      <c r="R331" s="63" t="e">
        <f t="shared" si="56"/>
        <v>#DIV/0!</v>
      </c>
      <c r="S331" s="66" t="e">
        <f t="shared" si="57"/>
        <v>#DIV/0!</v>
      </c>
      <c r="T331" s="63" t="e">
        <f t="shared" si="58"/>
        <v>#DIV/0!</v>
      </c>
      <c r="U331" s="67" t="e">
        <f t="shared" si="59"/>
        <v>#DIV/0!</v>
      </c>
    </row>
    <row r="332" spans="1:21" x14ac:dyDescent="0.2">
      <c r="A332" s="60" t="s">
        <v>487</v>
      </c>
      <c r="B332" s="61" t="s">
        <v>230</v>
      </c>
      <c r="C332" s="61" t="s">
        <v>231</v>
      </c>
      <c r="D332" s="61" t="s">
        <v>278</v>
      </c>
      <c r="E332" s="62" t="s">
        <v>331</v>
      </c>
      <c r="F332" s="61" t="s">
        <v>256</v>
      </c>
      <c r="G332" s="61" t="s">
        <v>175</v>
      </c>
      <c r="H332" s="61" t="s">
        <v>18</v>
      </c>
      <c r="I332" s="61" t="s">
        <v>159</v>
      </c>
      <c r="J332" s="61" t="s">
        <v>239</v>
      </c>
      <c r="K332" s="63">
        <v>60</v>
      </c>
      <c r="L332" s="63">
        <f t="shared" si="54"/>
        <v>24</v>
      </c>
      <c r="M332" s="64">
        <f>prodnorm33</f>
        <v>0</v>
      </c>
      <c r="N332" s="65">
        <f>dagwerk33</f>
        <v>0</v>
      </c>
      <c r="O332" s="61" t="s">
        <v>43</v>
      </c>
      <c r="P332" s="66">
        <f>uurtarief33</f>
        <v>0</v>
      </c>
      <c r="Q332" s="63" t="e">
        <f t="shared" si="55"/>
        <v>#DIV/0!</v>
      </c>
      <c r="R332" s="63" t="e">
        <f t="shared" si="56"/>
        <v>#DIV/0!</v>
      </c>
      <c r="S332" s="66" t="e">
        <f t="shared" si="57"/>
        <v>#DIV/0!</v>
      </c>
      <c r="T332" s="63" t="e">
        <f t="shared" si="58"/>
        <v>#DIV/0!</v>
      </c>
      <c r="U332" s="67" t="e">
        <f t="shared" si="59"/>
        <v>#DIV/0!</v>
      </c>
    </row>
    <row r="333" spans="1:21" x14ac:dyDescent="0.2">
      <c r="A333" s="60" t="s">
        <v>487</v>
      </c>
      <c r="B333" s="61" t="s">
        <v>230</v>
      </c>
      <c r="C333" s="61" t="s">
        <v>231</v>
      </c>
      <c r="D333" s="61" t="s">
        <v>280</v>
      </c>
      <c r="E333" s="62" t="s">
        <v>331</v>
      </c>
      <c r="F333" s="61" t="s">
        <v>256</v>
      </c>
      <c r="G333" s="61" t="s">
        <v>175</v>
      </c>
      <c r="H333" s="61" t="s">
        <v>18</v>
      </c>
      <c r="I333" s="61" t="s">
        <v>159</v>
      </c>
      <c r="J333" s="61" t="s">
        <v>239</v>
      </c>
      <c r="K333" s="63">
        <v>47.9</v>
      </c>
      <c r="L333" s="63">
        <f t="shared" si="54"/>
        <v>19.16</v>
      </c>
      <c r="M333" s="64">
        <f>prodnorm33</f>
        <v>0</v>
      </c>
      <c r="N333" s="65">
        <f>dagwerk33</f>
        <v>0</v>
      </c>
      <c r="O333" s="61" t="s">
        <v>43</v>
      </c>
      <c r="P333" s="66">
        <f>uurtarief33</f>
        <v>0</v>
      </c>
      <c r="Q333" s="63" t="e">
        <f t="shared" si="55"/>
        <v>#DIV/0!</v>
      </c>
      <c r="R333" s="63" t="e">
        <f t="shared" si="56"/>
        <v>#DIV/0!</v>
      </c>
      <c r="S333" s="66" t="e">
        <f t="shared" si="57"/>
        <v>#DIV/0!</v>
      </c>
      <c r="T333" s="63" t="e">
        <f t="shared" si="58"/>
        <v>#DIV/0!</v>
      </c>
      <c r="U333" s="67" t="e">
        <f t="shared" si="59"/>
        <v>#DIV/0!</v>
      </c>
    </row>
    <row r="334" spans="1:21" x14ac:dyDescent="0.2">
      <c r="A334" s="60" t="s">
        <v>487</v>
      </c>
      <c r="B334" s="61" t="s">
        <v>230</v>
      </c>
      <c r="C334" s="61" t="s">
        <v>231</v>
      </c>
      <c r="D334" s="61" t="s">
        <v>334</v>
      </c>
      <c r="E334" s="62" t="s">
        <v>490</v>
      </c>
      <c r="F334" s="61" t="s">
        <v>256</v>
      </c>
      <c r="G334" s="61" t="s">
        <v>179</v>
      </c>
      <c r="H334" s="61" t="s">
        <v>18</v>
      </c>
      <c r="I334" s="61" t="s">
        <v>159</v>
      </c>
      <c r="J334" s="61" t="s">
        <v>239</v>
      </c>
      <c r="K334" s="63">
        <v>47.9</v>
      </c>
      <c r="L334" s="63">
        <f t="shared" si="54"/>
        <v>19.16</v>
      </c>
      <c r="M334" s="64">
        <f>prodnorm37</f>
        <v>0</v>
      </c>
      <c r="N334" s="65">
        <f>dagwerk37</f>
        <v>0</v>
      </c>
      <c r="O334" s="61" t="s">
        <v>43</v>
      </c>
      <c r="P334" s="66">
        <f>uurtarief37</f>
        <v>0</v>
      </c>
      <c r="Q334" s="63" t="e">
        <f t="shared" si="55"/>
        <v>#DIV/0!</v>
      </c>
      <c r="R334" s="63" t="e">
        <f t="shared" si="56"/>
        <v>#DIV/0!</v>
      </c>
      <c r="S334" s="66" t="e">
        <f t="shared" si="57"/>
        <v>#DIV/0!</v>
      </c>
      <c r="T334" s="63" t="e">
        <f t="shared" si="58"/>
        <v>#DIV/0!</v>
      </c>
      <c r="U334" s="67" t="e">
        <f t="shared" si="59"/>
        <v>#DIV/0!</v>
      </c>
    </row>
    <row r="335" spans="1:21" x14ac:dyDescent="0.2">
      <c r="A335" s="60" t="s">
        <v>487</v>
      </c>
      <c r="B335" s="61" t="s">
        <v>230</v>
      </c>
      <c r="C335" s="61" t="s">
        <v>231</v>
      </c>
      <c r="D335" s="61" t="s">
        <v>283</v>
      </c>
      <c r="E335" s="62" t="s">
        <v>329</v>
      </c>
      <c r="F335" s="61" t="s">
        <v>256</v>
      </c>
      <c r="G335" s="61" t="s">
        <v>181</v>
      </c>
      <c r="H335" s="61" t="s">
        <v>11</v>
      </c>
      <c r="I335" s="61" t="s">
        <v>159</v>
      </c>
      <c r="J335" s="61" t="s">
        <v>235</v>
      </c>
      <c r="K335" s="63">
        <v>47.9</v>
      </c>
      <c r="L335" s="63">
        <f t="shared" si="54"/>
        <v>47.9</v>
      </c>
      <c r="M335" s="64">
        <f>prodnorm38</f>
        <v>0</v>
      </c>
      <c r="N335" s="65">
        <f>dagwerk38</f>
        <v>0</v>
      </c>
      <c r="O335" s="61" t="s">
        <v>43</v>
      </c>
      <c r="P335" s="66">
        <f>uurtarief38</f>
        <v>0</v>
      </c>
      <c r="Q335" s="63" t="e">
        <f t="shared" si="55"/>
        <v>#DIV/0!</v>
      </c>
      <c r="R335" s="63" t="e">
        <f t="shared" si="56"/>
        <v>#DIV/0!</v>
      </c>
      <c r="S335" s="66" t="e">
        <f t="shared" si="57"/>
        <v>#DIV/0!</v>
      </c>
      <c r="T335" s="63" t="e">
        <f t="shared" si="58"/>
        <v>#DIV/0!</v>
      </c>
      <c r="U335" s="67" t="e">
        <f t="shared" si="59"/>
        <v>#DIV/0!</v>
      </c>
    </row>
    <row r="336" spans="1:21" x14ac:dyDescent="0.2">
      <c r="A336" s="60" t="s">
        <v>487</v>
      </c>
      <c r="B336" s="61" t="s">
        <v>230</v>
      </c>
      <c r="C336" s="61" t="s">
        <v>231</v>
      </c>
      <c r="D336" s="61" t="s">
        <v>285</v>
      </c>
      <c r="E336" s="62" t="s">
        <v>491</v>
      </c>
      <c r="F336" s="61" t="s">
        <v>238</v>
      </c>
      <c r="G336" s="61" t="s">
        <v>207</v>
      </c>
      <c r="H336" s="61" t="s">
        <v>11</v>
      </c>
      <c r="I336" s="61" t="s">
        <v>159</v>
      </c>
      <c r="J336" s="61" t="s">
        <v>235</v>
      </c>
      <c r="K336" s="63">
        <v>4.5999999999999996</v>
      </c>
      <c r="L336" s="63">
        <f t="shared" si="54"/>
        <v>4.5999999999999996</v>
      </c>
      <c r="M336" s="64">
        <f>prodnorm60</f>
        <v>0</v>
      </c>
      <c r="N336" s="65">
        <f>dagwerk60</f>
        <v>0</v>
      </c>
      <c r="O336" s="61" t="s">
        <v>43</v>
      </c>
      <c r="P336" s="66">
        <f>uurtarief60</f>
        <v>0</v>
      </c>
      <c r="Q336" s="63" t="e">
        <f t="shared" si="55"/>
        <v>#DIV/0!</v>
      </c>
      <c r="R336" s="63" t="e">
        <f t="shared" si="56"/>
        <v>#DIV/0!</v>
      </c>
      <c r="S336" s="66" t="e">
        <f t="shared" si="57"/>
        <v>#DIV/0!</v>
      </c>
      <c r="T336" s="63" t="e">
        <f t="shared" si="58"/>
        <v>#DIV/0!</v>
      </c>
      <c r="U336" s="67" t="e">
        <f t="shared" si="59"/>
        <v>#DIV/0!</v>
      </c>
    </row>
    <row r="337" spans="1:21" x14ac:dyDescent="0.2">
      <c r="A337" s="60" t="s">
        <v>487</v>
      </c>
      <c r="B337" s="61" t="s">
        <v>230</v>
      </c>
      <c r="C337" s="61" t="s">
        <v>231</v>
      </c>
      <c r="D337" s="61" t="s">
        <v>286</v>
      </c>
      <c r="E337" s="62" t="s">
        <v>343</v>
      </c>
      <c r="F337" s="61" t="s">
        <v>234</v>
      </c>
      <c r="G337" s="61" t="s">
        <v>161</v>
      </c>
      <c r="H337" s="61" t="s">
        <v>20</v>
      </c>
      <c r="I337" s="61" t="s">
        <v>159</v>
      </c>
      <c r="J337" s="61" t="s">
        <v>282</v>
      </c>
      <c r="K337" s="63">
        <v>11.8</v>
      </c>
      <c r="L337" s="63">
        <f t="shared" si="54"/>
        <v>2.3600000000000003</v>
      </c>
      <c r="M337" s="64">
        <f>prodnorm19</f>
        <v>0</v>
      </c>
      <c r="N337" s="65">
        <f>dagwerk19</f>
        <v>0</v>
      </c>
      <c r="O337" s="61" t="s">
        <v>43</v>
      </c>
      <c r="P337" s="66">
        <f>uurtarief19</f>
        <v>0</v>
      </c>
      <c r="Q337" s="63" t="e">
        <f t="shared" si="55"/>
        <v>#DIV/0!</v>
      </c>
      <c r="R337" s="63" t="e">
        <f t="shared" si="56"/>
        <v>#DIV/0!</v>
      </c>
      <c r="S337" s="66" t="e">
        <f t="shared" si="57"/>
        <v>#DIV/0!</v>
      </c>
      <c r="T337" s="63" t="e">
        <f t="shared" si="58"/>
        <v>#DIV/0!</v>
      </c>
      <c r="U337" s="67" t="e">
        <f t="shared" si="59"/>
        <v>#DIV/0!</v>
      </c>
    </row>
    <row r="338" spans="1:21" x14ac:dyDescent="0.2">
      <c r="A338" s="60" t="s">
        <v>487</v>
      </c>
      <c r="B338" s="61" t="s">
        <v>230</v>
      </c>
      <c r="C338" s="61" t="s">
        <v>231</v>
      </c>
      <c r="D338" s="61" t="s">
        <v>287</v>
      </c>
      <c r="E338" s="62" t="s">
        <v>322</v>
      </c>
      <c r="F338" s="61" t="s">
        <v>489</v>
      </c>
      <c r="G338" s="61" t="s">
        <v>203</v>
      </c>
      <c r="H338" s="61" t="s">
        <v>11</v>
      </c>
      <c r="I338" s="61" t="s">
        <v>159</v>
      </c>
      <c r="J338" s="61" t="s">
        <v>235</v>
      </c>
      <c r="K338" s="63">
        <v>7.8</v>
      </c>
      <c r="L338" s="63">
        <f t="shared" si="54"/>
        <v>7.8</v>
      </c>
      <c r="M338" s="64">
        <f>prodnorm57</f>
        <v>0</v>
      </c>
      <c r="N338" s="65">
        <f>dagwerk57</f>
        <v>0</v>
      </c>
      <c r="O338" s="61" t="s">
        <v>43</v>
      </c>
      <c r="P338" s="66">
        <f>uurtarief57</f>
        <v>0</v>
      </c>
      <c r="Q338" s="63" t="e">
        <f t="shared" si="55"/>
        <v>#DIV/0!</v>
      </c>
      <c r="R338" s="63" t="e">
        <f t="shared" si="56"/>
        <v>#DIV/0!</v>
      </c>
      <c r="S338" s="66" t="e">
        <f t="shared" si="57"/>
        <v>#DIV/0!</v>
      </c>
      <c r="T338" s="63" t="e">
        <f t="shared" si="58"/>
        <v>#DIV/0!</v>
      </c>
      <c r="U338" s="67" t="e">
        <f t="shared" si="59"/>
        <v>#DIV/0!</v>
      </c>
    </row>
    <row r="339" spans="1:21" x14ac:dyDescent="0.2">
      <c r="A339" s="60" t="s">
        <v>487</v>
      </c>
      <c r="B339" s="61" t="s">
        <v>230</v>
      </c>
      <c r="C339" s="61" t="s">
        <v>231</v>
      </c>
      <c r="D339" s="61" t="s">
        <v>288</v>
      </c>
      <c r="E339" s="62" t="s">
        <v>343</v>
      </c>
      <c r="F339" s="61" t="s">
        <v>238</v>
      </c>
      <c r="G339" s="61" t="s">
        <v>158</v>
      </c>
      <c r="H339" s="61" t="s">
        <v>20</v>
      </c>
      <c r="I339" s="61" t="s">
        <v>159</v>
      </c>
      <c r="J339" s="61" t="s">
        <v>282</v>
      </c>
      <c r="K339" s="63">
        <v>15.3</v>
      </c>
      <c r="L339" s="63">
        <f t="shared" si="54"/>
        <v>3.0600000000000005</v>
      </c>
      <c r="M339" s="64">
        <f>prodnorm15</f>
        <v>0</v>
      </c>
      <c r="N339" s="65">
        <f>dagwerk15</f>
        <v>0</v>
      </c>
      <c r="O339" s="61" t="s">
        <v>43</v>
      </c>
      <c r="P339" s="66">
        <f>uurtarief15</f>
        <v>0</v>
      </c>
      <c r="Q339" s="63" t="e">
        <f t="shared" si="55"/>
        <v>#DIV/0!</v>
      </c>
      <c r="R339" s="63" t="e">
        <f t="shared" si="56"/>
        <v>#DIV/0!</v>
      </c>
      <c r="S339" s="66" t="e">
        <f t="shared" si="57"/>
        <v>#DIV/0!</v>
      </c>
      <c r="T339" s="63" t="e">
        <f t="shared" si="58"/>
        <v>#DIV/0!</v>
      </c>
      <c r="U339" s="67" t="e">
        <f t="shared" si="59"/>
        <v>#DIV/0!</v>
      </c>
    </row>
    <row r="340" spans="1:21" x14ac:dyDescent="0.2">
      <c r="A340" s="60" t="s">
        <v>487</v>
      </c>
      <c r="B340" s="61" t="s">
        <v>230</v>
      </c>
      <c r="C340" s="61" t="s">
        <v>231</v>
      </c>
      <c r="D340" s="61" t="s">
        <v>289</v>
      </c>
      <c r="E340" s="62" t="s">
        <v>430</v>
      </c>
      <c r="F340" s="61" t="s">
        <v>325</v>
      </c>
      <c r="G340" s="61" t="s">
        <v>173</v>
      </c>
      <c r="H340" s="61" t="s">
        <v>11</v>
      </c>
      <c r="I340" s="61" t="s">
        <v>159</v>
      </c>
      <c r="J340" s="61" t="s">
        <v>235</v>
      </c>
      <c r="K340" s="63">
        <v>9.1</v>
      </c>
      <c r="L340" s="63">
        <f t="shared" si="54"/>
        <v>9.1</v>
      </c>
      <c r="M340" s="64">
        <f>prodnorm28</f>
        <v>0</v>
      </c>
      <c r="N340" s="65">
        <f>dagwerk28</f>
        <v>0</v>
      </c>
      <c r="O340" s="61" t="s">
        <v>43</v>
      </c>
      <c r="P340" s="66">
        <f>uurtarief28</f>
        <v>0</v>
      </c>
      <c r="Q340" s="63" t="e">
        <f t="shared" si="55"/>
        <v>#DIV/0!</v>
      </c>
      <c r="R340" s="63" t="e">
        <f t="shared" si="56"/>
        <v>#DIV/0!</v>
      </c>
      <c r="S340" s="66" t="e">
        <f t="shared" si="57"/>
        <v>#DIV/0!</v>
      </c>
      <c r="T340" s="63" t="e">
        <f t="shared" si="58"/>
        <v>#DIV/0!</v>
      </c>
      <c r="U340" s="67" t="e">
        <f t="shared" si="59"/>
        <v>#DIV/0!</v>
      </c>
    </row>
    <row r="341" spans="1:21" x14ac:dyDescent="0.2">
      <c r="A341" s="60" t="s">
        <v>487</v>
      </c>
      <c r="B341" s="61" t="s">
        <v>230</v>
      </c>
      <c r="C341" s="61" t="s">
        <v>231</v>
      </c>
      <c r="D341" s="61" t="s">
        <v>434</v>
      </c>
      <c r="E341" s="62" t="s">
        <v>343</v>
      </c>
      <c r="F341" s="61" t="s">
        <v>234</v>
      </c>
      <c r="G341" s="61" t="s">
        <v>161</v>
      </c>
      <c r="H341" s="61" t="s">
        <v>20</v>
      </c>
      <c r="I341" s="61" t="s">
        <v>159</v>
      </c>
      <c r="J341" s="61" t="s">
        <v>282</v>
      </c>
      <c r="K341" s="63">
        <v>18.5</v>
      </c>
      <c r="L341" s="63">
        <f t="shared" si="54"/>
        <v>3.7</v>
      </c>
      <c r="M341" s="64">
        <f t="shared" ref="M341:M346" si="60">prodnorm19</f>
        <v>0</v>
      </c>
      <c r="N341" s="65">
        <f t="shared" ref="N341:N346" si="61">dagwerk19</f>
        <v>0</v>
      </c>
      <c r="O341" s="61" t="s">
        <v>43</v>
      </c>
      <c r="P341" s="66">
        <f t="shared" ref="P341:P346" si="62">uurtarief19</f>
        <v>0</v>
      </c>
      <c r="Q341" s="63" t="e">
        <f t="shared" si="55"/>
        <v>#DIV/0!</v>
      </c>
      <c r="R341" s="63" t="e">
        <f t="shared" si="56"/>
        <v>#DIV/0!</v>
      </c>
      <c r="S341" s="66" t="e">
        <f t="shared" si="57"/>
        <v>#DIV/0!</v>
      </c>
      <c r="T341" s="63" t="e">
        <f t="shared" si="58"/>
        <v>#DIV/0!</v>
      </c>
      <c r="U341" s="67" t="e">
        <f t="shared" si="59"/>
        <v>#DIV/0!</v>
      </c>
    </row>
    <row r="342" spans="1:21" x14ac:dyDescent="0.2">
      <c r="A342" s="60" t="s">
        <v>487</v>
      </c>
      <c r="B342" s="61" t="s">
        <v>230</v>
      </c>
      <c r="C342" s="61" t="s">
        <v>231</v>
      </c>
      <c r="D342" s="61" t="s">
        <v>403</v>
      </c>
      <c r="E342" s="62" t="s">
        <v>343</v>
      </c>
      <c r="F342" s="61" t="s">
        <v>234</v>
      </c>
      <c r="G342" s="61" t="s">
        <v>161</v>
      </c>
      <c r="H342" s="61" t="s">
        <v>20</v>
      </c>
      <c r="I342" s="61" t="s">
        <v>159</v>
      </c>
      <c r="J342" s="61" t="s">
        <v>282</v>
      </c>
      <c r="K342" s="63">
        <v>18.5</v>
      </c>
      <c r="L342" s="63">
        <f t="shared" si="54"/>
        <v>3.7</v>
      </c>
      <c r="M342" s="64">
        <f t="shared" si="60"/>
        <v>0</v>
      </c>
      <c r="N342" s="65">
        <f t="shared" si="61"/>
        <v>0</v>
      </c>
      <c r="O342" s="61" t="s">
        <v>43</v>
      </c>
      <c r="P342" s="66">
        <f t="shared" si="62"/>
        <v>0</v>
      </c>
      <c r="Q342" s="63" t="e">
        <f t="shared" si="55"/>
        <v>#DIV/0!</v>
      </c>
      <c r="R342" s="63" t="e">
        <f t="shared" si="56"/>
        <v>#DIV/0!</v>
      </c>
      <c r="S342" s="66" t="e">
        <f t="shared" si="57"/>
        <v>#DIV/0!</v>
      </c>
      <c r="T342" s="63" t="e">
        <f t="shared" si="58"/>
        <v>#DIV/0!</v>
      </c>
      <c r="U342" s="67" t="e">
        <f t="shared" si="59"/>
        <v>#DIV/0!</v>
      </c>
    </row>
    <row r="343" spans="1:21" x14ac:dyDescent="0.2">
      <c r="A343" s="60" t="s">
        <v>487</v>
      </c>
      <c r="B343" s="61" t="s">
        <v>230</v>
      </c>
      <c r="C343" s="61" t="s">
        <v>231</v>
      </c>
      <c r="D343" s="61" t="s">
        <v>381</v>
      </c>
      <c r="E343" s="62" t="s">
        <v>343</v>
      </c>
      <c r="F343" s="61" t="s">
        <v>234</v>
      </c>
      <c r="G343" s="61" t="s">
        <v>161</v>
      </c>
      <c r="H343" s="61" t="s">
        <v>20</v>
      </c>
      <c r="I343" s="61" t="s">
        <v>159</v>
      </c>
      <c r="J343" s="61" t="s">
        <v>282</v>
      </c>
      <c r="K343" s="63">
        <v>18.5</v>
      </c>
      <c r="L343" s="63">
        <f t="shared" si="54"/>
        <v>3.7</v>
      </c>
      <c r="M343" s="64">
        <f t="shared" si="60"/>
        <v>0</v>
      </c>
      <c r="N343" s="65">
        <f t="shared" si="61"/>
        <v>0</v>
      </c>
      <c r="O343" s="61" t="s">
        <v>43</v>
      </c>
      <c r="P343" s="66">
        <f t="shared" si="62"/>
        <v>0</v>
      </c>
      <c r="Q343" s="63" t="e">
        <f t="shared" si="55"/>
        <v>#DIV/0!</v>
      </c>
      <c r="R343" s="63" t="e">
        <f t="shared" si="56"/>
        <v>#DIV/0!</v>
      </c>
      <c r="S343" s="66" t="e">
        <f t="shared" si="57"/>
        <v>#DIV/0!</v>
      </c>
      <c r="T343" s="63" t="e">
        <f t="shared" si="58"/>
        <v>#DIV/0!</v>
      </c>
      <c r="U343" s="67" t="e">
        <f t="shared" si="59"/>
        <v>#DIV/0!</v>
      </c>
    </row>
    <row r="344" spans="1:21" x14ac:dyDescent="0.2">
      <c r="A344" s="60" t="s">
        <v>487</v>
      </c>
      <c r="B344" s="61" t="s">
        <v>230</v>
      </c>
      <c r="C344" s="61" t="s">
        <v>231</v>
      </c>
      <c r="D344" s="61" t="s">
        <v>292</v>
      </c>
      <c r="E344" s="62" t="s">
        <v>343</v>
      </c>
      <c r="F344" s="61" t="s">
        <v>234</v>
      </c>
      <c r="G344" s="61" t="s">
        <v>161</v>
      </c>
      <c r="H344" s="61" t="s">
        <v>20</v>
      </c>
      <c r="I344" s="61" t="s">
        <v>159</v>
      </c>
      <c r="J344" s="61" t="s">
        <v>282</v>
      </c>
      <c r="K344" s="63">
        <v>18.5</v>
      </c>
      <c r="L344" s="63">
        <f t="shared" si="54"/>
        <v>3.7</v>
      </c>
      <c r="M344" s="64">
        <f t="shared" si="60"/>
        <v>0</v>
      </c>
      <c r="N344" s="65">
        <f t="shared" si="61"/>
        <v>0</v>
      </c>
      <c r="O344" s="61" t="s">
        <v>43</v>
      </c>
      <c r="P344" s="66">
        <f t="shared" si="62"/>
        <v>0</v>
      </c>
      <c r="Q344" s="63" t="e">
        <f t="shared" si="55"/>
        <v>#DIV/0!</v>
      </c>
      <c r="R344" s="63" t="e">
        <f t="shared" si="56"/>
        <v>#DIV/0!</v>
      </c>
      <c r="S344" s="66" t="e">
        <f t="shared" si="57"/>
        <v>#DIV/0!</v>
      </c>
      <c r="T344" s="63" t="e">
        <f t="shared" si="58"/>
        <v>#DIV/0!</v>
      </c>
      <c r="U344" s="67" t="e">
        <f t="shared" si="59"/>
        <v>#DIV/0!</v>
      </c>
    </row>
    <row r="345" spans="1:21" x14ac:dyDescent="0.2">
      <c r="A345" s="60" t="s">
        <v>487</v>
      </c>
      <c r="B345" s="61" t="s">
        <v>230</v>
      </c>
      <c r="C345" s="61" t="s">
        <v>231</v>
      </c>
      <c r="D345" s="61" t="s">
        <v>294</v>
      </c>
      <c r="E345" s="62" t="s">
        <v>343</v>
      </c>
      <c r="F345" s="61" t="s">
        <v>234</v>
      </c>
      <c r="G345" s="61" t="s">
        <v>161</v>
      </c>
      <c r="H345" s="61" t="s">
        <v>20</v>
      </c>
      <c r="I345" s="61" t="s">
        <v>159</v>
      </c>
      <c r="J345" s="61" t="s">
        <v>282</v>
      </c>
      <c r="K345" s="63">
        <v>12.9</v>
      </c>
      <c r="L345" s="63">
        <f t="shared" si="54"/>
        <v>2.58</v>
      </c>
      <c r="M345" s="64">
        <f t="shared" si="60"/>
        <v>0</v>
      </c>
      <c r="N345" s="65">
        <f t="shared" si="61"/>
        <v>0</v>
      </c>
      <c r="O345" s="61" t="s">
        <v>43</v>
      </c>
      <c r="P345" s="66">
        <f t="shared" si="62"/>
        <v>0</v>
      </c>
      <c r="Q345" s="63" t="e">
        <f t="shared" si="55"/>
        <v>#DIV/0!</v>
      </c>
      <c r="R345" s="63" t="e">
        <f t="shared" si="56"/>
        <v>#DIV/0!</v>
      </c>
      <c r="S345" s="66" t="e">
        <f t="shared" si="57"/>
        <v>#DIV/0!</v>
      </c>
      <c r="T345" s="63" t="e">
        <f t="shared" si="58"/>
        <v>#DIV/0!</v>
      </c>
      <c r="U345" s="67" t="e">
        <f t="shared" si="59"/>
        <v>#DIV/0!</v>
      </c>
    </row>
    <row r="346" spans="1:21" x14ac:dyDescent="0.2">
      <c r="A346" s="60" t="s">
        <v>487</v>
      </c>
      <c r="B346" s="61" t="s">
        <v>230</v>
      </c>
      <c r="C346" s="61" t="s">
        <v>231</v>
      </c>
      <c r="D346" s="61" t="s">
        <v>295</v>
      </c>
      <c r="E346" s="62" t="s">
        <v>343</v>
      </c>
      <c r="F346" s="61" t="s">
        <v>234</v>
      </c>
      <c r="G346" s="61" t="s">
        <v>161</v>
      </c>
      <c r="H346" s="61" t="s">
        <v>20</v>
      </c>
      <c r="I346" s="61" t="s">
        <v>159</v>
      </c>
      <c r="J346" s="61" t="s">
        <v>282</v>
      </c>
      <c r="K346" s="63">
        <v>24.3</v>
      </c>
      <c r="L346" s="63">
        <f t="shared" si="54"/>
        <v>4.8600000000000003</v>
      </c>
      <c r="M346" s="64">
        <f t="shared" si="60"/>
        <v>0</v>
      </c>
      <c r="N346" s="65">
        <f t="shared" si="61"/>
        <v>0</v>
      </c>
      <c r="O346" s="61" t="s">
        <v>43</v>
      </c>
      <c r="P346" s="66">
        <f t="shared" si="62"/>
        <v>0</v>
      </c>
      <c r="Q346" s="63" t="e">
        <f t="shared" si="55"/>
        <v>#DIV/0!</v>
      </c>
      <c r="R346" s="63" t="e">
        <f t="shared" si="56"/>
        <v>#DIV/0!</v>
      </c>
      <c r="S346" s="66" t="e">
        <f t="shared" si="57"/>
        <v>#DIV/0!</v>
      </c>
      <c r="T346" s="63" t="e">
        <f t="shared" si="58"/>
        <v>#DIV/0!</v>
      </c>
      <c r="U346" s="67" t="e">
        <f t="shared" si="59"/>
        <v>#DIV/0!</v>
      </c>
    </row>
    <row r="347" spans="1:21" x14ac:dyDescent="0.2">
      <c r="A347" s="60" t="s">
        <v>487</v>
      </c>
      <c r="B347" s="61" t="s">
        <v>230</v>
      </c>
      <c r="C347" s="61" t="s">
        <v>231</v>
      </c>
      <c r="D347" s="61" t="s">
        <v>298</v>
      </c>
      <c r="E347" s="62" t="s">
        <v>322</v>
      </c>
      <c r="F347" s="61" t="s">
        <v>234</v>
      </c>
      <c r="G347" s="61" t="s">
        <v>205</v>
      </c>
      <c r="H347" s="61" t="s">
        <v>11</v>
      </c>
      <c r="I347" s="61" t="s">
        <v>159</v>
      </c>
      <c r="J347" s="61" t="s">
        <v>235</v>
      </c>
      <c r="K347" s="63">
        <v>10</v>
      </c>
      <c r="L347" s="63">
        <f t="shared" si="54"/>
        <v>10</v>
      </c>
      <c r="M347" s="64">
        <f>prodnorm58</f>
        <v>0</v>
      </c>
      <c r="N347" s="65">
        <f>dagwerk58</f>
        <v>0</v>
      </c>
      <c r="O347" s="61" t="s">
        <v>43</v>
      </c>
      <c r="P347" s="66">
        <f>uurtarief58</f>
        <v>0</v>
      </c>
      <c r="Q347" s="63" t="e">
        <f t="shared" si="55"/>
        <v>#DIV/0!</v>
      </c>
      <c r="R347" s="63" t="e">
        <f t="shared" si="56"/>
        <v>#DIV/0!</v>
      </c>
      <c r="S347" s="66" t="e">
        <f t="shared" si="57"/>
        <v>#DIV/0!</v>
      </c>
      <c r="T347" s="63" t="e">
        <f t="shared" si="58"/>
        <v>#DIV/0!</v>
      </c>
      <c r="U347" s="67" t="e">
        <f t="shared" si="59"/>
        <v>#DIV/0!</v>
      </c>
    </row>
    <row r="348" spans="1:21" x14ac:dyDescent="0.2">
      <c r="A348" s="60" t="s">
        <v>487</v>
      </c>
      <c r="B348" s="61" t="s">
        <v>230</v>
      </c>
      <c r="C348" s="61" t="s">
        <v>231</v>
      </c>
      <c r="D348" s="61" t="s">
        <v>301</v>
      </c>
      <c r="E348" s="62" t="s">
        <v>322</v>
      </c>
      <c r="F348" s="61" t="s">
        <v>238</v>
      </c>
      <c r="G348" s="61" t="s">
        <v>203</v>
      </c>
      <c r="H348" s="61" t="s">
        <v>11</v>
      </c>
      <c r="I348" s="61" t="s">
        <v>159</v>
      </c>
      <c r="J348" s="61" t="s">
        <v>235</v>
      </c>
      <c r="K348" s="63">
        <v>3.1</v>
      </c>
      <c r="L348" s="63">
        <f t="shared" si="54"/>
        <v>3.1</v>
      </c>
      <c r="M348" s="64">
        <f>prodnorm57</f>
        <v>0</v>
      </c>
      <c r="N348" s="65">
        <f>dagwerk57</f>
        <v>0</v>
      </c>
      <c r="O348" s="61" t="s">
        <v>43</v>
      </c>
      <c r="P348" s="66">
        <f>uurtarief57</f>
        <v>0</v>
      </c>
      <c r="Q348" s="63" t="e">
        <f t="shared" si="55"/>
        <v>#DIV/0!</v>
      </c>
      <c r="R348" s="63" t="e">
        <f t="shared" si="56"/>
        <v>#DIV/0!</v>
      </c>
      <c r="S348" s="66" t="e">
        <f t="shared" si="57"/>
        <v>#DIV/0!</v>
      </c>
      <c r="T348" s="63" t="e">
        <f t="shared" si="58"/>
        <v>#DIV/0!</v>
      </c>
      <c r="U348" s="67" t="e">
        <f t="shared" si="59"/>
        <v>#DIV/0!</v>
      </c>
    </row>
    <row r="349" spans="1:21" x14ac:dyDescent="0.2">
      <c r="A349" s="60" t="s">
        <v>487</v>
      </c>
      <c r="B349" s="61" t="s">
        <v>230</v>
      </c>
      <c r="C349" s="61" t="s">
        <v>231</v>
      </c>
      <c r="D349" s="61" t="s">
        <v>492</v>
      </c>
      <c r="E349" s="62" t="s">
        <v>331</v>
      </c>
      <c r="F349" s="61" t="s">
        <v>238</v>
      </c>
      <c r="G349" s="61" t="s">
        <v>175</v>
      </c>
      <c r="H349" s="61" t="s">
        <v>18</v>
      </c>
      <c r="I349" s="61" t="s">
        <v>159</v>
      </c>
      <c r="J349" s="61" t="s">
        <v>239</v>
      </c>
      <c r="K349" s="63">
        <v>49.5</v>
      </c>
      <c r="L349" s="63">
        <f t="shared" si="54"/>
        <v>19.8</v>
      </c>
      <c r="M349" s="64">
        <f>prodnorm33</f>
        <v>0</v>
      </c>
      <c r="N349" s="65">
        <f>dagwerk33</f>
        <v>0</v>
      </c>
      <c r="O349" s="61" t="s">
        <v>43</v>
      </c>
      <c r="P349" s="66">
        <f>uurtarief33</f>
        <v>0</v>
      </c>
      <c r="Q349" s="63" t="e">
        <f t="shared" si="55"/>
        <v>#DIV/0!</v>
      </c>
      <c r="R349" s="63" t="e">
        <f t="shared" si="56"/>
        <v>#DIV/0!</v>
      </c>
      <c r="S349" s="66" t="e">
        <f t="shared" si="57"/>
        <v>#DIV/0!</v>
      </c>
      <c r="T349" s="63" t="e">
        <f t="shared" si="58"/>
        <v>#DIV/0!</v>
      </c>
      <c r="U349" s="67" t="e">
        <f t="shared" si="59"/>
        <v>#DIV/0!</v>
      </c>
    </row>
    <row r="350" spans="1:21" x14ac:dyDescent="0.2">
      <c r="A350" s="60" t="s">
        <v>487</v>
      </c>
      <c r="B350" s="61" t="s">
        <v>230</v>
      </c>
      <c r="C350" s="61" t="s">
        <v>231</v>
      </c>
      <c r="D350" s="61" t="s">
        <v>386</v>
      </c>
      <c r="E350" s="62" t="s">
        <v>331</v>
      </c>
      <c r="F350" s="61" t="s">
        <v>238</v>
      </c>
      <c r="G350" s="61" t="s">
        <v>175</v>
      </c>
      <c r="H350" s="61" t="s">
        <v>18</v>
      </c>
      <c r="I350" s="61" t="s">
        <v>159</v>
      </c>
      <c r="J350" s="61" t="s">
        <v>239</v>
      </c>
      <c r="K350" s="63">
        <v>49.5</v>
      </c>
      <c r="L350" s="63">
        <f t="shared" ref="L350:L381" si="63">K350*VLOOKUP(H350,dagsoorttabel1,2,FALSE)</f>
        <v>19.8</v>
      </c>
      <c r="M350" s="64">
        <f>prodnorm33</f>
        <v>0</v>
      </c>
      <c r="N350" s="65">
        <f>dagwerk33</f>
        <v>0</v>
      </c>
      <c r="O350" s="61" t="s">
        <v>43</v>
      </c>
      <c r="P350" s="66">
        <f>uurtarief33</f>
        <v>0</v>
      </c>
      <c r="Q350" s="63" t="e">
        <f t="shared" ref="Q350:Q381" si="64">IF(ISBLANK(M350),0,L350/ROUND(M350,4))</f>
        <v>#DIV/0!</v>
      </c>
      <c r="R350" s="63" t="e">
        <f t="shared" ref="R350:R381" si="65">IF(ISBLANK(M350),0,Q350*ROUND(N350,2))</f>
        <v>#DIV/0!</v>
      </c>
      <c r="S350" s="66" t="e">
        <f t="shared" ref="S350:S381" si="66">ROUND(P350,2)*Q350</f>
        <v>#DIV/0!</v>
      </c>
      <c r="T350" s="63" t="e">
        <f t="shared" ref="T350:T381" si="67">Q350*dagenperjaar1</f>
        <v>#DIV/0!</v>
      </c>
      <c r="U350" s="67" t="e">
        <f t="shared" ref="U350:U381" si="68">T350*ROUND(P350,2)</f>
        <v>#DIV/0!</v>
      </c>
    </row>
    <row r="351" spans="1:21" x14ac:dyDescent="0.2">
      <c r="A351" s="60" t="s">
        <v>487</v>
      </c>
      <c r="B351" s="61" t="s">
        <v>230</v>
      </c>
      <c r="C351" s="61" t="s">
        <v>231</v>
      </c>
      <c r="D351" s="61" t="s">
        <v>387</v>
      </c>
      <c r="E351" s="62" t="s">
        <v>331</v>
      </c>
      <c r="F351" s="61" t="s">
        <v>238</v>
      </c>
      <c r="G351" s="61" t="s">
        <v>175</v>
      </c>
      <c r="H351" s="61" t="s">
        <v>18</v>
      </c>
      <c r="I351" s="61" t="s">
        <v>159</v>
      </c>
      <c r="J351" s="61" t="s">
        <v>239</v>
      </c>
      <c r="K351" s="63">
        <v>49.5</v>
      </c>
      <c r="L351" s="63">
        <f t="shared" si="63"/>
        <v>19.8</v>
      </c>
      <c r="M351" s="64">
        <f>prodnorm33</f>
        <v>0</v>
      </c>
      <c r="N351" s="65">
        <f>dagwerk33</f>
        <v>0</v>
      </c>
      <c r="O351" s="61" t="s">
        <v>43</v>
      </c>
      <c r="P351" s="66">
        <f>uurtarief33</f>
        <v>0</v>
      </c>
      <c r="Q351" s="63" t="e">
        <f t="shared" si="64"/>
        <v>#DIV/0!</v>
      </c>
      <c r="R351" s="63" t="e">
        <f t="shared" si="65"/>
        <v>#DIV/0!</v>
      </c>
      <c r="S351" s="66" t="e">
        <f t="shared" si="66"/>
        <v>#DIV/0!</v>
      </c>
      <c r="T351" s="63" t="e">
        <f t="shared" si="67"/>
        <v>#DIV/0!</v>
      </c>
      <c r="U351" s="67" t="e">
        <f t="shared" si="68"/>
        <v>#DIV/0!</v>
      </c>
    </row>
    <row r="352" spans="1:21" x14ac:dyDescent="0.2">
      <c r="A352" s="60" t="s">
        <v>487</v>
      </c>
      <c r="B352" s="61" t="s">
        <v>230</v>
      </c>
      <c r="C352" s="61" t="s">
        <v>231</v>
      </c>
      <c r="D352" s="61" t="s">
        <v>389</v>
      </c>
      <c r="E352" s="62" t="s">
        <v>398</v>
      </c>
      <c r="F352" s="61" t="s">
        <v>238</v>
      </c>
      <c r="G352" s="61" t="s">
        <v>199</v>
      </c>
      <c r="H352" s="61" t="s">
        <v>11</v>
      </c>
      <c r="I352" s="61" t="s">
        <v>159</v>
      </c>
      <c r="J352" s="61" t="s">
        <v>235</v>
      </c>
      <c r="K352" s="63">
        <v>187</v>
      </c>
      <c r="L352" s="63">
        <f t="shared" si="63"/>
        <v>187</v>
      </c>
      <c r="M352" s="64">
        <f>prodnorm53</f>
        <v>0</v>
      </c>
      <c r="N352" s="65">
        <f>dagwerk53</f>
        <v>0</v>
      </c>
      <c r="O352" s="61" t="s">
        <v>43</v>
      </c>
      <c r="P352" s="66">
        <f>uurtarief53</f>
        <v>0</v>
      </c>
      <c r="Q352" s="63" t="e">
        <f t="shared" si="64"/>
        <v>#DIV/0!</v>
      </c>
      <c r="R352" s="63" t="e">
        <f t="shared" si="65"/>
        <v>#DIV/0!</v>
      </c>
      <c r="S352" s="66" t="e">
        <f t="shared" si="66"/>
        <v>#DIV/0!</v>
      </c>
      <c r="T352" s="63" t="e">
        <f t="shared" si="67"/>
        <v>#DIV/0!</v>
      </c>
      <c r="U352" s="67" t="e">
        <f t="shared" si="68"/>
        <v>#DIV/0!</v>
      </c>
    </row>
    <row r="353" spans="1:21" x14ac:dyDescent="0.2">
      <c r="A353" s="60" t="s">
        <v>487</v>
      </c>
      <c r="B353" s="61" t="s">
        <v>230</v>
      </c>
      <c r="C353" s="61" t="s">
        <v>231</v>
      </c>
      <c r="D353" s="61" t="s">
        <v>390</v>
      </c>
      <c r="E353" s="62" t="s">
        <v>332</v>
      </c>
      <c r="F353" s="61" t="s">
        <v>364</v>
      </c>
      <c r="G353" s="61" t="s">
        <v>195</v>
      </c>
      <c r="H353" s="61" t="s">
        <v>11</v>
      </c>
      <c r="I353" s="61" t="s">
        <v>159</v>
      </c>
      <c r="J353" s="61" t="s">
        <v>257</v>
      </c>
      <c r="K353" s="63">
        <v>9.5</v>
      </c>
      <c r="L353" s="63">
        <f t="shared" si="63"/>
        <v>9.5</v>
      </c>
      <c r="M353" s="64">
        <f>prodnorm49</f>
        <v>0</v>
      </c>
      <c r="N353" s="65">
        <f>dagwerk49</f>
        <v>0</v>
      </c>
      <c r="O353" s="61" t="s">
        <v>43</v>
      </c>
      <c r="P353" s="66">
        <f>uurtarief49</f>
        <v>0</v>
      </c>
      <c r="Q353" s="63" t="e">
        <f t="shared" si="64"/>
        <v>#DIV/0!</v>
      </c>
      <c r="R353" s="63" t="e">
        <f t="shared" si="65"/>
        <v>#DIV/0!</v>
      </c>
      <c r="S353" s="66" t="e">
        <f t="shared" si="66"/>
        <v>#DIV/0!</v>
      </c>
      <c r="T353" s="63" t="e">
        <f t="shared" si="67"/>
        <v>#DIV/0!</v>
      </c>
      <c r="U353" s="67" t="e">
        <f t="shared" si="68"/>
        <v>#DIV/0!</v>
      </c>
    </row>
    <row r="354" spans="1:21" x14ac:dyDescent="0.2">
      <c r="A354" s="60" t="s">
        <v>487</v>
      </c>
      <c r="B354" s="61" t="s">
        <v>230</v>
      </c>
      <c r="C354" s="61" t="s">
        <v>231</v>
      </c>
      <c r="D354" s="61" t="s">
        <v>392</v>
      </c>
      <c r="E354" s="62" t="s">
        <v>332</v>
      </c>
      <c r="F354" s="61" t="s">
        <v>364</v>
      </c>
      <c r="G354" s="61" t="s">
        <v>195</v>
      </c>
      <c r="H354" s="61" t="s">
        <v>11</v>
      </c>
      <c r="I354" s="61" t="s">
        <v>159</v>
      </c>
      <c r="J354" s="61" t="s">
        <v>257</v>
      </c>
      <c r="K354" s="63">
        <v>8.1999999999999993</v>
      </c>
      <c r="L354" s="63">
        <f t="shared" si="63"/>
        <v>8.1999999999999993</v>
      </c>
      <c r="M354" s="64">
        <f>prodnorm49</f>
        <v>0</v>
      </c>
      <c r="N354" s="65">
        <f>dagwerk49</f>
        <v>0</v>
      </c>
      <c r="O354" s="61" t="s">
        <v>43</v>
      </c>
      <c r="P354" s="66">
        <f>uurtarief49</f>
        <v>0</v>
      </c>
      <c r="Q354" s="63" t="e">
        <f t="shared" si="64"/>
        <v>#DIV/0!</v>
      </c>
      <c r="R354" s="63" t="e">
        <f t="shared" si="65"/>
        <v>#DIV/0!</v>
      </c>
      <c r="S354" s="66" t="e">
        <f t="shared" si="66"/>
        <v>#DIV/0!</v>
      </c>
      <c r="T354" s="63" t="e">
        <f t="shared" si="67"/>
        <v>#DIV/0!</v>
      </c>
      <c r="U354" s="67" t="e">
        <f t="shared" si="68"/>
        <v>#DIV/0!</v>
      </c>
    </row>
    <row r="355" spans="1:21" x14ac:dyDescent="0.2">
      <c r="A355" s="60" t="s">
        <v>487</v>
      </c>
      <c r="B355" s="61" t="s">
        <v>230</v>
      </c>
      <c r="C355" s="61" t="s">
        <v>231</v>
      </c>
      <c r="D355" s="61" t="s">
        <v>405</v>
      </c>
      <c r="E355" s="62" t="s">
        <v>332</v>
      </c>
      <c r="F355" s="61" t="s">
        <v>325</v>
      </c>
      <c r="G355" s="61" t="s">
        <v>195</v>
      </c>
      <c r="H355" s="61" t="s">
        <v>11</v>
      </c>
      <c r="I355" s="61" t="s">
        <v>159</v>
      </c>
      <c r="J355" s="61" t="s">
        <v>257</v>
      </c>
      <c r="K355" s="63">
        <v>2</v>
      </c>
      <c r="L355" s="63">
        <f t="shared" si="63"/>
        <v>2</v>
      </c>
      <c r="M355" s="64">
        <f>prodnorm49</f>
        <v>0</v>
      </c>
      <c r="N355" s="65">
        <f>dagwerk49</f>
        <v>0</v>
      </c>
      <c r="O355" s="61" t="s">
        <v>43</v>
      </c>
      <c r="P355" s="66">
        <f>uurtarief49</f>
        <v>0</v>
      </c>
      <c r="Q355" s="63" t="e">
        <f t="shared" si="64"/>
        <v>#DIV/0!</v>
      </c>
      <c r="R355" s="63" t="e">
        <f t="shared" si="65"/>
        <v>#DIV/0!</v>
      </c>
      <c r="S355" s="66" t="e">
        <f t="shared" si="66"/>
        <v>#DIV/0!</v>
      </c>
      <c r="T355" s="63" t="e">
        <f t="shared" si="67"/>
        <v>#DIV/0!</v>
      </c>
      <c r="U355" s="67" t="e">
        <f t="shared" si="68"/>
        <v>#DIV/0!</v>
      </c>
    </row>
    <row r="356" spans="1:21" x14ac:dyDescent="0.2">
      <c r="A356" s="60" t="s">
        <v>487</v>
      </c>
      <c r="B356" s="61" t="s">
        <v>230</v>
      </c>
      <c r="C356" s="61" t="s">
        <v>231</v>
      </c>
      <c r="D356" s="61" t="s">
        <v>406</v>
      </c>
      <c r="E356" s="62" t="s">
        <v>493</v>
      </c>
      <c r="F356" s="61" t="s">
        <v>325</v>
      </c>
      <c r="G356" s="61" t="s">
        <v>195</v>
      </c>
      <c r="H356" s="61" t="s">
        <v>11</v>
      </c>
      <c r="I356" s="61" t="s">
        <v>159</v>
      </c>
      <c r="J356" s="61" t="s">
        <v>257</v>
      </c>
      <c r="K356" s="63">
        <v>1.7</v>
      </c>
      <c r="L356" s="63">
        <f t="shared" si="63"/>
        <v>1.7</v>
      </c>
      <c r="M356" s="64">
        <f>prodnorm49</f>
        <v>0</v>
      </c>
      <c r="N356" s="65">
        <f>dagwerk49</f>
        <v>0</v>
      </c>
      <c r="O356" s="61" t="s">
        <v>43</v>
      </c>
      <c r="P356" s="66">
        <f>uurtarief49</f>
        <v>0</v>
      </c>
      <c r="Q356" s="63" t="e">
        <f t="shared" si="64"/>
        <v>#DIV/0!</v>
      </c>
      <c r="R356" s="63" t="e">
        <f t="shared" si="65"/>
        <v>#DIV/0!</v>
      </c>
      <c r="S356" s="66" t="e">
        <f t="shared" si="66"/>
        <v>#DIV/0!</v>
      </c>
      <c r="T356" s="63" t="e">
        <f t="shared" si="67"/>
        <v>#DIV/0!</v>
      </c>
      <c r="U356" s="67" t="e">
        <f t="shared" si="68"/>
        <v>#DIV/0!</v>
      </c>
    </row>
    <row r="357" spans="1:21" x14ac:dyDescent="0.2">
      <c r="A357" s="60" t="s">
        <v>487</v>
      </c>
      <c r="B357" s="61" t="s">
        <v>230</v>
      </c>
      <c r="C357" s="61" t="s">
        <v>231</v>
      </c>
      <c r="D357" s="61" t="s">
        <v>408</v>
      </c>
      <c r="E357" s="62" t="s">
        <v>358</v>
      </c>
      <c r="F357" s="61" t="s">
        <v>238</v>
      </c>
      <c r="G357" s="61" t="s">
        <v>199</v>
      </c>
      <c r="H357" s="61" t="s">
        <v>11</v>
      </c>
      <c r="I357" s="61" t="s">
        <v>159</v>
      </c>
      <c r="J357" s="61" t="s">
        <v>235</v>
      </c>
      <c r="K357" s="63">
        <v>48.2</v>
      </c>
      <c r="L357" s="63">
        <f t="shared" si="63"/>
        <v>48.2</v>
      </c>
      <c r="M357" s="64">
        <f>prodnorm53</f>
        <v>0</v>
      </c>
      <c r="N357" s="65">
        <f>dagwerk53</f>
        <v>0</v>
      </c>
      <c r="O357" s="61" t="s">
        <v>43</v>
      </c>
      <c r="P357" s="66">
        <f>uurtarief53</f>
        <v>0</v>
      </c>
      <c r="Q357" s="63" t="e">
        <f t="shared" si="64"/>
        <v>#DIV/0!</v>
      </c>
      <c r="R357" s="63" t="e">
        <f t="shared" si="65"/>
        <v>#DIV/0!</v>
      </c>
      <c r="S357" s="66" t="e">
        <f t="shared" si="66"/>
        <v>#DIV/0!</v>
      </c>
      <c r="T357" s="63" t="e">
        <f t="shared" si="67"/>
        <v>#DIV/0!</v>
      </c>
      <c r="U357" s="67" t="e">
        <f t="shared" si="68"/>
        <v>#DIV/0!</v>
      </c>
    </row>
    <row r="358" spans="1:21" x14ac:dyDescent="0.2">
      <c r="A358" s="60" t="s">
        <v>487</v>
      </c>
      <c r="B358" s="61" t="s">
        <v>230</v>
      </c>
      <c r="C358" s="61" t="s">
        <v>231</v>
      </c>
      <c r="D358" s="61" t="s">
        <v>409</v>
      </c>
      <c r="E358" s="62" t="s">
        <v>332</v>
      </c>
      <c r="F358" s="61" t="s">
        <v>325</v>
      </c>
      <c r="G358" s="61" t="s">
        <v>195</v>
      </c>
      <c r="H358" s="61" t="s">
        <v>11</v>
      </c>
      <c r="I358" s="61" t="s">
        <v>159</v>
      </c>
      <c r="J358" s="61" t="s">
        <v>257</v>
      </c>
      <c r="K358" s="63">
        <v>5.2</v>
      </c>
      <c r="L358" s="63">
        <f t="shared" si="63"/>
        <v>5.2</v>
      </c>
      <c r="M358" s="64">
        <f>prodnorm49</f>
        <v>0</v>
      </c>
      <c r="N358" s="65">
        <f>dagwerk49</f>
        <v>0</v>
      </c>
      <c r="O358" s="61" t="s">
        <v>43</v>
      </c>
      <c r="P358" s="66">
        <f>uurtarief49</f>
        <v>0</v>
      </c>
      <c r="Q358" s="63" t="e">
        <f t="shared" si="64"/>
        <v>#DIV/0!</v>
      </c>
      <c r="R358" s="63" t="e">
        <f t="shared" si="65"/>
        <v>#DIV/0!</v>
      </c>
      <c r="S358" s="66" t="e">
        <f t="shared" si="66"/>
        <v>#DIV/0!</v>
      </c>
      <c r="T358" s="63" t="e">
        <f t="shared" si="67"/>
        <v>#DIV/0!</v>
      </c>
      <c r="U358" s="67" t="e">
        <f t="shared" si="68"/>
        <v>#DIV/0!</v>
      </c>
    </row>
    <row r="359" spans="1:21" x14ac:dyDescent="0.2">
      <c r="A359" s="60" t="s">
        <v>487</v>
      </c>
      <c r="B359" s="61" t="s">
        <v>230</v>
      </c>
      <c r="C359" s="61" t="s">
        <v>231</v>
      </c>
      <c r="D359" s="61" t="s">
        <v>412</v>
      </c>
      <c r="E359" s="62" t="s">
        <v>494</v>
      </c>
      <c r="F359" s="61" t="s">
        <v>238</v>
      </c>
      <c r="G359" s="61" t="s">
        <v>193</v>
      </c>
      <c r="H359" s="61" t="s">
        <v>15</v>
      </c>
      <c r="I359" s="61" t="s">
        <v>159</v>
      </c>
      <c r="J359" s="61" t="s">
        <v>257</v>
      </c>
      <c r="K359" s="63">
        <v>2.5</v>
      </c>
      <c r="L359" s="63">
        <f t="shared" si="63"/>
        <v>1.5</v>
      </c>
      <c r="M359" s="64">
        <f>prodnorm46</f>
        <v>0</v>
      </c>
      <c r="N359" s="65">
        <f>dagwerk46</f>
        <v>0</v>
      </c>
      <c r="O359" s="61" t="s">
        <v>43</v>
      </c>
      <c r="P359" s="66">
        <f>uurtarief46</f>
        <v>0</v>
      </c>
      <c r="Q359" s="63" t="e">
        <f t="shared" si="64"/>
        <v>#DIV/0!</v>
      </c>
      <c r="R359" s="63" t="e">
        <f t="shared" si="65"/>
        <v>#DIV/0!</v>
      </c>
      <c r="S359" s="66" t="e">
        <f t="shared" si="66"/>
        <v>#DIV/0!</v>
      </c>
      <c r="T359" s="63" t="e">
        <f t="shared" si="67"/>
        <v>#DIV/0!</v>
      </c>
      <c r="U359" s="67" t="e">
        <f t="shared" si="68"/>
        <v>#DIV/0!</v>
      </c>
    </row>
    <row r="360" spans="1:21" x14ac:dyDescent="0.2">
      <c r="A360" s="60" t="s">
        <v>487</v>
      </c>
      <c r="B360" s="61" t="s">
        <v>230</v>
      </c>
      <c r="C360" s="61" t="s">
        <v>231</v>
      </c>
      <c r="D360" s="61" t="s">
        <v>413</v>
      </c>
      <c r="E360" s="62" t="s">
        <v>495</v>
      </c>
      <c r="F360" s="61" t="s">
        <v>234</v>
      </c>
      <c r="G360" s="61" t="s">
        <v>161</v>
      </c>
      <c r="H360" s="61" t="s">
        <v>20</v>
      </c>
      <c r="I360" s="61" t="s">
        <v>159</v>
      </c>
      <c r="J360" s="61" t="s">
        <v>282</v>
      </c>
      <c r="K360" s="63">
        <v>3.3</v>
      </c>
      <c r="L360" s="63">
        <f t="shared" si="63"/>
        <v>0.66</v>
      </c>
      <c r="M360" s="64">
        <f>prodnorm19</f>
        <v>0</v>
      </c>
      <c r="N360" s="65">
        <f>dagwerk19</f>
        <v>0</v>
      </c>
      <c r="O360" s="61" t="s">
        <v>43</v>
      </c>
      <c r="P360" s="66">
        <f>uurtarief19</f>
        <v>0</v>
      </c>
      <c r="Q360" s="63" t="e">
        <f t="shared" si="64"/>
        <v>#DIV/0!</v>
      </c>
      <c r="R360" s="63" t="e">
        <f t="shared" si="65"/>
        <v>#DIV/0!</v>
      </c>
      <c r="S360" s="66" t="e">
        <f t="shared" si="66"/>
        <v>#DIV/0!</v>
      </c>
      <c r="T360" s="63" t="e">
        <f t="shared" si="67"/>
        <v>#DIV/0!</v>
      </c>
      <c r="U360" s="67" t="e">
        <f t="shared" si="68"/>
        <v>#DIV/0!</v>
      </c>
    </row>
    <row r="361" spans="1:21" x14ac:dyDescent="0.2">
      <c r="A361" s="60" t="s">
        <v>487</v>
      </c>
      <c r="B361" s="61" t="s">
        <v>230</v>
      </c>
      <c r="C361" s="61" t="s">
        <v>231</v>
      </c>
      <c r="D361" s="61" t="s">
        <v>496</v>
      </c>
      <c r="E361" s="62" t="s">
        <v>497</v>
      </c>
      <c r="F361" s="61" t="s">
        <v>264</v>
      </c>
      <c r="G361" s="61" t="s">
        <v>199</v>
      </c>
      <c r="H361" s="61" t="s">
        <v>20</v>
      </c>
      <c r="I361" s="61" t="s">
        <v>159</v>
      </c>
      <c r="J361" s="61" t="s">
        <v>230</v>
      </c>
      <c r="K361" s="63">
        <v>3</v>
      </c>
      <c r="L361" s="63">
        <f t="shared" si="63"/>
        <v>0.60000000000000009</v>
      </c>
      <c r="M361" s="64">
        <f>prodnorm54</f>
        <v>0</v>
      </c>
      <c r="N361" s="65">
        <f>dagwerk54</f>
        <v>0</v>
      </c>
      <c r="O361" s="61" t="s">
        <v>43</v>
      </c>
      <c r="P361" s="66">
        <f>uurtarief54</f>
        <v>0</v>
      </c>
      <c r="Q361" s="63" t="e">
        <f t="shared" si="64"/>
        <v>#DIV/0!</v>
      </c>
      <c r="R361" s="63" t="e">
        <f t="shared" si="65"/>
        <v>#DIV/0!</v>
      </c>
      <c r="S361" s="66" t="e">
        <f t="shared" si="66"/>
        <v>#DIV/0!</v>
      </c>
      <c r="T361" s="63" t="e">
        <f t="shared" si="67"/>
        <v>#DIV/0!</v>
      </c>
      <c r="U361" s="67" t="e">
        <f t="shared" si="68"/>
        <v>#DIV/0!</v>
      </c>
    </row>
    <row r="362" spans="1:21" x14ac:dyDescent="0.2">
      <c r="A362" s="60" t="s">
        <v>487</v>
      </c>
      <c r="B362" s="61" t="s">
        <v>230</v>
      </c>
      <c r="C362" s="61" t="s">
        <v>231</v>
      </c>
      <c r="D362" s="61" t="s">
        <v>498</v>
      </c>
      <c r="E362" s="62" t="s">
        <v>499</v>
      </c>
      <c r="F362" s="61" t="s">
        <v>364</v>
      </c>
      <c r="G362" s="61" t="s">
        <v>193</v>
      </c>
      <c r="H362" s="61" t="s">
        <v>11</v>
      </c>
      <c r="I362" s="61" t="s">
        <v>159</v>
      </c>
      <c r="J362" s="61" t="s">
        <v>257</v>
      </c>
      <c r="K362" s="63">
        <v>20.399999999999999</v>
      </c>
      <c r="L362" s="63">
        <f t="shared" si="63"/>
        <v>20.399999999999999</v>
      </c>
      <c r="M362" s="64">
        <f>prodnorm47</f>
        <v>0</v>
      </c>
      <c r="N362" s="65">
        <f>dagwerk47</f>
        <v>0</v>
      </c>
      <c r="O362" s="61" t="s">
        <v>43</v>
      </c>
      <c r="P362" s="66">
        <f>uurtarief47</f>
        <v>0</v>
      </c>
      <c r="Q362" s="63" t="e">
        <f t="shared" si="64"/>
        <v>#DIV/0!</v>
      </c>
      <c r="R362" s="63" t="e">
        <f t="shared" si="65"/>
        <v>#DIV/0!</v>
      </c>
      <c r="S362" s="66" t="e">
        <f t="shared" si="66"/>
        <v>#DIV/0!</v>
      </c>
      <c r="T362" s="63" t="e">
        <f t="shared" si="67"/>
        <v>#DIV/0!</v>
      </c>
      <c r="U362" s="67" t="e">
        <f t="shared" si="68"/>
        <v>#DIV/0!</v>
      </c>
    </row>
    <row r="363" spans="1:21" x14ac:dyDescent="0.2">
      <c r="A363" s="60" t="s">
        <v>487</v>
      </c>
      <c r="B363" s="61" t="s">
        <v>230</v>
      </c>
      <c r="C363" s="61" t="s">
        <v>231</v>
      </c>
      <c r="D363" s="61" t="s">
        <v>500</v>
      </c>
      <c r="E363" s="62" t="s">
        <v>501</v>
      </c>
      <c r="F363" s="61" t="s">
        <v>336</v>
      </c>
      <c r="G363" s="61" t="s">
        <v>163</v>
      </c>
      <c r="H363" s="61" t="s">
        <v>15</v>
      </c>
      <c r="I363" s="61" t="s">
        <v>159</v>
      </c>
      <c r="J363" s="61" t="s">
        <v>235</v>
      </c>
      <c r="K363" s="63">
        <v>18</v>
      </c>
      <c r="L363" s="63">
        <f t="shared" si="63"/>
        <v>10.799999999999999</v>
      </c>
      <c r="M363" s="64">
        <f>prodnorm20</f>
        <v>0</v>
      </c>
      <c r="N363" s="65">
        <f>dagwerk20</f>
        <v>0</v>
      </c>
      <c r="O363" s="61" t="s">
        <v>43</v>
      </c>
      <c r="P363" s="66">
        <f>uurtarief20</f>
        <v>0</v>
      </c>
      <c r="Q363" s="63" t="e">
        <f t="shared" si="64"/>
        <v>#DIV/0!</v>
      </c>
      <c r="R363" s="63" t="e">
        <f t="shared" si="65"/>
        <v>#DIV/0!</v>
      </c>
      <c r="S363" s="66" t="e">
        <f t="shared" si="66"/>
        <v>#DIV/0!</v>
      </c>
      <c r="T363" s="63" t="e">
        <f t="shared" si="67"/>
        <v>#DIV/0!</v>
      </c>
      <c r="U363" s="67" t="e">
        <f t="shared" si="68"/>
        <v>#DIV/0!</v>
      </c>
    </row>
    <row r="364" spans="1:21" x14ac:dyDescent="0.2">
      <c r="A364" s="60" t="s">
        <v>487</v>
      </c>
      <c r="B364" s="61" t="s">
        <v>230</v>
      </c>
      <c r="C364" s="61" t="s">
        <v>231</v>
      </c>
      <c r="D364" s="61" t="s">
        <v>502</v>
      </c>
      <c r="E364" s="62" t="s">
        <v>373</v>
      </c>
      <c r="F364" s="61" t="s">
        <v>336</v>
      </c>
      <c r="G364" s="61" t="s">
        <v>163</v>
      </c>
      <c r="H364" s="61" t="s">
        <v>11</v>
      </c>
      <c r="I364" s="61" t="s">
        <v>159</v>
      </c>
      <c r="J364" s="61" t="s">
        <v>235</v>
      </c>
      <c r="K364" s="63">
        <v>120</v>
      </c>
      <c r="L364" s="63">
        <f t="shared" si="63"/>
        <v>120</v>
      </c>
      <c r="M364" s="64">
        <f>prodnorm21</f>
        <v>0</v>
      </c>
      <c r="N364" s="65">
        <f>dagwerk21</f>
        <v>0</v>
      </c>
      <c r="O364" s="61" t="s">
        <v>43</v>
      </c>
      <c r="P364" s="66">
        <f>uurtarief21</f>
        <v>0</v>
      </c>
      <c r="Q364" s="63" t="e">
        <f t="shared" si="64"/>
        <v>#DIV/0!</v>
      </c>
      <c r="R364" s="63" t="e">
        <f t="shared" si="65"/>
        <v>#DIV/0!</v>
      </c>
      <c r="S364" s="66" t="e">
        <f t="shared" si="66"/>
        <v>#DIV/0!</v>
      </c>
      <c r="T364" s="63" t="e">
        <f t="shared" si="67"/>
        <v>#DIV/0!</v>
      </c>
      <c r="U364" s="67" t="e">
        <f t="shared" si="68"/>
        <v>#DIV/0!</v>
      </c>
    </row>
    <row r="365" spans="1:21" x14ac:dyDescent="0.2">
      <c r="A365" s="60" t="s">
        <v>487</v>
      </c>
      <c r="B365" s="61" t="s">
        <v>230</v>
      </c>
      <c r="C365" s="61" t="s">
        <v>231</v>
      </c>
      <c r="D365" s="61" t="s">
        <v>503</v>
      </c>
      <c r="E365" s="62" t="s">
        <v>504</v>
      </c>
      <c r="F365" s="61" t="s">
        <v>364</v>
      </c>
      <c r="G365" s="61" t="s">
        <v>193</v>
      </c>
      <c r="H365" s="61" t="s">
        <v>11</v>
      </c>
      <c r="I365" s="61" t="s">
        <v>159</v>
      </c>
      <c r="J365" s="61" t="s">
        <v>257</v>
      </c>
      <c r="K365" s="63">
        <v>10.8</v>
      </c>
      <c r="L365" s="63">
        <f t="shared" si="63"/>
        <v>10.8</v>
      </c>
      <c r="M365" s="64">
        <f>prodnorm47</f>
        <v>0</v>
      </c>
      <c r="N365" s="65">
        <f>dagwerk47</f>
        <v>0</v>
      </c>
      <c r="O365" s="61" t="s">
        <v>43</v>
      </c>
      <c r="P365" s="66">
        <f>uurtarief47</f>
        <v>0</v>
      </c>
      <c r="Q365" s="63" t="e">
        <f t="shared" si="64"/>
        <v>#DIV/0!</v>
      </c>
      <c r="R365" s="63" t="e">
        <f t="shared" si="65"/>
        <v>#DIV/0!</v>
      </c>
      <c r="S365" s="66" t="e">
        <f t="shared" si="66"/>
        <v>#DIV/0!</v>
      </c>
      <c r="T365" s="63" t="e">
        <f t="shared" si="67"/>
        <v>#DIV/0!</v>
      </c>
      <c r="U365" s="67" t="e">
        <f t="shared" si="68"/>
        <v>#DIV/0!</v>
      </c>
    </row>
    <row r="366" spans="1:21" x14ac:dyDescent="0.2">
      <c r="A366" s="60" t="s">
        <v>487</v>
      </c>
      <c r="B366" s="61" t="s">
        <v>230</v>
      </c>
      <c r="C366" s="61" t="s">
        <v>231</v>
      </c>
      <c r="D366" s="61" t="s">
        <v>505</v>
      </c>
      <c r="E366" s="62" t="s">
        <v>332</v>
      </c>
      <c r="F366" s="61" t="s">
        <v>364</v>
      </c>
      <c r="G366" s="61" t="s">
        <v>195</v>
      </c>
      <c r="H366" s="61" t="s">
        <v>15</v>
      </c>
      <c r="I366" s="61" t="s">
        <v>159</v>
      </c>
      <c r="J366" s="61" t="s">
        <v>230</v>
      </c>
      <c r="K366" s="63">
        <v>2</v>
      </c>
      <c r="L366" s="63">
        <f t="shared" si="63"/>
        <v>1.2</v>
      </c>
      <c r="M366" s="64">
        <f>prodnorm48</f>
        <v>0</v>
      </c>
      <c r="N366" s="65">
        <f>dagwerk48</f>
        <v>0</v>
      </c>
      <c r="O366" s="61" t="s">
        <v>43</v>
      </c>
      <c r="P366" s="66">
        <f>uurtarief48</f>
        <v>0</v>
      </c>
      <c r="Q366" s="63" t="e">
        <f t="shared" si="64"/>
        <v>#DIV/0!</v>
      </c>
      <c r="R366" s="63" t="e">
        <f t="shared" si="65"/>
        <v>#DIV/0!</v>
      </c>
      <c r="S366" s="66" t="e">
        <f t="shared" si="66"/>
        <v>#DIV/0!</v>
      </c>
      <c r="T366" s="63" t="e">
        <f t="shared" si="67"/>
        <v>#DIV/0!</v>
      </c>
      <c r="U366" s="67" t="e">
        <f t="shared" si="68"/>
        <v>#DIV/0!</v>
      </c>
    </row>
    <row r="367" spans="1:21" x14ac:dyDescent="0.2">
      <c r="A367" s="60" t="s">
        <v>487</v>
      </c>
      <c r="B367" s="61" t="s">
        <v>230</v>
      </c>
      <c r="C367" s="61" t="s">
        <v>231</v>
      </c>
      <c r="D367" s="61" t="s">
        <v>506</v>
      </c>
      <c r="E367" s="62" t="s">
        <v>358</v>
      </c>
      <c r="F367" s="61" t="s">
        <v>256</v>
      </c>
      <c r="G367" s="61" t="s">
        <v>199</v>
      </c>
      <c r="H367" s="61" t="s">
        <v>11</v>
      </c>
      <c r="I367" s="61" t="s">
        <v>159</v>
      </c>
      <c r="J367" s="61" t="s">
        <v>235</v>
      </c>
      <c r="K367" s="63">
        <v>10.7</v>
      </c>
      <c r="L367" s="63">
        <f t="shared" si="63"/>
        <v>10.7</v>
      </c>
      <c r="M367" s="64">
        <f>prodnorm53</f>
        <v>0</v>
      </c>
      <c r="N367" s="65">
        <f>dagwerk53</f>
        <v>0</v>
      </c>
      <c r="O367" s="61" t="s">
        <v>43</v>
      </c>
      <c r="P367" s="66">
        <f>uurtarief53</f>
        <v>0</v>
      </c>
      <c r="Q367" s="63" t="e">
        <f t="shared" si="64"/>
        <v>#DIV/0!</v>
      </c>
      <c r="R367" s="63" t="e">
        <f t="shared" si="65"/>
        <v>#DIV/0!</v>
      </c>
      <c r="S367" s="66" t="e">
        <f t="shared" si="66"/>
        <v>#DIV/0!</v>
      </c>
      <c r="T367" s="63" t="e">
        <f t="shared" si="67"/>
        <v>#DIV/0!</v>
      </c>
      <c r="U367" s="67" t="e">
        <f t="shared" si="68"/>
        <v>#DIV/0!</v>
      </c>
    </row>
    <row r="368" spans="1:21" x14ac:dyDescent="0.2">
      <c r="A368" s="60" t="s">
        <v>487</v>
      </c>
      <c r="B368" s="61" t="s">
        <v>230</v>
      </c>
      <c r="C368" s="61" t="s">
        <v>231</v>
      </c>
      <c r="D368" s="61" t="s">
        <v>507</v>
      </c>
      <c r="E368" s="62" t="s">
        <v>358</v>
      </c>
      <c r="F368" s="61" t="s">
        <v>238</v>
      </c>
      <c r="G368" s="61" t="s">
        <v>199</v>
      </c>
      <c r="H368" s="61" t="s">
        <v>11</v>
      </c>
      <c r="I368" s="61" t="s">
        <v>159</v>
      </c>
      <c r="J368" s="61" t="s">
        <v>235</v>
      </c>
      <c r="K368" s="63">
        <v>18</v>
      </c>
      <c r="L368" s="63">
        <f t="shared" si="63"/>
        <v>18</v>
      </c>
      <c r="M368" s="64">
        <f>prodnorm53</f>
        <v>0</v>
      </c>
      <c r="N368" s="65">
        <f>dagwerk53</f>
        <v>0</v>
      </c>
      <c r="O368" s="61" t="s">
        <v>43</v>
      </c>
      <c r="P368" s="66">
        <f>uurtarief53</f>
        <v>0</v>
      </c>
      <c r="Q368" s="63" t="e">
        <f t="shared" si="64"/>
        <v>#DIV/0!</v>
      </c>
      <c r="R368" s="63" t="e">
        <f t="shared" si="65"/>
        <v>#DIV/0!</v>
      </c>
      <c r="S368" s="66" t="e">
        <f t="shared" si="66"/>
        <v>#DIV/0!</v>
      </c>
      <c r="T368" s="63" t="e">
        <f t="shared" si="67"/>
        <v>#DIV/0!</v>
      </c>
      <c r="U368" s="67" t="e">
        <f t="shared" si="68"/>
        <v>#DIV/0!</v>
      </c>
    </row>
    <row r="369" spans="1:21" x14ac:dyDescent="0.2">
      <c r="A369" s="60" t="s">
        <v>487</v>
      </c>
      <c r="B369" s="61" t="s">
        <v>230</v>
      </c>
      <c r="C369" s="61" t="s">
        <v>231</v>
      </c>
      <c r="D369" s="61" t="s">
        <v>508</v>
      </c>
      <c r="E369" s="62" t="s">
        <v>509</v>
      </c>
      <c r="F369" s="61" t="s">
        <v>364</v>
      </c>
      <c r="G369" s="61" t="s">
        <v>195</v>
      </c>
      <c r="H369" s="61" t="s">
        <v>11</v>
      </c>
      <c r="I369" s="61" t="s">
        <v>159</v>
      </c>
      <c r="J369" s="61" t="s">
        <v>257</v>
      </c>
      <c r="K369" s="63">
        <v>4.8</v>
      </c>
      <c r="L369" s="63">
        <f t="shared" si="63"/>
        <v>4.8</v>
      </c>
      <c r="M369" s="64">
        <f>prodnorm49</f>
        <v>0</v>
      </c>
      <c r="N369" s="65">
        <f>dagwerk49</f>
        <v>0</v>
      </c>
      <c r="O369" s="61" t="s">
        <v>43</v>
      </c>
      <c r="P369" s="66">
        <f>uurtarief49</f>
        <v>0</v>
      </c>
      <c r="Q369" s="63" t="e">
        <f t="shared" si="64"/>
        <v>#DIV/0!</v>
      </c>
      <c r="R369" s="63" t="e">
        <f t="shared" si="65"/>
        <v>#DIV/0!</v>
      </c>
      <c r="S369" s="66" t="e">
        <f t="shared" si="66"/>
        <v>#DIV/0!</v>
      </c>
      <c r="T369" s="63" t="e">
        <f t="shared" si="67"/>
        <v>#DIV/0!</v>
      </c>
      <c r="U369" s="67" t="e">
        <f t="shared" si="68"/>
        <v>#DIV/0!</v>
      </c>
    </row>
    <row r="370" spans="1:21" x14ac:dyDescent="0.2">
      <c r="A370" s="60" t="s">
        <v>487</v>
      </c>
      <c r="B370" s="61" t="s">
        <v>230</v>
      </c>
      <c r="C370" s="61" t="s">
        <v>231</v>
      </c>
      <c r="D370" s="61" t="s">
        <v>510</v>
      </c>
      <c r="E370" s="62" t="s">
        <v>511</v>
      </c>
      <c r="F370" s="61" t="s">
        <v>364</v>
      </c>
      <c r="G370" s="61" t="s">
        <v>195</v>
      </c>
      <c r="H370" s="61" t="s">
        <v>11</v>
      </c>
      <c r="I370" s="61" t="s">
        <v>159</v>
      </c>
      <c r="J370" s="61" t="s">
        <v>257</v>
      </c>
      <c r="K370" s="63">
        <v>2.4</v>
      </c>
      <c r="L370" s="63">
        <f t="shared" si="63"/>
        <v>2.4</v>
      </c>
      <c r="M370" s="64">
        <f>prodnorm49</f>
        <v>0</v>
      </c>
      <c r="N370" s="65">
        <f>dagwerk49</f>
        <v>0</v>
      </c>
      <c r="O370" s="61" t="s">
        <v>43</v>
      </c>
      <c r="P370" s="66">
        <f>uurtarief49</f>
        <v>0</v>
      </c>
      <c r="Q370" s="63" t="e">
        <f t="shared" si="64"/>
        <v>#DIV/0!</v>
      </c>
      <c r="R370" s="63" t="e">
        <f t="shared" si="65"/>
        <v>#DIV/0!</v>
      </c>
      <c r="S370" s="66" t="e">
        <f t="shared" si="66"/>
        <v>#DIV/0!</v>
      </c>
      <c r="T370" s="63" t="e">
        <f t="shared" si="67"/>
        <v>#DIV/0!</v>
      </c>
      <c r="U370" s="67" t="e">
        <f t="shared" si="68"/>
        <v>#DIV/0!</v>
      </c>
    </row>
    <row r="371" spans="1:21" x14ac:dyDescent="0.2">
      <c r="A371" s="60" t="s">
        <v>487</v>
      </c>
      <c r="B371" s="61" t="s">
        <v>230</v>
      </c>
      <c r="C371" s="61" t="s">
        <v>231</v>
      </c>
      <c r="D371" s="61" t="s">
        <v>512</v>
      </c>
      <c r="E371" s="62" t="s">
        <v>513</v>
      </c>
      <c r="F371" s="61" t="s">
        <v>364</v>
      </c>
      <c r="G371" s="61" t="s">
        <v>187</v>
      </c>
      <c r="H371" s="61" t="s">
        <v>18</v>
      </c>
      <c r="I371" s="61" t="s">
        <v>159</v>
      </c>
      <c r="J371" s="61" t="s">
        <v>239</v>
      </c>
      <c r="K371" s="63">
        <v>56</v>
      </c>
      <c r="L371" s="63">
        <f t="shared" si="63"/>
        <v>22.400000000000002</v>
      </c>
      <c r="M371" s="64">
        <f>prodnorm43</f>
        <v>0</v>
      </c>
      <c r="N371" s="65">
        <f>dagwerk43</f>
        <v>0</v>
      </c>
      <c r="O371" s="61" t="s">
        <v>43</v>
      </c>
      <c r="P371" s="66">
        <f>uurtarief43</f>
        <v>0</v>
      </c>
      <c r="Q371" s="63" t="e">
        <f t="shared" si="64"/>
        <v>#DIV/0!</v>
      </c>
      <c r="R371" s="63" t="e">
        <f t="shared" si="65"/>
        <v>#DIV/0!</v>
      </c>
      <c r="S371" s="66" t="e">
        <f t="shared" si="66"/>
        <v>#DIV/0!</v>
      </c>
      <c r="T371" s="63" t="e">
        <f t="shared" si="67"/>
        <v>#DIV/0!</v>
      </c>
      <c r="U371" s="67" t="e">
        <f t="shared" si="68"/>
        <v>#DIV/0!</v>
      </c>
    </row>
    <row r="372" spans="1:21" x14ac:dyDescent="0.2">
      <c r="A372" s="60" t="s">
        <v>487</v>
      </c>
      <c r="B372" s="61" t="s">
        <v>230</v>
      </c>
      <c r="C372" s="61" t="s">
        <v>231</v>
      </c>
      <c r="D372" s="61" t="s">
        <v>514</v>
      </c>
      <c r="E372" s="62" t="s">
        <v>515</v>
      </c>
      <c r="F372" s="61" t="s">
        <v>364</v>
      </c>
      <c r="G372" s="61" t="s">
        <v>187</v>
      </c>
      <c r="H372" s="61" t="s">
        <v>18</v>
      </c>
      <c r="I372" s="61" t="s">
        <v>159</v>
      </c>
      <c r="J372" s="61" t="s">
        <v>239</v>
      </c>
      <c r="K372" s="63">
        <v>53.2</v>
      </c>
      <c r="L372" s="63">
        <f t="shared" si="63"/>
        <v>21.28</v>
      </c>
      <c r="M372" s="64">
        <f>prodnorm43</f>
        <v>0</v>
      </c>
      <c r="N372" s="65">
        <f>dagwerk43</f>
        <v>0</v>
      </c>
      <c r="O372" s="61" t="s">
        <v>43</v>
      </c>
      <c r="P372" s="66">
        <f>uurtarief43</f>
        <v>0</v>
      </c>
      <c r="Q372" s="63" t="e">
        <f t="shared" si="64"/>
        <v>#DIV/0!</v>
      </c>
      <c r="R372" s="63" t="e">
        <f t="shared" si="65"/>
        <v>#DIV/0!</v>
      </c>
      <c r="S372" s="66" t="e">
        <f t="shared" si="66"/>
        <v>#DIV/0!</v>
      </c>
      <c r="T372" s="63" t="e">
        <f t="shared" si="67"/>
        <v>#DIV/0!</v>
      </c>
      <c r="U372" s="67" t="e">
        <f t="shared" si="68"/>
        <v>#DIV/0!</v>
      </c>
    </row>
    <row r="373" spans="1:21" x14ac:dyDescent="0.2">
      <c r="A373" s="60" t="s">
        <v>487</v>
      </c>
      <c r="B373" s="61" t="s">
        <v>230</v>
      </c>
      <c r="C373" s="61" t="s">
        <v>231</v>
      </c>
      <c r="D373" s="61" t="s">
        <v>516</v>
      </c>
      <c r="E373" s="62" t="s">
        <v>376</v>
      </c>
      <c r="F373" s="61" t="s">
        <v>256</v>
      </c>
      <c r="G373" s="61" t="s">
        <v>165</v>
      </c>
      <c r="H373" s="61" t="s">
        <v>11</v>
      </c>
      <c r="I373" s="61" t="s">
        <v>159</v>
      </c>
      <c r="J373" s="61" t="s">
        <v>235</v>
      </c>
      <c r="K373" s="63">
        <v>94.4</v>
      </c>
      <c r="L373" s="63">
        <f t="shared" si="63"/>
        <v>94.4</v>
      </c>
      <c r="M373" s="64">
        <f>prodnorm23</f>
        <v>0</v>
      </c>
      <c r="N373" s="65">
        <f>dagwerk23</f>
        <v>0</v>
      </c>
      <c r="O373" s="61" t="s">
        <v>43</v>
      </c>
      <c r="P373" s="66">
        <f>uurtarief23</f>
        <v>0</v>
      </c>
      <c r="Q373" s="63" t="e">
        <f t="shared" si="64"/>
        <v>#DIV/0!</v>
      </c>
      <c r="R373" s="63" t="e">
        <f t="shared" si="65"/>
        <v>#DIV/0!</v>
      </c>
      <c r="S373" s="66" t="e">
        <f t="shared" si="66"/>
        <v>#DIV/0!</v>
      </c>
      <c r="T373" s="63" t="e">
        <f t="shared" si="67"/>
        <v>#DIV/0!</v>
      </c>
      <c r="U373" s="67" t="e">
        <f t="shared" si="68"/>
        <v>#DIV/0!</v>
      </c>
    </row>
    <row r="374" spans="1:21" x14ac:dyDescent="0.2">
      <c r="A374" s="60" t="s">
        <v>487</v>
      </c>
      <c r="B374" s="61" t="s">
        <v>230</v>
      </c>
      <c r="C374" s="61" t="s">
        <v>231</v>
      </c>
      <c r="D374" s="61" t="s">
        <v>517</v>
      </c>
      <c r="E374" s="62" t="s">
        <v>332</v>
      </c>
      <c r="F374" s="61" t="s">
        <v>364</v>
      </c>
      <c r="G374" s="61" t="s">
        <v>195</v>
      </c>
      <c r="H374" s="61" t="s">
        <v>11</v>
      </c>
      <c r="I374" s="61" t="s">
        <v>159</v>
      </c>
      <c r="J374" s="61" t="s">
        <v>257</v>
      </c>
      <c r="K374" s="63">
        <v>10</v>
      </c>
      <c r="L374" s="63">
        <f t="shared" si="63"/>
        <v>10</v>
      </c>
      <c r="M374" s="64">
        <f>prodnorm49</f>
        <v>0</v>
      </c>
      <c r="N374" s="65">
        <f>dagwerk49</f>
        <v>0</v>
      </c>
      <c r="O374" s="61" t="s">
        <v>43</v>
      </c>
      <c r="P374" s="66">
        <f>uurtarief49</f>
        <v>0</v>
      </c>
      <c r="Q374" s="63" t="e">
        <f t="shared" si="64"/>
        <v>#DIV/0!</v>
      </c>
      <c r="R374" s="63" t="e">
        <f t="shared" si="65"/>
        <v>#DIV/0!</v>
      </c>
      <c r="S374" s="66" t="e">
        <f t="shared" si="66"/>
        <v>#DIV/0!</v>
      </c>
      <c r="T374" s="63" t="e">
        <f t="shared" si="67"/>
        <v>#DIV/0!</v>
      </c>
      <c r="U374" s="67" t="e">
        <f t="shared" si="68"/>
        <v>#DIV/0!</v>
      </c>
    </row>
    <row r="375" spans="1:21" x14ac:dyDescent="0.2">
      <c r="A375" s="60" t="s">
        <v>487</v>
      </c>
      <c r="B375" s="61" t="s">
        <v>230</v>
      </c>
      <c r="C375" s="61" t="s">
        <v>231</v>
      </c>
      <c r="D375" s="61" t="s">
        <v>518</v>
      </c>
      <c r="E375" s="62" t="s">
        <v>332</v>
      </c>
      <c r="F375" s="61" t="s">
        <v>364</v>
      </c>
      <c r="G375" s="61" t="s">
        <v>195</v>
      </c>
      <c r="H375" s="61" t="s">
        <v>11</v>
      </c>
      <c r="I375" s="61" t="s">
        <v>159</v>
      </c>
      <c r="J375" s="61" t="s">
        <v>257</v>
      </c>
      <c r="K375" s="63">
        <v>4.7</v>
      </c>
      <c r="L375" s="63">
        <f t="shared" si="63"/>
        <v>4.7</v>
      </c>
      <c r="M375" s="64">
        <f>prodnorm49</f>
        <v>0</v>
      </c>
      <c r="N375" s="65">
        <f>dagwerk49</f>
        <v>0</v>
      </c>
      <c r="O375" s="61" t="s">
        <v>43</v>
      </c>
      <c r="P375" s="66">
        <f>uurtarief49</f>
        <v>0</v>
      </c>
      <c r="Q375" s="63" t="e">
        <f t="shared" si="64"/>
        <v>#DIV/0!</v>
      </c>
      <c r="R375" s="63" t="e">
        <f t="shared" si="65"/>
        <v>#DIV/0!</v>
      </c>
      <c r="S375" s="66" t="e">
        <f t="shared" si="66"/>
        <v>#DIV/0!</v>
      </c>
      <c r="T375" s="63" t="e">
        <f t="shared" si="67"/>
        <v>#DIV/0!</v>
      </c>
      <c r="U375" s="67" t="e">
        <f t="shared" si="68"/>
        <v>#DIV/0!</v>
      </c>
    </row>
    <row r="376" spans="1:21" x14ac:dyDescent="0.2">
      <c r="A376" s="60" t="s">
        <v>487</v>
      </c>
      <c r="B376" s="61" t="s">
        <v>230</v>
      </c>
      <c r="C376" s="61" t="s">
        <v>231</v>
      </c>
      <c r="D376" s="61" t="s">
        <v>519</v>
      </c>
      <c r="E376" s="62" t="s">
        <v>332</v>
      </c>
      <c r="F376" s="61" t="s">
        <v>364</v>
      </c>
      <c r="G376" s="61" t="s">
        <v>195</v>
      </c>
      <c r="H376" s="61" t="s">
        <v>11</v>
      </c>
      <c r="I376" s="61" t="s">
        <v>159</v>
      </c>
      <c r="J376" s="61" t="s">
        <v>257</v>
      </c>
      <c r="K376" s="63">
        <v>8.8000000000000007</v>
      </c>
      <c r="L376" s="63">
        <f t="shared" si="63"/>
        <v>8.8000000000000007</v>
      </c>
      <c r="M376" s="64">
        <f>prodnorm49</f>
        <v>0</v>
      </c>
      <c r="N376" s="65">
        <f>dagwerk49</f>
        <v>0</v>
      </c>
      <c r="O376" s="61" t="s">
        <v>43</v>
      </c>
      <c r="P376" s="66">
        <f>uurtarief49</f>
        <v>0</v>
      </c>
      <c r="Q376" s="63" t="e">
        <f t="shared" si="64"/>
        <v>#DIV/0!</v>
      </c>
      <c r="R376" s="63" t="e">
        <f t="shared" si="65"/>
        <v>#DIV/0!</v>
      </c>
      <c r="S376" s="66" t="e">
        <f t="shared" si="66"/>
        <v>#DIV/0!</v>
      </c>
      <c r="T376" s="63" t="e">
        <f t="shared" si="67"/>
        <v>#DIV/0!</v>
      </c>
      <c r="U376" s="67" t="e">
        <f t="shared" si="68"/>
        <v>#DIV/0!</v>
      </c>
    </row>
    <row r="377" spans="1:21" x14ac:dyDescent="0.2">
      <c r="A377" s="60" t="s">
        <v>487</v>
      </c>
      <c r="B377" s="61" t="s">
        <v>230</v>
      </c>
      <c r="C377" s="61" t="s">
        <v>231</v>
      </c>
      <c r="D377" s="61" t="s">
        <v>520</v>
      </c>
      <c r="E377" s="62" t="s">
        <v>521</v>
      </c>
      <c r="F377" s="61" t="s">
        <v>234</v>
      </c>
      <c r="G377" s="61" t="s">
        <v>161</v>
      </c>
      <c r="H377" s="61" t="s">
        <v>11</v>
      </c>
      <c r="I377" s="61" t="s">
        <v>159</v>
      </c>
      <c r="J377" s="61" t="s">
        <v>282</v>
      </c>
      <c r="K377" s="63">
        <v>16.8</v>
      </c>
      <c r="L377" s="63">
        <f t="shared" si="63"/>
        <v>16.8</v>
      </c>
      <c r="M377" s="64">
        <f>prodnorm17</f>
        <v>0</v>
      </c>
      <c r="N377" s="65">
        <f>dagwerk17</f>
        <v>0</v>
      </c>
      <c r="O377" s="61" t="s">
        <v>43</v>
      </c>
      <c r="P377" s="66">
        <f>uurtarief17</f>
        <v>0</v>
      </c>
      <c r="Q377" s="63" t="e">
        <f t="shared" si="64"/>
        <v>#DIV/0!</v>
      </c>
      <c r="R377" s="63" t="e">
        <f t="shared" si="65"/>
        <v>#DIV/0!</v>
      </c>
      <c r="S377" s="66" t="e">
        <f t="shared" si="66"/>
        <v>#DIV/0!</v>
      </c>
      <c r="T377" s="63" t="e">
        <f t="shared" si="67"/>
        <v>#DIV/0!</v>
      </c>
      <c r="U377" s="67" t="e">
        <f t="shared" si="68"/>
        <v>#DIV/0!</v>
      </c>
    </row>
    <row r="378" spans="1:21" x14ac:dyDescent="0.2">
      <c r="A378" s="60" t="s">
        <v>487</v>
      </c>
      <c r="B378" s="61" t="s">
        <v>230</v>
      </c>
      <c r="C378" s="61" t="s">
        <v>231</v>
      </c>
      <c r="D378" s="61" t="s">
        <v>522</v>
      </c>
      <c r="E378" s="62" t="s">
        <v>343</v>
      </c>
      <c r="F378" s="61" t="s">
        <v>234</v>
      </c>
      <c r="G378" s="61" t="s">
        <v>161</v>
      </c>
      <c r="H378" s="61" t="s">
        <v>20</v>
      </c>
      <c r="I378" s="61" t="s">
        <v>159</v>
      </c>
      <c r="J378" s="61" t="s">
        <v>282</v>
      </c>
      <c r="K378" s="63">
        <v>13.4</v>
      </c>
      <c r="L378" s="63">
        <f t="shared" si="63"/>
        <v>2.68</v>
      </c>
      <c r="M378" s="64">
        <f>prodnorm19</f>
        <v>0</v>
      </c>
      <c r="N378" s="65">
        <f>dagwerk19</f>
        <v>0</v>
      </c>
      <c r="O378" s="61" t="s">
        <v>43</v>
      </c>
      <c r="P378" s="66">
        <f>uurtarief19</f>
        <v>0</v>
      </c>
      <c r="Q378" s="63" t="e">
        <f t="shared" si="64"/>
        <v>#DIV/0!</v>
      </c>
      <c r="R378" s="63" t="e">
        <f t="shared" si="65"/>
        <v>#DIV/0!</v>
      </c>
      <c r="S378" s="66" t="e">
        <f t="shared" si="66"/>
        <v>#DIV/0!</v>
      </c>
      <c r="T378" s="63" t="e">
        <f t="shared" si="67"/>
        <v>#DIV/0!</v>
      </c>
      <c r="U378" s="67" t="e">
        <f t="shared" si="68"/>
        <v>#DIV/0!</v>
      </c>
    </row>
    <row r="379" spans="1:21" x14ac:dyDescent="0.2">
      <c r="A379" s="60" t="s">
        <v>487</v>
      </c>
      <c r="B379" s="61" t="s">
        <v>230</v>
      </c>
      <c r="C379" s="61" t="s">
        <v>231</v>
      </c>
      <c r="D379" s="61" t="s">
        <v>523</v>
      </c>
      <c r="E379" s="62" t="s">
        <v>331</v>
      </c>
      <c r="F379" s="61" t="s">
        <v>256</v>
      </c>
      <c r="G379" s="61" t="s">
        <v>175</v>
      </c>
      <c r="H379" s="61" t="s">
        <v>18</v>
      </c>
      <c r="I379" s="61" t="s">
        <v>159</v>
      </c>
      <c r="J379" s="61" t="s">
        <v>239</v>
      </c>
      <c r="K379" s="63">
        <v>47.9</v>
      </c>
      <c r="L379" s="63">
        <f t="shared" si="63"/>
        <v>19.16</v>
      </c>
      <c r="M379" s="64">
        <f>prodnorm33</f>
        <v>0</v>
      </c>
      <c r="N379" s="65">
        <f>dagwerk33</f>
        <v>0</v>
      </c>
      <c r="O379" s="61" t="s">
        <v>43</v>
      </c>
      <c r="P379" s="66">
        <f>uurtarief33</f>
        <v>0</v>
      </c>
      <c r="Q379" s="63" t="e">
        <f t="shared" si="64"/>
        <v>#DIV/0!</v>
      </c>
      <c r="R379" s="63" t="e">
        <f t="shared" si="65"/>
        <v>#DIV/0!</v>
      </c>
      <c r="S379" s="66" t="e">
        <f t="shared" si="66"/>
        <v>#DIV/0!</v>
      </c>
      <c r="T379" s="63" t="e">
        <f t="shared" si="67"/>
        <v>#DIV/0!</v>
      </c>
      <c r="U379" s="67" t="e">
        <f t="shared" si="68"/>
        <v>#DIV/0!</v>
      </c>
    </row>
    <row r="380" spans="1:21" x14ac:dyDescent="0.2">
      <c r="A380" s="60" t="s">
        <v>487</v>
      </c>
      <c r="B380" s="61" t="s">
        <v>230</v>
      </c>
      <c r="C380" s="61" t="s">
        <v>231</v>
      </c>
      <c r="D380" s="61" t="s">
        <v>524</v>
      </c>
      <c r="E380" s="62" t="s">
        <v>327</v>
      </c>
      <c r="F380" s="61" t="s">
        <v>256</v>
      </c>
      <c r="G380" s="61" t="s">
        <v>213</v>
      </c>
      <c r="H380" s="61" t="s">
        <v>13</v>
      </c>
      <c r="I380" s="61" t="s">
        <v>214</v>
      </c>
      <c r="J380" s="61" t="s">
        <v>239</v>
      </c>
      <c r="K380" s="63">
        <v>47.9</v>
      </c>
      <c r="L380" s="63">
        <f t="shared" si="63"/>
        <v>38.32</v>
      </c>
      <c r="M380" s="64">
        <f>prodnorm13</f>
        <v>0</v>
      </c>
      <c r="N380" s="65">
        <f>dagwerk13</f>
        <v>0</v>
      </c>
      <c r="O380" s="61" t="s">
        <v>43</v>
      </c>
      <c r="P380" s="66">
        <f>uurtarief13</f>
        <v>0</v>
      </c>
      <c r="Q380" s="63" t="e">
        <f t="shared" si="64"/>
        <v>#DIV/0!</v>
      </c>
      <c r="R380" s="63" t="e">
        <f t="shared" si="65"/>
        <v>#DIV/0!</v>
      </c>
      <c r="S380" s="66" t="e">
        <f t="shared" si="66"/>
        <v>#DIV/0!</v>
      </c>
      <c r="T380" s="63" t="e">
        <f t="shared" si="67"/>
        <v>#DIV/0!</v>
      </c>
      <c r="U380" s="67" t="e">
        <f t="shared" si="68"/>
        <v>#DIV/0!</v>
      </c>
    </row>
    <row r="381" spans="1:21" x14ac:dyDescent="0.2">
      <c r="A381" s="60" t="s">
        <v>487</v>
      </c>
      <c r="B381" s="61" t="s">
        <v>230</v>
      </c>
      <c r="C381" s="61" t="s">
        <v>231</v>
      </c>
      <c r="D381" s="61" t="s">
        <v>524</v>
      </c>
      <c r="E381" s="62" t="s">
        <v>327</v>
      </c>
      <c r="F381" s="61" t="s">
        <v>256</v>
      </c>
      <c r="G381" s="61" t="s">
        <v>175</v>
      </c>
      <c r="H381" s="61" t="s">
        <v>11</v>
      </c>
      <c r="I381" s="61" t="s">
        <v>159</v>
      </c>
      <c r="J381" s="61" t="s">
        <v>239</v>
      </c>
      <c r="K381" s="63">
        <v>47.9</v>
      </c>
      <c r="L381" s="63">
        <f t="shared" si="63"/>
        <v>47.9</v>
      </c>
      <c r="M381" s="64">
        <f>prodnorm31</f>
        <v>0</v>
      </c>
      <c r="N381" s="65">
        <f>dagwerk31</f>
        <v>0</v>
      </c>
      <c r="O381" s="61" t="s">
        <v>43</v>
      </c>
      <c r="P381" s="66">
        <f>uurtarief31</f>
        <v>0</v>
      </c>
      <c r="Q381" s="63" t="e">
        <f t="shared" si="64"/>
        <v>#DIV/0!</v>
      </c>
      <c r="R381" s="63" t="e">
        <f t="shared" si="65"/>
        <v>#DIV/0!</v>
      </c>
      <c r="S381" s="66" t="e">
        <f t="shared" si="66"/>
        <v>#DIV/0!</v>
      </c>
      <c r="T381" s="63" t="e">
        <f t="shared" si="67"/>
        <v>#DIV/0!</v>
      </c>
      <c r="U381" s="67" t="e">
        <f t="shared" si="68"/>
        <v>#DIV/0!</v>
      </c>
    </row>
    <row r="382" spans="1:21" x14ac:dyDescent="0.2">
      <c r="A382" s="60" t="s">
        <v>487</v>
      </c>
      <c r="B382" s="61" t="s">
        <v>230</v>
      </c>
      <c r="C382" s="61" t="s">
        <v>231</v>
      </c>
      <c r="D382" s="61" t="s">
        <v>525</v>
      </c>
      <c r="E382" s="62" t="s">
        <v>327</v>
      </c>
      <c r="F382" s="61" t="s">
        <v>256</v>
      </c>
      <c r="G382" s="61" t="s">
        <v>213</v>
      </c>
      <c r="H382" s="61" t="s">
        <v>13</v>
      </c>
      <c r="I382" s="61" t="s">
        <v>214</v>
      </c>
      <c r="J382" s="61" t="s">
        <v>239</v>
      </c>
      <c r="K382" s="63">
        <v>47.9</v>
      </c>
      <c r="L382" s="63">
        <f t="shared" ref="L382:L413" si="69">K382*VLOOKUP(H382,dagsoorttabel1,2,FALSE)</f>
        <v>38.32</v>
      </c>
      <c r="M382" s="64">
        <f>prodnorm13</f>
        <v>0</v>
      </c>
      <c r="N382" s="65">
        <f>dagwerk13</f>
        <v>0</v>
      </c>
      <c r="O382" s="61" t="s">
        <v>43</v>
      </c>
      <c r="P382" s="66">
        <f>uurtarief13</f>
        <v>0</v>
      </c>
      <c r="Q382" s="63" t="e">
        <f t="shared" ref="Q382:Q404" si="70">IF(ISBLANK(M382),0,L382/ROUND(M382,4))</f>
        <v>#DIV/0!</v>
      </c>
      <c r="R382" s="63" t="e">
        <f t="shared" ref="R382:R413" si="71">IF(ISBLANK(M382),0,Q382*ROUND(N382,2))</f>
        <v>#DIV/0!</v>
      </c>
      <c r="S382" s="66" t="e">
        <f t="shared" ref="S382:S404" si="72">ROUND(P382,2)*Q382</f>
        <v>#DIV/0!</v>
      </c>
      <c r="T382" s="63" t="e">
        <f t="shared" ref="T382:T404" si="73">Q382*dagenperjaar1</f>
        <v>#DIV/0!</v>
      </c>
      <c r="U382" s="67" t="e">
        <f t="shared" ref="U382:U413" si="74">T382*ROUND(P382,2)</f>
        <v>#DIV/0!</v>
      </c>
    </row>
    <row r="383" spans="1:21" x14ac:dyDescent="0.2">
      <c r="A383" s="60" t="s">
        <v>487</v>
      </c>
      <c r="B383" s="61" t="s">
        <v>230</v>
      </c>
      <c r="C383" s="61" t="s">
        <v>231</v>
      </c>
      <c r="D383" s="61" t="s">
        <v>525</v>
      </c>
      <c r="E383" s="62" t="s">
        <v>327</v>
      </c>
      <c r="F383" s="61" t="s">
        <v>256</v>
      </c>
      <c r="G383" s="61" t="s">
        <v>175</v>
      </c>
      <c r="H383" s="61" t="s">
        <v>11</v>
      </c>
      <c r="I383" s="61" t="s">
        <v>159</v>
      </c>
      <c r="J383" s="61" t="s">
        <v>239</v>
      </c>
      <c r="K383" s="63">
        <v>47.9</v>
      </c>
      <c r="L383" s="63">
        <f t="shared" si="69"/>
        <v>47.9</v>
      </c>
      <c r="M383" s="64">
        <f>prodnorm31</f>
        <v>0</v>
      </c>
      <c r="N383" s="65">
        <f>dagwerk31</f>
        <v>0</v>
      </c>
      <c r="O383" s="61" t="s">
        <v>43</v>
      </c>
      <c r="P383" s="66">
        <f>uurtarief31</f>
        <v>0</v>
      </c>
      <c r="Q383" s="63" t="e">
        <f t="shared" si="70"/>
        <v>#DIV/0!</v>
      </c>
      <c r="R383" s="63" t="e">
        <f t="shared" si="71"/>
        <v>#DIV/0!</v>
      </c>
      <c r="S383" s="66" t="e">
        <f t="shared" si="72"/>
        <v>#DIV/0!</v>
      </c>
      <c r="T383" s="63" t="e">
        <f t="shared" si="73"/>
        <v>#DIV/0!</v>
      </c>
      <c r="U383" s="67" t="e">
        <f t="shared" si="74"/>
        <v>#DIV/0!</v>
      </c>
    </row>
    <row r="384" spans="1:21" x14ac:dyDescent="0.2">
      <c r="A384" s="60" t="s">
        <v>487</v>
      </c>
      <c r="B384" s="61" t="s">
        <v>230</v>
      </c>
      <c r="C384" s="61" t="s">
        <v>231</v>
      </c>
      <c r="D384" s="61" t="s">
        <v>526</v>
      </c>
      <c r="E384" s="62" t="s">
        <v>322</v>
      </c>
      <c r="F384" s="61" t="s">
        <v>489</v>
      </c>
      <c r="G384" s="61" t="s">
        <v>203</v>
      </c>
      <c r="H384" s="61" t="s">
        <v>11</v>
      </c>
      <c r="I384" s="61" t="s">
        <v>159</v>
      </c>
      <c r="J384" s="61" t="s">
        <v>235</v>
      </c>
      <c r="K384" s="63">
        <v>4.0999999999999996</v>
      </c>
      <c r="L384" s="63">
        <f t="shared" si="69"/>
        <v>4.0999999999999996</v>
      </c>
      <c r="M384" s="64">
        <f>prodnorm57</f>
        <v>0</v>
      </c>
      <c r="N384" s="65">
        <f>dagwerk57</f>
        <v>0</v>
      </c>
      <c r="O384" s="61" t="s">
        <v>43</v>
      </c>
      <c r="P384" s="66">
        <f>uurtarief57</f>
        <v>0</v>
      </c>
      <c r="Q384" s="63" t="e">
        <f t="shared" si="70"/>
        <v>#DIV/0!</v>
      </c>
      <c r="R384" s="63" t="e">
        <f t="shared" si="71"/>
        <v>#DIV/0!</v>
      </c>
      <c r="S384" s="66" t="e">
        <f t="shared" si="72"/>
        <v>#DIV/0!</v>
      </c>
      <c r="T384" s="63" t="e">
        <f t="shared" si="73"/>
        <v>#DIV/0!</v>
      </c>
      <c r="U384" s="67" t="e">
        <f t="shared" si="74"/>
        <v>#DIV/0!</v>
      </c>
    </row>
    <row r="385" spans="1:21" x14ac:dyDescent="0.2">
      <c r="A385" s="60" t="s">
        <v>487</v>
      </c>
      <c r="B385" s="61" t="s">
        <v>230</v>
      </c>
      <c r="C385" s="61" t="s">
        <v>305</v>
      </c>
      <c r="D385" s="61" t="s">
        <v>339</v>
      </c>
      <c r="E385" s="62" t="s">
        <v>324</v>
      </c>
      <c r="F385" s="61" t="s">
        <v>474</v>
      </c>
      <c r="G385" s="61" t="s">
        <v>211</v>
      </c>
      <c r="H385" s="61" t="s">
        <v>11</v>
      </c>
      <c r="I385" s="61" t="s">
        <v>159</v>
      </c>
      <c r="J385" s="61" t="s">
        <v>235</v>
      </c>
      <c r="K385" s="63">
        <v>19</v>
      </c>
      <c r="L385" s="63">
        <f t="shared" si="69"/>
        <v>19</v>
      </c>
      <c r="M385" s="64">
        <f>prodnorm64</f>
        <v>0</v>
      </c>
      <c r="N385" s="65">
        <f>dagwerk64</f>
        <v>0</v>
      </c>
      <c r="O385" s="61" t="s">
        <v>43</v>
      </c>
      <c r="P385" s="66">
        <f>uurtarief64</f>
        <v>0</v>
      </c>
      <c r="Q385" s="63" t="e">
        <f t="shared" si="70"/>
        <v>#DIV/0!</v>
      </c>
      <c r="R385" s="63" t="e">
        <f t="shared" si="71"/>
        <v>#DIV/0!</v>
      </c>
      <c r="S385" s="66" t="e">
        <f t="shared" si="72"/>
        <v>#DIV/0!</v>
      </c>
      <c r="T385" s="63" t="e">
        <f t="shared" si="73"/>
        <v>#DIV/0!</v>
      </c>
      <c r="U385" s="67" t="e">
        <f t="shared" si="74"/>
        <v>#DIV/0!</v>
      </c>
    </row>
    <row r="386" spans="1:21" x14ac:dyDescent="0.2">
      <c r="A386" s="60" t="s">
        <v>487</v>
      </c>
      <c r="B386" s="61" t="s">
        <v>230</v>
      </c>
      <c r="C386" s="61" t="s">
        <v>305</v>
      </c>
      <c r="D386" s="61" t="s">
        <v>341</v>
      </c>
      <c r="E386" s="62" t="s">
        <v>332</v>
      </c>
      <c r="F386" s="61" t="s">
        <v>364</v>
      </c>
      <c r="G386" s="61" t="s">
        <v>195</v>
      </c>
      <c r="H386" s="61" t="s">
        <v>11</v>
      </c>
      <c r="I386" s="61" t="s">
        <v>159</v>
      </c>
      <c r="J386" s="61" t="s">
        <v>257</v>
      </c>
      <c r="K386" s="63">
        <v>11.5</v>
      </c>
      <c r="L386" s="63">
        <f t="shared" si="69"/>
        <v>11.5</v>
      </c>
      <c r="M386" s="64">
        <f>prodnorm49</f>
        <v>0</v>
      </c>
      <c r="N386" s="65">
        <f>dagwerk49</f>
        <v>0</v>
      </c>
      <c r="O386" s="61" t="s">
        <v>43</v>
      </c>
      <c r="P386" s="66">
        <f>uurtarief49</f>
        <v>0</v>
      </c>
      <c r="Q386" s="63" t="e">
        <f t="shared" si="70"/>
        <v>#DIV/0!</v>
      </c>
      <c r="R386" s="63" t="e">
        <f t="shared" si="71"/>
        <v>#DIV/0!</v>
      </c>
      <c r="S386" s="66" t="e">
        <f t="shared" si="72"/>
        <v>#DIV/0!</v>
      </c>
      <c r="T386" s="63" t="e">
        <f t="shared" si="73"/>
        <v>#DIV/0!</v>
      </c>
      <c r="U386" s="67" t="e">
        <f t="shared" si="74"/>
        <v>#DIV/0!</v>
      </c>
    </row>
    <row r="387" spans="1:21" x14ac:dyDescent="0.2">
      <c r="A387" s="60" t="s">
        <v>487</v>
      </c>
      <c r="B387" s="61" t="s">
        <v>230</v>
      </c>
      <c r="C387" s="61" t="s">
        <v>305</v>
      </c>
      <c r="D387" s="61" t="s">
        <v>342</v>
      </c>
      <c r="E387" s="62" t="s">
        <v>332</v>
      </c>
      <c r="F387" s="61" t="s">
        <v>364</v>
      </c>
      <c r="G387" s="61" t="s">
        <v>195</v>
      </c>
      <c r="H387" s="61" t="s">
        <v>11</v>
      </c>
      <c r="I387" s="61" t="s">
        <v>159</v>
      </c>
      <c r="J387" s="61" t="s">
        <v>257</v>
      </c>
      <c r="K387" s="63">
        <v>5.7</v>
      </c>
      <c r="L387" s="63">
        <f t="shared" si="69"/>
        <v>5.7</v>
      </c>
      <c r="M387" s="64">
        <f>prodnorm49</f>
        <v>0</v>
      </c>
      <c r="N387" s="65">
        <f>dagwerk49</f>
        <v>0</v>
      </c>
      <c r="O387" s="61" t="s">
        <v>43</v>
      </c>
      <c r="P387" s="66">
        <f>uurtarief49</f>
        <v>0</v>
      </c>
      <c r="Q387" s="63" t="e">
        <f t="shared" si="70"/>
        <v>#DIV/0!</v>
      </c>
      <c r="R387" s="63" t="e">
        <f t="shared" si="71"/>
        <v>#DIV/0!</v>
      </c>
      <c r="S387" s="66" t="e">
        <f t="shared" si="72"/>
        <v>#DIV/0!</v>
      </c>
      <c r="T387" s="63" t="e">
        <f t="shared" si="73"/>
        <v>#DIV/0!</v>
      </c>
      <c r="U387" s="67" t="e">
        <f t="shared" si="74"/>
        <v>#DIV/0!</v>
      </c>
    </row>
    <row r="388" spans="1:21" x14ac:dyDescent="0.2">
      <c r="A388" s="60" t="s">
        <v>487</v>
      </c>
      <c r="B388" s="61" t="s">
        <v>230</v>
      </c>
      <c r="C388" s="61" t="s">
        <v>305</v>
      </c>
      <c r="D388" s="61" t="s">
        <v>307</v>
      </c>
      <c r="E388" s="62" t="s">
        <v>343</v>
      </c>
      <c r="F388" s="61" t="s">
        <v>238</v>
      </c>
      <c r="G388" s="61" t="s">
        <v>158</v>
      </c>
      <c r="H388" s="61" t="s">
        <v>20</v>
      </c>
      <c r="I388" s="61" t="s">
        <v>159</v>
      </c>
      <c r="J388" s="61" t="s">
        <v>282</v>
      </c>
      <c r="K388" s="63">
        <v>22.9</v>
      </c>
      <c r="L388" s="63">
        <f t="shared" si="69"/>
        <v>4.58</v>
      </c>
      <c r="M388" s="64">
        <f>prodnorm15</f>
        <v>0</v>
      </c>
      <c r="N388" s="65">
        <f>dagwerk15</f>
        <v>0</v>
      </c>
      <c r="O388" s="61" t="s">
        <v>43</v>
      </c>
      <c r="P388" s="66">
        <f>uurtarief15</f>
        <v>0</v>
      </c>
      <c r="Q388" s="63" t="e">
        <f t="shared" si="70"/>
        <v>#DIV/0!</v>
      </c>
      <c r="R388" s="63" t="e">
        <f t="shared" si="71"/>
        <v>#DIV/0!</v>
      </c>
      <c r="S388" s="66" t="e">
        <f t="shared" si="72"/>
        <v>#DIV/0!</v>
      </c>
      <c r="T388" s="63" t="e">
        <f t="shared" si="73"/>
        <v>#DIV/0!</v>
      </c>
      <c r="U388" s="67" t="e">
        <f t="shared" si="74"/>
        <v>#DIV/0!</v>
      </c>
    </row>
    <row r="389" spans="1:21" x14ac:dyDescent="0.2">
      <c r="A389" s="60" t="s">
        <v>487</v>
      </c>
      <c r="B389" s="61" t="s">
        <v>230</v>
      </c>
      <c r="C389" s="61" t="s">
        <v>305</v>
      </c>
      <c r="D389" s="61" t="s">
        <v>348</v>
      </c>
      <c r="E389" s="62" t="s">
        <v>331</v>
      </c>
      <c r="F389" s="61" t="s">
        <v>238</v>
      </c>
      <c r="G389" s="61" t="s">
        <v>175</v>
      </c>
      <c r="H389" s="61" t="s">
        <v>18</v>
      </c>
      <c r="I389" s="61" t="s">
        <v>159</v>
      </c>
      <c r="J389" s="61" t="s">
        <v>239</v>
      </c>
      <c r="K389" s="63">
        <v>49.5</v>
      </c>
      <c r="L389" s="63">
        <f t="shared" si="69"/>
        <v>19.8</v>
      </c>
      <c r="M389" s="64">
        <f>prodnorm33</f>
        <v>0</v>
      </c>
      <c r="N389" s="65">
        <f>dagwerk33</f>
        <v>0</v>
      </c>
      <c r="O389" s="61" t="s">
        <v>43</v>
      </c>
      <c r="P389" s="66">
        <f>uurtarief33</f>
        <v>0</v>
      </c>
      <c r="Q389" s="63" t="e">
        <f t="shared" si="70"/>
        <v>#DIV/0!</v>
      </c>
      <c r="R389" s="63" t="e">
        <f t="shared" si="71"/>
        <v>#DIV/0!</v>
      </c>
      <c r="S389" s="66" t="e">
        <f t="shared" si="72"/>
        <v>#DIV/0!</v>
      </c>
      <c r="T389" s="63" t="e">
        <f t="shared" si="73"/>
        <v>#DIV/0!</v>
      </c>
      <c r="U389" s="67" t="e">
        <f t="shared" si="74"/>
        <v>#DIV/0!</v>
      </c>
    </row>
    <row r="390" spans="1:21" x14ac:dyDescent="0.2">
      <c r="A390" s="60" t="s">
        <v>487</v>
      </c>
      <c r="B390" s="61" t="s">
        <v>230</v>
      </c>
      <c r="C390" s="61" t="s">
        <v>305</v>
      </c>
      <c r="D390" s="61" t="s">
        <v>349</v>
      </c>
      <c r="E390" s="62" t="s">
        <v>331</v>
      </c>
      <c r="F390" s="61" t="s">
        <v>238</v>
      </c>
      <c r="G390" s="61" t="s">
        <v>175</v>
      </c>
      <c r="H390" s="61" t="s">
        <v>18</v>
      </c>
      <c r="I390" s="61" t="s">
        <v>159</v>
      </c>
      <c r="J390" s="61" t="s">
        <v>239</v>
      </c>
      <c r="K390" s="63">
        <v>49.5</v>
      </c>
      <c r="L390" s="63">
        <f t="shared" si="69"/>
        <v>19.8</v>
      </c>
      <c r="M390" s="64">
        <f>prodnorm33</f>
        <v>0</v>
      </c>
      <c r="N390" s="65">
        <f>dagwerk33</f>
        <v>0</v>
      </c>
      <c r="O390" s="61" t="s">
        <v>43</v>
      </c>
      <c r="P390" s="66">
        <f>uurtarief33</f>
        <v>0</v>
      </c>
      <c r="Q390" s="63" t="e">
        <f t="shared" si="70"/>
        <v>#DIV/0!</v>
      </c>
      <c r="R390" s="63" t="e">
        <f t="shared" si="71"/>
        <v>#DIV/0!</v>
      </c>
      <c r="S390" s="66" t="e">
        <f t="shared" si="72"/>
        <v>#DIV/0!</v>
      </c>
      <c r="T390" s="63" t="e">
        <f t="shared" si="73"/>
        <v>#DIV/0!</v>
      </c>
      <c r="U390" s="67" t="e">
        <f t="shared" si="74"/>
        <v>#DIV/0!</v>
      </c>
    </row>
    <row r="391" spans="1:21" x14ac:dyDescent="0.2">
      <c r="A391" s="60" t="s">
        <v>487</v>
      </c>
      <c r="B391" s="61" t="s">
        <v>230</v>
      </c>
      <c r="C391" s="61" t="s">
        <v>305</v>
      </c>
      <c r="D391" s="61" t="s">
        <v>350</v>
      </c>
      <c r="E391" s="62" t="s">
        <v>331</v>
      </c>
      <c r="F391" s="61" t="s">
        <v>238</v>
      </c>
      <c r="G391" s="61" t="s">
        <v>175</v>
      </c>
      <c r="H391" s="61" t="s">
        <v>18</v>
      </c>
      <c r="I391" s="61" t="s">
        <v>159</v>
      </c>
      <c r="J391" s="61" t="s">
        <v>239</v>
      </c>
      <c r="K391" s="63">
        <v>49.5</v>
      </c>
      <c r="L391" s="63">
        <f t="shared" si="69"/>
        <v>19.8</v>
      </c>
      <c r="M391" s="64">
        <f>prodnorm33</f>
        <v>0</v>
      </c>
      <c r="N391" s="65">
        <f>dagwerk33</f>
        <v>0</v>
      </c>
      <c r="O391" s="61" t="s">
        <v>43</v>
      </c>
      <c r="P391" s="66">
        <f>uurtarief33</f>
        <v>0</v>
      </c>
      <c r="Q391" s="63" t="e">
        <f t="shared" si="70"/>
        <v>#DIV/0!</v>
      </c>
      <c r="R391" s="63" t="e">
        <f t="shared" si="71"/>
        <v>#DIV/0!</v>
      </c>
      <c r="S391" s="66" t="e">
        <f t="shared" si="72"/>
        <v>#DIV/0!</v>
      </c>
      <c r="T391" s="63" t="e">
        <f t="shared" si="73"/>
        <v>#DIV/0!</v>
      </c>
      <c r="U391" s="67" t="e">
        <f t="shared" si="74"/>
        <v>#DIV/0!</v>
      </c>
    </row>
    <row r="392" spans="1:21" x14ac:dyDescent="0.2">
      <c r="A392" s="60" t="s">
        <v>487</v>
      </c>
      <c r="B392" s="61" t="s">
        <v>230</v>
      </c>
      <c r="C392" s="61" t="s">
        <v>305</v>
      </c>
      <c r="D392" s="61" t="s">
        <v>473</v>
      </c>
      <c r="E392" s="62" t="s">
        <v>527</v>
      </c>
      <c r="F392" s="61" t="s">
        <v>234</v>
      </c>
      <c r="G392" s="61" t="s">
        <v>207</v>
      </c>
      <c r="H392" s="61" t="s">
        <v>20</v>
      </c>
      <c r="I392" s="61" t="s">
        <v>159</v>
      </c>
      <c r="J392" s="61" t="s">
        <v>282</v>
      </c>
      <c r="K392" s="63">
        <v>11.7</v>
      </c>
      <c r="L392" s="63">
        <f t="shared" si="69"/>
        <v>2.34</v>
      </c>
      <c r="M392" s="64">
        <f>prodnorm61</f>
        <v>0</v>
      </c>
      <c r="N392" s="65">
        <f>dagwerk61</f>
        <v>0</v>
      </c>
      <c r="O392" s="61" t="s">
        <v>43</v>
      </c>
      <c r="P392" s="66">
        <f>uurtarief61</f>
        <v>0</v>
      </c>
      <c r="Q392" s="63" t="e">
        <f t="shared" si="70"/>
        <v>#DIV/0!</v>
      </c>
      <c r="R392" s="63" t="e">
        <f t="shared" si="71"/>
        <v>#DIV/0!</v>
      </c>
      <c r="S392" s="66" t="e">
        <f t="shared" si="72"/>
        <v>#DIV/0!</v>
      </c>
      <c r="T392" s="63" t="e">
        <f t="shared" si="73"/>
        <v>#DIV/0!</v>
      </c>
      <c r="U392" s="67" t="e">
        <f t="shared" si="74"/>
        <v>#DIV/0!</v>
      </c>
    </row>
    <row r="393" spans="1:21" x14ac:dyDescent="0.2">
      <c r="A393" s="60" t="s">
        <v>487</v>
      </c>
      <c r="B393" s="61" t="s">
        <v>230</v>
      </c>
      <c r="C393" s="61" t="s">
        <v>305</v>
      </c>
      <c r="D393" s="61" t="s">
        <v>351</v>
      </c>
      <c r="E393" s="62" t="s">
        <v>324</v>
      </c>
      <c r="F393" s="61" t="s">
        <v>474</v>
      </c>
      <c r="G393" s="61" t="s">
        <v>211</v>
      </c>
      <c r="H393" s="61" t="s">
        <v>11</v>
      </c>
      <c r="I393" s="61" t="s">
        <v>159</v>
      </c>
      <c r="J393" s="61" t="s">
        <v>235</v>
      </c>
      <c r="K393" s="63">
        <v>9.98</v>
      </c>
      <c r="L393" s="63">
        <f t="shared" si="69"/>
        <v>9.98</v>
      </c>
      <c r="M393" s="64">
        <f>prodnorm64</f>
        <v>0</v>
      </c>
      <c r="N393" s="65">
        <f>dagwerk64</f>
        <v>0</v>
      </c>
      <c r="O393" s="61" t="s">
        <v>43</v>
      </c>
      <c r="P393" s="66">
        <f>uurtarief64</f>
        <v>0</v>
      </c>
      <c r="Q393" s="63" t="e">
        <f t="shared" si="70"/>
        <v>#DIV/0!</v>
      </c>
      <c r="R393" s="63" t="e">
        <f t="shared" si="71"/>
        <v>#DIV/0!</v>
      </c>
      <c r="S393" s="66" t="e">
        <f t="shared" si="72"/>
        <v>#DIV/0!</v>
      </c>
      <c r="T393" s="63" t="e">
        <f t="shared" si="73"/>
        <v>#DIV/0!</v>
      </c>
      <c r="U393" s="67" t="e">
        <f t="shared" si="74"/>
        <v>#DIV/0!</v>
      </c>
    </row>
    <row r="394" spans="1:21" x14ac:dyDescent="0.2">
      <c r="A394" s="60" t="s">
        <v>487</v>
      </c>
      <c r="B394" s="61" t="s">
        <v>230</v>
      </c>
      <c r="C394" s="61" t="s">
        <v>305</v>
      </c>
      <c r="D394" s="61" t="s">
        <v>352</v>
      </c>
      <c r="E394" s="62" t="s">
        <v>331</v>
      </c>
      <c r="F394" s="61" t="s">
        <v>238</v>
      </c>
      <c r="G394" s="61" t="s">
        <v>175</v>
      </c>
      <c r="H394" s="61" t="s">
        <v>18</v>
      </c>
      <c r="I394" s="61" t="s">
        <v>159</v>
      </c>
      <c r="J394" s="61" t="s">
        <v>239</v>
      </c>
      <c r="K394" s="63">
        <v>49.5</v>
      </c>
      <c r="L394" s="63">
        <f t="shared" si="69"/>
        <v>19.8</v>
      </c>
      <c r="M394" s="64">
        <f>prodnorm33</f>
        <v>0</v>
      </c>
      <c r="N394" s="65">
        <f>dagwerk33</f>
        <v>0</v>
      </c>
      <c r="O394" s="61" t="s">
        <v>43</v>
      </c>
      <c r="P394" s="66">
        <f>uurtarief33</f>
        <v>0</v>
      </c>
      <c r="Q394" s="63" t="e">
        <f t="shared" si="70"/>
        <v>#DIV/0!</v>
      </c>
      <c r="R394" s="63" t="e">
        <f t="shared" si="71"/>
        <v>#DIV/0!</v>
      </c>
      <c r="S394" s="66" t="e">
        <f t="shared" si="72"/>
        <v>#DIV/0!</v>
      </c>
      <c r="T394" s="63" t="e">
        <f t="shared" si="73"/>
        <v>#DIV/0!</v>
      </c>
      <c r="U394" s="67" t="e">
        <f t="shared" si="74"/>
        <v>#DIV/0!</v>
      </c>
    </row>
    <row r="395" spans="1:21" x14ac:dyDescent="0.2">
      <c r="A395" s="60" t="s">
        <v>487</v>
      </c>
      <c r="B395" s="61" t="s">
        <v>230</v>
      </c>
      <c r="C395" s="61" t="s">
        <v>305</v>
      </c>
      <c r="D395" s="61" t="s">
        <v>528</v>
      </c>
      <c r="E395" s="62" t="s">
        <v>331</v>
      </c>
      <c r="F395" s="61" t="s">
        <v>238</v>
      </c>
      <c r="G395" s="61" t="s">
        <v>175</v>
      </c>
      <c r="H395" s="61" t="s">
        <v>18</v>
      </c>
      <c r="I395" s="61" t="s">
        <v>159</v>
      </c>
      <c r="J395" s="61" t="s">
        <v>239</v>
      </c>
      <c r="K395" s="63">
        <v>49.5</v>
      </c>
      <c r="L395" s="63">
        <f t="shared" si="69"/>
        <v>19.8</v>
      </c>
      <c r="M395" s="64">
        <f>prodnorm33</f>
        <v>0</v>
      </c>
      <c r="N395" s="65">
        <f>dagwerk33</f>
        <v>0</v>
      </c>
      <c r="O395" s="61" t="s">
        <v>43</v>
      </c>
      <c r="P395" s="66">
        <f>uurtarief33</f>
        <v>0</v>
      </c>
      <c r="Q395" s="63" t="e">
        <f t="shared" si="70"/>
        <v>#DIV/0!</v>
      </c>
      <c r="R395" s="63" t="e">
        <f t="shared" si="71"/>
        <v>#DIV/0!</v>
      </c>
      <c r="S395" s="66" t="e">
        <f t="shared" si="72"/>
        <v>#DIV/0!</v>
      </c>
      <c r="T395" s="63" t="e">
        <f t="shared" si="73"/>
        <v>#DIV/0!</v>
      </c>
      <c r="U395" s="67" t="e">
        <f t="shared" si="74"/>
        <v>#DIV/0!</v>
      </c>
    </row>
    <row r="396" spans="1:21" x14ac:dyDescent="0.2">
      <c r="A396" s="60" t="s">
        <v>487</v>
      </c>
      <c r="B396" s="61" t="s">
        <v>230</v>
      </c>
      <c r="C396" s="61" t="s">
        <v>305</v>
      </c>
      <c r="D396" s="61" t="s">
        <v>475</v>
      </c>
      <c r="E396" s="62" t="s">
        <v>331</v>
      </c>
      <c r="F396" s="61" t="s">
        <v>238</v>
      </c>
      <c r="G396" s="61" t="s">
        <v>175</v>
      </c>
      <c r="H396" s="61" t="s">
        <v>18</v>
      </c>
      <c r="I396" s="61" t="s">
        <v>159</v>
      </c>
      <c r="J396" s="61" t="s">
        <v>239</v>
      </c>
      <c r="K396" s="63">
        <v>49.5</v>
      </c>
      <c r="L396" s="63">
        <f t="shared" si="69"/>
        <v>19.8</v>
      </c>
      <c r="M396" s="64">
        <f>prodnorm33</f>
        <v>0</v>
      </c>
      <c r="N396" s="65">
        <f>dagwerk33</f>
        <v>0</v>
      </c>
      <c r="O396" s="61" t="s">
        <v>43</v>
      </c>
      <c r="P396" s="66">
        <f>uurtarief33</f>
        <v>0</v>
      </c>
      <c r="Q396" s="63" t="e">
        <f t="shared" si="70"/>
        <v>#DIV/0!</v>
      </c>
      <c r="R396" s="63" t="e">
        <f t="shared" si="71"/>
        <v>#DIV/0!</v>
      </c>
      <c r="S396" s="66" t="e">
        <f t="shared" si="72"/>
        <v>#DIV/0!</v>
      </c>
      <c r="T396" s="63" t="e">
        <f t="shared" si="73"/>
        <v>#DIV/0!</v>
      </c>
      <c r="U396" s="67" t="e">
        <f t="shared" si="74"/>
        <v>#DIV/0!</v>
      </c>
    </row>
    <row r="397" spans="1:21" x14ac:dyDescent="0.2">
      <c r="A397" s="60" t="s">
        <v>487</v>
      </c>
      <c r="B397" s="61" t="s">
        <v>230</v>
      </c>
      <c r="C397" s="61" t="s">
        <v>305</v>
      </c>
      <c r="D397" s="61" t="s">
        <v>529</v>
      </c>
      <c r="E397" s="62" t="s">
        <v>358</v>
      </c>
      <c r="F397" s="61" t="s">
        <v>238</v>
      </c>
      <c r="G397" s="61" t="s">
        <v>199</v>
      </c>
      <c r="H397" s="61" t="s">
        <v>11</v>
      </c>
      <c r="I397" s="61" t="s">
        <v>159</v>
      </c>
      <c r="J397" s="61" t="s">
        <v>235</v>
      </c>
      <c r="K397" s="63">
        <v>85.8</v>
      </c>
      <c r="L397" s="63">
        <f t="shared" si="69"/>
        <v>85.8</v>
      </c>
      <c r="M397" s="64">
        <f>prodnorm53</f>
        <v>0</v>
      </c>
      <c r="N397" s="65">
        <f>dagwerk53</f>
        <v>0</v>
      </c>
      <c r="O397" s="61" t="s">
        <v>43</v>
      </c>
      <c r="P397" s="66">
        <f>uurtarief53</f>
        <v>0</v>
      </c>
      <c r="Q397" s="63" t="e">
        <f t="shared" si="70"/>
        <v>#DIV/0!</v>
      </c>
      <c r="R397" s="63" t="e">
        <f t="shared" si="71"/>
        <v>#DIV/0!</v>
      </c>
      <c r="S397" s="66" t="e">
        <f t="shared" si="72"/>
        <v>#DIV/0!</v>
      </c>
      <c r="T397" s="63" t="e">
        <f t="shared" si="73"/>
        <v>#DIV/0!</v>
      </c>
      <c r="U397" s="67" t="e">
        <f t="shared" si="74"/>
        <v>#DIV/0!</v>
      </c>
    </row>
    <row r="398" spans="1:21" x14ac:dyDescent="0.2">
      <c r="A398" s="60" t="s">
        <v>487</v>
      </c>
      <c r="B398" s="61" t="s">
        <v>230</v>
      </c>
      <c r="C398" s="61" t="s">
        <v>305</v>
      </c>
      <c r="D398" s="61" t="s">
        <v>530</v>
      </c>
      <c r="E398" s="62" t="s">
        <v>331</v>
      </c>
      <c r="F398" s="61" t="s">
        <v>238</v>
      </c>
      <c r="G398" s="61" t="s">
        <v>175</v>
      </c>
      <c r="H398" s="61" t="s">
        <v>20</v>
      </c>
      <c r="I398" s="61" t="s">
        <v>159</v>
      </c>
      <c r="J398" s="61" t="s">
        <v>239</v>
      </c>
      <c r="K398" s="63">
        <v>12.1</v>
      </c>
      <c r="L398" s="63">
        <f t="shared" si="69"/>
        <v>2.42</v>
      </c>
      <c r="M398" s="64">
        <f>prodnorm32</f>
        <v>0</v>
      </c>
      <c r="N398" s="65">
        <f>dagwerk32</f>
        <v>0</v>
      </c>
      <c r="O398" s="61" t="s">
        <v>43</v>
      </c>
      <c r="P398" s="66">
        <f>uurtarief32</f>
        <v>0</v>
      </c>
      <c r="Q398" s="63" t="e">
        <f t="shared" si="70"/>
        <v>#DIV/0!</v>
      </c>
      <c r="R398" s="63" t="e">
        <f t="shared" si="71"/>
        <v>#DIV/0!</v>
      </c>
      <c r="S398" s="66" t="e">
        <f t="shared" si="72"/>
        <v>#DIV/0!</v>
      </c>
      <c r="T398" s="63" t="e">
        <f t="shared" si="73"/>
        <v>#DIV/0!</v>
      </c>
      <c r="U398" s="67" t="e">
        <f t="shared" si="74"/>
        <v>#DIV/0!</v>
      </c>
    </row>
    <row r="399" spans="1:21" x14ac:dyDescent="0.2">
      <c r="A399" s="60" t="s">
        <v>487</v>
      </c>
      <c r="B399" s="61" t="s">
        <v>230</v>
      </c>
      <c r="C399" s="61" t="s">
        <v>305</v>
      </c>
      <c r="D399" s="61" t="s">
        <v>531</v>
      </c>
      <c r="E399" s="62" t="s">
        <v>343</v>
      </c>
      <c r="F399" s="61" t="s">
        <v>238</v>
      </c>
      <c r="G399" s="61" t="s">
        <v>158</v>
      </c>
      <c r="H399" s="61" t="s">
        <v>20</v>
      </c>
      <c r="I399" s="61" t="s">
        <v>159</v>
      </c>
      <c r="J399" s="61" t="s">
        <v>282</v>
      </c>
      <c r="K399" s="63">
        <v>13.5</v>
      </c>
      <c r="L399" s="63">
        <f t="shared" si="69"/>
        <v>2.7</v>
      </c>
      <c r="M399" s="64">
        <f>prodnorm15</f>
        <v>0</v>
      </c>
      <c r="N399" s="65">
        <f>dagwerk15</f>
        <v>0</v>
      </c>
      <c r="O399" s="61" t="s">
        <v>43</v>
      </c>
      <c r="P399" s="66">
        <f>uurtarief15</f>
        <v>0</v>
      </c>
      <c r="Q399" s="63" t="e">
        <f t="shared" si="70"/>
        <v>#DIV/0!</v>
      </c>
      <c r="R399" s="63" t="e">
        <f t="shared" si="71"/>
        <v>#DIV/0!</v>
      </c>
      <c r="S399" s="66" t="e">
        <f t="shared" si="72"/>
        <v>#DIV/0!</v>
      </c>
      <c r="T399" s="63" t="e">
        <f t="shared" si="73"/>
        <v>#DIV/0!</v>
      </c>
      <c r="U399" s="67" t="e">
        <f t="shared" si="74"/>
        <v>#DIV/0!</v>
      </c>
    </row>
    <row r="400" spans="1:21" x14ac:dyDescent="0.2">
      <c r="A400" s="60" t="s">
        <v>487</v>
      </c>
      <c r="B400" s="61" t="s">
        <v>230</v>
      </c>
      <c r="C400" s="61" t="s">
        <v>305</v>
      </c>
      <c r="D400" s="61" t="s">
        <v>532</v>
      </c>
      <c r="E400" s="62" t="s">
        <v>358</v>
      </c>
      <c r="F400" s="61" t="s">
        <v>238</v>
      </c>
      <c r="G400" s="61" t="s">
        <v>199</v>
      </c>
      <c r="H400" s="61" t="s">
        <v>11</v>
      </c>
      <c r="I400" s="61" t="s">
        <v>159</v>
      </c>
      <c r="J400" s="61" t="s">
        <v>235</v>
      </c>
      <c r="K400" s="63">
        <v>12.1</v>
      </c>
      <c r="L400" s="63">
        <f t="shared" si="69"/>
        <v>12.1</v>
      </c>
      <c r="M400" s="64">
        <f>prodnorm53</f>
        <v>0</v>
      </c>
      <c r="N400" s="65">
        <f>dagwerk53</f>
        <v>0</v>
      </c>
      <c r="O400" s="61" t="s">
        <v>43</v>
      </c>
      <c r="P400" s="66">
        <f>uurtarief53</f>
        <v>0</v>
      </c>
      <c r="Q400" s="63" t="e">
        <f t="shared" si="70"/>
        <v>#DIV/0!</v>
      </c>
      <c r="R400" s="63" t="e">
        <f t="shared" si="71"/>
        <v>#DIV/0!</v>
      </c>
      <c r="S400" s="66" t="e">
        <f t="shared" si="72"/>
        <v>#DIV/0!</v>
      </c>
      <c r="T400" s="63" t="e">
        <f t="shared" si="73"/>
        <v>#DIV/0!</v>
      </c>
      <c r="U400" s="67" t="e">
        <f t="shared" si="74"/>
        <v>#DIV/0!</v>
      </c>
    </row>
    <row r="401" spans="1:21" x14ac:dyDescent="0.2">
      <c r="A401" s="60" t="s">
        <v>487</v>
      </c>
      <c r="B401" s="61" t="s">
        <v>230</v>
      </c>
      <c r="C401" s="61" t="s">
        <v>305</v>
      </c>
      <c r="D401" s="61" t="s">
        <v>533</v>
      </c>
      <c r="E401" s="62" t="s">
        <v>332</v>
      </c>
      <c r="F401" s="61" t="s">
        <v>238</v>
      </c>
      <c r="G401" s="61" t="s">
        <v>195</v>
      </c>
      <c r="H401" s="61" t="s">
        <v>11</v>
      </c>
      <c r="I401" s="61" t="s">
        <v>159</v>
      </c>
      <c r="J401" s="61" t="s">
        <v>257</v>
      </c>
      <c r="K401" s="63">
        <v>1.2</v>
      </c>
      <c r="L401" s="63">
        <f t="shared" si="69"/>
        <v>1.2</v>
      </c>
      <c r="M401" s="64">
        <f>prodnorm49</f>
        <v>0</v>
      </c>
      <c r="N401" s="65">
        <f>dagwerk49</f>
        <v>0</v>
      </c>
      <c r="O401" s="61" t="s">
        <v>43</v>
      </c>
      <c r="P401" s="66">
        <f>uurtarief49</f>
        <v>0</v>
      </c>
      <c r="Q401" s="63" t="e">
        <f t="shared" si="70"/>
        <v>#DIV/0!</v>
      </c>
      <c r="R401" s="63" t="e">
        <f t="shared" si="71"/>
        <v>#DIV/0!</v>
      </c>
      <c r="S401" s="66" t="e">
        <f t="shared" si="72"/>
        <v>#DIV/0!</v>
      </c>
      <c r="T401" s="63" t="e">
        <f t="shared" si="73"/>
        <v>#DIV/0!</v>
      </c>
      <c r="U401" s="67" t="e">
        <f t="shared" si="74"/>
        <v>#DIV/0!</v>
      </c>
    </row>
    <row r="402" spans="1:21" x14ac:dyDescent="0.2">
      <c r="A402" s="60" t="s">
        <v>487</v>
      </c>
      <c r="B402" s="61" t="s">
        <v>230</v>
      </c>
      <c r="C402" s="61" t="s">
        <v>305</v>
      </c>
      <c r="D402" s="61" t="s">
        <v>534</v>
      </c>
      <c r="E402" s="62" t="s">
        <v>332</v>
      </c>
      <c r="F402" s="61" t="s">
        <v>238</v>
      </c>
      <c r="G402" s="61" t="s">
        <v>195</v>
      </c>
      <c r="H402" s="61" t="s">
        <v>11</v>
      </c>
      <c r="I402" s="61" t="s">
        <v>159</v>
      </c>
      <c r="J402" s="61" t="s">
        <v>257</v>
      </c>
      <c r="K402" s="63">
        <v>1.2</v>
      </c>
      <c r="L402" s="63">
        <f t="shared" si="69"/>
        <v>1.2</v>
      </c>
      <c r="M402" s="64">
        <f>prodnorm49</f>
        <v>0</v>
      </c>
      <c r="N402" s="65">
        <f>dagwerk49</f>
        <v>0</v>
      </c>
      <c r="O402" s="61" t="s">
        <v>43</v>
      </c>
      <c r="P402" s="66">
        <f>uurtarief49</f>
        <v>0</v>
      </c>
      <c r="Q402" s="63" t="e">
        <f t="shared" si="70"/>
        <v>#DIV/0!</v>
      </c>
      <c r="R402" s="63" t="e">
        <f t="shared" si="71"/>
        <v>#DIV/0!</v>
      </c>
      <c r="S402" s="66" t="e">
        <f t="shared" si="72"/>
        <v>#DIV/0!</v>
      </c>
      <c r="T402" s="63" t="e">
        <f t="shared" si="73"/>
        <v>#DIV/0!</v>
      </c>
      <c r="U402" s="67" t="e">
        <f t="shared" si="74"/>
        <v>#DIV/0!</v>
      </c>
    </row>
    <row r="403" spans="1:21" x14ac:dyDescent="0.2">
      <c r="A403" s="60" t="s">
        <v>487</v>
      </c>
      <c r="B403" s="61" t="s">
        <v>230</v>
      </c>
      <c r="C403" s="61" t="s">
        <v>305</v>
      </c>
      <c r="D403" s="61" t="s">
        <v>535</v>
      </c>
      <c r="E403" s="62" t="s">
        <v>331</v>
      </c>
      <c r="F403" s="61" t="s">
        <v>238</v>
      </c>
      <c r="G403" s="61" t="s">
        <v>175</v>
      </c>
      <c r="H403" s="61" t="s">
        <v>20</v>
      </c>
      <c r="I403" s="61" t="s">
        <v>159</v>
      </c>
      <c r="J403" s="61" t="s">
        <v>239</v>
      </c>
      <c r="K403" s="63">
        <v>24.4</v>
      </c>
      <c r="L403" s="63">
        <f t="shared" si="69"/>
        <v>4.88</v>
      </c>
      <c r="M403" s="64">
        <f>prodnorm32</f>
        <v>0</v>
      </c>
      <c r="N403" s="65">
        <f>dagwerk32</f>
        <v>0</v>
      </c>
      <c r="O403" s="61" t="s">
        <v>43</v>
      </c>
      <c r="P403" s="66">
        <f>uurtarief32</f>
        <v>0</v>
      </c>
      <c r="Q403" s="63" t="e">
        <f t="shared" si="70"/>
        <v>#DIV/0!</v>
      </c>
      <c r="R403" s="63" t="e">
        <f t="shared" si="71"/>
        <v>#DIV/0!</v>
      </c>
      <c r="S403" s="66" t="e">
        <f t="shared" si="72"/>
        <v>#DIV/0!</v>
      </c>
      <c r="T403" s="63" t="e">
        <f t="shared" si="73"/>
        <v>#DIV/0!</v>
      </c>
      <c r="U403" s="67" t="e">
        <f t="shared" si="74"/>
        <v>#DIV/0!</v>
      </c>
    </row>
    <row r="404" spans="1:21" x14ac:dyDescent="0.2">
      <c r="A404" s="68" t="s">
        <v>487</v>
      </c>
      <c r="B404" s="69" t="s">
        <v>230</v>
      </c>
      <c r="C404" s="69" t="s">
        <v>305</v>
      </c>
      <c r="D404" s="69" t="s">
        <v>536</v>
      </c>
      <c r="E404" s="70" t="s">
        <v>343</v>
      </c>
      <c r="F404" s="69" t="s">
        <v>238</v>
      </c>
      <c r="G404" s="69" t="s">
        <v>158</v>
      </c>
      <c r="H404" s="69" t="s">
        <v>20</v>
      </c>
      <c r="I404" s="69" t="s">
        <v>159</v>
      </c>
      <c r="J404" s="69" t="s">
        <v>282</v>
      </c>
      <c r="K404" s="71">
        <v>15.4</v>
      </c>
      <c r="L404" s="71">
        <f t="shared" si="69"/>
        <v>3.08</v>
      </c>
      <c r="M404" s="72">
        <f>prodnorm15</f>
        <v>0</v>
      </c>
      <c r="N404" s="73">
        <f>dagwerk15</f>
        <v>0</v>
      </c>
      <c r="O404" s="69" t="s">
        <v>43</v>
      </c>
      <c r="P404" s="74">
        <f>uurtarief15</f>
        <v>0</v>
      </c>
      <c r="Q404" s="71" t="e">
        <f t="shared" si="70"/>
        <v>#DIV/0!</v>
      </c>
      <c r="R404" s="71" t="e">
        <f t="shared" si="71"/>
        <v>#DIV/0!</v>
      </c>
      <c r="S404" s="74" t="e">
        <f t="shared" si="72"/>
        <v>#DIV/0!</v>
      </c>
      <c r="T404" s="71" t="e">
        <f t="shared" si="73"/>
        <v>#DIV/0!</v>
      </c>
      <c r="U404" s="75" t="e">
        <f t="shared" si="74"/>
        <v>#DIV/0!</v>
      </c>
    </row>
    <row r="405" spans="1:21" x14ac:dyDescent="0.2">
      <c r="A405" s="76" t="s">
        <v>319</v>
      </c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5" t="e">
        <f>IF(_xlfn.SINGLE(object9_urenjaar1)&gt;0,_xlfn.SINGLE(object9_prijsjaar1)/_xlfn.SINGLE(object9_urenjaar1),0)</f>
        <v>#DIV/0!</v>
      </c>
      <c r="Q405" s="44" t="e">
        <f>SUM(Q318:Q404)</f>
        <v>#DIV/0!</v>
      </c>
      <c r="R405" s="44" t="e">
        <f>SUM(R318:R404)</f>
        <v>#DIV/0!</v>
      </c>
      <c r="S405" s="45" t="e">
        <f>SUM(S318:S404)</f>
        <v>#DIV/0!</v>
      </c>
      <c r="T405" s="44" t="e">
        <f>SUM(T318:T404)</f>
        <v>#DIV/0!</v>
      </c>
      <c r="U405" s="46" t="e">
        <f>SUM(U318:U404)</f>
        <v>#DIV/0!</v>
      </c>
    </row>
    <row r="406" spans="1:21" x14ac:dyDescent="0.2">
      <c r="A406" s="51" t="s">
        <v>537</v>
      </c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41"/>
    </row>
    <row r="407" spans="1:21" x14ac:dyDescent="0.2">
      <c r="A407" s="52" t="s">
        <v>538</v>
      </c>
      <c r="B407" s="53" t="s">
        <v>230</v>
      </c>
      <c r="C407" s="53" t="s">
        <v>231</v>
      </c>
      <c r="D407" s="53" t="s">
        <v>232</v>
      </c>
      <c r="E407" s="54" t="s">
        <v>322</v>
      </c>
      <c r="F407" s="53" t="s">
        <v>234</v>
      </c>
      <c r="G407" s="53" t="s">
        <v>205</v>
      </c>
      <c r="H407" s="53" t="s">
        <v>16</v>
      </c>
      <c r="I407" s="53" t="s">
        <v>159</v>
      </c>
      <c r="J407" s="53" t="s">
        <v>235</v>
      </c>
      <c r="K407" s="55">
        <v>3.9099999999999997</v>
      </c>
      <c r="L407" s="55">
        <f t="shared" ref="L407:L415" si="75">K407*VLOOKUP(H407,dagsoorttabel1,2,FALSE)</f>
        <v>1.8376999999999997</v>
      </c>
      <c r="M407" s="56">
        <f>prodnorm59</f>
        <v>0</v>
      </c>
      <c r="N407" s="57">
        <f>dagwerk59</f>
        <v>0</v>
      </c>
      <c r="O407" s="53" t="s">
        <v>43</v>
      </c>
      <c r="P407" s="58">
        <f>uurtarief59</f>
        <v>0</v>
      </c>
      <c r="Q407" s="55" t="e">
        <f t="shared" ref="Q407:Q415" si="76">IF(ISBLANK(M407),0,L407/ROUND(M407,4))</f>
        <v>#DIV/0!</v>
      </c>
      <c r="R407" s="55" t="e">
        <f t="shared" ref="R407:R415" si="77">IF(ISBLANK(M407),0,Q407*ROUND(N407,2))</f>
        <v>#DIV/0!</v>
      </c>
      <c r="S407" s="58" t="e">
        <f t="shared" ref="S407:S415" si="78">ROUND(P407,2)*Q407</f>
        <v>#DIV/0!</v>
      </c>
      <c r="T407" s="55" t="e">
        <f t="shared" ref="T407:T415" si="79">Q407*dagenperjaar1</f>
        <v>#DIV/0!</v>
      </c>
      <c r="U407" s="59" t="e">
        <f t="shared" ref="U407:U415" si="80">T407*ROUND(P407,2)</f>
        <v>#DIV/0!</v>
      </c>
    </row>
    <row r="408" spans="1:21" x14ac:dyDescent="0.2">
      <c r="A408" s="60" t="s">
        <v>538</v>
      </c>
      <c r="B408" s="61" t="s">
        <v>230</v>
      </c>
      <c r="C408" s="61" t="s">
        <v>231</v>
      </c>
      <c r="D408" s="61" t="s">
        <v>236</v>
      </c>
      <c r="E408" s="62" t="s">
        <v>539</v>
      </c>
      <c r="F408" s="61" t="s">
        <v>256</v>
      </c>
      <c r="G408" s="61" t="s">
        <v>158</v>
      </c>
      <c r="H408" s="61" t="s">
        <v>16</v>
      </c>
      <c r="I408" s="61" t="s">
        <v>159</v>
      </c>
      <c r="J408" s="61" t="s">
        <v>282</v>
      </c>
      <c r="K408" s="63">
        <v>11.9</v>
      </c>
      <c r="L408" s="63">
        <f t="shared" si="75"/>
        <v>5.593</v>
      </c>
      <c r="M408" s="64">
        <f>prodnorm16</f>
        <v>0</v>
      </c>
      <c r="N408" s="65">
        <f>dagwerk16</f>
        <v>0</v>
      </c>
      <c r="O408" s="61" t="s">
        <v>43</v>
      </c>
      <c r="P408" s="66">
        <f>uurtarief16</f>
        <v>0</v>
      </c>
      <c r="Q408" s="63" t="e">
        <f t="shared" si="76"/>
        <v>#DIV/0!</v>
      </c>
      <c r="R408" s="63" t="e">
        <f t="shared" si="77"/>
        <v>#DIV/0!</v>
      </c>
      <c r="S408" s="66" t="e">
        <f t="shared" si="78"/>
        <v>#DIV/0!</v>
      </c>
      <c r="T408" s="63" t="e">
        <f t="shared" si="79"/>
        <v>#DIV/0!</v>
      </c>
      <c r="U408" s="67" t="e">
        <f t="shared" si="80"/>
        <v>#DIV/0!</v>
      </c>
    </row>
    <row r="409" spans="1:21" x14ac:dyDescent="0.2">
      <c r="A409" s="60" t="s">
        <v>538</v>
      </c>
      <c r="B409" s="61" t="s">
        <v>230</v>
      </c>
      <c r="C409" s="61" t="s">
        <v>231</v>
      </c>
      <c r="D409" s="61" t="s">
        <v>245</v>
      </c>
      <c r="E409" s="62" t="s">
        <v>540</v>
      </c>
      <c r="F409" s="61" t="s">
        <v>256</v>
      </c>
      <c r="G409" s="61" t="s">
        <v>158</v>
      </c>
      <c r="H409" s="61" t="s">
        <v>16</v>
      </c>
      <c r="I409" s="61" t="s">
        <v>159</v>
      </c>
      <c r="J409" s="61" t="s">
        <v>282</v>
      </c>
      <c r="K409" s="63">
        <v>22.22</v>
      </c>
      <c r="L409" s="63">
        <f t="shared" si="75"/>
        <v>10.443399999999999</v>
      </c>
      <c r="M409" s="64">
        <f>prodnorm16</f>
        <v>0</v>
      </c>
      <c r="N409" s="65">
        <f>dagwerk16</f>
        <v>0</v>
      </c>
      <c r="O409" s="61" t="s">
        <v>43</v>
      </c>
      <c r="P409" s="66">
        <f>uurtarief16</f>
        <v>0</v>
      </c>
      <c r="Q409" s="63" t="e">
        <f t="shared" si="76"/>
        <v>#DIV/0!</v>
      </c>
      <c r="R409" s="63" t="e">
        <f t="shared" si="77"/>
        <v>#DIV/0!</v>
      </c>
      <c r="S409" s="66" t="e">
        <f t="shared" si="78"/>
        <v>#DIV/0!</v>
      </c>
      <c r="T409" s="63" t="e">
        <f t="shared" si="79"/>
        <v>#DIV/0!</v>
      </c>
      <c r="U409" s="67" t="e">
        <f t="shared" si="80"/>
        <v>#DIV/0!</v>
      </c>
    </row>
    <row r="410" spans="1:21" x14ac:dyDescent="0.2">
      <c r="A410" s="60" t="s">
        <v>538</v>
      </c>
      <c r="B410" s="61" t="s">
        <v>230</v>
      </c>
      <c r="C410" s="61" t="s">
        <v>231</v>
      </c>
      <c r="D410" s="61" t="s">
        <v>250</v>
      </c>
      <c r="E410" s="62" t="s">
        <v>541</v>
      </c>
      <c r="F410" s="61" t="s">
        <v>256</v>
      </c>
      <c r="G410" s="61" t="s">
        <v>158</v>
      </c>
      <c r="H410" s="61" t="s">
        <v>16</v>
      </c>
      <c r="I410" s="61" t="s">
        <v>159</v>
      </c>
      <c r="J410" s="61" t="s">
        <v>282</v>
      </c>
      <c r="K410" s="63">
        <v>13.5</v>
      </c>
      <c r="L410" s="63">
        <f t="shared" si="75"/>
        <v>6.3449999999999998</v>
      </c>
      <c r="M410" s="64">
        <f>prodnorm16</f>
        <v>0</v>
      </c>
      <c r="N410" s="65">
        <f>dagwerk16</f>
        <v>0</v>
      </c>
      <c r="O410" s="61" t="s">
        <v>43</v>
      </c>
      <c r="P410" s="66">
        <f>uurtarief16</f>
        <v>0</v>
      </c>
      <c r="Q410" s="63" t="e">
        <f t="shared" si="76"/>
        <v>#DIV/0!</v>
      </c>
      <c r="R410" s="63" t="e">
        <f t="shared" si="77"/>
        <v>#DIV/0!</v>
      </c>
      <c r="S410" s="66" t="e">
        <f t="shared" si="78"/>
        <v>#DIV/0!</v>
      </c>
      <c r="T410" s="63" t="e">
        <f t="shared" si="79"/>
        <v>#DIV/0!</v>
      </c>
      <c r="U410" s="67" t="e">
        <f t="shared" si="80"/>
        <v>#DIV/0!</v>
      </c>
    </row>
    <row r="411" spans="1:21" x14ac:dyDescent="0.2">
      <c r="A411" s="60" t="s">
        <v>538</v>
      </c>
      <c r="B411" s="61" t="s">
        <v>230</v>
      </c>
      <c r="C411" s="61" t="s">
        <v>231</v>
      </c>
      <c r="D411" s="61" t="s">
        <v>252</v>
      </c>
      <c r="E411" s="62" t="s">
        <v>542</v>
      </c>
      <c r="F411" s="61" t="s">
        <v>256</v>
      </c>
      <c r="G411" s="61" t="s">
        <v>158</v>
      </c>
      <c r="H411" s="61" t="s">
        <v>16</v>
      </c>
      <c r="I411" s="61" t="s">
        <v>159</v>
      </c>
      <c r="J411" s="61" t="s">
        <v>282</v>
      </c>
      <c r="K411" s="63">
        <v>14.7</v>
      </c>
      <c r="L411" s="63">
        <f t="shared" si="75"/>
        <v>6.9089999999999989</v>
      </c>
      <c r="M411" s="64">
        <f>prodnorm16</f>
        <v>0</v>
      </c>
      <c r="N411" s="65">
        <f>dagwerk16</f>
        <v>0</v>
      </c>
      <c r="O411" s="61" t="s">
        <v>43</v>
      </c>
      <c r="P411" s="66">
        <f>uurtarief16</f>
        <v>0</v>
      </c>
      <c r="Q411" s="63" t="e">
        <f t="shared" si="76"/>
        <v>#DIV/0!</v>
      </c>
      <c r="R411" s="63" t="e">
        <f t="shared" si="77"/>
        <v>#DIV/0!</v>
      </c>
      <c r="S411" s="66" t="e">
        <f t="shared" si="78"/>
        <v>#DIV/0!</v>
      </c>
      <c r="T411" s="63" t="e">
        <f t="shared" si="79"/>
        <v>#DIV/0!</v>
      </c>
      <c r="U411" s="67" t="e">
        <f t="shared" si="80"/>
        <v>#DIV/0!</v>
      </c>
    </row>
    <row r="412" spans="1:21" x14ac:dyDescent="0.2">
      <c r="A412" s="60" t="s">
        <v>538</v>
      </c>
      <c r="B412" s="61" t="s">
        <v>230</v>
      </c>
      <c r="C412" s="61" t="s">
        <v>231</v>
      </c>
      <c r="D412" s="61" t="s">
        <v>312</v>
      </c>
      <c r="E412" s="62" t="s">
        <v>461</v>
      </c>
      <c r="F412" s="61" t="s">
        <v>297</v>
      </c>
      <c r="G412" s="61" t="s">
        <v>195</v>
      </c>
      <c r="H412" s="61" t="s">
        <v>16</v>
      </c>
      <c r="I412" s="61" t="s">
        <v>159</v>
      </c>
      <c r="J412" s="61" t="s">
        <v>257</v>
      </c>
      <c r="K412" s="63">
        <v>6.92</v>
      </c>
      <c r="L412" s="63">
        <f t="shared" si="75"/>
        <v>3.2523999999999997</v>
      </c>
      <c r="M412" s="64">
        <f>prodnorm51</f>
        <v>0</v>
      </c>
      <c r="N412" s="65">
        <f>dagwerk51</f>
        <v>0</v>
      </c>
      <c r="O412" s="61" t="s">
        <v>43</v>
      </c>
      <c r="P412" s="66">
        <f>uurtarief51</f>
        <v>0</v>
      </c>
      <c r="Q412" s="63" t="e">
        <f t="shared" si="76"/>
        <v>#DIV/0!</v>
      </c>
      <c r="R412" s="63" t="e">
        <f t="shared" si="77"/>
        <v>#DIV/0!</v>
      </c>
      <c r="S412" s="66" t="e">
        <f t="shared" si="78"/>
        <v>#DIV/0!</v>
      </c>
      <c r="T412" s="63" t="e">
        <f t="shared" si="79"/>
        <v>#DIV/0!</v>
      </c>
      <c r="U412" s="67" t="e">
        <f t="shared" si="80"/>
        <v>#DIV/0!</v>
      </c>
    </row>
    <row r="413" spans="1:21" x14ac:dyDescent="0.2">
      <c r="A413" s="60" t="s">
        <v>538</v>
      </c>
      <c r="B413" s="61" t="s">
        <v>230</v>
      </c>
      <c r="C413" s="61" t="s">
        <v>231</v>
      </c>
      <c r="D413" s="61" t="s">
        <v>328</v>
      </c>
      <c r="E413" s="62" t="s">
        <v>543</v>
      </c>
      <c r="F413" s="61" t="s">
        <v>256</v>
      </c>
      <c r="G413" s="61" t="s">
        <v>185</v>
      </c>
      <c r="H413" s="61" t="s">
        <v>16</v>
      </c>
      <c r="I413" s="61" t="s">
        <v>159</v>
      </c>
      <c r="J413" s="61" t="s">
        <v>235</v>
      </c>
      <c r="K413" s="63">
        <v>9.17</v>
      </c>
      <c r="L413" s="63">
        <f t="shared" si="75"/>
        <v>4.3098999999999998</v>
      </c>
      <c r="M413" s="64">
        <f>prodnorm42</f>
        <v>0</v>
      </c>
      <c r="N413" s="65">
        <f>dagwerk42</f>
        <v>0</v>
      </c>
      <c r="O413" s="61" t="s">
        <v>43</v>
      </c>
      <c r="P413" s="66">
        <f>uurtarief42</f>
        <v>0</v>
      </c>
      <c r="Q413" s="63" t="e">
        <f t="shared" si="76"/>
        <v>#DIV/0!</v>
      </c>
      <c r="R413" s="63" t="e">
        <f t="shared" si="77"/>
        <v>#DIV/0!</v>
      </c>
      <c r="S413" s="66" t="e">
        <f t="shared" si="78"/>
        <v>#DIV/0!</v>
      </c>
      <c r="T413" s="63" t="e">
        <f t="shared" si="79"/>
        <v>#DIV/0!</v>
      </c>
      <c r="U413" s="67" t="e">
        <f t="shared" si="80"/>
        <v>#DIV/0!</v>
      </c>
    </row>
    <row r="414" spans="1:21" x14ac:dyDescent="0.2">
      <c r="A414" s="60" t="s">
        <v>538</v>
      </c>
      <c r="B414" s="61" t="s">
        <v>230</v>
      </c>
      <c r="C414" s="61" t="s">
        <v>231</v>
      </c>
      <c r="D414" s="61" t="s">
        <v>254</v>
      </c>
      <c r="E414" s="62" t="s">
        <v>437</v>
      </c>
      <c r="F414" s="61" t="s">
        <v>256</v>
      </c>
      <c r="G414" s="61" t="s">
        <v>158</v>
      </c>
      <c r="H414" s="61" t="s">
        <v>16</v>
      </c>
      <c r="I414" s="61" t="s">
        <v>159</v>
      </c>
      <c r="J414" s="61" t="s">
        <v>282</v>
      </c>
      <c r="K414" s="63">
        <v>22.14</v>
      </c>
      <c r="L414" s="63">
        <f t="shared" si="75"/>
        <v>10.405799999999999</v>
      </c>
      <c r="M414" s="64">
        <f>prodnorm16</f>
        <v>0</v>
      </c>
      <c r="N414" s="65">
        <f>dagwerk16</f>
        <v>0</v>
      </c>
      <c r="O414" s="61" t="s">
        <v>43</v>
      </c>
      <c r="P414" s="66">
        <f>uurtarief16</f>
        <v>0</v>
      </c>
      <c r="Q414" s="63" t="e">
        <f t="shared" si="76"/>
        <v>#DIV/0!</v>
      </c>
      <c r="R414" s="63" t="e">
        <f t="shared" si="77"/>
        <v>#DIV/0!</v>
      </c>
      <c r="S414" s="66" t="e">
        <f t="shared" si="78"/>
        <v>#DIV/0!</v>
      </c>
      <c r="T414" s="63" t="e">
        <f t="shared" si="79"/>
        <v>#DIV/0!</v>
      </c>
      <c r="U414" s="67" t="e">
        <f t="shared" si="80"/>
        <v>#DIV/0!</v>
      </c>
    </row>
    <row r="415" spans="1:21" x14ac:dyDescent="0.2">
      <c r="A415" s="68" t="s">
        <v>538</v>
      </c>
      <c r="B415" s="69" t="s">
        <v>230</v>
      </c>
      <c r="C415" s="69" t="s">
        <v>231</v>
      </c>
      <c r="D415" s="69" t="s">
        <v>258</v>
      </c>
      <c r="E415" s="70" t="s">
        <v>358</v>
      </c>
      <c r="F415" s="69" t="s">
        <v>256</v>
      </c>
      <c r="G415" s="69" t="s">
        <v>199</v>
      </c>
      <c r="H415" s="69" t="s">
        <v>16</v>
      </c>
      <c r="I415" s="69" t="s">
        <v>159</v>
      </c>
      <c r="J415" s="69" t="s">
        <v>235</v>
      </c>
      <c r="K415" s="71">
        <v>14.1</v>
      </c>
      <c r="L415" s="71">
        <f t="shared" si="75"/>
        <v>6.6269999999999998</v>
      </c>
      <c r="M415" s="72">
        <f>prodnorm55</f>
        <v>0</v>
      </c>
      <c r="N415" s="73">
        <f>dagwerk55</f>
        <v>0</v>
      </c>
      <c r="O415" s="69" t="s">
        <v>43</v>
      </c>
      <c r="P415" s="74">
        <f>uurtarief55</f>
        <v>0</v>
      </c>
      <c r="Q415" s="71" t="e">
        <f t="shared" si="76"/>
        <v>#DIV/0!</v>
      </c>
      <c r="R415" s="71" t="e">
        <f t="shared" si="77"/>
        <v>#DIV/0!</v>
      </c>
      <c r="S415" s="74" t="e">
        <f t="shared" si="78"/>
        <v>#DIV/0!</v>
      </c>
      <c r="T415" s="71" t="e">
        <f t="shared" si="79"/>
        <v>#DIV/0!</v>
      </c>
      <c r="U415" s="75" t="e">
        <f t="shared" si="80"/>
        <v>#DIV/0!</v>
      </c>
    </row>
    <row r="416" spans="1:21" x14ac:dyDescent="0.2">
      <c r="A416" s="42" t="s">
        <v>319</v>
      </c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5" t="e">
        <f>IF(_xlfn.SINGLE(object10_urenjaar1)&gt;0,_xlfn.SINGLE(object10_prijsjaar1)/_xlfn.SINGLE(object10_urenjaar1),0)</f>
        <v>#DIV/0!</v>
      </c>
      <c r="Q416" s="44" t="e">
        <f>SUM(Q407:Q415)</f>
        <v>#DIV/0!</v>
      </c>
      <c r="R416" s="44" t="e">
        <f>SUM(R407:R415)</f>
        <v>#DIV/0!</v>
      </c>
      <c r="S416" s="45" t="e">
        <f>SUM(S407:S415)</f>
        <v>#DIV/0!</v>
      </c>
      <c r="T416" s="44" t="e">
        <f>SUM(T407:T415)</f>
        <v>#DIV/0!</v>
      </c>
      <c r="U416" s="45" t="e">
        <f>SUM(U407:U415)</f>
        <v>#DIV/0!</v>
      </c>
    </row>
  </sheetData>
  <pageMargins left="0.7" right="0.7" top="0.75" bottom="0.75" header="0.3" footer="0.3"/>
  <pageSetup scale="61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6EBB-B4BA-4B6E-8A0B-AAD60F2A1D1E}">
  <dimension ref="A1:S59"/>
  <sheetViews>
    <sheetView workbookViewId="0">
      <selection activeCell="F19" sqref="F19"/>
    </sheetView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9" width="12.625" customWidth="1"/>
  </cols>
  <sheetData>
    <row r="1" spans="1:19" x14ac:dyDescent="0.2">
      <c r="A1" s="1" t="s">
        <v>544</v>
      </c>
    </row>
    <row r="3" spans="1:19" x14ac:dyDescent="0.2">
      <c r="A3" s="77" t="s">
        <v>150</v>
      </c>
      <c r="B3" s="77" t="s">
        <v>7</v>
      </c>
      <c r="C3" s="77" t="s">
        <v>545</v>
      </c>
      <c r="D3" s="77" t="s">
        <v>546</v>
      </c>
      <c r="E3" s="77" t="s">
        <v>547</v>
      </c>
      <c r="F3" s="77" t="s">
        <v>548</v>
      </c>
      <c r="G3" s="77" t="s">
        <v>549</v>
      </c>
      <c r="H3" s="77" t="s">
        <v>36</v>
      </c>
      <c r="I3" s="77" t="s">
        <v>550</v>
      </c>
      <c r="J3" s="77" t="s">
        <v>551</v>
      </c>
      <c r="K3" s="77" t="s">
        <v>552</v>
      </c>
      <c r="L3" s="77" t="s">
        <v>553</v>
      </c>
      <c r="M3" s="77" t="s">
        <v>554</v>
      </c>
      <c r="N3" s="77" t="s">
        <v>555</v>
      </c>
      <c r="O3" s="77" t="s">
        <v>556</v>
      </c>
      <c r="P3" s="77" t="s">
        <v>557</v>
      </c>
      <c r="Q3" s="77" t="s">
        <v>558</v>
      </c>
      <c r="R3" s="77" t="s">
        <v>559</v>
      </c>
      <c r="S3" s="77" t="s">
        <v>560</v>
      </c>
    </row>
    <row r="4" spans="1:19" x14ac:dyDescent="0.2">
      <c r="A4" s="78"/>
      <c r="B4" s="78"/>
      <c r="C4" s="78"/>
      <c r="D4" s="78"/>
      <c r="E4" s="78"/>
      <c r="F4" s="78"/>
      <c r="G4" s="78"/>
      <c r="H4" s="78"/>
      <c r="I4" s="78"/>
      <c r="J4" s="79" t="s">
        <v>152</v>
      </c>
      <c r="K4" s="79" t="s">
        <v>152</v>
      </c>
      <c r="L4" s="79" t="s">
        <v>152</v>
      </c>
      <c r="M4" s="79" t="s">
        <v>152</v>
      </c>
      <c r="N4" s="79" t="s">
        <v>152</v>
      </c>
      <c r="O4" s="79" t="s">
        <v>152</v>
      </c>
      <c r="P4" s="79" t="s">
        <v>152</v>
      </c>
      <c r="Q4" s="79" t="s">
        <v>152</v>
      </c>
      <c r="R4" s="79" t="s">
        <v>152</v>
      </c>
      <c r="S4" s="79" t="s">
        <v>152</v>
      </c>
    </row>
    <row r="5" spans="1:19" x14ac:dyDescent="0.2">
      <c r="A5" s="15" t="s">
        <v>158</v>
      </c>
      <c r="B5" s="15" t="s">
        <v>11</v>
      </c>
      <c r="C5" s="15" t="s">
        <v>561</v>
      </c>
      <c r="D5" s="15" t="s">
        <v>159</v>
      </c>
      <c r="E5" s="30">
        <f t="shared" ref="E5:E36" si="0">IF(B5="","",VLOOKUP(B5,dagsoorttabel1,2,FALSE))</f>
        <v>1</v>
      </c>
      <c r="F5" s="30">
        <v>1</v>
      </c>
      <c r="G5" s="30">
        <f>IF(prodnorm14&gt;0,1/ROUND(prodnorm14,4),0)</f>
        <v>0</v>
      </c>
      <c r="H5" s="32">
        <f>ROUND(dagwerk14,4+2)</f>
        <v>0</v>
      </c>
      <c r="I5" s="33">
        <f>ROUND(uurtarief14,2)</f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9</v>
      </c>
      <c r="R5" s="30">
        <v>0</v>
      </c>
      <c r="S5" s="30">
        <v>0</v>
      </c>
    </row>
    <row r="6" spans="1:19" x14ac:dyDescent="0.2">
      <c r="A6" s="20" t="s">
        <v>158</v>
      </c>
      <c r="B6" s="20" t="s">
        <v>20</v>
      </c>
      <c r="C6" s="20" t="s">
        <v>561</v>
      </c>
      <c r="D6" s="20" t="s">
        <v>159</v>
      </c>
      <c r="E6" s="34">
        <f t="shared" si="0"/>
        <v>0.2</v>
      </c>
      <c r="F6" s="34">
        <v>1</v>
      </c>
      <c r="G6" s="34">
        <f>IF(prodnorm15&gt;0,1/ROUND(prodnorm15,4),0)</f>
        <v>0</v>
      </c>
      <c r="H6" s="36">
        <f>ROUND(dagwerk15,4+2)</f>
        <v>0</v>
      </c>
      <c r="I6" s="37">
        <f>ROUND(uurtarief15,2)</f>
        <v>0</v>
      </c>
      <c r="J6" s="34">
        <v>68.900000000000006</v>
      </c>
      <c r="K6" s="34">
        <v>17.37</v>
      </c>
      <c r="L6" s="34">
        <v>0</v>
      </c>
      <c r="M6" s="34">
        <v>0</v>
      </c>
      <c r="N6" s="34">
        <v>24.2</v>
      </c>
      <c r="O6" s="34">
        <v>74.599999999999994</v>
      </c>
      <c r="P6" s="34">
        <v>0</v>
      </c>
      <c r="Q6" s="34">
        <v>18.3</v>
      </c>
      <c r="R6" s="34">
        <v>67.099999999999994</v>
      </c>
      <c r="S6" s="34">
        <v>0</v>
      </c>
    </row>
    <row r="7" spans="1:19" x14ac:dyDescent="0.2">
      <c r="A7" s="20" t="s">
        <v>158</v>
      </c>
      <c r="B7" s="20" t="s">
        <v>16</v>
      </c>
      <c r="C7" s="20" t="s">
        <v>561</v>
      </c>
      <c r="D7" s="20" t="s">
        <v>159</v>
      </c>
      <c r="E7" s="34">
        <f t="shared" si="0"/>
        <v>0.47</v>
      </c>
      <c r="F7" s="34">
        <v>1</v>
      </c>
      <c r="G7" s="34">
        <f>IF(prodnorm16&gt;0,1/ROUND(prodnorm16,4),0)</f>
        <v>0</v>
      </c>
      <c r="H7" s="36">
        <f>ROUND(dagwerk16,4+2)</f>
        <v>0</v>
      </c>
      <c r="I7" s="37">
        <f>ROUND(uurtarief16,2)</f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84.46</v>
      </c>
    </row>
    <row r="8" spans="1:19" x14ac:dyDescent="0.2">
      <c r="A8" s="20" t="s">
        <v>161</v>
      </c>
      <c r="B8" s="20" t="s">
        <v>11</v>
      </c>
      <c r="C8" s="20" t="s">
        <v>561</v>
      </c>
      <c r="D8" s="20" t="s">
        <v>159</v>
      </c>
      <c r="E8" s="34">
        <f t="shared" si="0"/>
        <v>1</v>
      </c>
      <c r="F8" s="34">
        <v>1</v>
      </c>
      <c r="G8" s="34">
        <f>IF(prodnorm17&gt;0,1/ROUND(prodnorm17,4),0)</f>
        <v>0</v>
      </c>
      <c r="H8" s="36">
        <f>ROUND(dagwerk17,4+2)</f>
        <v>0</v>
      </c>
      <c r="I8" s="37">
        <f>ROUND(uurtarief17,2)</f>
        <v>0</v>
      </c>
      <c r="J8" s="34">
        <v>0</v>
      </c>
      <c r="K8" s="34">
        <v>0</v>
      </c>
      <c r="L8" s="34">
        <v>0</v>
      </c>
      <c r="M8" s="34">
        <v>58.3</v>
      </c>
      <c r="N8" s="34">
        <v>0</v>
      </c>
      <c r="O8" s="34">
        <v>0</v>
      </c>
      <c r="P8" s="34">
        <v>0</v>
      </c>
      <c r="Q8" s="34">
        <v>0</v>
      </c>
      <c r="R8" s="34">
        <v>16.8</v>
      </c>
      <c r="S8" s="34">
        <v>0</v>
      </c>
    </row>
    <row r="9" spans="1:19" x14ac:dyDescent="0.2">
      <c r="A9" s="20" t="s">
        <v>161</v>
      </c>
      <c r="B9" s="20" t="s">
        <v>27</v>
      </c>
      <c r="C9" s="20" t="s">
        <v>561</v>
      </c>
      <c r="D9" s="20" t="s">
        <v>159</v>
      </c>
      <c r="E9" s="34">
        <f t="shared" si="0"/>
        <v>0.01</v>
      </c>
      <c r="F9" s="34">
        <v>1</v>
      </c>
      <c r="G9" s="34">
        <f>IF(prodnorm18&gt;0,1/ROUND(prodnorm18,4),0)</f>
        <v>0</v>
      </c>
      <c r="H9" s="36">
        <f>ROUND(dagwerk18,4+2)</f>
        <v>0</v>
      </c>
      <c r="I9" s="37">
        <f>ROUND(uurtarief18,2)</f>
        <v>0</v>
      </c>
      <c r="J9" s="34">
        <v>0</v>
      </c>
      <c r="K9" s="34">
        <v>9.6</v>
      </c>
      <c r="L9" s="34">
        <v>0</v>
      </c>
      <c r="M9" s="34">
        <v>0</v>
      </c>
      <c r="N9" s="34">
        <v>21.77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</row>
    <row r="10" spans="1:19" x14ac:dyDescent="0.2">
      <c r="A10" s="20" t="s">
        <v>161</v>
      </c>
      <c r="B10" s="20" t="s">
        <v>20</v>
      </c>
      <c r="C10" s="20" t="s">
        <v>561</v>
      </c>
      <c r="D10" s="20" t="s">
        <v>159</v>
      </c>
      <c r="E10" s="34">
        <f t="shared" si="0"/>
        <v>0.2</v>
      </c>
      <c r="F10" s="34">
        <v>1</v>
      </c>
      <c r="G10" s="34">
        <f>IF(prodnorm19&gt;0,1/ROUND(prodnorm19,4),0)</f>
        <v>0</v>
      </c>
      <c r="H10" s="36">
        <f>ROUND(dagwerk19,4+2)</f>
        <v>0</v>
      </c>
      <c r="I10" s="37">
        <f>ROUND(uurtarief19,2)</f>
        <v>0</v>
      </c>
      <c r="J10" s="34">
        <v>0</v>
      </c>
      <c r="K10" s="34">
        <v>21.439999999999998</v>
      </c>
      <c r="L10" s="34">
        <v>60.900000000000006</v>
      </c>
      <c r="M10" s="34">
        <v>98.399999999999977</v>
      </c>
      <c r="N10" s="34">
        <v>43.5</v>
      </c>
      <c r="O10" s="34">
        <v>0</v>
      </c>
      <c r="P10" s="34">
        <v>26.5</v>
      </c>
      <c r="Q10" s="34">
        <v>0</v>
      </c>
      <c r="R10" s="34">
        <v>168.90000000000003</v>
      </c>
      <c r="S10" s="34">
        <v>0</v>
      </c>
    </row>
    <row r="11" spans="1:19" x14ac:dyDescent="0.2">
      <c r="A11" s="20" t="s">
        <v>163</v>
      </c>
      <c r="B11" s="20" t="s">
        <v>15</v>
      </c>
      <c r="C11" s="20" t="s">
        <v>561</v>
      </c>
      <c r="D11" s="20" t="s">
        <v>159</v>
      </c>
      <c r="E11" s="34">
        <f t="shared" si="0"/>
        <v>0.6</v>
      </c>
      <c r="F11" s="34">
        <v>1</v>
      </c>
      <c r="G11" s="34">
        <f>IF(prodnorm20&gt;0,1/ROUND(prodnorm20,4),0)</f>
        <v>0</v>
      </c>
      <c r="H11" s="36">
        <f>ROUND(dagwerk20,4+2)</f>
        <v>0</v>
      </c>
      <c r="I11" s="37">
        <f>ROUND(uurtarief20,2)</f>
        <v>0</v>
      </c>
      <c r="J11" s="34">
        <v>7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115.9</v>
      </c>
      <c r="S11" s="34">
        <v>0</v>
      </c>
    </row>
    <row r="12" spans="1:19" x14ac:dyDescent="0.2">
      <c r="A12" s="20" t="s">
        <v>163</v>
      </c>
      <c r="B12" s="20" t="s">
        <v>11</v>
      </c>
      <c r="C12" s="20" t="s">
        <v>561</v>
      </c>
      <c r="D12" s="20" t="s">
        <v>159</v>
      </c>
      <c r="E12" s="34">
        <f t="shared" si="0"/>
        <v>1</v>
      </c>
      <c r="F12" s="34">
        <v>1</v>
      </c>
      <c r="G12" s="34">
        <f>IF(prodnorm21&gt;0,1/ROUND(prodnorm21,4),0)</f>
        <v>0</v>
      </c>
      <c r="H12" s="36">
        <f>ROUND(dagwerk21,4+2)</f>
        <v>0</v>
      </c>
      <c r="I12" s="37">
        <f>ROUND(uurtarief21,2)</f>
        <v>0</v>
      </c>
      <c r="J12" s="34">
        <v>85.3</v>
      </c>
      <c r="K12" s="34">
        <v>57.44</v>
      </c>
      <c r="L12" s="34">
        <v>90.2</v>
      </c>
      <c r="M12" s="34">
        <v>86</v>
      </c>
      <c r="N12" s="34">
        <v>0</v>
      </c>
      <c r="O12" s="34">
        <v>84</v>
      </c>
      <c r="P12" s="34">
        <v>84.1</v>
      </c>
      <c r="Q12" s="34">
        <v>0</v>
      </c>
      <c r="R12" s="34">
        <v>120</v>
      </c>
      <c r="S12" s="34">
        <v>0</v>
      </c>
    </row>
    <row r="13" spans="1:19" x14ac:dyDescent="0.2">
      <c r="A13" s="20" t="s">
        <v>163</v>
      </c>
      <c r="B13" s="20" t="s">
        <v>27</v>
      </c>
      <c r="C13" s="20" t="s">
        <v>561</v>
      </c>
      <c r="D13" s="20" t="s">
        <v>159</v>
      </c>
      <c r="E13" s="34">
        <f t="shared" si="0"/>
        <v>0.01</v>
      </c>
      <c r="F13" s="34">
        <v>1</v>
      </c>
      <c r="G13" s="34">
        <f>IF(prodnorm22&gt;0,1/ROUND(prodnorm22,4),0)</f>
        <v>0</v>
      </c>
      <c r="H13" s="36">
        <f>ROUND(dagwerk22,4+2)</f>
        <v>0</v>
      </c>
      <c r="I13" s="37">
        <f>ROUND(uurtarief22,2)</f>
        <v>0</v>
      </c>
      <c r="J13" s="34">
        <v>0</v>
      </c>
      <c r="K13" s="34">
        <v>7.39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</row>
    <row r="14" spans="1:19" x14ac:dyDescent="0.2">
      <c r="A14" s="20" t="s">
        <v>165</v>
      </c>
      <c r="B14" s="20" t="s">
        <v>11</v>
      </c>
      <c r="C14" s="20" t="s">
        <v>561</v>
      </c>
      <c r="D14" s="20" t="s">
        <v>159</v>
      </c>
      <c r="E14" s="34">
        <f t="shared" si="0"/>
        <v>1</v>
      </c>
      <c r="F14" s="34">
        <v>1</v>
      </c>
      <c r="G14" s="34">
        <f>IF(prodnorm23&gt;0,1/ROUND(prodnorm23,4),0)</f>
        <v>0</v>
      </c>
      <c r="H14" s="36">
        <f>ROUND(dagwerk23,4+2)</f>
        <v>0</v>
      </c>
      <c r="I14" s="37">
        <f>ROUND(uurtarief23,2)</f>
        <v>0</v>
      </c>
      <c r="J14" s="34">
        <v>15.1</v>
      </c>
      <c r="K14" s="34">
        <v>0</v>
      </c>
      <c r="L14" s="34">
        <v>157</v>
      </c>
      <c r="M14" s="34">
        <v>141.5</v>
      </c>
      <c r="N14" s="34">
        <v>83.490000000000009</v>
      </c>
      <c r="O14" s="34">
        <v>0</v>
      </c>
      <c r="P14" s="34">
        <v>0</v>
      </c>
      <c r="Q14" s="34">
        <v>0</v>
      </c>
      <c r="R14" s="34">
        <v>94.4</v>
      </c>
      <c r="S14" s="34">
        <v>0</v>
      </c>
    </row>
    <row r="15" spans="1:19" x14ac:dyDescent="0.2">
      <c r="A15" s="20" t="s">
        <v>167</v>
      </c>
      <c r="B15" s="20" t="s">
        <v>11</v>
      </c>
      <c r="C15" s="20" t="s">
        <v>561</v>
      </c>
      <c r="D15" s="20" t="s">
        <v>159</v>
      </c>
      <c r="E15" s="34">
        <f t="shared" si="0"/>
        <v>1</v>
      </c>
      <c r="F15" s="34">
        <v>1</v>
      </c>
      <c r="G15" s="34">
        <f>IF(prodnorm24&gt;0,1/ROUND(prodnorm24,4),0)</f>
        <v>0</v>
      </c>
      <c r="H15" s="36">
        <f>ROUND(dagwerk24,4+2)</f>
        <v>0</v>
      </c>
      <c r="I15" s="37">
        <f>ROUND(uurtarief24,2)</f>
        <v>0</v>
      </c>
      <c r="J15" s="34">
        <v>0</v>
      </c>
      <c r="K15" s="34">
        <v>0</v>
      </c>
      <c r="L15" s="34">
        <v>19.3</v>
      </c>
      <c r="M15" s="34">
        <v>0</v>
      </c>
      <c r="N15" s="34">
        <v>59.28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</row>
    <row r="16" spans="1:19" x14ac:dyDescent="0.2">
      <c r="A16" s="20" t="s">
        <v>169</v>
      </c>
      <c r="B16" s="20" t="s">
        <v>11</v>
      </c>
      <c r="C16" s="20" t="s">
        <v>561</v>
      </c>
      <c r="D16" s="20" t="s">
        <v>159</v>
      </c>
      <c r="E16" s="34">
        <f t="shared" si="0"/>
        <v>1</v>
      </c>
      <c r="F16" s="34">
        <v>1</v>
      </c>
      <c r="G16" s="34">
        <f>IF(prodnorm25&gt;0,1/ROUND(prodnorm25,4),0)</f>
        <v>0</v>
      </c>
      <c r="H16" s="36">
        <f>ROUND(dagwerk25,4+2)</f>
        <v>0</v>
      </c>
      <c r="I16" s="37">
        <f>ROUND(uurtarief25,2)</f>
        <v>0</v>
      </c>
      <c r="J16" s="34">
        <v>38.200000000000003</v>
      </c>
      <c r="K16" s="34">
        <v>50.6</v>
      </c>
      <c r="L16" s="34">
        <v>2</v>
      </c>
      <c r="M16" s="34">
        <v>0</v>
      </c>
      <c r="N16" s="34">
        <v>0</v>
      </c>
      <c r="O16" s="34">
        <v>28.2</v>
      </c>
      <c r="P16" s="34">
        <v>0</v>
      </c>
      <c r="Q16" s="34">
        <v>0</v>
      </c>
      <c r="R16" s="34">
        <v>0</v>
      </c>
      <c r="S16" s="34">
        <v>0</v>
      </c>
    </row>
    <row r="17" spans="1:19" x14ac:dyDescent="0.2">
      <c r="A17" s="20" t="s">
        <v>171</v>
      </c>
      <c r="B17" s="20" t="s">
        <v>11</v>
      </c>
      <c r="C17" s="20" t="s">
        <v>561</v>
      </c>
      <c r="D17" s="20" t="s">
        <v>159</v>
      </c>
      <c r="E17" s="34">
        <f t="shared" si="0"/>
        <v>1</v>
      </c>
      <c r="F17" s="34">
        <v>1</v>
      </c>
      <c r="G17" s="34">
        <f>IF(prodnorm26&gt;0,1/ROUND(prodnorm26,4),0)</f>
        <v>0</v>
      </c>
      <c r="H17" s="36">
        <f>ROUND(dagwerk26,4+2)</f>
        <v>0</v>
      </c>
      <c r="I17" s="37">
        <f>ROUND(uurtarief26,2)</f>
        <v>0</v>
      </c>
      <c r="J17" s="34">
        <v>0</v>
      </c>
      <c r="K17" s="34">
        <v>0</v>
      </c>
      <c r="L17" s="34">
        <v>41</v>
      </c>
      <c r="M17" s="34">
        <v>0</v>
      </c>
      <c r="N17" s="34">
        <v>0</v>
      </c>
      <c r="O17" s="34">
        <v>0</v>
      </c>
      <c r="P17" s="34">
        <v>36.4</v>
      </c>
      <c r="Q17" s="34">
        <v>0</v>
      </c>
      <c r="R17" s="34">
        <v>0</v>
      </c>
      <c r="S17" s="34">
        <v>0</v>
      </c>
    </row>
    <row r="18" spans="1:19" x14ac:dyDescent="0.2">
      <c r="A18" s="20" t="s">
        <v>171</v>
      </c>
      <c r="B18" s="20" t="s">
        <v>20</v>
      </c>
      <c r="C18" s="20" t="s">
        <v>561</v>
      </c>
      <c r="D18" s="20" t="s">
        <v>159</v>
      </c>
      <c r="E18" s="34">
        <f t="shared" si="0"/>
        <v>0.2</v>
      </c>
      <c r="F18" s="34">
        <v>1</v>
      </c>
      <c r="G18" s="34">
        <f>IF(prodnorm27&gt;0,1/ROUND(prodnorm27,4),0)</f>
        <v>0</v>
      </c>
      <c r="H18" s="36">
        <f>ROUND(dagwerk27,4+2)</f>
        <v>0</v>
      </c>
      <c r="I18" s="37">
        <f>ROUND(uurtarief27,2)</f>
        <v>0</v>
      </c>
      <c r="J18" s="34">
        <v>0</v>
      </c>
      <c r="K18" s="34">
        <v>0</v>
      </c>
      <c r="L18" s="34">
        <v>0</v>
      </c>
      <c r="M18" s="34">
        <v>0</v>
      </c>
      <c r="N18" s="34">
        <v>40.299999999999997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</row>
    <row r="19" spans="1:19" x14ac:dyDescent="0.2">
      <c r="A19" s="20" t="s">
        <v>173</v>
      </c>
      <c r="B19" s="20" t="s">
        <v>11</v>
      </c>
      <c r="C19" s="20" t="s">
        <v>561</v>
      </c>
      <c r="D19" s="20" t="s">
        <v>159</v>
      </c>
      <c r="E19" s="34">
        <f t="shared" si="0"/>
        <v>1</v>
      </c>
      <c r="F19" s="34">
        <v>1</v>
      </c>
      <c r="G19" s="34">
        <f>IF(prodnorm28&gt;0,1/ROUND(prodnorm28,4),0)</f>
        <v>0</v>
      </c>
      <c r="H19" s="36">
        <f>ROUND(dagwerk28,4+2)</f>
        <v>0</v>
      </c>
      <c r="I19" s="37">
        <f>ROUND(uurtarief28,2)</f>
        <v>0</v>
      </c>
      <c r="J19" s="34">
        <v>4.4000000000000004</v>
      </c>
      <c r="K19" s="34">
        <v>5.9</v>
      </c>
      <c r="L19" s="34">
        <v>0</v>
      </c>
      <c r="M19" s="34">
        <v>5</v>
      </c>
      <c r="N19" s="34">
        <v>11.759999999999998</v>
      </c>
      <c r="O19" s="34">
        <v>10.3</v>
      </c>
      <c r="P19" s="34">
        <v>8.5</v>
      </c>
      <c r="Q19" s="34">
        <v>0</v>
      </c>
      <c r="R19" s="34">
        <v>9.1</v>
      </c>
      <c r="S19" s="34">
        <v>0</v>
      </c>
    </row>
    <row r="20" spans="1:19" x14ac:dyDescent="0.2">
      <c r="A20" s="20" t="s">
        <v>173</v>
      </c>
      <c r="B20" s="20" t="s">
        <v>18</v>
      </c>
      <c r="C20" s="20" t="s">
        <v>561</v>
      </c>
      <c r="D20" s="20" t="s">
        <v>159</v>
      </c>
      <c r="E20" s="34">
        <f t="shared" si="0"/>
        <v>0.4</v>
      </c>
      <c r="F20" s="34">
        <v>1</v>
      </c>
      <c r="G20" s="34">
        <f>IF(prodnorm29&gt;0,1/ROUND(prodnorm29,4),0)</f>
        <v>0</v>
      </c>
      <c r="H20" s="36">
        <f>ROUND(dagwerk29,4+2)</f>
        <v>0</v>
      </c>
      <c r="I20" s="37">
        <f>ROUND(uurtarief29,2)</f>
        <v>0</v>
      </c>
      <c r="J20" s="34">
        <v>15.6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</row>
    <row r="21" spans="1:19" x14ac:dyDescent="0.2">
      <c r="A21" s="20" t="s">
        <v>175</v>
      </c>
      <c r="B21" s="20" t="s">
        <v>22</v>
      </c>
      <c r="C21" s="20" t="s">
        <v>561</v>
      </c>
      <c r="D21" s="20" t="s">
        <v>159</v>
      </c>
      <c r="E21" s="34">
        <f t="shared" si="0"/>
        <v>0.06</v>
      </c>
      <c r="F21" s="34">
        <v>1</v>
      </c>
      <c r="G21" s="34">
        <f>IF(prodnorm30&gt;0,1/ROUND(prodnorm30,4),0)</f>
        <v>0</v>
      </c>
      <c r="H21" s="36">
        <f>ROUND(dagwerk30,4+2)</f>
        <v>0</v>
      </c>
      <c r="I21" s="37">
        <f>ROUND(uurtarief30,2)</f>
        <v>0</v>
      </c>
      <c r="J21" s="34">
        <v>0</v>
      </c>
      <c r="K21" s="34">
        <v>0</v>
      </c>
      <c r="L21" s="34">
        <v>0</v>
      </c>
      <c r="M21" s="34">
        <v>0</v>
      </c>
      <c r="N21" s="34">
        <v>48.2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</row>
    <row r="22" spans="1:19" x14ac:dyDescent="0.2">
      <c r="A22" s="20" t="s">
        <v>175</v>
      </c>
      <c r="B22" s="20" t="s">
        <v>11</v>
      </c>
      <c r="C22" s="20" t="s">
        <v>561</v>
      </c>
      <c r="D22" s="20" t="s">
        <v>159</v>
      </c>
      <c r="E22" s="34">
        <f t="shared" si="0"/>
        <v>1</v>
      </c>
      <c r="F22" s="34">
        <v>1</v>
      </c>
      <c r="G22" s="34">
        <f>IF(prodnorm31&gt;0,1/ROUND(prodnorm31,4),0)</f>
        <v>0</v>
      </c>
      <c r="H22" s="36">
        <f>ROUND(dagwerk31,4+2)</f>
        <v>0</v>
      </c>
      <c r="I22" s="37">
        <f>ROUND(uurtarief31,2)</f>
        <v>0</v>
      </c>
      <c r="J22" s="34">
        <v>197.41</v>
      </c>
      <c r="K22" s="34">
        <v>161.1</v>
      </c>
      <c r="L22" s="34">
        <v>20</v>
      </c>
      <c r="M22" s="34">
        <v>174.1</v>
      </c>
      <c r="N22" s="34">
        <v>122.1</v>
      </c>
      <c r="O22" s="34">
        <v>107.1</v>
      </c>
      <c r="P22" s="34">
        <v>111.4</v>
      </c>
      <c r="Q22" s="34">
        <v>255.2</v>
      </c>
      <c r="R22" s="34">
        <v>194.8</v>
      </c>
      <c r="S22" s="34">
        <v>0</v>
      </c>
    </row>
    <row r="23" spans="1:19" x14ac:dyDescent="0.2">
      <c r="A23" s="20" t="s">
        <v>175</v>
      </c>
      <c r="B23" s="20" t="s">
        <v>20</v>
      </c>
      <c r="C23" s="20" t="s">
        <v>561</v>
      </c>
      <c r="D23" s="20" t="s">
        <v>159</v>
      </c>
      <c r="E23" s="34">
        <f t="shared" si="0"/>
        <v>0.2</v>
      </c>
      <c r="F23" s="34">
        <v>1</v>
      </c>
      <c r="G23" s="34">
        <f>IF(prodnorm32&gt;0,1/ROUND(prodnorm32,4),0)</f>
        <v>0</v>
      </c>
      <c r="H23" s="36">
        <f>ROUND(dagwerk32,4+2)</f>
        <v>0</v>
      </c>
      <c r="I23" s="37">
        <f>ROUND(uurtarief32,2)</f>
        <v>0</v>
      </c>
      <c r="J23" s="34">
        <v>18.670000000000002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36.5</v>
      </c>
      <c r="S23" s="34">
        <v>0</v>
      </c>
    </row>
    <row r="24" spans="1:19" x14ac:dyDescent="0.2">
      <c r="A24" s="20" t="s">
        <v>175</v>
      </c>
      <c r="B24" s="20" t="s">
        <v>18</v>
      </c>
      <c r="C24" s="20" t="s">
        <v>561</v>
      </c>
      <c r="D24" s="20" t="s">
        <v>159</v>
      </c>
      <c r="E24" s="34">
        <f t="shared" si="0"/>
        <v>0.4</v>
      </c>
      <c r="F24" s="34">
        <v>1</v>
      </c>
      <c r="G24" s="34">
        <f>IF(prodnorm33&gt;0,1/ROUND(prodnorm33,4),0)</f>
        <v>0</v>
      </c>
      <c r="H24" s="36">
        <f>ROUND(dagwerk33,4+2)</f>
        <v>0</v>
      </c>
      <c r="I24" s="37">
        <f>ROUND(uurtarief33,2)</f>
        <v>0</v>
      </c>
      <c r="J24" s="34">
        <v>462.71999999999997</v>
      </c>
      <c r="K24" s="34">
        <v>495.08</v>
      </c>
      <c r="L24" s="34">
        <v>60</v>
      </c>
      <c r="M24" s="34">
        <v>356.7</v>
      </c>
      <c r="N24" s="34">
        <v>0</v>
      </c>
      <c r="O24" s="34">
        <v>225.83</v>
      </c>
      <c r="P24" s="34">
        <v>446.79999999999995</v>
      </c>
      <c r="Q24" s="34">
        <v>0</v>
      </c>
      <c r="R24" s="34">
        <v>601.29999999999995</v>
      </c>
      <c r="S24" s="34">
        <v>0</v>
      </c>
    </row>
    <row r="25" spans="1:19" x14ac:dyDescent="0.2">
      <c r="A25" s="20" t="s">
        <v>177</v>
      </c>
      <c r="B25" s="20" t="s">
        <v>11</v>
      </c>
      <c r="C25" s="20" t="s">
        <v>561</v>
      </c>
      <c r="D25" s="20" t="s">
        <v>159</v>
      </c>
      <c r="E25" s="34">
        <f t="shared" si="0"/>
        <v>1</v>
      </c>
      <c r="F25" s="34">
        <v>1</v>
      </c>
      <c r="G25" s="34">
        <f>IF(prodnorm34&gt;0,1/ROUND(prodnorm34,4),0)</f>
        <v>0</v>
      </c>
      <c r="H25" s="36">
        <f>ROUND(dagwerk34,4+2)</f>
        <v>0</v>
      </c>
      <c r="I25" s="37">
        <f>ROUND(uurtarief34,2)</f>
        <v>0</v>
      </c>
      <c r="J25" s="34">
        <v>0</v>
      </c>
      <c r="K25" s="34">
        <v>0</v>
      </c>
      <c r="L25" s="34">
        <v>84.8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</row>
    <row r="26" spans="1:19" x14ac:dyDescent="0.2">
      <c r="A26" s="20" t="s">
        <v>177</v>
      </c>
      <c r="B26" s="20" t="s">
        <v>18</v>
      </c>
      <c r="C26" s="20" t="s">
        <v>561</v>
      </c>
      <c r="D26" s="20" t="s">
        <v>159</v>
      </c>
      <c r="E26" s="34">
        <f t="shared" si="0"/>
        <v>0.4</v>
      </c>
      <c r="F26" s="34">
        <v>1</v>
      </c>
      <c r="G26" s="34">
        <f>IF(prodnorm35&gt;0,1/ROUND(prodnorm35,4),0)</f>
        <v>0</v>
      </c>
      <c r="H26" s="36">
        <f>ROUND(dagwerk35,4+2)</f>
        <v>0</v>
      </c>
      <c r="I26" s="37">
        <f>ROUND(uurtarief35,2)</f>
        <v>0</v>
      </c>
      <c r="J26" s="34">
        <v>0</v>
      </c>
      <c r="K26" s="34">
        <v>0</v>
      </c>
      <c r="L26" s="34">
        <v>251.79999999999998</v>
      </c>
      <c r="M26" s="34">
        <v>124.6</v>
      </c>
      <c r="N26" s="34">
        <v>296.64999999999998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</row>
    <row r="27" spans="1:19" x14ac:dyDescent="0.2">
      <c r="A27" s="20" t="s">
        <v>179</v>
      </c>
      <c r="B27" s="20" t="s">
        <v>20</v>
      </c>
      <c r="C27" s="20" t="s">
        <v>561</v>
      </c>
      <c r="D27" s="20" t="s">
        <v>159</v>
      </c>
      <c r="E27" s="34">
        <f t="shared" si="0"/>
        <v>0.2</v>
      </c>
      <c r="F27" s="34">
        <v>1</v>
      </c>
      <c r="G27" s="34">
        <f>IF(prodnorm36&gt;0,1/ROUND(prodnorm36,4),0)</f>
        <v>0</v>
      </c>
      <c r="H27" s="36">
        <f>ROUND(dagwerk36,4+2)</f>
        <v>0</v>
      </c>
      <c r="I27" s="37">
        <f>ROUND(uurtarief36,2)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7.2</v>
      </c>
      <c r="P27" s="34">
        <v>0</v>
      </c>
      <c r="Q27" s="34">
        <v>0</v>
      </c>
      <c r="R27" s="34">
        <v>0</v>
      </c>
      <c r="S27" s="34">
        <v>0</v>
      </c>
    </row>
    <row r="28" spans="1:19" x14ac:dyDescent="0.2">
      <c r="A28" s="20" t="s">
        <v>179</v>
      </c>
      <c r="B28" s="20" t="s">
        <v>18</v>
      </c>
      <c r="C28" s="20" t="s">
        <v>561</v>
      </c>
      <c r="D28" s="20" t="s">
        <v>159</v>
      </c>
      <c r="E28" s="34">
        <f t="shared" si="0"/>
        <v>0.4</v>
      </c>
      <c r="F28" s="34">
        <v>1</v>
      </c>
      <c r="G28" s="34">
        <f>IF(prodnorm37&gt;0,1/ROUND(prodnorm37,4),0)</f>
        <v>0</v>
      </c>
      <c r="H28" s="36">
        <f>ROUND(dagwerk37,4+2)</f>
        <v>0</v>
      </c>
      <c r="I28" s="37">
        <f>ROUND(uurtarief37,2)</f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47.9</v>
      </c>
      <c r="S28" s="34">
        <v>0</v>
      </c>
    </row>
    <row r="29" spans="1:19" x14ac:dyDescent="0.2">
      <c r="A29" s="20" t="s">
        <v>181</v>
      </c>
      <c r="B29" s="20" t="s">
        <v>11</v>
      </c>
      <c r="C29" s="20" t="s">
        <v>561</v>
      </c>
      <c r="D29" s="20" t="s">
        <v>159</v>
      </c>
      <c r="E29" s="34">
        <f t="shared" si="0"/>
        <v>1</v>
      </c>
      <c r="F29" s="34">
        <v>1</v>
      </c>
      <c r="G29" s="34">
        <f>IF(prodnorm38&gt;0,1/ROUND(prodnorm38,4),0)</f>
        <v>0</v>
      </c>
      <c r="H29" s="36">
        <f>ROUND(dagwerk38,4+2)</f>
        <v>0</v>
      </c>
      <c r="I29" s="37">
        <f>ROUND(uurtarief38,2)</f>
        <v>0</v>
      </c>
      <c r="J29" s="34">
        <v>30.3</v>
      </c>
      <c r="K29" s="34">
        <v>0</v>
      </c>
      <c r="L29" s="34">
        <v>0</v>
      </c>
      <c r="M29" s="34">
        <v>0</v>
      </c>
      <c r="N29" s="34">
        <v>59.5</v>
      </c>
      <c r="O29" s="34">
        <v>0</v>
      </c>
      <c r="P29" s="34">
        <v>0</v>
      </c>
      <c r="Q29" s="34">
        <v>0</v>
      </c>
      <c r="R29" s="34">
        <v>47.9</v>
      </c>
      <c r="S29" s="34">
        <v>0</v>
      </c>
    </row>
    <row r="30" spans="1:19" x14ac:dyDescent="0.2">
      <c r="A30" s="20" t="s">
        <v>183</v>
      </c>
      <c r="B30" s="20" t="s">
        <v>27</v>
      </c>
      <c r="C30" s="20" t="s">
        <v>561</v>
      </c>
      <c r="D30" s="20" t="s">
        <v>159</v>
      </c>
      <c r="E30" s="34">
        <f t="shared" si="0"/>
        <v>0.01</v>
      </c>
      <c r="F30" s="34">
        <v>1</v>
      </c>
      <c r="G30" s="34">
        <f>IF(prodnorm39&gt;0,1/ROUND(prodnorm39,4),0)</f>
        <v>0</v>
      </c>
      <c r="H30" s="36">
        <f>ROUND(dagwerk39,4+2)</f>
        <v>0</v>
      </c>
      <c r="I30" s="37">
        <f>ROUND(uurtarief39,2)</f>
        <v>0</v>
      </c>
      <c r="J30" s="34">
        <v>0</v>
      </c>
      <c r="K30" s="34">
        <v>53.8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</row>
    <row r="31" spans="1:19" x14ac:dyDescent="0.2">
      <c r="A31" s="20" t="s">
        <v>185</v>
      </c>
      <c r="B31" s="20" t="s">
        <v>11</v>
      </c>
      <c r="C31" s="20" t="s">
        <v>561</v>
      </c>
      <c r="D31" s="20" t="s">
        <v>159</v>
      </c>
      <c r="E31" s="34">
        <f t="shared" si="0"/>
        <v>1</v>
      </c>
      <c r="F31" s="34">
        <v>1</v>
      </c>
      <c r="G31" s="34">
        <f>IF(prodnorm40&gt;0,1/ROUND(prodnorm40,4),0)</f>
        <v>0</v>
      </c>
      <c r="H31" s="36">
        <f>ROUND(dagwerk40,4+2)</f>
        <v>0</v>
      </c>
      <c r="I31" s="37">
        <f>ROUND(uurtarief40,2)</f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51.8</v>
      </c>
      <c r="P31" s="34">
        <v>0</v>
      </c>
      <c r="Q31" s="34">
        <v>0</v>
      </c>
      <c r="R31" s="34">
        <v>0</v>
      </c>
      <c r="S31" s="34">
        <v>0</v>
      </c>
    </row>
    <row r="32" spans="1:19" x14ac:dyDescent="0.2">
      <c r="A32" s="20" t="s">
        <v>185</v>
      </c>
      <c r="B32" s="20" t="s">
        <v>20</v>
      </c>
      <c r="C32" s="20" t="s">
        <v>561</v>
      </c>
      <c r="D32" s="20" t="s">
        <v>159</v>
      </c>
      <c r="E32" s="34">
        <f t="shared" si="0"/>
        <v>0.2</v>
      </c>
      <c r="F32" s="34">
        <v>1</v>
      </c>
      <c r="G32" s="34">
        <f>IF(prodnorm41&gt;0,1/ROUND(prodnorm41,4),0)</f>
        <v>0</v>
      </c>
      <c r="H32" s="36">
        <f>ROUND(dagwerk41,4+2)</f>
        <v>0</v>
      </c>
      <c r="I32" s="37">
        <f>ROUND(uurtarief41,2)</f>
        <v>0</v>
      </c>
      <c r="J32" s="34">
        <v>14.5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</row>
    <row r="33" spans="1:19" x14ac:dyDescent="0.2">
      <c r="A33" s="20" t="s">
        <v>185</v>
      </c>
      <c r="B33" s="20" t="s">
        <v>16</v>
      </c>
      <c r="C33" s="20" t="s">
        <v>561</v>
      </c>
      <c r="D33" s="20" t="s">
        <v>159</v>
      </c>
      <c r="E33" s="34">
        <f t="shared" si="0"/>
        <v>0.47</v>
      </c>
      <c r="F33" s="34">
        <v>1</v>
      </c>
      <c r="G33" s="34">
        <f>IF(prodnorm42&gt;0,1/ROUND(prodnorm42,4),0)</f>
        <v>0</v>
      </c>
      <c r="H33" s="36">
        <f>ROUND(dagwerk42,4+2)</f>
        <v>0</v>
      </c>
      <c r="I33" s="37">
        <f>ROUND(uurtarief42,2)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9.17</v>
      </c>
    </row>
    <row r="34" spans="1:19" x14ac:dyDescent="0.2">
      <c r="A34" s="20" t="s">
        <v>187</v>
      </c>
      <c r="B34" s="20" t="s">
        <v>18</v>
      </c>
      <c r="C34" s="20" t="s">
        <v>561</v>
      </c>
      <c r="D34" s="20" t="s">
        <v>159</v>
      </c>
      <c r="E34" s="34">
        <f t="shared" si="0"/>
        <v>0.4</v>
      </c>
      <c r="F34" s="34">
        <v>1</v>
      </c>
      <c r="G34" s="34">
        <f>IF(prodnorm43&gt;0,1/ROUND(prodnorm43,4),0)</f>
        <v>0</v>
      </c>
      <c r="H34" s="36">
        <f>ROUND(dagwerk43,4+2)</f>
        <v>0</v>
      </c>
      <c r="I34" s="37">
        <f>ROUND(uurtarief43,2)</f>
        <v>0</v>
      </c>
      <c r="J34" s="34">
        <v>0</v>
      </c>
      <c r="K34" s="34">
        <v>0</v>
      </c>
      <c r="L34" s="34">
        <v>50.3</v>
      </c>
      <c r="M34" s="34">
        <v>0</v>
      </c>
      <c r="N34" s="34">
        <v>0</v>
      </c>
      <c r="O34" s="34">
        <v>0</v>
      </c>
      <c r="P34" s="34">
        <v>55.7</v>
      </c>
      <c r="Q34" s="34">
        <v>0</v>
      </c>
      <c r="R34" s="34">
        <v>109.2</v>
      </c>
      <c r="S34" s="34">
        <v>0</v>
      </c>
    </row>
    <row r="35" spans="1:19" x14ac:dyDescent="0.2">
      <c r="A35" s="20" t="s">
        <v>189</v>
      </c>
      <c r="B35" s="20" t="s">
        <v>18</v>
      </c>
      <c r="C35" s="20" t="s">
        <v>561</v>
      </c>
      <c r="D35" s="20" t="s">
        <v>159</v>
      </c>
      <c r="E35" s="34">
        <f t="shared" si="0"/>
        <v>0.4</v>
      </c>
      <c r="F35" s="34">
        <v>1</v>
      </c>
      <c r="G35" s="34">
        <f>IF(prodnorm44&gt;0,1/ROUND(prodnorm44,4),0)</f>
        <v>0</v>
      </c>
      <c r="H35" s="36">
        <f>ROUND(dagwerk44,4+2)</f>
        <v>0</v>
      </c>
      <c r="I35" s="37">
        <f>ROUND(uurtarief44,2)</f>
        <v>0</v>
      </c>
      <c r="J35" s="34">
        <v>0</v>
      </c>
      <c r="K35" s="34">
        <v>0</v>
      </c>
      <c r="L35" s="34">
        <v>29.4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</row>
    <row r="36" spans="1:19" x14ac:dyDescent="0.2">
      <c r="A36" s="20" t="s">
        <v>191</v>
      </c>
      <c r="B36" s="20" t="s">
        <v>11</v>
      </c>
      <c r="C36" s="20" t="s">
        <v>561</v>
      </c>
      <c r="D36" s="20" t="s">
        <v>159</v>
      </c>
      <c r="E36" s="34">
        <f t="shared" si="0"/>
        <v>1</v>
      </c>
      <c r="F36" s="34">
        <v>1</v>
      </c>
      <c r="G36" s="34">
        <f>IF(prodnorm45&gt;0,1/ROUND(prodnorm45,4),0)</f>
        <v>0</v>
      </c>
      <c r="H36" s="36">
        <f>ROUND(dagwerk45,4+2)</f>
        <v>0</v>
      </c>
      <c r="I36" s="37">
        <f>ROUND(uurtarief45,2)</f>
        <v>0</v>
      </c>
      <c r="J36" s="34">
        <v>16.100000000000001</v>
      </c>
      <c r="K36" s="34">
        <v>0</v>
      </c>
      <c r="L36" s="34">
        <v>0</v>
      </c>
      <c r="M36" s="34">
        <v>0</v>
      </c>
      <c r="N36" s="34">
        <v>11.1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</row>
    <row r="37" spans="1:19" x14ac:dyDescent="0.2">
      <c r="A37" s="20" t="s">
        <v>193</v>
      </c>
      <c r="B37" s="20" t="s">
        <v>15</v>
      </c>
      <c r="C37" s="20" t="s">
        <v>561</v>
      </c>
      <c r="D37" s="20" t="s">
        <v>159</v>
      </c>
      <c r="E37" s="34">
        <f t="shared" ref="E37:E58" si="1">IF(B37="","",VLOOKUP(B37,dagsoorttabel1,2,FALSE))</f>
        <v>0.6</v>
      </c>
      <c r="F37" s="34">
        <v>1</v>
      </c>
      <c r="G37" s="34">
        <f>IF(prodnorm46&gt;0,1/ROUND(prodnorm46,4),0)</f>
        <v>0</v>
      </c>
      <c r="H37" s="36">
        <f>ROUND(dagwerk46,4+2)</f>
        <v>0</v>
      </c>
      <c r="I37" s="37">
        <f>ROUND(uurtarief46,2)</f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2.5</v>
      </c>
      <c r="S37" s="34">
        <v>0</v>
      </c>
    </row>
    <row r="38" spans="1:19" x14ac:dyDescent="0.2">
      <c r="A38" s="20" t="s">
        <v>193</v>
      </c>
      <c r="B38" s="20" t="s">
        <v>11</v>
      </c>
      <c r="C38" s="20" t="s">
        <v>561</v>
      </c>
      <c r="D38" s="20" t="s">
        <v>159</v>
      </c>
      <c r="E38" s="34">
        <f t="shared" si="1"/>
        <v>1</v>
      </c>
      <c r="F38" s="34">
        <v>1</v>
      </c>
      <c r="G38" s="34">
        <f>IF(prodnorm47&gt;0,1/ROUND(prodnorm47,4),0)</f>
        <v>0</v>
      </c>
      <c r="H38" s="36">
        <f>ROUND(dagwerk47,4+2)</f>
        <v>0</v>
      </c>
      <c r="I38" s="37">
        <f>ROUND(uurtarief47,2)</f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31.2</v>
      </c>
      <c r="S38" s="34">
        <v>0</v>
      </c>
    </row>
    <row r="39" spans="1:19" x14ac:dyDescent="0.2">
      <c r="A39" s="20" t="s">
        <v>195</v>
      </c>
      <c r="B39" s="20" t="s">
        <v>15</v>
      </c>
      <c r="C39" s="20" t="s">
        <v>561</v>
      </c>
      <c r="D39" s="20" t="s">
        <v>159</v>
      </c>
      <c r="E39" s="34">
        <f t="shared" si="1"/>
        <v>0.6</v>
      </c>
      <c r="F39" s="34">
        <v>1</v>
      </c>
      <c r="G39" s="34">
        <f>IF(prodnorm48&gt;0,1/ROUND(prodnorm48,4),0)</f>
        <v>0</v>
      </c>
      <c r="H39" s="36">
        <f>ROUND(dagwerk48,4+2)</f>
        <v>0</v>
      </c>
      <c r="I39" s="37">
        <f>ROUND(uurtarief48,2)</f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7</v>
      </c>
      <c r="S39" s="34">
        <v>0</v>
      </c>
    </row>
    <row r="40" spans="1:19" x14ac:dyDescent="0.2">
      <c r="A40" s="20" t="s">
        <v>195</v>
      </c>
      <c r="B40" s="20" t="s">
        <v>11</v>
      </c>
      <c r="C40" s="20" t="s">
        <v>561</v>
      </c>
      <c r="D40" s="20" t="s">
        <v>159</v>
      </c>
      <c r="E40" s="34">
        <f t="shared" si="1"/>
        <v>1</v>
      </c>
      <c r="F40" s="34">
        <v>1</v>
      </c>
      <c r="G40" s="34">
        <f>IF(prodnorm49&gt;0,1/ROUND(prodnorm49,4),0)</f>
        <v>0</v>
      </c>
      <c r="H40" s="36">
        <f>ROUND(dagwerk49,4+2)</f>
        <v>0</v>
      </c>
      <c r="I40" s="37">
        <f>ROUND(uurtarief49,2)</f>
        <v>0</v>
      </c>
      <c r="J40" s="34">
        <v>38.999999999999993</v>
      </c>
      <c r="K40" s="34">
        <v>54.81</v>
      </c>
      <c r="L40" s="34">
        <v>32.300000000000004</v>
      </c>
      <c r="M40" s="34">
        <v>71.400000000000006</v>
      </c>
      <c r="N40" s="34">
        <v>54.730000000000004</v>
      </c>
      <c r="O40" s="34">
        <v>46.8</v>
      </c>
      <c r="P40" s="34">
        <v>47</v>
      </c>
      <c r="Q40" s="34">
        <v>27.1</v>
      </c>
      <c r="R40" s="34">
        <v>89.9</v>
      </c>
      <c r="S40" s="34">
        <v>0</v>
      </c>
    </row>
    <row r="41" spans="1:19" x14ac:dyDescent="0.2">
      <c r="A41" s="20" t="s">
        <v>195</v>
      </c>
      <c r="B41" s="20" t="s">
        <v>20</v>
      </c>
      <c r="C41" s="20" t="s">
        <v>561</v>
      </c>
      <c r="D41" s="20" t="s">
        <v>159</v>
      </c>
      <c r="E41" s="34">
        <f t="shared" si="1"/>
        <v>0.2</v>
      </c>
      <c r="F41" s="34">
        <v>1</v>
      </c>
      <c r="G41" s="34">
        <f>IF(prodnorm50&gt;0,1/ROUND(prodnorm50,4),0)</f>
        <v>0</v>
      </c>
      <c r="H41" s="36">
        <f>ROUND(dagwerk50,4+2)</f>
        <v>0</v>
      </c>
      <c r="I41" s="37">
        <f>ROUND(uurtarief50,2)</f>
        <v>0</v>
      </c>
      <c r="J41" s="34">
        <v>0</v>
      </c>
      <c r="K41" s="34">
        <v>0</v>
      </c>
      <c r="L41" s="34">
        <v>5.4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</row>
    <row r="42" spans="1:19" x14ac:dyDescent="0.2">
      <c r="A42" s="20" t="s">
        <v>195</v>
      </c>
      <c r="B42" s="20" t="s">
        <v>16</v>
      </c>
      <c r="C42" s="20" t="s">
        <v>561</v>
      </c>
      <c r="D42" s="20" t="s">
        <v>159</v>
      </c>
      <c r="E42" s="34">
        <f t="shared" si="1"/>
        <v>0.47</v>
      </c>
      <c r="F42" s="34">
        <v>1</v>
      </c>
      <c r="G42" s="34">
        <f>IF(prodnorm51&gt;0,1/ROUND(prodnorm51,4),0)</f>
        <v>0</v>
      </c>
      <c r="H42" s="36">
        <f>ROUND(dagwerk51,4+2)</f>
        <v>0</v>
      </c>
      <c r="I42" s="37">
        <f>ROUND(uurtarief51,2)</f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6.92</v>
      </c>
    </row>
    <row r="43" spans="1:19" x14ac:dyDescent="0.2">
      <c r="A43" s="20" t="s">
        <v>197</v>
      </c>
      <c r="B43" s="20" t="s">
        <v>11</v>
      </c>
      <c r="C43" s="20" t="s">
        <v>561</v>
      </c>
      <c r="D43" s="20" t="s">
        <v>159</v>
      </c>
      <c r="E43" s="34">
        <f t="shared" si="1"/>
        <v>1</v>
      </c>
      <c r="F43" s="34">
        <v>1</v>
      </c>
      <c r="G43" s="34">
        <f>IF(prodnorm52&gt;0,1/ROUND(prodnorm52,4),0)</f>
        <v>0</v>
      </c>
      <c r="H43" s="36">
        <f>ROUND(dagwerk52,4+2)</f>
        <v>0</v>
      </c>
      <c r="I43" s="37">
        <f>ROUND(uurtarief52,2)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10</v>
      </c>
      <c r="P43" s="34">
        <v>0</v>
      </c>
      <c r="Q43" s="34">
        <v>0</v>
      </c>
      <c r="R43" s="34">
        <v>0</v>
      </c>
      <c r="S43" s="34">
        <v>0</v>
      </c>
    </row>
    <row r="44" spans="1:19" x14ac:dyDescent="0.2">
      <c r="A44" s="20" t="s">
        <v>199</v>
      </c>
      <c r="B44" s="20" t="s">
        <v>11</v>
      </c>
      <c r="C44" s="20" t="s">
        <v>561</v>
      </c>
      <c r="D44" s="20" t="s">
        <v>159</v>
      </c>
      <c r="E44" s="34">
        <f t="shared" si="1"/>
        <v>1</v>
      </c>
      <c r="F44" s="34">
        <v>1</v>
      </c>
      <c r="G44" s="34">
        <f>IF(prodnorm53&gt;0,1/ROUND(prodnorm53,4),0)</f>
        <v>0</v>
      </c>
      <c r="H44" s="36">
        <f>ROUND(dagwerk53,4+2)</f>
        <v>0</v>
      </c>
      <c r="I44" s="37">
        <f>ROUND(uurtarief53,2)</f>
        <v>0</v>
      </c>
      <c r="J44" s="34">
        <v>157</v>
      </c>
      <c r="K44" s="34">
        <v>269.62</v>
      </c>
      <c r="L44" s="34">
        <v>95.3</v>
      </c>
      <c r="M44" s="34">
        <v>219.70000000000002</v>
      </c>
      <c r="N44" s="34">
        <v>215.02</v>
      </c>
      <c r="O44" s="34">
        <v>0</v>
      </c>
      <c r="P44" s="34">
        <v>358.17</v>
      </c>
      <c r="Q44" s="34">
        <v>123.60000000000001</v>
      </c>
      <c r="R44" s="34">
        <v>467.09999999999997</v>
      </c>
      <c r="S44" s="34">
        <v>0</v>
      </c>
    </row>
    <row r="45" spans="1:19" x14ac:dyDescent="0.2">
      <c r="A45" s="20" t="s">
        <v>199</v>
      </c>
      <c r="B45" s="20" t="s">
        <v>20</v>
      </c>
      <c r="C45" s="20" t="s">
        <v>561</v>
      </c>
      <c r="D45" s="20" t="s">
        <v>159</v>
      </c>
      <c r="E45" s="34">
        <f t="shared" si="1"/>
        <v>0.2</v>
      </c>
      <c r="F45" s="34">
        <v>1</v>
      </c>
      <c r="G45" s="34">
        <f>IF(prodnorm54&gt;0,1/ROUND(prodnorm54,4),0)</f>
        <v>0</v>
      </c>
      <c r="H45" s="36">
        <f>ROUND(dagwerk54,4+2)</f>
        <v>0</v>
      </c>
      <c r="I45" s="37">
        <f>ROUND(uurtarief54,2)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3</v>
      </c>
      <c r="S45" s="34">
        <v>0</v>
      </c>
    </row>
    <row r="46" spans="1:19" x14ac:dyDescent="0.2">
      <c r="A46" s="20" t="s">
        <v>199</v>
      </c>
      <c r="B46" s="20" t="s">
        <v>16</v>
      </c>
      <c r="C46" s="20" t="s">
        <v>561</v>
      </c>
      <c r="D46" s="20" t="s">
        <v>159</v>
      </c>
      <c r="E46" s="34">
        <f t="shared" si="1"/>
        <v>0.47</v>
      </c>
      <c r="F46" s="34">
        <v>1</v>
      </c>
      <c r="G46" s="34">
        <f>IF(prodnorm55&gt;0,1/ROUND(prodnorm55,4),0)</f>
        <v>0</v>
      </c>
      <c r="H46" s="36">
        <f>ROUND(dagwerk55,4+2)</f>
        <v>0</v>
      </c>
      <c r="I46" s="37">
        <f>ROUND(uurtarief55,2)</f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14.1</v>
      </c>
    </row>
    <row r="47" spans="1:19" x14ac:dyDescent="0.2">
      <c r="A47" s="20" t="s">
        <v>201</v>
      </c>
      <c r="B47" s="20" t="s">
        <v>11</v>
      </c>
      <c r="C47" s="20" t="s">
        <v>561</v>
      </c>
      <c r="D47" s="20" t="s">
        <v>159</v>
      </c>
      <c r="E47" s="34">
        <f t="shared" si="1"/>
        <v>1</v>
      </c>
      <c r="F47" s="34">
        <v>1</v>
      </c>
      <c r="G47" s="34">
        <f>IF(prodnorm56&gt;0,1/ROUND(prodnorm56,4),0)</f>
        <v>0</v>
      </c>
      <c r="H47" s="36">
        <f>ROUND(dagwerk56,4+2)</f>
        <v>0</v>
      </c>
      <c r="I47" s="37">
        <f>ROUND(uurtarief56,2)</f>
        <v>0</v>
      </c>
      <c r="J47" s="34">
        <v>0</v>
      </c>
      <c r="K47" s="34">
        <v>0</v>
      </c>
      <c r="L47" s="34">
        <v>46.57</v>
      </c>
      <c r="M47" s="34">
        <v>67.7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</row>
    <row r="48" spans="1:19" x14ac:dyDescent="0.2">
      <c r="A48" s="20" t="s">
        <v>203</v>
      </c>
      <c r="B48" s="20" t="s">
        <v>11</v>
      </c>
      <c r="C48" s="20" t="s">
        <v>561</v>
      </c>
      <c r="D48" s="20" t="s">
        <v>159</v>
      </c>
      <c r="E48" s="34">
        <f t="shared" si="1"/>
        <v>1</v>
      </c>
      <c r="F48" s="34">
        <v>1</v>
      </c>
      <c r="G48" s="34">
        <f>IF(prodnorm57&gt;0,1/ROUND(prodnorm57,4),0)</f>
        <v>0</v>
      </c>
      <c r="H48" s="36">
        <f>ROUND(dagwerk57,4+2)</f>
        <v>0</v>
      </c>
      <c r="I48" s="37">
        <f>ROUND(uurtarief57,2)</f>
        <v>0</v>
      </c>
      <c r="J48" s="34">
        <v>4.8</v>
      </c>
      <c r="K48" s="34">
        <v>0</v>
      </c>
      <c r="L48" s="34">
        <v>0</v>
      </c>
      <c r="M48" s="34">
        <v>0</v>
      </c>
      <c r="N48" s="34">
        <v>20.46</v>
      </c>
      <c r="O48" s="34">
        <v>0</v>
      </c>
      <c r="P48" s="34">
        <v>0</v>
      </c>
      <c r="Q48" s="34">
        <v>6.8000000000000007</v>
      </c>
      <c r="R48" s="34">
        <v>19</v>
      </c>
      <c r="S48" s="34">
        <v>0</v>
      </c>
    </row>
    <row r="49" spans="1:19" x14ac:dyDescent="0.2">
      <c r="A49" s="20" t="s">
        <v>205</v>
      </c>
      <c r="B49" s="20" t="s">
        <v>11</v>
      </c>
      <c r="C49" s="20" t="s">
        <v>561</v>
      </c>
      <c r="D49" s="20" t="s">
        <v>159</v>
      </c>
      <c r="E49" s="34">
        <f t="shared" si="1"/>
        <v>1</v>
      </c>
      <c r="F49" s="34">
        <v>1</v>
      </c>
      <c r="G49" s="34">
        <f>IF(prodnorm58&gt;0,1/ROUND(prodnorm58,4),0)</f>
        <v>0</v>
      </c>
      <c r="H49" s="36">
        <f>ROUND(dagwerk58,4+2)</f>
        <v>0</v>
      </c>
      <c r="I49" s="37">
        <f>ROUND(uurtarief58,2)</f>
        <v>0</v>
      </c>
      <c r="J49" s="34">
        <v>6.4</v>
      </c>
      <c r="K49" s="34">
        <v>14.94</v>
      </c>
      <c r="L49" s="34">
        <v>17.799999999999997</v>
      </c>
      <c r="M49" s="34">
        <v>20.6</v>
      </c>
      <c r="N49" s="34">
        <v>0</v>
      </c>
      <c r="O49" s="34">
        <v>34.4</v>
      </c>
      <c r="P49" s="34">
        <v>36.299999999999997</v>
      </c>
      <c r="Q49" s="34">
        <v>0</v>
      </c>
      <c r="R49" s="34">
        <v>14.3</v>
      </c>
      <c r="S49" s="34">
        <v>0</v>
      </c>
    </row>
    <row r="50" spans="1:19" x14ac:dyDescent="0.2">
      <c r="A50" s="20" t="s">
        <v>205</v>
      </c>
      <c r="B50" s="20" t="s">
        <v>16</v>
      </c>
      <c r="C50" s="20" t="s">
        <v>561</v>
      </c>
      <c r="D50" s="20" t="s">
        <v>159</v>
      </c>
      <c r="E50" s="34">
        <f t="shared" si="1"/>
        <v>0.47</v>
      </c>
      <c r="F50" s="34">
        <v>1</v>
      </c>
      <c r="G50" s="34">
        <f>IF(prodnorm59&gt;0,1/ROUND(prodnorm59,4),0)</f>
        <v>0</v>
      </c>
      <c r="H50" s="36">
        <f>ROUND(dagwerk59,4+2)</f>
        <v>0</v>
      </c>
      <c r="I50" s="37">
        <f>ROUND(uurtarief59,2)</f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3.9099999999999997</v>
      </c>
    </row>
    <row r="51" spans="1:19" x14ac:dyDescent="0.2">
      <c r="A51" s="20" t="s">
        <v>207</v>
      </c>
      <c r="B51" s="20" t="s">
        <v>11</v>
      </c>
      <c r="C51" s="20" t="s">
        <v>561</v>
      </c>
      <c r="D51" s="20" t="s">
        <v>159</v>
      </c>
      <c r="E51" s="34">
        <f t="shared" si="1"/>
        <v>1</v>
      </c>
      <c r="F51" s="34">
        <v>1</v>
      </c>
      <c r="G51" s="34">
        <f>IF(prodnorm60&gt;0,1/ROUND(prodnorm60,4),0)</f>
        <v>0</v>
      </c>
      <c r="H51" s="36">
        <f>ROUND(dagwerk60,4+2)</f>
        <v>0</v>
      </c>
      <c r="I51" s="37">
        <f>ROUND(uurtarief60,2)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3.9</v>
      </c>
      <c r="O51" s="34">
        <v>161.19999999999999</v>
      </c>
      <c r="P51" s="34">
        <v>0</v>
      </c>
      <c r="Q51" s="34">
        <v>23.7</v>
      </c>
      <c r="R51" s="34">
        <v>4.5999999999999996</v>
      </c>
      <c r="S51" s="34">
        <v>0</v>
      </c>
    </row>
    <row r="52" spans="1:19" x14ac:dyDescent="0.2">
      <c r="A52" s="20" t="s">
        <v>207</v>
      </c>
      <c r="B52" s="20" t="s">
        <v>20</v>
      </c>
      <c r="C52" s="20" t="s">
        <v>561</v>
      </c>
      <c r="D52" s="20" t="s">
        <v>159</v>
      </c>
      <c r="E52" s="34">
        <f t="shared" si="1"/>
        <v>0.2</v>
      </c>
      <c r="F52" s="34">
        <v>1</v>
      </c>
      <c r="G52" s="34">
        <f>IF(prodnorm61&gt;0,1/ROUND(prodnorm61,4),0)</f>
        <v>0</v>
      </c>
      <c r="H52" s="36">
        <f>ROUND(dagwerk61,4+2)</f>
        <v>0</v>
      </c>
      <c r="I52" s="37">
        <f>ROUND(uurtarief61,2)</f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34.4</v>
      </c>
      <c r="P52" s="34">
        <v>0</v>
      </c>
      <c r="Q52" s="34">
        <v>0</v>
      </c>
      <c r="R52" s="34">
        <v>11.7</v>
      </c>
      <c r="S52" s="34">
        <v>0</v>
      </c>
    </row>
    <row r="53" spans="1:19" x14ac:dyDescent="0.2">
      <c r="A53" s="20" t="s">
        <v>209</v>
      </c>
      <c r="B53" s="20" t="s">
        <v>11</v>
      </c>
      <c r="C53" s="20" t="s">
        <v>561</v>
      </c>
      <c r="D53" s="20" t="s">
        <v>159</v>
      </c>
      <c r="E53" s="34">
        <f t="shared" si="1"/>
        <v>1</v>
      </c>
      <c r="F53" s="34">
        <v>1</v>
      </c>
      <c r="G53" s="34">
        <f>IF(prodnorm62&gt;0,1/ROUND(prodnorm62,4),0)</f>
        <v>0</v>
      </c>
      <c r="H53" s="36">
        <f>ROUND(dagwerk62,4+2)</f>
        <v>0</v>
      </c>
      <c r="I53" s="37">
        <f>ROUND(uurtarief62,2)</f>
        <v>0</v>
      </c>
      <c r="J53" s="34">
        <v>27.2</v>
      </c>
      <c r="K53" s="34">
        <v>0</v>
      </c>
      <c r="L53" s="34">
        <v>0</v>
      </c>
      <c r="M53" s="34">
        <v>0</v>
      </c>
      <c r="N53" s="34">
        <v>0</v>
      </c>
      <c r="O53" s="34">
        <v>52.1</v>
      </c>
      <c r="P53" s="34">
        <v>55.7</v>
      </c>
      <c r="Q53" s="34">
        <v>0</v>
      </c>
      <c r="R53" s="34">
        <v>0</v>
      </c>
      <c r="S53" s="34">
        <v>0</v>
      </c>
    </row>
    <row r="54" spans="1:19" x14ac:dyDescent="0.2">
      <c r="A54" s="20" t="s">
        <v>209</v>
      </c>
      <c r="B54" s="20" t="s">
        <v>9</v>
      </c>
      <c r="C54" s="20" t="s">
        <v>561</v>
      </c>
      <c r="D54" s="20" t="s">
        <v>159</v>
      </c>
      <c r="E54" s="34">
        <f t="shared" si="1"/>
        <v>1.2749999999999999</v>
      </c>
      <c r="F54" s="34">
        <v>1</v>
      </c>
      <c r="G54" s="34">
        <f>IF(prodnorm63&gt;0,1/ROUND(prodnorm63,4),0)</f>
        <v>0</v>
      </c>
      <c r="H54" s="36">
        <f>ROUND(dagwerk63,4+2)</f>
        <v>0</v>
      </c>
      <c r="I54" s="37">
        <f>ROUND(uurtarief63,2)</f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54</v>
      </c>
      <c r="R54" s="34">
        <v>0</v>
      </c>
      <c r="S54" s="34">
        <v>0</v>
      </c>
    </row>
    <row r="55" spans="1:19" x14ac:dyDescent="0.2">
      <c r="A55" s="20" t="s">
        <v>211</v>
      </c>
      <c r="B55" s="20" t="s">
        <v>11</v>
      </c>
      <c r="C55" s="20" t="s">
        <v>561</v>
      </c>
      <c r="D55" s="20" t="s">
        <v>159</v>
      </c>
      <c r="E55" s="34">
        <f t="shared" si="1"/>
        <v>1</v>
      </c>
      <c r="F55" s="34">
        <v>1</v>
      </c>
      <c r="G55" s="34">
        <f>IF(prodnorm64&gt;0,1/ROUND(prodnorm64,4),0)</f>
        <v>0</v>
      </c>
      <c r="H55" s="36">
        <f>ROUND(dagwerk64,4+2)</f>
        <v>0</v>
      </c>
      <c r="I55" s="37">
        <f>ROUND(uurtarief64,2)</f>
        <v>0</v>
      </c>
      <c r="J55" s="34">
        <v>4.9700000000000006</v>
      </c>
      <c r="K55" s="34">
        <v>7.3599999999999994</v>
      </c>
      <c r="L55" s="34">
        <v>0</v>
      </c>
      <c r="M55" s="34">
        <v>0</v>
      </c>
      <c r="N55" s="34">
        <v>0</v>
      </c>
      <c r="O55" s="34">
        <v>180</v>
      </c>
      <c r="P55" s="34">
        <v>41</v>
      </c>
      <c r="Q55" s="34">
        <v>0</v>
      </c>
      <c r="R55" s="34">
        <v>28.98</v>
      </c>
      <c r="S55" s="34">
        <v>0</v>
      </c>
    </row>
    <row r="56" spans="1:19" x14ac:dyDescent="0.2">
      <c r="A56" s="20" t="s">
        <v>211</v>
      </c>
      <c r="B56" s="20" t="s">
        <v>20</v>
      </c>
      <c r="C56" s="20" t="s">
        <v>561</v>
      </c>
      <c r="D56" s="20" t="s">
        <v>159</v>
      </c>
      <c r="E56" s="34">
        <f t="shared" si="1"/>
        <v>0.2</v>
      </c>
      <c r="F56" s="34">
        <v>1</v>
      </c>
      <c r="G56" s="34">
        <f>IF(prodnorm65&gt;0,1/ROUND(prodnorm65,4),0)</f>
        <v>0</v>
      </c>
      <c r="H56" s="36">
        <f>ROUND(dagwerk65,4+2)</f>
        <v>0</v>
      </c>
      <c r="I56" s="37">
        <f>ROUND(uurtarief65,2)</f>
        <v>0</v>
      </c>
      <c r="J56" s="34">
        <v>0</v>
      </c>
      <c r="K56" s="34">
        <v>0</v>
      </c>
      <c r="L56" s="34">
        <v>0</v>
      </c>
      <c r="M56" s="34">
        <v>0</v>
      </c>
      <c r="N56" s="34">
        <v>5.3599999999999994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</row>
    <row r="57" spans="1:19" x14ac:dyDescent="0.2">
      <c r="A57" s="20" t="s">
        <v>211</v>
      </c>
      <c r="B57" s="20" t="s">
        <v>18</v>
      </c>
      <c r="C57" s="20" t="s">
        <v>561</v>
      </c>
      <c r="D57" s="20" t="s">
        <v>159</v>
      </c>
      <c r="E57" s="34">
        <f t="shared" si="1"/>
        <v>0.4</v>
      </c>
      <c r="F57" s="34">
        <v>1</v>
      </c>
      <c r="G57" s="34">
        <f>IF(prodnorm66&gt;0,1/ROUND(prodnorm66,4),0)</f>
        <v>0</v>
      </c>
      <c r="H57" s="36">
        <f>ROUND(dagwerk66,4+2)</f>
        <v>0</v>
      </c>
      <c r="I57" s="37">
        <f>ROUND(uurtarief66,2)</f>
        <v>0</v>
      </c>
      <c r="J57" s="34">
        <v>6.7800000000000011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9.8000000000000007</v>
      </c>
      <c r="S57" s="34">
        <v>0</v>
      </c>
    </row>
    <row r="58" spans="1:19" x14ac:dyDescent="0.2">
      <c r="A58" s="25" t="s">
        <v>213</v>
      </c>
      <c r="B58" s="25" t="s">
        <v>13</v>
      </c>
      <c r="C58" s="25" t="s">
        <v>561</v>
      </c>
      <c r="D58" s="25" t="s">
        <v>214</v>
      </c>
      <c r="E58" s="38">
        <f t="shared" si="1"/>
        <v>0.8</v>
      </c>
      <c r="F58" s="38">
        <v>1</v>
      </c>
      <c r="G58" s="38">
        <f>IF(prodnorm13&gt;0,1/ROUND(prodnorm13,4),0)</f>
        <v>0</v>
      </c>
      <c r="H58" s="80">
        <f>ROUND(dagwerk13,4+2)</f>
        <v>0</v>
      </c>
      <c r="I58" s="40">
        <f>ROUND(uurtarief13,2)</f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111.4</v>
      </c>
      <c r="Q58" s="38">
        <v>69.7</v>
      </c>
      <c r="R58" s="38">
        <v>95.8</v>
      </c>
      <c r="S58" s="38">
        <v>0</v>
      </c>
    </row>
    <row r="59" spans="1:19" x14ac:dyDescent="0.2">
      <c r="A59" s="42" t="s">
        <v>216</v>
      </c>
      <c r="B59" s="43"/>
      <c r="C59" s="43"/>
      <c r="D59" s="43"/>
      <c r="E59" s="43"/>
      <c r="F59" s="43"/>
      <c r="G59" s="43"/>
      <c r="H59" s="43"/>
      <c r="I59" s="43"/>
      <c r="J59" s="81"/>
      <c r="K59" s="81"/>
      <c r="L59" s="81"/>
      <c r="M59" s="81"/>
      <c r="N59" s="81"/>
      <c r="O59" s="81"/>
      <c r="P59" s="81"/>
      <c r="Q59" s="81"/>
      <c r="R59" s="81"/>
      <c r="S59" s="81"/>
    </row>
  </sheetData>
  <pageMargins left="0.7" right="0.7" top="0.75" bottom="0.75" header="0.3" footer="0.3"/>
  <pageSetup scale="70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C760-BE41-4905-9221-659DB10B8029}">
  <dimension ref="A1:Q21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7" width="13.625" customWidth="1"/>
  </cols>
  <sheetData>
    <row r="1" spans="1:17" x14ac:dyDescent="0.2">
      <c r="A1" s="1" t="str">
        <f>CONCATENATE("Bijlage H.4: ",tabeltype," objecten")</f>
        <v>Bijlage H.4: Invultabel objecten</v>
      </c>
    </row>
    <row r="3" spans="1:17" ht="51" x14ac:dyDescent="0.2">
      <c r="A3" s="8" t="s">
        <v>219</v>
      </c>
      <c r="B3" s="8" t="s">
        <v>562</v>
      </c>
      <c r="C3" s="8" t="s">
        <v>563</v>
      </c>
      <c r="D3" s="8" t="s">
        <v>564</v>
      </c>
      <c r="E3" s="8" t="s">
        <v>7</v>
      </c>
      <c r="F3" s="8" t="s">
        <v>565</v>
      </c>
      <c r="G3" s="8" t="s">
        <v>566</v>
      </c>
      <c r="H3" s="8" t="s">
        <v>567</v>
      </c>
      <c r="I3" s="8" t="s">
        <v>568</v>
      </c>
      <c r="J3" s="8" t="s">
        <v>569</v>
      </c>
      <c r="K3" s="8" t="s">
        <v>570</v>
      </c>
      <c r="L3" s="8" t="s">
        <v>571</v>
      </c>
      <c r="M3" s="8" t="s">
        <v>572</v>
      </c>
      <c r="N3" s="8" t="s">
        <v>573</v>
      </c>
      <c r="O3" s="8" t="s">
        <v>574</v>
      </c>
      <c r="P3" s="8" t="s">
        <v>156</v>
      </c>
      <c r="Q3" s="8" t="s">
        <v>575</v>
      </c>
    </row>
    <row r="4" spans="1:17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x14ac:dyDescent="0.2">
      <c r="A6" s="15" t="s">
        <v>229</v>
      </c>
      <c r="B6" s="82" t="s">
        <v>576</v>
      </c>
      <c r="C6" s="15" t="s">
        <v>577</v>
      </c>
      <c r="D6" s="15" t="s">
        <v>578</v>
      </c>
      <c r="E6" s="83" t="s">
        <v>11</v>
      </c>
      <c r="F6" s="84">
        <f t="shared" ref="F6:F15" si="0"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85"/>
      <c r="J6" s="30">
        <f t="shared" ref="J6:J15" si="1">H6+I6</f>
        <v>0</v>
      </c>
      <c r="K6" s="30">
        <f t="shared" ref="K6:K15" si="2">G6+I6</f>
        <v>0</v>
      </c>
      <c r="L6" s="33">
        <f>SUMPRODUCT(taakfreqtabel1,kengetaltabel1,tarieftabel1,object1_opptabel1)*(1/VLOOKUP(E6,dagsoorttabel1,2,FALSE))</f>
        <v>0</v>
      </c>
      <c r="M6" s="33">
        <f t="shared" ref="M6:M15" si="3">F6*I6</f>
        <v>0</v>
      </c>
      <c r="N6" s="33">
        <f t="shared" ref="N6:N15" si="4">SUM(L6:M6)</f>
        <v>0</v>
      </c>
      <c r="O6" s="30">
        <f t="shared" ref="O6:O15" si="5">J6*dagenperjaar1*VLOOKUP(E6,dagsoorttabel1,2,FALSE)</f>
        <v>0</v>
      </c>
      <c r="P6" s="30">
        <f t="shared" ref="P6:P15" si="6">K6*dagenperjaar1*VLOOKUP(E6,dagsoorttabel1,2,FALSE)</f>
        <v>0</v>
      </c>
      <c r="Q6" s="33">
        <f t="shared" ref="Q6:Q15" si="7">N6*dagenperjaar1*VLOOKUP(E6,dagsoorttabel1,2,FALSE)</f>
        <v>0</v>
      </c>
    </row>
    <row r="7" spans="1:17" x14ac:dyDescent="0.2">
      <c r="A7" s="20" t="s">
        <v>321</v>
      </c>
      <c r="B7" s="20" t="s">
        <v>579</v>
      </c>
      <c r="C7" s="20" t="s">
        <v>580</v>
      </c>
      <c r="D7" s="20" t="s">
        <v>578</v>
      </c>
      <c r="E7" s="86" t="s">
        <v>11</v>
      </c>
      <c r="F7" s="87">
        <f t="shared" si="0"/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88"/>
      <c r="J7" s="34">
        <f t="shared" si="1"/>
        <v>0</v>
      </c>
      <c r="K7" s="34">
        <f t="shared" si="2"/>
        <v>0</v>
      </c>
      <c r="L7" s="37">
        <f>SUMPRODUCT(taakfreqtabel1,kengetaltabel1,tarieftabel1,object2_opptabel1)*(1/VLOOKUP(E7,dagsoorttabel1,2,FALSE))</f>
        <v>0</v>
      </c>
      <c r="M7" s="37">
        <f t="shared" si="3"/>
        <v>0</v>
      </c>
      <c r="N7" s="37">
        <f t="shared" si="4"/>
        <v>0</v>
      </c>
      <c r="O7" s="34">
        <f t="shared" si="5"/>
        <v>0</v>
      </c>
      <c r="P7" s="34">
        <f t="shared" si="6"/>
        <v>0</v>
      </c>
      <c r="Q7" s="37">
        <f t="shared" si="7"/>
        <v>0</v>
      </c>
    </row>
    <row r="8" spans="1:17" x14ac:dyDescent="0.2">
      <c r="A8" s="20" t="s">
        <v>368</v>
      </c>
      <c r="B8" s="20" t="s">
        <v>581</v>
      </c>
      <c r="C8" s="20" t="s">
        <v>582</v>
      </c>
      <c r="D8" s="20" t="s">
        <v>583</v>
      </c>
      <c r="E8" s="86" t="s">
        <v>11</v>
      </c>
      <c r="F8" s="87">
        <f t="shared" si="0"/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88"/>
      <c r="J8" s="34">
        <f t="shared" si="1"/>
        <v>0</v>
      </c>
      <c r="K8" s="34">
        <f t="shared" si="2"/>
        <v>0</v>
      </c>
      <c r="L8" s="37">
        <f>SUMPRODUCT(taakfreqtabel1,kengetaltabel1,tarieftabel1,object3_opptabel1)*(1/VLOOKUP(E8,dagsoorttabel1,2,FALSE))</f>
        <v>0</v>
      </c>
      <c r="M8" s="37">
        <f t="shared" si="3"/>
        <v>0</v>
      </c>
      <c r="N8" s="37">
        <f t="shared" si="4"/>
        <v>0</v>
      </c>
      <c r="O8" s="34">
        <f t="shared" si="5"/>
        <v>0</v>
      </c>
      <c r="P8" s="34">
        <f t="shared" si="6"/>
        <v>0</v>
      </c>
      <c r="Q8" s="37">
        <f t="shared" si="7"/>
        <v>0</v>
      </c>
    </row>
    <row r="9" spans="1:17" x14ac:dyDescent="0.2">
      <c r="A9" s="20" t="s">
        <v>395</v>
      </c>
      <c r="B9" s="20" t="s">
        <v>584</v>
      </c>
      <c r="C9" s="20" t="s">
        <v>585</v>
      </c>
      <c r="D9" s="20" t="s">
        <v>583</v>
      </c>
      <c r="E9" s="86" t="s">
        <v>11</v>
      </c>
      <c r="F9" s="87">
        <f t="shared" si="0"/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88"/>
      <c r="J9" s="34">
        <f t="shared" si="1"/>
        <v>0</v>
      </c>
      <c r="K9" s="34">
        <f t="shared" si="2"/>
        <v>0</v>
      </c>
      <c r="L9" s="37">
        <f>SUMPRODUCT(taakfreqtabel1,kengetaltabel1,tarieftabel1,object4_opptabel1)*(1/VLOOKUP(E9,dagsoorttabel1,2,FALSE))</f>
        <v>0</v>
      </c>
      <c r="M9" s="37">
        <f t="shared" si="3"/>
        <v>0</v>
      </c>
      <c r="N9" s="37">
        <f t="shared" si="4"/>
        <v>0</v>
      </c>
      <c r="O9" s="34">
        <f t="shared" si="5"/>
        <v>0</v>
      </c>
      <c r="P9" s="34">
        <f t="shared" si="6"/>
        <v>0</v>
      </c>
      <c r="Q9" s="37">
        <f t="shared" si="7"/>
        <v>0</v>
      </c>
    </row>
    <row r="10" spans="1:17" x14ac:dyDescent="0.2">
      <c r="A10" s="20" t="s">
        <v>415</v>
      </c>
      <c r="B10" s="20" t="s">
        <v>586</v>
      </c>
      <c r="C10" s="20" t="s">
        <v>587</v>
      </c>
      <c r="D10" s="20" t="s">
        <v>583</v>
      </c>
      <c r="E10" s="86" t="s">
        <v>11</v>
      </c>
      <c r="F10" s="87">
        <f t="shared" si="0"/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88"/>
      <c r="J10" s="34">
        <f t="shared" si="1"/>
        <v>0</v>
      </c>
      <c r="K10" s="34">
        <f t="shared" si="2"/>
        <v>0</v>
      </c>
      <c r="L10" s="37">
        <f>SUMPRODUCT(taakfreqtabel1,kengetaltabel1,tarieftabel1,object5_opptabel1)*(1/VLOOKUP(E10,dagsoorttabel1,2,FALSE))</f>
        <v>0</v>
      </c>
      <c r="M10" s="37">
        <f t="shared" si="3"/>
        <v>0</v>
      </c>
      <c r="N10" s="37">
        <f t="shared" si="4"/>
        <v>0</v>
      </c>
      <c r="O10" s="34">
        <f t="shared" si="5"/>
        <v>0</v>
      </c>
      <c r="P10" s="34">
        <f t="shared" si="6"/>
        <v>0</v>
      </c>
      <c r="Q10" s="37">
        <f t="shared" si="7"/>
        <v>0</v>
      </c>
    </row>
    <row r="11" spans="1:17" x14ac:dyDescent="0.2">
      <c r="A11" s="20" t="s">
        <v>448</v>
      </c>
      <c r="B11" s="20" t="s">
        <v>588</v>
      </c>
      <c r="C11" s="20" t="s">
        <v>589</v>
      </c>
      <c r="D11" s="20" t="s">
        <v>583</v>
      </c>
      <c r="E11" s="86" t="s">
        <v>11</v>
      </c>
      <c r="F11" s="87">
        <f t="shared" si="0"/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88"/>
      <c r="J11" s="34">
        <f t="shared" si="1"/>
        <v>0</v>
      </c>
      <c r="K11" s="34">
        <f t="shared" si="2"/>
        <v>0</v>
      </c>
      <c r="L11" s="37">
        <f>SUMPRODUCT(taakfreqtabel1,kengetaltabel1,tarieftabel1,object6_opptabel1)*(1/VLOOKUP(E11,dagsoorttabel1,2,FALSE))</f>
        <v>0</v>
      </c>
      <c r="M11" s="37">
        <f t="shared" si="3"/>
        <v>0</v>
      </c>
      <c r="N11" s="37">
        <f t="shared" si="4"/>
        <v>0</v>
      </c>
      <c r="O11" s="34">
        <f t="shared" si="5"/>
        <v>0</v>
      </c>
      <c r="P11" s="34">
        <f t="shared" si="6"/>
        <v>0</v>
      </c>
      <c r="Q11" s="37">
        <f t="shared" si="7"/>
        <v>0</v>
      </c>
    </row>
    <row r="12" spans="1:17" x14ac:dyDescent="0.2">
      <c r="A12" s="20" t="s">
        <v>468</v>
      </c>
      <c r="B12" s="20" t="s">
        <v>590</v>
      </c>
      <c r="C12" s="20" t="s">
        <v>591</v>
      </c>
      <c r="D12" s="20" t="s">
        <v>583</v>
      </c>
      <c r="E12" s="86" t="s">
        <v>11</v>
      </c>
      <c r="F12" s="87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88"/>
      <c r="J12" s="34">
        <f t="shared" si="1"/>
        <v>0</v>
      </c>
      <c r="K12" s="34">
        <f t="shared" si="2"/>
        <v>0</v>
      </c>
      <c r="L12" s="37">
        <f>SUMPRODUCT(taakfreqtabel1,kengetaltabel1,tarieftabel1,object7_opptabel1)*(1/VLOOKUP(E12,dagsoorttabel1,2,FALSE))</f>
        <v>0</v>
      </c>
      <c r="M12" s="37">
        <f t="shared" si="3"/>
        <v>0</v>
      </c>
      <c r="N12" s="37">
        <f t="shared" si="4"/>
        <v>0</v>
      </c>
      <c r="O12" s="34">
        <f t="shared" si="5"/>
        <v>0</v>
      </c>
      <c r="P12" s="34">
        <f t="shared" si="6"/>
        <v>0</v>
      </c>
      <c r="Q12" s="37">
        <f t="shared" si="7"/>
        <v>0</v>
      </c>
    </row>
    <row r="13" spans="1:17" x14ac:dyDescent="0.2">
      <c r="A13" s="20" t="s">
        <v>477</v>
      </c>
      <c r="B13" s="20" t="s">
        <v>592</v>
      </c>
      <c r="C13" s="20" t="s">
        <v>593</v>
      </c>
      <c r="D13" s="20" t="s">
        <v>594</v>
      </c>
      <c r="E13" s="86" t="s">
        <v>9</v>
      </c>
      <c r="F13" s="87">
        <f t="shared" si="0"/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88"/>
      <c r="J13" s="34">
        <f t="shared" si="1"/>
        <v>0</v>
      </c>
      <c r="K13" s="34">
        <f t="shared" si="2"/>
        <v>0</v>
      </c>
      <c r="L13" s="37">
        <f>SUMPRODUCT(taakfreqtabel1,kengetaltabel1,tarieftabel1,object8_opptabel1)*(1/VLOOKUP(E13,dagsoorttabel1,2,FALSE))</f>
        <v>0</v>
      </c>
      <c r="M13" s="37">
        <f t="shared" si="3"/>
        <v>0</v>
      </c>
      <c r="N13" s="37">
        <f t="shared" si="4"/>
        <v>0</v>
      </c>
      <c r="O13" s="34">
        <f t="shared" si="5"/>
        <v>0</v>
      </c>
      <c r="P13" s="34">
        <f t="shared" si="6"/>
        <v>0</v>
      </c>
      <c r="Q13" s="37">
        <f t="shared" si="7"/>
        <v>0</v>
      </c>
    </row>
    <row r="14" spans="1:17" x14ac:dyDescent="0.2">
      <c r="A14" s="20" t="s">
        <v>487</v>
      </c>
      <c r="B14" s="20" t="s">
        <v>595</v>
      </c>
      <c r="C14" s="20" t="s">
        <v>596</v>
      </c>
      <c r="D14" s="20" t="s">
        <v>583</v>
      </c>
      <c r="E14" s="86" t="s">
        <v>11</v>
      </c>
      <c r="F14" s="87">
        <f t="shared" si="0"/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88"/>
      <c r="J14" s="34">
        <f t="shared" si="1"/>
        <v>0</v>
      </c>
      <c r="K14" s="34">
        <f t="shared" si="2"/>
        <v>0</v>
      </c>
      <c r="L14" s="37">
        <f>SUMPRODUCT(taakfreqtabel1,kengetaltabel1,tarieftabel1,object9_opptabel1)*(1/VLOOKUP(E14,dagsoorttabel1,2,FALSE))</f>
        <v>0</v>
      </c>
      <c r="M14" s="37">
        <f t="shared" si="3"/>
        <v>0</v>
      </c>
      <c r="N14" s="37">
        <f t="shared" si="4"/>
        <v>0</v>
      </c>
      <c r="O14" s="34">
        <f t="shared" si="5"/>
        <v>0</v>
      </c>
      <c r="P14" s="34">
        <f t="shared" si="6"/>
        <v>0</v>
      </c>
      <c r="Q14" s="37">
        <f t="shared" si="7"/>
        <v>0</v>
      </c>
    </row>
    <row r="15" spans="1:17" x14ac:dyDescent="0.2">
      <c r="A15" s="25" t="s">
        <v>538</v>
      </c>
      <c r="B15" s="25" t="s">
        <v>597</v>
      </c>
      <c r="C15" s="25" t="s">
        <v>598</v>
      </c>
      <c r="D15" s="25" t="s">
        <v>583</v>
      </c>
      <c r="E15" s="89" t="s">
        <v>16</v>
      </c>
      <c r="F15" s="90">
        <f t="shared" si="0"/>
        <v>0</v>
      </c>
      <c r="G15" s="38">
        <f>SUMPRODUCT(taakfreqtabel1,uurfactortabel1,kengetaltabel1,object10_opptabel1)*(1/VLOOKUP(E15,dagsoorttabel1,2,FALSE))</f>
        <v>0</v>
      </c>
      <c r="H15" s="38">
        <f>SUMPRODUCT(dagwerktabel1,taakfreqtabel1,uurfactortabel1,kengetaltabel1,object10_opptabel1)*(1/VLOOKUP(E15,dagsoorttabel1,2,FALSE))</f>
        <v>0</v>
      </c>
      <c r="I15" s="91"/>
      <c r="J15" s="38">
        <f t="shared" si="1"/>
        <v>0</v>
      </c>
      <c r="K15" s="38">
        <f t="shared" si="2"/>
        <v>0</v>
      </c>
      <c r="L15" s="40">
        <f>SUMPRODUCT(taakfreqtabel1,kengetaltabel1,tarieftabel1,object10_opptabel1)*(1/VLOOKUP(E15,dagsoorttabel1,2,FALSE))</f>
        <v>0</v>
      </c>
      <c r="M15" s="40">
        <f t="shared" si="3"/>
        <v>0</v>
      </c>
      <c r="N15" s="40">
        <f t="shared" si="4"/>
        <v>0</v>
      </c>
      <c r="O15" s="38">
        <f t="shared" si="5"/>
        <v>0</v>
      </c>
      <c r="P15" s="38">
        <f t="shared" si="6"/>
        <v>0</v>
      </c>
      <c r="Q15" s="40">
        <f t="shared" si="7"/>
        <v>0</v>
      </c>
    </row>
    <row r="16" spans="1:17" x14ac:dyDescent="0.2">
      <c r="A16" s="42" t="s">
        <v>216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>
        <f>SUM(O6:O15)</f>
        <v>0</v>
      </c>
      <c r="P16" s="44">
        <f>SUM(P6:P15)</f>
        <v>0</v>
      </c>
      <c r="Q16" s="46">
        <f>SUM(Q6:Q15)</f>
        <v>0</v>
      </c>
    </row>
    <row r="17" spans="1:17" x14ac:dyDescent="0.2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8"/>
    </row>
    <row r="19" spans="1:17" x14ac:dyDescent="0.2">
      <c r="A19" s="42" t="s">
        <v>599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>
        <f>urenjaartotaalhf1</f>
        <v>0</v>
      </c>
      <c r="P19" s="44">
        <f>urenjaartotaal1</f>
        <v>0</v>
      </c>
      <c r="Q19" s="45">
        <f>prijsjaartotaal1</f>
        <v>0</v>
      </c>
    </row>
    <row r="21" spans="1:17" x14ac:dyDescent="0.2">
      <c r="A21" s="42" t="s">
        <v>600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5">
        <f>Q19*1.21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F341-4374-4683-9863-33D3390A5FDC}">
  <dimension ref="A1:J10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</cols>
  <sheetData>
    <row r="1" spans="1:10" x14ac:dyDescent="0.2">
      <c r="A1" s="1" t="str">
        <f>CONCATENATE("Bijlage H.5: ",tabeltype," niet-meewerkende objectleiding")</f>
        <v>Bijlage H.5: Invultabel niet-meewerkende objectleiding</v>
      </c>
    </row>
    <row r="3" spans="1:10" ht="38.25" x14ac:dyDescent="0.2">
      <c r="A3" s="8" t="s">
        <v>601</v>
      </c>
      <c r="B3" s="8" t="s">
        <v>7</v>
      </c>
      <c r="C3" s="8" t="s">
        <v>602</v>
      </c>
      <c r="D3" s="8" t="s">
        <v>603</v>
      </c>
      <c r="E3" s="8" t="s">
        <v>604</v>
      </c>
      <c r="F3" s="8" t="s">
        <v>605</v>
      </c>
      <c r="G3" s="8" t="s">
        <v>606</v>
      </c>
      <c r="H3" s="8" t="s">
        <v>156</v>
      </c>
      <c r="I3" s="8" t="s">
        <v>607</v>
      </c>
      <c r="J3" s="8" t="s">
        <v>608</v>
      </c>
    </row>
    <row r="4" spans="1:10" x14ac:dyDescent="0.2">
      <c r="A4" s="92"/>
      <c r="B4" s="93"/>
      <c r="C4" s="93"/>
      <c r="D4" s="93"/>
      <c r="E4" s="93"/>
      <c r="F4" s="93"/>
      <c r="G4" s="93"/>
      <c r="H4" s="93"/>
      <c r="I4" s="93"/>
      <c r="J4" s="94"/>
    </row>
    <row r="5" spans="1:10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">
      <c r="A6" s="9"/>
      <c r="B6" s="10"/>
      <c r="C6" s="10"/>
      <c r="D6" s="10"/>
      <c r="E6" s="10"/>
      <c r="F6" s="10"/>
      <c r="G6" s="10"/>
      <c r="H6" s="10"/>
      <c r="I6" s="10"/>
      <c r="J6" s="11"/>
    </row>
    <row r="7" spans="1:10" x14ac:dyDescent="0.2">
      <c r="A7" s="95" t="s">
        <v>228</v>
      </c>
      <c r="B7" s="13"/>
      <c r="C7" s="13"/>
      <c r="D7" s="13"/>
      <c r="E7" s="13"/>
      <c r="F7" s="13"/>
      <c r="G7" s="13"/>
      <c r="H7" s="13"/>
      <c r="I7" s="13"/>
      <c r="J7" s="14"/>
    </row>
    <row r="8" spans="1:10" x14ac:dyDescent="0.2">
      <c r="A8" s="15" t="s">
        <v>609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610</v>
      </c>
      <c r="E8" s="19"/>
      <c r="F8" s="18"/>
      <c r="G8" s="96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</row>
    <row r="9" spans="1:10" x14ac:dyDescent="0.2">
      <c r="A9" s="20"/>
      <c r="B9" s="20"/>
      <c r="C9" s="97">
        <f>dagenperjaar1</f>
        <v>200</v>
      </c>
      <c r="D9" s="98" t="s">
        <v>611</v>
      </c>
      <c r="E9" s="24"/>
      <c r="F9" s="23"/>
      <c r="G9" s="99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</row>
    <row r="10" spans="1:10" x14ac:dyDescent="0.2">
      <c r="A10" s="20"/>
      <c r="B10" s="20"/>
      <c r="C10" s="97">
        <f>dagenperjaar1</f>
        <v>200</v>
      </c>
      <c r="D10" s="98" t="s">
        <v>611</v>
      </c>
      <c r="E10" s="24"/>
      <c r="F10" s="23"/>
      <c r="G10" s="99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</row>
    <row r="11" spans="1:10" x14ac:dyDescent="0.2">
      <c r="A11" s="20"/>
      <c r="B11" s="20"/>
      <c r="C11" s="97">
        <f>dagenperjaar1</f>
        <v>200</v>
      </c>
      <c r="D11" s="98" t="s">
        <v>612</v>
      </c>
      <c r="E11" s="24"/>
      <c r="F11" s="100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</row>
    <row r="12" spans="1:10" x14ac:dyDescent="0.2">
      <c r="A12" s="25"/>
      <c r="B12" s="25"/>
      <c r="C12" s="101">
        <f>dagenperjaar1</f>
        <v>200</v>
      </c>
      <c r="D12" s="102" t="s">
        <v>612</v>
      </c>
      <c r="E12" s="29"/>
      <c r="F12" s="103"/>
      <c r="G12" s="27"/>
      <c r="H12" s="38">
        <f>IF(ISBLANK(G12),0,G12*C12)+IF(ISBLANK(F12),0,F12*objecturen1_1)</f>
        <v>0</v>
      </c>
      <c r="I12" s="38">
        <f>IF(C12=0,0,H12/C12)</f>
        <v>0</v>
      </c>
      <c r="J12" s="40">
        <f>IF(ISBLANK(E12),0,ROUND(E12,2)*H12)</f>
        <v>0</v>
      </c>
    </row>
    <row r="13" spans="1:10" x14ac:dyDescent="0.2">
      <c r="A13" s="104" t="s">
        <v>613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6">
        <f>SUM(J8:J12)</f>
        <v>0</v>
      </c>
    </row>
    <row r="14" spans="1:10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8"/>
    </row>
    <row r="15" spans="1:10" x14ac:dyDescent="0.2">
      <c r="A15" s="9"/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A16" s="95" t="s">
        <v>320</v>
      </c>
      <c r="B16" s="13"/>
      <c r="C16" s="13"/>
      <c r="D16" s="13"/>
      <c r="E16" s="13"/>
      <c r="F16" s="13"/>
      <c r="G16" s="13"/>
      <c r="H16" s="13"/>
      <c r="I16" s="13"/>
      <c r="J16" s="14"/>
    </row>
    <row r="17" spans="1:10" x14ac:dyDescent="0.2">
      <c r="A17" s="15" t="s">
        <v>609</v>
      </c>
      <c r="B17" s="15" t="s">
        <v>11</v>
      </c>
      <c r="C17" s="16">
        <f>IF(ISBLANK(B17),0,IF(ISERROR(VALUE(B17)),VLOOKUP(B17,dagsoorttabel1,2,FALSE)*dagenperjaar1,VALUE(B17)))</f>
        <v>200</v>
      </c>
      <c r="D17" s="15" t="s">
        <v>610</v>
      </c>
      <c r="E17" s="19"/>
      <c r="F17" s="18"/>
      <c r="G17" s="96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</row>
    <row r="18" spans="1:10" x14ac:dyDescent="0.2">
      <c r="A18" s="20"/>
      <c r="B18" s="20"/>
      <c r="C18" s="97">
        <f>dagenperjaar1</f>
        <v>200</v>
      </c>
      <c r="D18" s="98" t="s">
        <v>611</v>
      </c>
      <c r="E18" s="24"/>
      <c r="F18" s="23"/>
      <c r="G18" s="99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</row>
    <row r="19" spans="1:10" x14ac:dyDescent="0.2">
      <c r="A19" s="20"/>
      <c r="B19" s="20"/>
      <c r="C19" s="97">
        <f>dagenperjaar1</f>
        <v>200</v>
      </c>
      <c r="D19" s="98" t="s">
        <v>611</v>
      </c>
      <c r="E19" s="24"/>
      <c r="F19" s="23"/>
      <c r="G19" s="99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</row>
    <row r="20" spans="1:10" x14ac:dyDescent="0.2">
      <c r="A20" s="20"/>
      <c r="B20" s="20"/>
      <c r="C20" s="97">
        <f>dagenperjaar1</f>
        <v>200</v>
      </c>
      <c r="D20" s="98" t="s">
        <v>612</v>
      </c>
      <c r="E20" s="24"/>
      <c r="F20" s="100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</row>
    <row r="21" spans="1:10" x14ac:dyDescent="0.2">
      <c r="A21" s="25"/>
      <c r="B21" s="25"/>
      <c r="C21" s="101">
        <f>dagenperjaar1</f>
        <v>200</v>
      </c>
      <c r="D21" s="102" t="s">
        <v>612</v>
      </c>
      <c r="E21" s="29"/>
      <c r="F21" s="103"/>
      <c r="G21" s="27"/>
      <c r="H21" s="38">
        <f>IF(ISBLANK(G21),0,G21*C21)+IF(ISBLANK(F21),0,F21*objecturen2_1)</f>
        <v>0</v>
      </c>
      <c r="I21" s="38">
        <f>IF(C21=0,0,H21/C21)</f>
        <v>0</v>
      </c>
      <c r="J21" s="40">
        <f>IF(ISBLANK(E21),0,ROUND(E21,2)*H21)</f>
        <v>0</v>
      </c>
    </row>
    <row r="22" spans="1:10" x14ac:dyDescent="0.2">
      <c r="A22" s="104" t="s">
        <v>614</v>
      </c>
      <c r="B22" s="43"/>
      <c r="C22" s="43"/>
      <c r="D22" s="43"/>
      <c r="E22" s="43"/>
      <c r="F22" s="43"/>
      <c r="G22" s="43"/>
      <c r="H22" s="44">
        <f>SUM(H17:H21)</f>
        <v>0</v>
      </c>
      <c r="I22" s="43"/>
      <c r="J22" s="46">
        <f>SUM(J17:J21)</f>
        <v>0</v>
      </c>
    </row>
    <row r="23" spans="1:10" x14ac:dyDescent="0.2">
      <c r="A23" s="47"/>
      <c r="B23" s="43"/>
      <c r="C23" s="43"/>
      <c r="D23" s="43"/>
      <c r="E23" s="43"/>
      <c r="F23" s="43"/>
      <c r="G23" s="43"/>
      <c r="H23" s="43"/>
      <c r="I23" s="43"/>
      <c r="J23" s="48"/>
    </row>
    <row r="24" spans="1:10" x14ac:dyDescent="0.2">
      <c r="A24" s="9"/>
      <c r="B24" s="10"/>
      <c r="C24" s="10"/>
      <c r="D24" s="10"/>
      <c r="E24" s="10"/>
      <c r="F24" s="10"/>
      <c r="G24" s="10"/>
      <c r="H24" s="10"/>
      <c r="I24" s="10"/>
      <c r="J24" s="11"/>
    </row>
    <row r="25" spans="1:10" x14ac:dyDescent="0.2">
      <c r="A25" s="95" t="s">
        <v>367</v>
      </c>
      <c r="B25" s="13"/>
      <c r="C25" s="13"/>
      <c r="D25" s="13"/>
      <c r="E25" s="13"/>
      <c r="F25" s="13"/>
      <c r="G25" s="13"/>
      <c r="H25" s="13"/>
      <c r="I25" s="13"/>
      <c r="J25" s="14"/>
    </row>
    <row r="26" spans="1:10" x14ac:dyDescent="0.2">
      <c r="A26" s="15" t="s">
        <v>609</v>
      </c>
      <c r="B26" s="15" t="s">
        <v>11</v>
      </c>
      <c r="C26" s="16">
        <f>IF(ISBLANK(B26),0,IF(ISERROR(VALUE(B26)),VLOOKUP(B26,dagsoorttabel1,2,FALSE)*dagenperjaar1,VALUE(B26)))</f>
        <v>200</v>
      </c>
      <c r="D26" s="15" t="s">
        <v>610</v>
      </c>
      <c r="E26" s="19"/>
      <c r="F26" s="18"/>
      <c r="G26" s="96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</row>
    <row r="27" spans="1:10" x14ac:dyDescent="0.2">
      <c r="A27" s="20"/>
      <c r="B27" s="20"/>
      <c r="C27" s="97">
        <f>dagenperjaar1</f>
        <v>200</v>
      </c>
      <c r="D27" s="98" t="s">
        <v>611</v>
      </c>
      <c r="E27" s="24"/>
      <c r="F27" s="23"/>
      <c r="G27" s="99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</row>
    <row r="28" spans="1:10" x14ac:dyDescent="0.2">
      <c r="A28" s="20"/>
      <c r="B28" s="20"/>
      <c r="C28" s="97">
        <f>dagenperjaar1</f>
        <v>200</v>
      </c>
      <c r="D28" s="98" t="s">
        <v>611</v>
      </c>
      <c r="E28" s="24"/>
      <c r="F28" s="23"/>
      <c r="G28" s="99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</row>
    <row r="29" spans="1:10" x14ac:dyDescent="0.2">
      <c r="A29" s="20"/>
      <c r="B29" s="20"/>
      <c r="C29" s="97">
        <f>dagenperjaar1</f>
        <v>200</v>
      </c>
      <c r="D29" s="98" t="s">
        <v>612</v>
      </c>
      <c r="E29" s="24"/>
      <c r="F29" s="100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</row>
    <row r="30" spans="1:10" x14ac:dyDescent="0.2">
      <c r="A30" s="25"/>
      <c r="B30" s="25"/>
      <c r="C30" s="101">
        <f>dagenperjaar1</f>
        <v>200</v>
      </c>
      <c r="D30" s="102" t="s">
        <v>612</v>
      </c>
      <c r="E30" s="29"/>
      <c r="F30" s="103"/>
      <c r="G30" s="27"/>
      <c r="H30" s="38">
        <f>IF(ISBLANK(G30),0,G30*C30)+IF(ISBLANK(F30),0,F30*objecturen3_1)</f>
        <v>0</v>
      </c>
      <c r="I30" s="38">
        <f>IF(C30=0,0,H30/C30)</f>
        <v>0</v>
      </c>
      <c r="J30" s="40">
        <f>IF(ISBLANK(E30),0,ROUND(E30,2)*H30)</f>
        <v>0</v>
      </c>
    </row>
    <row r="31" spans="1:10" x14ac:dyDescent="0.2">
      <c r="A31" s="104" t="s">
        <v>615</v>
      </c>
      <c r="B31" s="43"/>
      <c r="C31" s="43"/>
      <c r="D31" s="43"/>
      <c r="E31" s="43"/>
      <c r="F31" s="43"/>
      <c r="G31" s="43"/>
      <c r="H31" s="44">
        <f>SUM(H26:H30)</f>
        <v>0</v>
      </c>
      <c r="I31" s="43"/>
      <c r="J31" s="46">
        <f>SUM(J26:J30)</f>
        <v>0</v>
      </c>
    </row>
    <row r="32" spans="1:10" x14ac:dyDescent="0.2">
      <c r="A32" s="47"/>
      <c r="B32" s="43"/>
      <c r="C32" s="43"/>
      <c r="D32" s="43"/>
      <c r="E32" s="43"/>
      <c r="F32" s="43"/>
      <c r="G32" s="43"/>
      <c r="H32" s="43"/>
      <c r="I32" s="43"/>
      <c r="J32" s="48"/>
    </row>
    <row r="33" spans="1:10" x14ac:dyDescent="0.2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 x14ac:dyDescent="0.2">
      <c r="A34" s="95" t="s">
        <v>394</v>
      </c>
      <c r="B34" s="13"/>
      <c r="C34" s="13"/>
      <c r="D34" s="13"/>
      <c r="E34" s="13"/>
      <c r="F34" s="13"/>
      <c r="G34" s="13"/>
      <c r="H34" s="13"/>
      <c r="I34" s="13"/>
      <c r="J34" s="14"/>
    </row>
    <row r="35" spans="1:10" x14ac:dyDescent="0.2">
      <c r="A35" s="15" t="s">
        <v>609</v>
      </c>
      <c r="B35" s="15" t="s">
        <v>11</v>
      </c>
      <c r="C35" s="16">
        <f>IF(ISBLANK(B35),0,IF(ISERROR(VALUE(B35)),VLOOKUP(B35,dagsoorttabel1,2,FALSE)*dagenperjaar1,VALUE(B35)))</f>
        <v>200</v>
      </c>
      <c r="D35" s="15" t="s">
        <v>610</v>
      </c>
      <c r="E35" s="19"/>
      <c r="F35" s="18"/>
      <c r="G35" s="96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</row>
    <row r="36" spans="1:10" x14ac:dyDescent="0.2">
      <c r="A36" s="20"/>
      <c r="B36" s="20"/>
      <c r="C36" s="97">
        <f>dagenperjaar1</f>
        <v>200</v>
      </c>
      <c r="D36" s="98" t="s">
        <v>611</v>
      </c>
      <c r="E36" s="24"/>
      <c r="F36" s="23"/>
      <c r="G36" s="99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</row>
    <row r="37" spans="1:10" x14ac:dyDescent="0.2">
      <c r="A37" s="20"/>
      <c r="B37" s="20"/>
      <c r="C37" s="97">
        <f>dagenperjaar1</f>
        <v>200</v>
      </c>
      <c r="D37" s="98" t="s">
        <v>611</v>
      </c>
      <c r="E37" s="24"/>
      <c r="F37" s="23"/>
      <c r="G37" s="99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</row>
    <row r="38" spans="1:10" x14ac:dyDescent="0.2">
      <c r="A38" s="20"/>
      <c r="B38" s="20"/>
      <c r="C38" s="97">
        <f>dagenperjaar1</f>
        <v>200</v>
      </c>
      <c r="D38" s="98" t="s">
        <v>612</v>
      </c>
      <c r="E38" s="24"/>
      <c r="F38" s="100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</row>
    <row r="39" spans="1:10" x14ac:dyDescent="0.2">
      <c r="A39" s="25"/>
      <c r="B39" s="25"/>
      <c r="C39" s="101">
        <f>dagenperjaar1</f>
        <v>200</v>
      </c>
      <c r="D39" s="102" t="s">
        <v>612</v>
      </c>
      <c r="E39" s="29"/>
      <c r="F39" s="103"/>
      <c r="G39" s="27"/>
      <c r="H39" s="38">
        <f>IF(ISBLANK(G39),0,G39*C39)+IF(ISBLANK(F39),0,F39*objecturen4_1)</f>
        <v>0</v>
      </c>
      <c r="I39" s="38">
        <f>IF(C39=0,0,H39/C39)</f>
        <v>0</v>
      </c>
      <c r="J39" s="40">
        <f>IF(ISBLANK(E39),0,ROUND(E39,2)*H39)</f>
        <v>0</v>
      </c>
    </row>
    <row r="40" spans="1:10" x14ac:dyDescent="0.2">
      <c r="A40" s="104" t="s">
        <v>616</v>
      </c>
      <c r="B40" s="43"/>
      <c r="C40" s="43"/>
      <c r="D40" s="43"/>
      <c r="E40" s="43"/>
      <c r="F40" s="43"/>
      <c r="G40" s="43"/>
      <c r="H40" s="44">
        <f>SUM(H35:H39)</f>
        <v>0</v>
      </c>
      <c r="I40" s="43"/>
      <c r="J40" s="46">
        <f>SUM(J35:J39)</f>
        <v>0</v>
      </c>
    </row>
    <row r="41" spans="1:10" x14ac:dyDescent="0.2">
      <c r="A41" s="47"/>
      <c r="B41" s="43"/>
      <c r="C41" s="43"/>
      <c r="D41" s="43"/>
      <c r="E41" s="43"/>
      <c r="F41" s="43"/>
      <c r="G41" s="43"/>
      <c r="H41" s="43"/>
      <c r="I41" s="43"/>
      <c r="J41" s="48"/>
    </row>
    <row r="42" spans="1:10" x14ac:dyDescent="0.2">
      <c r="A42" s="9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">
      <c r="A43" s="95" t="s">
        <v>414</v>
      </c>
      <c r="B43" s="13"/>
      <c r="C43" s="13"/>
      <c r="D43" s="13"/>
      <c r="E43" s="13"/>
      <c r="F43" s="13"/>
      <c r="G43" s="13"/>
      <c r="H43" s="13"/>
      <c r="I43" s="13"/>
      <c r="J43" s="14"/>
    </row>
    <row r="44" spans="1:10" x14ac:dyDescent="0.2">
      <c r="A44" s="15" t="s">
        <v>609</v>
      </c>
      <c r="B44" s="15" t="s">
        <v>11</v>
      </c>
      <c r="C44" s="16">
        <f>IF(ISBLANK(B44),0,IF(ISERROR(VALUE(B44)),VLOOKUP(B44,dagsoorttabel1,2,FALSE)*dagenperjaar1,VALUE(B44)))</f>
        <v>200</v>
      </c>
      <c r="D44" s="15" t="s">
        <v>610</v>
      </c>
      <c r="E44" s="19"/>
      <c r="F44" s="18"/>
      <c r="G44" s="96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</row>
    <row r="45" spans="1:10" x14ac:dyDescent="0.2">
      <c r="A45" s="20"/>
      <c r="B45" s="20"/>
      <c r="C45" s="97">
        <f>dagenperjaar1</f>
        <v>200</v>
      </c>
      <c r="D45" s="98" t="s">
        <v>611</v>
      </c>
      <c r="E45" s="24"/>
      <c r="F45" s="23"/>
      <c r="G45" s="99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</row>
    <row r="46" spans="1:10" x14ac:dyDescent="0.2">
      <c r="A46" s="20"/>
      <c r="B46" s="20"/>
      <c r="C46" s="97">
        <f>dagenperjaar1</f>
        <v>200</v>
      </c>
      <c r="D46" s="98" t="s">
        <v>611</v>
      </c>
      <c r="E46" s="24"/>
      <c r="F46" s="23"/>
      <c r="G46" s="99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</row>
    <row r="47" spans="1:10" x14ac:dyDescent="0.2">
      <c r="A47" s="20"/>
      <c r="B47" s="20"/>
      <c r="C47" s="97">
        <f>dagenperjaar1</f>
        <v>200</v>
      </c>
      <c r="D47" s="98" t="s">
        <v>612</v>
      </c>
      <c r="E47" s="24"/>
      <c r="F47" s="100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</row>
    <row r="48" spans="1:10" x14ac:dyDescent="0.2">
      <c r="A48" s="25"/>
      <c r="B48" s="25"/>
      <c r="C48" s="101">
        <f>dagenperjaar1</f>
        <v>200</v>
      </c>
      <c r="D48" s="102" t="s">
        <v>612</v>
      </c>
      <c r="E48" s="29"/>
      <c r="F48" s="103"/>
      <c r="G48" s="27"/>
      <c r="H48" s="38">
        <f>IF(ISBLANK(G48),0,G48*C48)+IF(ISBLANK(F48),0,F48*objecturen5_1)</f>
        <v>0</v>
      </c>
      <c r="I48" s="38">
        <f>IF(C48=0,0,H48/C48)</f>
        <v>0</v>
      </c>
      <c r="J48" s="40">
        <f>IF(ISBLANK(E48),0,ROUND(E48,2)*H48)</f>
        <v>0</v>
      </c>
    </row>
    <row r="49" spans="1:10" x14ac:dyDescent="0.2">
      <c r="A49" s="104" t="s">
        <v>617</v>
      </c>
      <c r="B49" s="43"/>
      <c r="C49" s="43"/>
      <c r="D49" s="43"/>
      <c r="E49" s="43"/>
      <c r="F49" s="43"/>
      <c r="G49" s="43"/>
      <c r="H49" s="44">
        <f>SUM(H44:H48)</f>
        <v>0</v>
      </c>
      <c r="I49" s="43"/>
      <c r="J49" s="46">
        <f>SUM(J44:J48)</f>
        <v>0</v>
      </c>
    </row>
    <row r="50" spans="1:10" x14ac:dyDescent="0.2">
      <c r="A50" s="47"/>
      <c r="B50" s="43"/>
      <c r="C50" s="43"/>
      <c r="D50" s="43"/>
      <c r="E50" s="43"/>
      <c r="F50" s="43"/>
      <c r="G50" s="43"/>
      <c r="H50" s="43"/>
      <c r="I50" s="43"/>
      <c r="J50" s="48"/>
    </row>
    <row r="51" spans="1:10" x14ac:dyDescent="0.2">
      <c r="A51" s="9"/>
      <c r="B51" s="10"/>
      <c r="C51" s="10"/>
      <c r="D51" s="10"/>
      <c r="E51" s="10"/>
      <c r="F51" s="10"/>
      <c r="G51" s="10"/>
      <c r="H51" s="10"/>
      <c r="I51" s="10"/>
      <c r="J51" s="11"/>
    </row>
    <row r="52" spans="1:10" x14ac:dyDescent="0.2">
      <c r="A52" s="95" t="s">
        <v>447</v>
      </c>
      <c r="B52" s="13"/>
      <c r="C52" s="13"/>
      <c r="D52" s="13"/>
      <c r="E52" s="13"/>
      <c r="F52" s="13"/>
      <c r="G52" s="13"/>
      <c r="H52" s="13"/>
      <c r="I52" s="13"/>
      <c r="J52" s="14"/>
    </row>
    <row r="53" spans="1:10" x14ac:dyDescent="0.2">
      <c r="A53" s="15" t="s">
        <v>609</v>
      </c>
      <c r="B53" s="15" t="s">
        <v>11</v>
      </c>
      <c r="C53" s="16">
        <f>IF(ISBLANK(B53),0,IF(ISERROR(VALUE(B53)),VLOOKUP(B53,dagsoorttabel1,2,FALSE)*dagenperjaar1,VALUE(B53)))</f>
        <v>200</v>
      </c>
      <c r="D53" s="15" t="s">
        <v>610</v>
      </c>
      <c r="E53" s="19"/>
      <c r="F53" s="18"/>
      <c r="G53" s="96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</row>
    <row r="54" spans="1:10" x14ac:dyDescent="0.2">
      <c r="A54" s="20"/>
      <c r="B54" s="20"/>
      <c r="C54" s="97">
        <f>dagenperjaar1</f>
        <v>200</v>
      </c>
      <c r="D54" s="98" t="s">
        <v>611</v>
      </c>
      <c r="E54" s="24"/>
      <c r="F54" s="23"/>
      <c r="G54" s="99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</row>
    <row r="55" spans="1:10" x14ac:dyDescent="0.2">
      <c r="A55" s="20"/>
      <c r="B55" s="20"/>
      <c r="C55" s="97">
        <f>dagenperjaar1</f>
        <v>200</v>
      </c>
      <c r="D55" s="98" t="s">
        <v>611</v>
      </c>
      <c r="E55" s="24"/>
      <c r="F55" s="23"/>
      <c r="G55" s="99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</row>
    <row r="56" spans="1:10" x14ac:dyDescent="0.2">
      <c r="A56" s="20"/>
      <c r="B56" s="20"/>
      <c r="C56" s="97">
        <f>dagenperjaar1</f>
        <v>200</v>
      </c>
      <c r="D56" s="98" t="s">
        <v>612</v>
      </c>
      <c r="E56" s="24"/>
      <c r="F56" s="100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</row>
    <row r="57" spans="1:10" x14ac:dyDescent="0.2">
      <c r="A57" s="25"/>
      <c r="B57" s="25"/>
      <c r="C57" s="101">
        <f>dagenperjaar1</f>
        <v>200</v>
      </c>
      <c r="D57" s="102" t="s">
        <v>612</v>
      </c>
      <c r="E57" s="29"/>
      <c r="F57" s="103"/>
      <c r="G57" s="27"/>
      <c r="H57" s="38">
        <f>IF(ISBLANK(G57),0,G57*C57)+IF(ISBLANK(F57),0,F57*objecturen6_1)</f>
        <v>0</v>
      </c>
      <c r="I57" s="38">
        <f>IF(C57=0,0,H57/C57)</f>
        <v>0</v>
      </c>
      <c r="J57" s="40">
        <f>IF(ISBLANK(E57),0,ROUND(E57,2)*H57)</f>
        <v>0</v>
      </c>
    </row>
    <row r="58" spans="1:10" x14ac:dyDescent="0.2">
      <c r="A58" s="104" t="s">
        <v>618</v>
      </c>
      <c r="B58" s="43"/>
      <c r="C58" s="43"/>
      <c r="D58" s="43"/>
      <c r="E58" s="43"/>
      <c r="F58" s="43"/>
      <c r="G58" s="43"/>
      <c r="H58" s="44">
        <f>SUM(H53:H57)</f>
        <v>0</v>
      </c>
      <c r="I58" s="43"/>
      <c r="J58" s="46">
        <f>SUM(J53:J57)</f>
        <v>0</v>
      </c>
    </row>
    <row r="59" spans="1:10" x14ac:dyDescent="0.2">
      <c r="A59" s="47"/>
      <c r="B59" s="43"/>
      <c r="C59" s="43"/>
      <c r="D59" s="43"/>
      <c r="E59" s="43"/>
      <c r="F59" s="43"/>
      <c r="G59" s="43"/>
      <c r="H59" s="43"/>
      <c r="I59" s="43"/>
      <c r="J59" s="48"/>
    </row>
    <row r="60" spans="1:10" x14ac:dyDescent="0.2">
      <c r="A60" s="9"/>
      <c r="B60" s="10"/>
      <c r="C60" s="10"/>
      <c r="D60" s="10"/>
      <c r="E60" s="10"/>
      <c r="F60" s="10"/>
      <c r="G60" s="10"/>
      <c r="H60" s="10"/>
      <c r="I60" s="10"/>
      <c r="J60" s="11"/>
    </row>
    <row r="61" spans="1:10" x14ac:dyDescent="0.2">
      <c r="A61" s="95" t="s">
        <v>467</v>
      </c>
      <c r="B61" s="13"/>
      <c r="C61" s="13"/>
      <c r="D61" s="13"/>
      <c r="E61" s="13"/>
      <c r="F61" s="13"/>
      <c r="G61" s="13"/>
      <c r="H61" s="13"/>
      <c r="I61" s="13"/>
      <c r="J61" s="14"/>
    </row>
    <row r="62" spans="1:10" x14ac:dyDescent="0.2">
      <c r="A62" s="15" t="s">
        <v>609</v>
      </c>
      <c r="B62" s="15" t="s">
        <v>11</v>
      </c>
      <c r="C62" s="16">
        <f>IF(ISBLANK(B62),0,IF(ISERROR(VALUE(B62)),VLOOKUP(B62,dagsoorttabel1,2,FALSE)*dagenperjaar1,VALUE(B62)))</f>
        <v>200</v>
      </c>
      <c r="D62" s="15" t="s">
        <v>610</v>
      </c>
      <c r="E62" s="19"/>
      <c r="F62" s="18"/>
      <c r="G62" s="96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</row>
    <row r="63" spans="1:10" x14ac:dyDescent="0.2">
      <c r="A63" s="20"/>
      <c r="B63" s="20"/>
      <c r="C63" s="97">
        <f>dagenperjaar1</f>
        <v>200</v>
      </c>
      <c r="D63" s="98" t="s">
        <v>611</v>
      </c>
      <c r="E63" s="24"/>
      <c r="F63" s="23"/>
      <c r="G63" s="99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</row>
    <row r="64" spans="1:10" x14ac:dyDescent="0.2">
      <c r="A64" s="20"/>
      <c r="B64" s="20"/>
      <c r="C64" s="97">
        <f>dagenperjaar1</f>
        <v>200</v>
      </c>
      <c r="D64" s="98" t="s">
        <v>611</v>
      </c>
      <c r="E64" s="24"/>
      <c r="F64" s="23"/>
      <c r="G64" s="99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</row>
    <row r="65" spans="1:10" x14ac:dyDescent="0.2">
      <c r="A65" s="20"/>
      <c r="B65" s="20"/>
      <c r="C65" s="97">
        <f>dagenperjaar1</f>
        <v>200</v>
      </c>
      <c r="D65" s="98" t="s">
        <v>612</v>
      </c>
      <c r="E65" s="24"/>
      <c r="F65" s="100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</row>
    <row r="66" spans="1:10" x14ac:dyDescent="0.2">
      <c r="A66" s="25"/>
      <c r="B66" s="25"/>
      <c r="C66" s="101">
        <f>dagenperjaar1</f>
        <v>200</v>
      </c>
      <c r="D66" s="102" t="s">
        <v>612</v>
      </c>
      <c r="E66" s="29"/>
      <c r="F66" s="103"/>
      <c r="G66" s="27"/>
      <c r="H66" s="38">
        <f>IF(ISBLANK(G66),0,G66*C66)+IF(ISBLANK(F66),0,F66*objecturen7_1)</f>
        <v>0</v>
      </c>
      <c r="I66" s="38">
        <f>IF(C66=0,0,H66/C66)</f>
        <v>0</v>
      </c>
      <c r="J66" s="40">
        <f>IF(ISBLANK(E66),0,ROUND(E66,2)*H66)</f>
        <v>0</v>
      </c>
    </row>
    <row r="67" spans="1:10" x14ac:dyDescent="0.2">
      <c r="A67" s="104" t="s">
        <v>619</v>
      </c>
      <c r="B67" s="43"/>
      <c r="C67" s="43"/>
      <c r="D67" s="43"/>
      <c r="E67" s="43"/>
      <c r="F67" s="43"/>
      <c r="G67" s="43"/>
      <c r="H67" s="44">
        <f>SUM(H62:H66)</f>
        <v>0</v>
      </c>
      <c r="I67" s="43"/>
      <c r="J67" s="46">
        <f>SUM(J62:J66)</f>
        <v>0</v>
      </c>
    </row>
    <row r="68" spans="1:10" x14ac:dyDescent="0.2">
      <c r="A68" s="47"/>
      <c r="B68" s="43"/>
      <c r="C68" s="43"/>
      <c r="D68" s="43"/>
      <c r="E68" s="43"/>
      <c r="F68" s="43"/>
      <c r="G68" s="43"/>
      <c r="H68" s="43"/>
      <c r="I68" s="43"/>
      <c r="J68" s="48"/>
    </row>
    <row r="69" spans="1:10" x14ac:dyDescent="0.2">
      <c r="A69" s="9"/>
      <c r="B69" s="10"/>
      <c r="C69" s="10"/>
      <c r="D69" s="10"/>
      <c r="E69" s="10"/>
      <c r="F69" s="10"/>
      <c r="G69" s="10"/>
      <c r="H69" s="10"/>
      <c r="I69" s="10"/>
      <c r="J69" s="11"/>
    </row>
    <row r="70" spans="1:10" x14ac:dyDescent="0.2">
      <c r="A70" s="95" t="s">
        <v>476</v>
      </c>
      <c r="B70" s="13"/>
      <c r="C70" s="13"/>
      <c r="D70" s="13"/>
      <c r="E70" s="13"/>
      <c r="F70" s="13"/>
      <c r="G70" s="13"/>
      <c r="H70" s="13"/>
      <c r="I70" s="13"/>
      <c r="J70" s="14"/>
    </row>
    <row r="71" spans="1:10" x14ac:dyDescent="0.2">
      <c r="A71" s="15" t="s">
        <v>609</v>
      </c>
      <c r="B71" s="15" t="s">
        <v>11</v>
      </c>
      <c r="C71" s="16">
        <f>IF(ISBLANK(B71),0,IF(ISERROR(VALUE(B71)),VLOOKUP(B71,dagsoorttabel1,2,FALSE)*dagenperjaar1,VALUE(B71)))</f>
        <v>200</v>
      </c>
      <c r="D71" s="15" t="s">
        <v>610</v>
      </c>
      <c r="E71" s="19"/>
      <c r="F71" s="18"/>
      <c r="G71" s="96"/>
      <c r="H71" s="30">
        <f>IF(ISBLANK(G71),0,G71*C71)+IF(ISBLANK(F71),0,F71*objecturen8_1)</f>
        <v>0</v>
      </c>
      <c r="I71" s="30">
        <f>IF(C71=0,0,H71/C71)</f>
        <v>0</v>
      </c>
      <c r="J71" s="33">
        <f>IF(ISBLANK(E71),0,ROUND(E71,2)*H71)</f>
        <v>0</v>
      </c>
    </row>
    <row r="72" spans="1:10" x14ac:dyDescent="0.2">
      <c r="A72" s="20"/>
      <c r="B72" s="20"/>
      <c r="C72" s="97">
        <f>dagenperjaar1</f>
        <v>200</v>
      </c>
      <c r="D72" s="98" t="s">
        <v>611</v>
      </c>
      <c r="E72" s="24"/>
      <c r="F72" s="23"/>
      <c r="G72" s="99"/>
      <c r="H72" s="34">
        <f>IF(ISBLANK(G72),0,G72*C72)+IF(ISBLANK(F72),0,F72*objecturen8_1)</f>
        <v>0</v>
      </c>
      <c r="I72" s="34">
        <f>IF(C72=0,0,H72/C72)</f>
        <v>0</v>
      </c>
      <c r="J72" s="37">
        <f>IF(ISBLANK(E72),0,ROUND(E72,2)*H72)</f>
        <v>0</v>
      </c>
    </row>
    <row r="73" spans="1:10" x14ac:dyDescent="0.2">
      <c r="A73" s="20"/>
      <c r="B73" s="20"/>
      <c r="C73" s="97">
        <f>dagenperjaar1</f>
        <v>200</v>
      </c>
      <c r="D73" s="98" t="s">
        <v>611</v>
      </c>
      <c r="E73" s="24"/>
      <c r="F73" s="23"/>
      <c r="G73" s="99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</row>
    <row r="74" spans="1:10" x14ac:dyDescent="0.2">
      <c r="A74" s="20"/>
      <c r="B74" s="20"/>
      <c r="C74" s="97">
        <f>dagenperjaar1</f>
        <v>200</v>
      </c>
      <c r="D74" s="98" t="s">
        <v>612</v>
      </c>
      <c r="E74" s="24"/>
      <c r="F74" s="100"/>
      <c r="G74" s="2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</row>
    <row r="75" spans="1:10" x14ac:dyDescent="0.2">
      <c r="A75" s="25"/>
      <c r="B75" s="25"/>
      <c r="C75" s="101">
        <f>dagenperjaar1</f>
        <v>200</v>
      </c>
      <c r="D75" s="102" t="s">
        <v>612</v>
      </c>
      <c r="E75" s="29"/>
      <c r="F75" s="103"/>
      <c r="G75" s="27"/>
      <c r="H75" s="38">
        <f>IF(ISBLANK(G75),0,G75*C75)+IF(ISBLANK(F75),0,F75*objecturen8_1)</f>
        <v>0</v>
      </c>
      <c r="I75" s="38">
        <f>IF(C75=0,0,H75/C75)</f>
        <v>0</v>
      </c>
      <c r="J75" s="40">
        <f>IF(ISBLANK(E75),0,ROUND(E75,2)*H75)</f>
        <v>0</v>
      </c>
    </row>
    <row r="76" spans="1:10" x14ac:dyDescent="0.2">
      <c r="A76" s="104" t="s">
        <v>620</v>
      </c>
      <c r="B76" s="43"/>
      <c r="C76" s="43"/>
      <c r="D76" s="43"/>
      <c r="E76" s="43"/>
      <c r="F76" s="43"/>
      <c r="G76" s="43"/>
      <c r="H76" s="44">
        <f>SUM(H71:H75)</f>
        <v>0</v>
      </c>
      <c r="I76" s="43"/>
      <c r="J76" s="46">
        <f>SUM(J71:J75)</f>
        <v>0</v>
      </c>
    </row>
    <row r="77" spans="1:10" x14ac:dyDescent="0.2">
      <c r="A77" s="47"/>
      <c r="B77" s="43"/>
      <c r="C77" s="43"/>
      <c r="D77" s="43"/>
      <c r="E77" s="43"/>
      <c r="F77" s="43"/>
      <c r="G77" s="43"/>
      <c r="H77" s="43"/>
      <c r="I77" s="43"/>
      <c r="J77" s="48"/>
    </row>
    <row r="78" spans="1:10" x14ac:dyDescent="0.2">
      <c r="A78" s="9"/>
      <c r="B78" s="10"/>
      <c r="C78" s="10"/>
      <c r="D78" s="10"/>
      <c r="E78" s="10"/>
      <c r="F78" s="10"/>
      <c r="G78" s="10"/>
      <c r="H78" s="10"/>
      <c r="I78" s="10"/>
      <c r="J78" s="11"/>
    </row>
    <row r="79" spans="1:10" x14ac:dyDescent="0.2">
      <c r="A79" s="95" t="s">
        <v>486</v>
      </c>
      <c r="B79" s="13"/>
      <c r="C79" s="13"/>
      <c r="D79" s="13"/>
      <c r="E79" s="13"/>
      <c r="F79" s="13"/>
      <c r="G79" s="13"/>
      <c r="H79" s="13"/>
      <c r="I79" s="13"/>
      <c r="J79" s="14"/>
    </row>
    <row r="80" spans="1:10" x14ac:dyDescent="0.2">
      <c r="A80" s="15" t="s">
        <v>609</v>
      </c>
      <c r="B80" s="15" t="s">
        <v>11</v>
      </c>
      <c r="C80" s="16">
        <f>IF(ISBLANK(B80),0,IF(ISERROR(VALUE(B80)),VLOOKUP(B80,dagsoorttabel1,2,FALSE)*dagenperjaar1,VALUE(B80)))</f>
        <v>200</v>
      </c>
      <c r="D80" s="15" t="s">
        <v>610</v>
      </c>
      <c r="E80" s="19"/>
      <c r="F80" s="18"/>
      <c r="G80" s="96"/>
      <c r="H80" s="30">
        <f>IF(ISBLANK(G80),0,G80*C80)+IF(ISBLANK(F80),0,F80*objecturen9_1)</f>
        <v>0</v>
      </c>
      <c r="I80" s="30">
        <f>IF(C80=0,0,H80/C80)</f>
        <v>0</v>
      </c>
      <c r="J80" s="33">
        <f>IF(ISBLANK(E80),0,ROUND(E80,2)*H80)</f>
        <v>0</v>
      </c>
    </row>
    <row r="81" spans="1:10" x14ac:dyDescent="0.2">
      <c r="A81" s="20"/>
      <c r="B81" s="20"/>
      <c r="C81" s="97">
        <f>dagenperjaar1</f>
        <v>200</v>
      </c>
      <c r="D81" s="98" t="s">
        <v>611</v>
      </c>
      <c r="E81" s="24"/>
      <c r="F81" s="23"/>
      <c r="G81" s="99"/>
      <c r="H81" s="34">
        <f>IF(ISBLANK(G81),0,G81*C81)+IF(ISBLANK(F81),0,F81*objecturen9_1)</f>
        <v>0</v>
      </c>
      <c r="I81" s="34">
        <f>IF(C81=0,0,H81/C81)</f>
        <v>0</v>
      </c>
      <c r="J81" s="37">
        <f>IF(ISBLANK(E81),0,ROUND(E81,2)*H81)</f>
        <v>0</v>
      </c>
    </row>
    <row r="82" spans="1:10" x14ac:dyDescent="0.2">
      <c r="A82" s="20"/>
      <c r="B82" s="20"/>
      <c r="C82" s="97">
        <f>dagenperjaar1</f>
        <v>200</v>
      </c>
      <c r="D82" s="98" t="s">
        <v>611</v>
      </c>
      <c r="E82" s="24"/>
      <c r="F82" s="23"/>
      <c r="G82" s="99"/>
      <c r="H82" s="34">
        <f>IF(ISBLANK(G82),0,G82*C82)+IF(ISBLANK(F82),0,F82*objecturen9_1)</f>
        <v>0</v>
      </c>
      <c r="I82" s="34">
        <f>IF(C82=0,0,H82/C82)</f>
        <v>0</v>
      </c>
      <c r="J82" s="37">
        <f>IF(ISBLANK(E82),0,ROUND(E82,2)*H82)</f>
        <v>0</v>
      </c>
    </row>
    <row r="83" spans="1:10" x14ac:dyDescent="0.2">
      <c r="A83" s="20"/>
      <c r="B83" s="20"/>
      <c r="C83" s="97">
        <f>dagenperjaar1</f>
        <v>200</v>
      </c>
      <c r="D83" s="98" t="s">
        <v>612</v>
      </c>
      <c r="E83" s="24"/>
      <c r="F83" s="100"/>
      <c r="G83" s="22"/>
      <c r="H83" s="34">
        <f>IF(ISBLANK(G83),0,G83*C83)+IF(ISBLANK(F83),0,F83*objecturen9_1)</f>
        <v>0</v>
      </c>
      <c r="I83" s="34">
        <f>IF(C83=0,0,H83/C83)</f>
        <v>0</v>
      </c>
      <c r="J83" s="37">
        <f>IF(ISBLANK(E83),0,ROUND(E83,2)*H83)</f>
        <v>0</v>
      </c>
    </row>
    <row r="84" spans="1:10" x14ac:dyDescent="0.2">
      <c r="A84" s="25"/>
      <c r="B84" s="25"/>
      <c r="C84" s="101">
        <f>dagenperjaar1</f>
        <v>200</v>
      </c>
      <c r="D84" s="102" t="s">
        <v>612</v>
      </c>
      <c r="E84" s="29"/>
      <c r="F84" s="103"/>
      <c r="G84" s="27"/>
      <c r="H84" s="38">
        <f>IF(ISBLANK(G84),0,G84*C84)+IF(ISBLANK(F84),0,F84*objecturen9_1)</f>
        <v>0</v>
      </c>
      <c r="I84" s="38">
        <f>IF(C84=0,0,H84/C84)</f>
        <v>0</v>
      </c>
      <c r="J84" s="40">
        <f>IF(ISBLANK(E84),0,ROUND(E84,2)*H84)</f>
        <v>0</v>
      </c>
    </row>
    <row r="85" spans="1:10" x14ac:dyDescent="0.2">
      <c r="A85" s="104" t="s">
        <v>621</v>
      </c>
      <c r="B85" s="43"/>
      <c r="C85" s="43"/>
      <c r="D85" s="43"/>
      <c r="E85" s="43"/>
      <c r="F85" s="43"/>
      <c r="G85" s="43"/>
      <c r="H85" s="44">
        <f>SUM(H80:H84)</f>
        <v>0</v>
      </c>
      <c r="I85" s="43"/>
      <c r="J85" s="46">
        <f>SUM(J80:J84)</f>
        <v>0</v>
      </c>
    </row>
    <row r="86" spans="1:10" x14ac:dyDescent="0.2">
      <c r="A86" s="47"/>
      <c r="B86" s="43"/>
      <c r="C86" s="43"/>
      <c r="D86" s="43"/>
      <c r="E86" s="43"/>
      <c r="F86" s="43"/>
      <c r="G86" s="43"/>
      <c r="H86" s="43"/>
      <c r="I86" s="43"/>
      <c r="J86" s="48"/>
    </row>
    <row r="87" spans="1:10" x14ac:dyDescent="0.2">
      <c r="A87" s="9"/>
      <c r="B87" s="10"/>
      <c r="C87" s="10"/>
      <c r="D87" s="10"/>
      <c r="E87" s="10"/>
      <c r="F87" s="10"/>
      <c r="G87" s="10"/>
      <c r="H87" s="10"/>
      <c r="I87" s="10"/>
      <c r="J87" s="11"/>
    </row>
    <row r="88" spans="1:10" x14ac:dyDescent="0.2">
      <c r="A88" s="95" t="s">
        <v>537</v>
      </c>
      <c r="B88" s="13"/>
      <c r="C88" s="13"/>
      <c r="D88" s="13"/>
      <c r="E88" s="13"/>
      <c r="F88" s="13"/>
      <c r="G88" s="13"/>
      <c r="H88" s="13"/>
      <c r="I88" s="13"/>
      <c r="J88" s="14"/>
    </row>
    <row r="89" spans="1:10" x14ac:dyDescent="0.2">
      <c r="A89" s="15" t="s">
        <v>609</v>
      </c>
      <c r="B89" s="15" t="s">
        <v>11</v>
      </c>
      <c r="C89" s="16">
        <f>IF(ISBLANK(B89),0,IF(ISERROR(VALUE(B89)),VLOOKUP(B89,dagsoorttabel1,2,FALSE)*dagenperjaar1,VALUE(B89)))</f>
        <v>200</v>
      </c>
      <c r="D89" s="15" t="s">
        <v>610</v>
      </c>
      <c r="E89" s="19"/>
      <c r="F89" s="18"/>
      <c r="G89" s="96"/>
      <c r="H89" s="30">
        <f>IF(ISBLANK(G89),0,G89*C89)+IF(ISBLANK(F89),0,F89*objecturen10_1)</f>
        <v>0</v>
      </c>
      <c r="I89" s="30">
        <f>IF(C89=0,0,H89/C89)</f>
        <v>0</v>
      </c>
      <c r="J89" s="33">
        <f>IF(ISBLANK(E89),0,ROUND(E89,2)*H89)</f>
        <v>0</v>
      </c>
    </row>
    <row r="90" spans="1:10" x14ac:dyDescent="0.2">
      <c r="A90" s="20"/>
      <c r="B90" s="20"/>
      <c r="C90" s="97">
        <f>dagenperjaar1</f>
        <v>200</v>
      </c>
      <c r="D90" s="98" t="s">
        <v>611</v>
      </c>
      <c r="E90" s="24"/>
      <c r="F90" s="23"/>
      <c r="G90" s="99"/>
      <c r="H90" s="34">
        <f>IF(ISBLANK(G90),0,G90*C90)+IF(ISBLANK(F90),0,F90*objecturen10_1)</f>
        <v>0</v>
      </c>
      <c r="I90" s="34">
        <f>IF(C90=0,0,H90/C90)</f>
        <v>0</v>
      </c>
      <c r="J90" s="37">
        <f>IF(ISBLANK(E90),0,ROUND(E90,2)*H90)</f>
        <v>0</v>
      </c>
    </row>
    <row r="91" spans="1:10" x14ac:dyDescent="0.2">
      <c r="A91" s="20"/>
      <c r="B91" s="20"/>
      <c r="C91" s="97">
        <f>dagenperjaar1</f>
        <v>200</v>
      </c>
      <c r="D91" s="98" t="s">
        <v>611</v>
      </c>
      <c r="E91" s="24"/>
      <c r="F91" s="23"/>
      <c r="G91" s="99"/>
      <c r="H91" s="34">
        <f>IF(ISBLANK(G91),0,G91*C91)+IF(ISBLANK(F91),0,F91*objecturen10_1)</f>
        <v>0</v>
      </c>
      <c r="I91" s="34">
        <f>IF(C91=0,0,H91/C91)</f>
        <v>0</v>
      </c>
      <c r="J91" s="37">
        <f>IF(ISBLANK(E91),0,ROUND(E91,2)*H91)</f>
        <v>0</v>
      </c>
    </row>
    <row r="92" spans="1:10" x14ac:dyDescent="0.2">
      <c r="A92" s="20"/>
      <c r="B92" s="20"/>
      <c r="C92" s="97">
        <f>dagenperjaar1</f>
        <v>200</v>
      </c>
      <c r="D92" s="98" t="s">
        <v>612</v>
      </c>
      <c r="E92" s="24"/>
      <c r="F92" s="100"/>
      <c r="G92" s="22"/>
      <c r="H92" s="34">
        <f>IF(ISBLANK(G92),0,G92*C92)+IF(ISBLANK(F92),0,F92*objecturen10_1)</f>
        <v>0</v>
      </c>
      <c r="I92" s="34">
        <f>IF(C92=0,0,H92/C92)</f>
        <v>0</v>
      </c>
      <c r="J92" s="37">
        <f>IF(ISBLANK(E92),0,ROUND(E92,2)*H92)</f>
        <v>0</v>
      </c>
    </row>
    <row r="93" spans="1:10" x14ac:dyDescent="0.2">
      <c r="A93" s="25"/>
      <c r="B93" s="25"/>
      <c r="C93" s="101">
        <f>dagenperjaar1</f>
        <v>200</v>
      </c>
      <c r="D93" s="102" t="s">
        <v>612</v>
      </c>
      <c r="E93" s="29"/>
      <c r="F93" s="103"/>
      <c r="G93" s="27"/>
      <c r="H93" s="38">
        <f>IF(ISBLANK(G93),0,G93*C93)+IF(ISBLANK(F93),0,F93*objecturen10_1)</f>
        <v>0</v>
      </c>
      <c r="I93" s="38">
        <f>IF(C93=0,0,H93/C93)</f>
        <v>0</v>
      </c>
      <c r="J93" s="40">
        <f>IF(ISBLANK(E93),0,ROUND(E93,2)*H93)</f>
        <v>0</v>
      </c>
    </row>
    <row r="94" spans="1:10" x14ac:dyDescent="0.2">
      <c r="A94" s="104" t="s">
        <v>622</v>
      </c>
      <c r="B94" s="43"/>
      <c r="C94" s="43"/>
      <c r="D94" s="43"/>
      <c r="E94" s="43"/>
      <c r="F94" s="43"/>
      <c r="G94" s="43"/>
      <c r="H94" s="44">
        <f>SUM(H89:H93)</f>
        <v>0</v>
      </c>
      <c r="I94" s="43"/>
      <c r="J94" s="46">
        <f>SUM(J89:J93)</f>
        <v>0</v>
      </c>
    </row>
    <row r="95" spans="1:10" x14ac:dyDescent="0.2">
      <c r="A95" s="47"/>
      <c r="B95" s="43"/>
      <c r="C95" s="43"/>
      <c r="D95" s="43"/>
      <c r="E95" s="43"/>
      <c r="F95" s="43"/>
      <c r="G95" s="43"/>
      <c r="H95" s="43"/>
      <c r="I95" s="43"/>
      <c r="J95" s="48"/>
    </row>
    <row r="96" spans="1:10" x14ac:dyDescent="0.2">
      <c r="A96" s="42" t="s">
        <v>216</v>
      </c>
      <c r="B96" s="43"/>
      <c r="C96" s="43"/>
      <c r="D96" s="43"/>
      <c r="E96" s="43"/>
      <c r="F96" s="43"/>
      <c r="G96" s="43"/>
      <c r="H96" s="44">
        <f>tzujt1_1+tzujt2_1+tzujt3_1+tzujt4_1+tzujt5_1+tzujt6_1+tzujt7_1+tzujt8_1+tzujt9_1+tzujt10_1</f>
        <v>0</v>
      </c>
      <c r="I96" s="43"/>
      <c r="J96" s="46">
        <f>tzpjt1_1+tzpjt2_1+tzpjt3_1+tzpjt4_1+tzpjt5_1+tzpjt6_1+tzpjt7_1+tzpjt8_1+tzpjt9_1+tzpjt10_1</f>
        <v>0</v>
      </c>
    </row>
    <row r="97" spans="1:10" x14ac:dyDescent="0.2">
      <c r="A97" s="47"/>
      <c r="B97" s="43"/>
      <c r="C97" s="43"/>
      <c r="D97" s="43"/>
      <c r="E97" s="43"/>
      <c r="F97" s="43"/>
      <c r="G97" s="43"/>
      <c r="H97" s="43"/>
      <c r="I97" s="43"/>
      <c r="J97" s="48"/>
    </row>
    <row r="99" spans="1:10" x14ac:dyDescent="0.2">
      <c r="A99" s="42" t="s">
        <v>623</v>
      </c>
      <c r="B99" s="43"/>
      <c r="C99" s="43"/>
      <c r="D99" s="43"/>
      <c r="E99" s="43"/>
      <c r="F99" s="43"/>
      <c r="G99" s="43"/>
      <c r="H99" s="44">
        <f>tzujt1</f>
        <v>0</v>
      </c>
      <c r="I99" s="43"/>
      <c r="J99" s="45">
        <f>tzpjt1</f>
        <v>0</v>
      </c>
    </row>
    <row r="101" spans="1:10" x14ac:dyDescent="0.2">
      <c r="A101" s="42" t="s">
        <v>624</v>
      </c>
      <c r="B101" s="43"/>
      <c r="C101" s="43"/>
      <c r="D101" s="43"/>
      <c r="E101" s="43"/>
      <c r="F101" s="43"/>
      <c r="G101" s="43"/>
      <c r="H101" s="43"/>
      <c r="I101" s="43"/>
      <c r="J101" s="45">
        <f>J99*1.21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8691-7F89-42BE-842F-3E808AE6B293}">
  <dimension ref="A1:K15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H.6: ",tabeltype," totaalblad objecten")</f>
        <v>Bijlage H.6: Invultabel totaalblad objecten</v>
      </c>
    </row>
    <row r="3" spans="1:11" ht="38.25" x14ac:dyDescent="0.2">
      <c r="A3" s="8" t="s">
        <v>219</v>
      </c>
      <c r="B3" s="8" t="s">
        <v>562</v>
      </c>
      <c r="C3" s="8" t="s">
        <v>563</v>
      </c>
      <c r="D3" s="8" t="s">
        <v>564</v>
      </c>
      <c r="E3" s="8" t="s">
        <v>574</v>
      </c>
      <c r="F3" s="8" t="s">
        <v>156</v>
      </c>
      <c r="G3" s="8" t="s">
        <v>625</v>
      </c>
      <c r="H3" s="8" t="s">
        <v>626</v>
      </c>
      <c r="I3" s="8" t="s">
        <v>627</v>
      </c>
      <c r="J3" s="8" t="s">
        <v>628</v>
      </c>
      <c r="K3" s="8" t="s">
        <v>629</v>
      </c>
    </row>
    <row r="4" spans="1:11" x14ac:dyDescent="0.2">
      <c r="A4" s="15" t="s">
        <v>229</v>
      </c>
      <c r="B4" s="82" t="s">
        <v>576</v>
      </c>
      <c r="C4" s="15" t="s">
        <v>577</v>
      </c>
      <c r="D4" s="15" t="s">
        <v>578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 t="shared" ref="J4:J13" si="0">G4+I4</f>
        <v>0</v>
      </c>
      <c r="K4" s="33">
        <f t="shared" ref="K4:K13" si="1">J4*1.21</f>
        <v>0</v>
      </c>
    </row>
    <row r="5" spans="1:11" x14ac:dyDescent="0.2">
      <c r="A5" s="20" t="s">
        <v>321</v>
      </c>
      <c r="B5" s="20" t="s">
        <v>579</v>
      </c>
      <c r="C5" s="20" t="s">
        <v>580</v>
      </c>
      <c r="D5" s="20" t="s">
        <v>578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 t="shared" si="0"/>
        <v>0</v>
      </c>
      <c r="K5" s="37">
        <f t="shared" si="1"/>
        <v>0</v>
      </c>
    </row>
    <row r="6" spans="1:11" x14ac:dyDescent="0.2">
      <c r="A6" s="20" t="s">
        <v>368</v>
      </c>
      <c r="B6" s="20" t="s">
        <v>581</v>
      </c>
      <c r="C6" s="20" t="s">
        <v>582</v>
      </c>
      <c r="D6" s="20" t="s">
        <v>583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 t="shared" si="0"/>
        <v>0</v>
      </c>
      <c r="K6" s="37">
        <f t="shared" si="1"/>
        <v>0</v>
      </c>
    </row>
    <row r="7" spans="1:11" x14ac:dyDescent="0.2">
      <c r="A7" s="20" t="s">
        <v>395</v>
      </c>
      <c r="B7" s="20" t="s">
        <v>584</v>
      </c>
      <c r="C7" s="20" t="s">
        <v>585</v>
      </c>
      <c r="D7" s="20" t="s">
        <v>583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 t="shared" si="0"/>
        <v>0</v>
      </c>
      <c r="K7" s="37">
        <f t="shared" si="1"/>
        <v>0</v>
      </c>
    </row>
    <row r="8" spans="1:11" x14ac:dyDescent="0.2">
      <c r="A8" s="20" t="s">
        <v>415</v>
      </c>
      <c r="B8" s="20" t="s">
        <v>586</v>
      </c>
      <c r="C8" s="20" t="s">
        <v>587</v>
      </c>
      <c r="D8" s="20" t="s">
        <v>583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 t="shared" si="0"/>
        <v>0</v>
      </c>
      <c r="K8" s="37">
        <f t="shared" si="1"/>
        <v>0</v>
      </c>
    </row>
    <row r="9" spans="1:11" x14ac:dyDescent="0.2">
      <c r="A9" s="20" t="s">
        <v>448</v>
      </c>
      <c r="B9" s="20" t="s">
        <v>588</v>
      </c>
      <c r="C9" s="20" t="s">
        <v>589</v>
      </c>
      <c r="D9" s="20" t="s">
        <v>583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 t="shared" si="0"/>
        <v>0</v>
      </c>
      <c r="K9" s="37">
        <f t="shared" si="1"/>
        <v>0</v>
      </c>
    </row>
    <row r="10" spans="1:11" x14ac:dyDescent="0.2">
      <c r="A10" s="20" t="s">
        <v>468</v>
      </c>
      <c r="B10" s="20" t="s">
        <v>590</v>
      </c>
      <c r="C10" s="20" t="s">
        <v>591</v>
      </c>
      <c r="D10" s="20" t="s">
        <v>583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 t="shared" si="0"/>
        <v>0</v>
      </c>
      <c r="K10" s="37">
        <f t="shared" si="1"/>
        <v>0</v>
      </c>
    </row>
    <row r="11" spans="1:11" x14ac:dyDescent="0.2">
      <c r="A11" s="20" t="s">
        <v>477</v>
      </c>
      <c r="B11" s="20" t="s">
        <v>592</v>
      </c>
      <c r="C11" s="20" t="s">
        <v>593</v>
      </c>
      <c r="D11" s="20" t="s">
        <v>594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 t="shared" si="0"/>
        <v>0</v>
      </c>
      <c r="K11" s="37">
        <f t="shared" si="1"/>
        <v>0</v>
      </c>
    </row>
    <row r="12" spans="1:11" x14ac:dyDescent="0.2">
      <c r="A12" s="20" t="s">
        <v>487</v>
      </c>
      <c r="B12" s="20" t="s">
        <v>595</v>
      </c>
      <c r="C12" s="20" t="s">
        <v>596</v>
      </c>
      <c r="D12" s="20" t="s">
        <v>583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 t="shared" si="0"/>
        <v>0</v>
      </c>
      <c r="K12" s="37">
        <f t="shared" si="1"/>
        <v>0</v>
      </c>
    </row>
    <row r="13" spans="1:11" x14ac:dyDescent="0.2">
      <c r="A13" s="25" t="s">
        <v>538</v>
      </c>
      <c r="B13" s="25" t="s">
        <v>597</v>
      </c>
      <c r="C13" s="25" t="s">
        <v>598</v>
      </c>
      <c r="D13" s="25" t="s">
        <v>583</v>
      </c>
      <c r="E13" s="38">
        <f>objecturenhf10_1</f>
        <v>0</v>
      </c>
      <c r="F13" s="38">
        <f>objecturen10_1</f>
        <v>0</v>
      </c>
      <c r="G13" s="40">
        <f>objectprijs10_1</f>
        <v>0</v>
      </c>
      <c r="H13" s="38">
        <f>tzujt10_1</f>
        <v>0</v>
      </c>
      <c r="I13" s="40">
        <f>tzpjt10_1</f>
        <v>0</v>
      </c>
      <c r="J13" s="40">
        <f t="shared" si="0"/>
        <v>0</v>
      </c>
      <c r="K13" s="40">
        <f t="shared" si="1"/>
        <v>0</v>
      </c>
    </row>
    <row r="15" spans="1:11" x14ac:dyDescent="0.2">
      <c r="A15" s="42" t="s">
        <v>630</v>
      </c>
      <c r="B15" s="43"/>
      <c r="C15" s="43"/>
      <c r="D15" s="43"/>
      <c r="E15" s="44">
        <f t="shared" ref="E15:K15" si="2">SUM(E4:E13)</f>
        <v>0</v>
      </c>
      <c r="F15" s="44">
        <f t="shared" si="2"/>
        <v>0</v>
      </c>
      <c r="G15" s="45">
        <f t="shared" si="2"/>
        <v>0</v>
      </c>
      <c r="H15" s="44">
        <f t="shared" si="2"/>
        <v>0</v>
      </c>
      <c r="I15" s="45">
        <f t="shared" si="2"/>
        <v>0</v>
      </c>
      <c r="J15" s="45">
        <f t="shared" si="2"/>
        <v>0</v>
      </c>
      <c r="K15" s="45">
        <f t="shared" si="2"/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4FC9-D274-4016-AD69-3163F0CD5D5E}">
  <dimension ref="A1:K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H.7: ",tabeltype," additioneel werk")</f>
        <v>Bijlage H.7: Invultabel additioneel werk</v>
      </c>
    </row>
    <row r="3" spans="1:11" ht="38.25" x14ac:dyDescent="0.2">
      <c r="A3" s="8" t="s">
        <v>631</v>
      </c>
      <c r="B3" s="8" t="s">
        <v>7</v>
      </c>
      <c r="C3" s="8" t="s">
        <v>632</v>
      </c>
      <c r="D3" s="8" t="s">
        <v>34</v>
      </c>
      <c r="E3" s="8" t="s">
        <v>37</v>
      </c>
      <c r="F3" s="8" t="s">
        <v>633</v>
      </c>
      <c r="G3" s="8" t="s">
        <v>634</v>
      </c>
      <c r="H3" s="8" t="s">
        <v>635</v>
      </c>
      <c r="I3" s="8" t="s">
        <v>636</v>
      </c>
      <c r="J3" s="8" t="s">
        <v>637</v>
      </c>
      <c r="K3" s="8" t="s">
        <v>157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05" t="s">
        <v>638</v>
      </c>
      <c r="B6" s="105" t="s">
        <v>28</v>
      </c>
      <c r="C6" s="106">
        <f>IF(ISBLANK(B6),0,IF(ISERROR(VALUE(B6)),VLOOKUP(B6,dagsoorttabel1,2,FALSE)*dagenperjaar1,VALUE(B6)))</f>
        <v>1</v>
      </c>
      <c r="D6" s="105" t="s">
        <v>639</v>
      </c>
      <c r="E6" s="105" t="s">
        <v>640</v>
      </c>
      <c r="F6" s="107">
        <v>6405.9600000000009</v>
      </c>
      <c r="G6" s="108"/>
      <c r="H6" s="109"/>
      <c r="I6" s="110"/>
      <c r="J6" s="111">
        <f>IF(ISBLANK(H6),0,F6 / H6 * G6)</f>
        <v>0</v>
      </c>
      <c r="K6" s="111">
        <f>C6*J6</f>
        <v>0</v>
      </c>
    </row>
    <row r="7" spans="1:11" x14ac:dyDescent="0.2">
      <c r="A7" s="42" t="s">
        <v>216</v>
      </c>
      <c r="B7" s="43"/>
      <c r="C7" s="43"/>
      <c r="D7" s="43"/>
      <c r="E7" s="43"/>
      <c r="F7" s="43"/>
      <c r="G7" s="43"/>
      <c r="H7" s="43"/>
      <c r="I7" s="43"/>
      <c r="J7" s="43"/>
      <c r="K7" s="45">
        <f>SUM(K6:K6)</f>
        <v>0</v>
      </c>
    </row>
    <row r="9" spans="1:11" x14ac:dyDescent="0.2">
      <c r="A9" s="42" t="s">
        <v>641</v>
      </c>
      <c r="B9" s="43"/>
      <c r="C9" s="43"/>
      <c r="D9" s="43"/>
      <c r="E9" s="43"/>
      <c r="F9" s="43"/>
      <c r="G9" s="43"/>
      <c r="H9" s="43"/>
      <c r="I9" s="43"/>
      <c r="J9" s="43"/>
      <c r="K9" s="45">
        <f>prijsjaaradditioneel1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&amp;LStichting OPO-Rivierenland                                  &amp;ROpmaakdatum: 08-06-2023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585</vt:i4>
      </vt:variant>
    </vt:vector>
  </HeadingPairs>
  <TitlesOfParts>
    <vt:vector size="600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catdw_1_BKHV_40</vt:lpstr>
      <vt:lpstr>catdw_1_BKHV_47</vt:lpstr>
      <vt:lpstr>catdw_1_BKZB_1</vt:lpstr>
      <vt:lpstr>catdw_1_BKZV_2</vt:lpstr>
      <vt:lpstr>catdw_1_BKZV_40</vt:lpstr>
      <vt:lpstr>catdw_1_GSHB_1</vt:lpstr>
      <vt:lpstr>catdw_1_GSHV_2</vt:lpstr>
      <vt:lpstr>catdw_1_GSHV_40</vt:lpstr>
      <vt:lpstr>catdw_1_KAHB_1</vt:lpstr>
      <vt:lpstr>catdw_1_KAHV_40</vt:lpstr>
      <vt:lpstr>catdw_1_KAZB_1</vt:lpstr>
      <vt:lpstr>catdw_1_KAZV_40</vt:lpstr>
      <vt:lpstr>catdw_1_KDHB_1</vt:lpstr>
      <vt:lpstr>catdw_1_KDHV_40</vt:lpstr>
      <vt:lpstr>catdw_1_KDZB_1</vt:lpstr>
      <vt:lpstr>catdw_1_KDZV_40</vt:lpstr>
      <vt:lpstr>catdw_1_KPHB_1</vt:lpstr>
      <vt:lpstr>catdw_1_KPHV_40</vt:lpstr>
      <vt:lpstr>catdw_1_LLHB_1</vt:lpstr>
      <vt:lpstr>catdw_1_LLHV_12</vt:lpstr>
      <vt:lpstr>catdw_1_LLHV_40</vt:lpstr>
      <vt:lpstr>catdw_1_LLZB_1</vt:lpstr>
      <vt:lpstr>catdw_1_LLZV_40</vt:lpstr>
      <vt:lpstr>catdw_1_LOHB_1</vt:lpstr>
      <vt:lpstr>catdw_1_LOHV_40</vt:lpstr>
      <vt:lpstr>catdw_1_MAHB_1</vt:lpstr>
      <vt:lpstr>catdw_1_MAHV_40</vt:lpstr>
      <vt:lpstr>catdw_1_MAZV_2</vt:lpstr>
      <vt:lpstr>catdw_1_OAHB_1</vt:lpstr>
      <vt:lpstr>catdw_1_OAHV_40</vt:lpstr>
      <vt:lpstr>catdw_1_OAHV_47</vt:lpstr>
      <vt:lpstr>catdw_1_PAHB_1</vt:lpstr>
      <vt:lpstr>catdw_1_PAHV_40</vt:lpstr>
      <vt:lpstr>catdw_1_PAZB_1</vt:lpstr>
      <vt:lpstr>catdw_1_PAZV_40</vt:lpstr>
      <vt:lpstr>catdw_1_SDHB_1</vt:lpstr>
      <vt:lpstr>catdw_1_SDHV_40</vt:lpstr>
      <vt:lpstr>catdw_1_SKHB_1</vt:lpstr>
      <vt:lpstr>catdw_1_SKHV_40</vt:lpstr>
      <vt:lpstr>catdw_1_STHB_1</vt:lpstr>
      <vt:lpstr>catdw_1_STHV_40</vt:lpstr>
      <vt:lpstr>catdw_1_STHV_47</vt:lpstr>
      <vt:lpstr>catdw_1_SWHB_1</vt:lpstr>
      <vt:lpstr>catdw_1_SWHV_40</vt:lpstr>
      <vt:lpstr>catdw_1_VAHB_1</vt:lpstr>
      <vt:lpstr>catdw_1_VAHV_40</vt:lpstr>
      <vt:lpstr>catdw_1_VAHV_47</vt:lpstr>
      <vt:lpstr>catdw_1_VAZB_1</vt:lpstr>
      <vt:lpstr>catdw_1_VAZV_40</vt:lpstr>
      <vt:lpstr>catdw_1_VEHB_1</vt:lpstr>
      <vt:lpstr>catdw_1_VEHV_40</vt:lpstr>
      <vt:lpstr>catdw_1_VEZB_1</vt:lpstr>
      <vt:lpstr>catdw_1_VEZV_40</vt:lpstr>
      <vt:lpstr>catdw_1_VEZV_47</vt:lpstr>
      <vt:lpstr>catdw_1_VOHB_1</vt:lpstr>
      <vt:lpstr>catdw_1_VOHV_40</vt:lpstr>
      <vt:lpstr>catdw_1_VSHB_1</vt:lpstr>
      <vt:lpstr>catdw_1_VSHV_40</vt:lpstr>
      <vt:lpstr>catdw_1_VSHV_52</vt:lpstr>
      <vt:lpstr>catdw_1_VTHB_1</vt:lpstr>
      <vt:lpstr>catdw_1_VTHV_40</vt:lpstr>
      <vt:lpstr>catfd_1_BKHB_1</vt:lpstr>
      <vt:lpstr>catfd_1_BKHV_40</vt:lpstr>
      <vt:lpstr>catfd_1_BKHV_47</vt:lpstr>
      <vt:lpstr>catfd_1_BKZB_1</vt:lpstr>
      <vt:lpstr>catfd_1_BKZV_2</vt:lpstr>
      <vt:lpstr>catfd_1_BKZV_40</vt:lpstr>
      <vt:lpstr>catfd_1_GSHB_1</vt:lpstr>
      <vt:lpstr>catfd_1_GSHV_2</vt:lpstr>
      <vt:lpstr>catfd_1_GSHV_40</vt:lpstr>
      <vt:lpstr>catfd_1_KAHB_1</vt:lpstr>
      <vt:lpstr>catfd_1_KAHV_40</vt:lpstr>
      <vt:lpstr>catfd_1_KAZB_1</vt:lpstr>
      <vt:lpstr>catfd_1_KAZV_40</vt:lpstr>
      <vt:lpstr>catfd_1_KDHB_1</vt:lpstr>
      <vt:lpstr>catfd_1_KDHV_40</vt:lpstr>
      <vt:lpstr>catfd_1_KDZB_1</vt:lpstr>
      <vt:lpstr>catfd_1_KDZV_40</vt:lpstr>
      <vt:lpstr>catfd_1_KPHB_1</vt:lpstr>
      <vt:lpstr>catfd_1_KPHV_40</vt:lpstr>
      <vt:lpstr>catfd_1_LLHB_1</vt:lpstr>
      <vt:lpstr>catfd_1_LLHV_12</vt:lpstr>
      <vt:lpstr>catfd_1_LLHV_40</vt:lpstr>
      <vt:lpstr>catfd_1_LLZB_1</vt:lpstr>
      <vt:lpstr>catfd_1_LLZV_40</vt:lpstr>
      <vt:lpstr>catfd_1_LOHB_1</vt:lpstr>
      <vt:lpstr>catfd_1_LOHV_40</vt:lpstr>
      <vt:lpstr>catfd_1_MAHB_1</vt:lpstr>
      <vt:lpstr>catfd_1_MAHV_40</vt:lpstr>
      <vt:lpstr>catfd_1_MAZV_2</vt:lpstr>
      <vt:lpstr>catfd_1_OAHB_1</vt:lpstr>
      <vt:lpstr>catfd_1_OAHV_40</vt:lpstr>
      <vt:lpstr>catfd_1_OAHV_47</vt:lpstr>
      <vt:lpstr>catfd_1_PAHB_1</vt:lpstr>
      <vt:lpstr>catfd_1_PAHV_40</vt:lpstr>
      <vt:lpstr>catfd_1_PAZB_1</vt:lpstr>
      <vt:lpstr>catfd_1_PAZV_40</vt:lpstr>
      <vt:lpstr>catfd_1_SDHB_1</vt:lpstr>
      <vt:lpstr>catfd_1_SDHV_40</vt:lpstr>
      <vt:lpstr>catfd_1_SKHB_1</vt:lpstr>
      <vt:lpstr>catfd_1_SKHV_40</vt:lpstr>
      <vt:lpstr>catfd_1_STHB_1</vt:lpstr>
      <vt:lpstr>catfd_1_STHV_40</vt:lpstr>
      <vt:lpstr>catfd_1_STHV_47</vt:lpstr>
      <vt:lpstr>catfd_1_SWHB_1</vt:lpstr>
      <vt:lpstr>catfd_1_SWHV_40</vt:lpstr>
      <vt:lpstr>catfd_1_VAHB_1</vt:lpstr>
      <vt:lpstr>catfd_1_VAHV_40</vt:lpstr>
      <vt:lpstr>catfd_1_VAHV_47</vt:lpstr>
      <vt:lpstr>catfd_1_VAZB_1</vt:lpstr>
      <vt:lpstr>catfd_1_VAZV_40</vt:lpstr>
      <vt:lpstr>catfd_1_VEHB_1</vt:lpstr>
      <vt:lpstr>catfd_1_VEHV_40</vt:lpstr>
      <vt:lpstr>catfd_1_VEZB_1</vt:lpstr>
      <vt:lpstr>catfd_1_VEZV_40</vt:lpstr>
      <vt:lpstr>catfd_1_VEZV_47</vt:lpstr>
      <vt:lpstr>catfd_1_VOHB_1</vt:lpstr>
      <vt:lpstr>catfd_1_VOHV_40</vt:lpstr>
      <vt:lpstr>catfd_1_VSHB_1</vt:lpstr>
      <vt:lpstr>catfd_1_VSHV_40</vt:lpstr>
      <vt:lpstr>catfd_1_VSHV_52</vt:lpstr>
      <vt:lpstr>catfd_1_VTHB_1</vt:lpstr>
      <vt:lpstr>catfd_1_VTHV_40</vt:lpstr>
      <vt:lpstr>catpn_1_BKHB_1</vt:lpstr>
      <vt:lpstr>catpn_1_BKHV_40</vt:lpstr>
      <vt:lpstr>catpn_1_BKHV_47</vt:lpstr>
      <vt:lpstr>catpn_1_BKZB_1</vt:lpstr>
      <vt:lpstr>catpn_1_BKZV_2</vt:lpstr>
      <vt:lpstr>catpn_1_BKZV_40</vt:lpstr>
      <vt:lpstr>catpn_1_GSHB_1</vt:lpstr>
      <vt:lpstr>catpn_1_GSHV_2</vt:lpstr>
      <vt:lpstr>catpn_1_GSHV_40</vt:lpstr>
      <vt:lpstr>catpn_1_KAHB_1</vt:lpstr>
      <vt:lpstr>catpn_1_KAHV_40</vt:lpstr>
      <vt:lpstr>catpn_1_KAZB_1</vt:lpstr>
      <vt:lpstr>catpn_1_KAZV_40</vt:lpstr>
      <vt:lpstr>catpn_1_KDHB_1</vt:lpstr>
      <vt:lpstr>catpn_1_KDHV_40</vt:lpstr>
      <vt:lpstr>catpn_1_KDZB_1</vt:lpstr>
      <vt:lpstr>catpn_1_KDZV_40</vt:lpstr>
      <vt:lpstr>catpn_1_KPHB_1</vt:lpstr>
      <vt:lpstr>catpn_1_KPHV_40</vt:lpstr>
      <vt:lpstr>catpn_1_LLHB_1</vt:lpstr>
      <vt:lpstr>catpn_1_LLHV_12</vt:lpstr>
      <vt:lpstr>catpn_1_LLHV_40</vt:lpstr>
      <vt:lpstr>catpn_1_LLZB_1</vt:lpstr>
      <vt:lpstr>catpn_1_LLZV_40</vt:lpstr>
      <vt:lpstr>catpn_1_LOHB_1</vt:lpstr>
      <vt:lpstr>catpn_1_LOHV_40</vt:lpstr>
      <vt:lpstr>catpn_1_MAHB_1</vt:lpstr>
      <vt:lpstr>catpn_1_MAHV_40</vt:lpstr>
      <vt:lpstr>catpn_1_MAZV_2</vt:lpstr>
      <vt:lpstr>catpn_1_OAHB_1</vt:lpstr>
      <vt:lpstr>catpn_1_OAHV_40</vt:lpstr>
      <vt:lpstr>catpn_1_OAHV_47</vt:lpstr>
      <vt:lpstr>catpn_1_PAHB_1</vt:lpstr>
      <vt:lpstr>catpn_1_PAHV_40</vt:lpstr>
      <vt:lpstr>catpn_1_PAZB_1</vt:lpstr>
      <vt:lpstr>catpn_1_PAZV_40</vt:lpstr>
      <vt:lpstr>catpn_1_SDHB_1</vt:lpstr>
      <vt:lpstr>catpn_1_SDHV_40</vt:lpstr>
      <vt:lpstr>catpn_1_SKHB_1</vt:lpstr>
      <vt:lpstr>catpn_1_SKHV_40</vt:lpstr>
      <vt:lpstr>catpn_1_STHB_1</vt:lpstr>
      <vt:lpstr>catpn_1_STHV_40</vt:lpstr>
      <vt:lpstr>catpn_1_STHV_47</vt:lpstr>
      <vt:lpstr>catpn_1_SWHB_1</vt:lpstr>
      <vt:lpstr>catpn_1_SWHV_40</vt:lpstr>
      <vt:lpstr>catpn_1_VAHB_1</vt:lpstr>
      <vt:lpstr>catpn_1_VAHV_40</vt:lpstr>
      <vt:lpstr>catpn_1_VAHV_47</vt:lpstr>
      <vt:lpstr>catpn_1_VAZB_1</vt:lpstr>
      <vt:lpstr>catpn_1_VAZV_40</vt:lpstr>
      <vt:lpstr>catpn_1_VEHB_1</vt:lpstr>
      <vt:lpstr>catpn_1_VEHV_40</vt:lpstr>
      <vt:lpstr>catpn_1_VEZB_1</vt:lpstr>
      <vt:lpstr>catpn_1_VEZV_40</vt:lpstr>
      <vt:lpstr>catpn_1_VEZV_47</vt:lpstr>
      <vt:lpstr>catpn_1_VOHB_1</vt:lpstr>
      <vt:lpstr>catpn_1_VOHV_40</vt:lpstr>
      <vt:lpstr>catpn_1_VSHB_1</vt:lpstr>
      <vt:lpstr>catpn_1_VSHV_40</vt:lpstr>
      <vt:lpstr>catpn_1_VSHV_52</vt:lpstr>
      <vt:lpstr>catpn_1_VTHB_1</vt:lpstr>
      <vt:lpstr>catpn_1_VTHV_40</vt:lpstr>
      <vt:lpstr>cattf_1_BKHB_1</vt:lpstr>
      <vt:lpstr>cattf_1_BKHV_40</vt:lpstr>
      <vt:lpstr>cattf_1_BKHV_47</vt:lpstr>
      <vt:lpstr>cattf_1_BKZB_1</vt:lpstr>
      <vt:lpstr>cattf_1_BKZV_2</vt:lpstr>
      <vt:lpstr>cattf_1_BKZV_40</vt:lpstr>
      <vt:lpstr>cattf_1_GSHB_1</vt:lpstr>
      <vt:lpstr>cattf_1_GSHV_2</vt:lpstr>
      <vt:lpstr>cattf_1_GSHV_40</vt:lpstr>
      <vt:lpstr>cattf_1_KAHB_1</vt:lpstr>
      <vt:lpstr>cattf_1_KAHV_40</vt:lpstr>
      <vt:lpstr>cattf_1_KAZB_1</vt:lpstr>
      <vt:lpstr>cattf_1_KAZV_40</vt:lpstr>
      <vt:lpstr>cattf_1_KDHB_1</vt:lpstr>
      <vt:lpstr>cattf_1_KDHV_40</vt:lpstr>
      <vt:lpstr>cattf_1_KDZB_1</vt:lpstr>
      <vt:lpstr>cattf_1_KDZV_40</vt:lpstr>
      <vt:lpstr>cattf_1_KPHB_1</vt:lpstr>
      <vt:lpstr>cattf_1_KPHV_40</vt:lpstr>
      <vt:lpstr>cattf_1_LLHB_1</vt:lpstr>
      <vt:lpstr>cattf_1_LLHV_12</vt:lpstr>
      <vt:lpstr>cattf_1_LLHV_40</vt:lpstr>
      <vt:lpstr>cattf_1_LLZB_1</vt:lpstr>
      <vt:lpstr>cattf_1_LLZV_40</vt:lpstr>
      <vt:lpstr>cattf_1_LOHB_1</vt:lpstr>
      <vt:lpstr>cattf_1_LOHV_40</vt:lpstr>
      <vt:lpstr>cattf_1_MAHB_1</vt:lpstr>
      <vt:lpstr>cattf_1_MAHV_40</vt:lpstr>
      <vt:lpstr>cattf_1_MAZV_2</vt:lpstr>
      <vt:lpstr>cattf_1_OAHB_1</vt:lpstr>
      <vt:lpstr>cattf_1_OAHV_40</vt:lpstr>
      <vt:lpstr>cattf_1_OAHV_47</vt:lpstr>
      <vt:lpstr>cattf_1_PAHB_1</vt:lpstr>
      <vt:lpstr>cattf_1_PAHV_40</vt:lpstr>
      <vt:lpstr>cattf_1_PAZB_1</vt:lpstr>
      <vt:lpstr>cattf_1_PAZV_40</vt:lpstr>
      <vt:lpstr>cattf_1_SDHB_1</vt:lpstr>
      <vt:lpstr>cattf_1_SDHV_40</vt:lpstr>
      <vt:lpstr>cattf_1_SKHB_1</vt:lpstr>
      <vt:lpstr>cattf_1_SKHV_40</vt:lpstr>
      <vt:lpstr>cattf_1_STHB_1</vt:lpstr>
      <vt:lpstr>cattf_1_STHV_40</vt:lpstr>
      <vt:lpstr>cattf_1_STHV_47</vt:lpstr>
      <vt:lpstr>cattf_1_SWHB_1</vt:lpstr>
      <vt:lpstr>cattf_1_SWHV_40</vt:lpstr>
      <vt:lpstr>cattf_1_VAHB_1</vt:lpstr>
      <vt:lpstr>cattf_1_VAHV_40</vt:lpstr>
      <vt:lpstr>cattf_1_VAHV_47</vt:lpstr>
      <vt:lpstr>cattf_1_VAZB_1</vt:lpstr>
      <vt:lpstr>cattf_1_VAZV_40</vt:lpstr>
      <vt:lpstr>cattf_1_VEHB_1</vt:lpstr>
      <vt:lpstr>cattf_1_VEHV_40</vt:lpstr>
      <vt:lpstr>cattf_1_VEZB_1</vt:lpstr>
      <vt:lpstr>cattf_1_VEZV_40</vt:lpstr>
      <vt:lpstr>cattf_1_VEZV_47</vt:lpstr>
      <vt:lpstr>cattf_1_VOHB_1</vt:lpstr>
      <vt:lpstr>cattf_1_VOHV_40</vt:lpstr>
      <vt:lpstr>cattf_1_VSHB_1</vt:lpstr>
      <vt:lpstr>cattf_1_VSHV_40</vt:lpstr>
      <vt:lpstr>cattf_1_VSHV_52</vt:lpstr>
      <vt:lpstr>cattf_1_VTHB_1</vt:lpstr>
      <vt:lpstr>cattf_1_VTHV_40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object10_prijsdag1</vt:lpstr>
      <vt:lpstr>object10_prijsjaar1</vt:lpstr>
      <vt:lpstr>object10_urendag1</vt:lpstr>
      <vt:lpstr>object10_urendaghf1</vt:lpstr>
      <vt:lpstr>object10_urenjaar1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taakfreqtabel1</vt:lpstr>
      <vt:lpstr>tabeltype</vt:lpstr>
      <vt:lpstr>tarieftabel1</vt:lpstr>
      <vt:lpstr>tzpjt1</vt:lpstr>
      <vt:lpstr>tzpjt1_1</vt:lpstr>
      <vt:lpstr>tzpjt10_1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tzujt1</vt:lpstr>
      <vt:lpstr>tzujt1_1</vt:lpstr>
      <vt:lpstr>tzujt10_1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2023-06-08T08:11:21Z</dcterms:created>
  <dcterms:modified xsi:type="dcterms:W3CDTF">2023-06-08T08:31:11Z</dcterms:modified>
</cp:coreProperties>
</file>