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Schoonmaak\04 Nota's van inlichtingen\2e NvI\"/>
    </mc:Choice>
  </mc:AlternateContent>
  <xr:revisionPtr revIDLastSave="0" documentId="8_{89C827A9-00F2-43E3-AE51-417E506901C8}" xr6:coauthVersionLast="47" xr6:coauthVersionMax="47" xr10:uidLastSave="{00000000-0000-0000-0000-000000000000}"/>
  <bookViews>
    <workbookView xWindow="1560" yWindow="1560" windowWidth="21600" windowHeight="11385" tabRatio="896" xr2:uid="{00000000-000D-0000-FFFF-FFFF00000000}"/>
  </bookViews>
  <sheets>
    <sheet name="Toelichting Calculatiemodel" sheetId="45" r:id="rId1"/>
    <sheet name="Voorblad" sheetId="33" r:id="rId2"/>
    <sheet name="1.0-Contractblad" sheetId="31" r:id="rId3"/>
    <sheet name="1.1 Jaarprijzen" sheetId="28" r:id="rId4"/>
    <sheet name="1.2-Kengetal" sheetId="1" r:id="rId5"/>
    <sheet name="1.3-Basis ruimtestaat" sheetId="2" r:id="rId6"/>
    <sheet name="1.3a-Mutaties" sheetId="51" state="hidden" r:id="rId7"/>
    <sheet name="1.3b Verrekening mutaties" sheetId="44" state="hidden" r:id="rId8"/>
    <sheet name="1.4-Opbouw uurtarieven" sheetId="55" r:id="rId9"/>
    <sheet name="1.5-Afroepprijs" sheetId="5" r:id="rId10"/>
    <sheet name="1.6-Glasbewassing" sheetId="3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F" localSheetId="10" hidden="1">[1]Blad1!#REF!</definedName>
    <definedName name="_2F" localSheetId="7" hidden="1">[1]Blad1!#REF!</definedName>
    <definedName name="_2F" localSheetId="8" hidden="1">[1]Blad1!#REF!</definedName>
    <definedName name="_2F" localSheetId="0" hidden="1">[1]Blad1!#REF!</definedName>
    <definedName name="_2F" hidden="1">[1]Blad1!#REF!</definedName>
    <definedName name="_Dist_Bin" localSheetId="8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7" hidden="1">'[2]#REF'!#REF!</definedName>
    <definedName name="_Fill" localSheetId="8" hidden="1">'[3]#REF'!#REF!</definedName>
    <definedName name="_Fill" localSheetId="10" hidden="1">'[2]#REF'!#REF!</definedName>
    <definedName name="_Fill" localSheetId="0" hidden="1">'[2]#REF'!#REF!</definedName>
    <definedName name="_Fill" hidden="1">'[2]#REF'!#REF!</definedName>
    <definedName name="_xlnm._FilterDatabase" localSheetId="3" hidden="1">'1.1 Jaarprijzen'!$A$9:$N$123</definedName>
    <definedName name="_xlnm._FilterDatabase" localSheetId="4" hidden="1">'1.2-Kengetal'!$C$16:$Q$64</definedName>
    <definedName name="_xlnm._FilterDatabase" localSheetId="6" hidden="1">'1.3a-Mutaties'!$B$12:$AC$53</definedName>
    <definedName name="_xlnm._FilterDatabase" localSheetId="5" hidden="1">'1.3-Basis ruimtestaat'!$B$10:$AD$460</definedName>
    <definedName name="_xlnm._FilterDatabase" localSheetId="10" hidden="1">'1.6-Glasbewassing'!$A$15:$X$123</definedName>
    <definedName name="_Key1" localSheetId="7" hidden="1">'[2]#REF'!#REF!</definedName>
    <definedName name="_Key1" localSheetId="8" hidden="1">'[3]#REF'!#REF!</definedName>
    <definedName name="_Key1" localSheetId="10" hidden="1">'[2]#REF'!#REF!</definedName>
    <definedName name="_Key1" hidden="1">'[2]#REF'!#REF!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localSheetId="10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hidden="1">#REF!</definedName>
    <definedName name="_xlnm.Print_Area" localSheetId="2">'1.0-Contractblad'!$C$9:$I$123</definedName>
    <definedName name="_xlnm.Print_Area" localSheetId="3">'1.1 Jaarprijzen'!$B$10:$N$267</definedName>
    <definedName name="_xlnm.Print_Area" localSheetId="4">'1.2-Kengetal'!$B$2:$Q$116</definedName>
    <definedName name="_xlnm.Print_Area" localSheetId="6">'1.3a-Mutaties'!$F$12:$N$12</definedName>
    <definedName name="_xlnm.Print_Area" localSheetId="5">'1.3-Basis ruimtestaat'!$E$10:$M$10</definedName>
    <definedName name="_xlnm.Print_Area" localSheetId="8">'1.4-Opbouw uurtarieven'!$B$2:$U$75</definedName>
    <definedName name="_xlnm.Print_Area" localSheetId="9">'1.5-Afroepprijs'!$A$13:$I$120</definedName>
    <definedName name="_xlnm.Print_Area" localSheetId="10">'1.6-Glasbewassing'!$A$2:$Q$128</definedName>
    <definedName name="_xlnm.Print_Area" localSheetId="0">'Toelichting Calculatiemodel'!$F$3:$L$76</definedName>
    <definedName name="_xlnm.Print_Area" localSheetId="1">Voorblad!$B$1:$I$68</definedName>
    <definedName name="_xlnm.Print_Titles" localSheetId="2">'1.0-Contractblad'!$1:$10</definedName>
    <definedName name="_xlnm.Print_Titles" localSheetId="3">'1.1 Jaarprijzen'!$1:$9</definedName>
    <definedName name="_xlnm.Print_Titles" localSheetId="4">'1.2-Kengetal'!$14:$14</definedName>
    <definedName name="_xlnm.Print_Titles" localSheetId="6">'1.3a-Mutaties'!$E:$I,'1.3a-Mutaties'!$1:$12</definedName>
    <definedName name="_xlnm.Print_Titles" localSheetId="5">'1.3-Basis ruimtestaat'!$D:$H,'1.3-Basis ruimtestaat'!$1:$10</definedName>
    <definedName name="_xlnm.Print_Titles" localSheetId="9">'1.5-Afroepprijs'!$4:$12</definedName>
    <definedName name="_xlnm.Print_Titles" localSheetId="10">'1.6-Glasbewassing'!$3:$9</definedName>
    <definedName name="Allelocaties" localSheetId="6">'1.3a-Mutaties'!$A:$V</definedName>
    <definedName name="Allelocaties">'1.3-Basis ruimtestaat'!$A:$U</definedName>
    <definedName name="AprSun1">DATE(TheYear,4,1)-WEEKDAY(DATE(TheYear,4,1))+1</definedName>
    <definedName name="AugSun1">DATE(TheYear,8,1)-WEEKDAY(DATE(TheYear,8,1))+1</definedName>
    <definedName name="BasisTarief" localSheetId="8">'1.4-Opbouw uurtarieven'!$K$16:$XFD$68</definedName>
    <definedName name="basistariefglas">'1.4-Opbouw uurtarieven'!$V$16:$Y$68</definedName>
    <definedName name="basistarieftoez">'1.4-Opbouw uurtarieven'!$P$16:$U$68</definedName>
    <definedName name="basistariefuit">'1.4-Opbouw uurtarieven'!$J$16:$O$68</definedName>
    <definedName name="CalendarYear">#REF!</definedName>
    <definedName name="CatMedewschoonmaak" localSheetId="8">'1.4-Opbouw uurtarieven'!$F$16:$S$16</definedName>
    <definedName name="_xlnm.Database" localSheetId="6">'1.3a-Mutaties'!$D$12:$AB$53</definedName>
    <definedName name="_xlnm.Database">'1.3-Basis ruimtestaat'!$D$10:$AC$460</definedName>
    <definedName name="database2" localSheetId="6">'1.3a-Mutaties'!$C$12:$AB$53</definedName>
    <definedName name="database2">'1.3-Basis ruimtestaat'!$C$10:$AC$460</definedName>
    <definedName name="datamutaties" localSheetId="10">#REF!</definedName>
    <definedName name="DecSun1">DATE(TheYear,12,1)-WEEKDAY(DATE(TheYear,12,1))+1</definedName>
    <definedName name="element">'[4]1.2-Kengetallen'!$B$11:$B$61</definedName>
    <definedName name="FebSun1">DATE(TheYear,2,1)-WEEKDAY(DATE(TheYear,2,1))+1</definedName>
    <definedName name="han" localSheetId="8" hidden="1">'[3]#REF'!#REF!</definedName>
    <definedName name="han" localSheetId="10" hidden="1">'[2]#REF'!#REF!</definedName>
    <definedName name="han" hidden="1">'[2]#REF'!#REF!</definedName>
    <definedName name="HTML_CodePage" hidden="1">1252</definedName>
    <definedName name="HTML_Control" localSheetId="2" hidden="1">{"'ma_vr'!$A$1:$AA$42"}</definedName>
    <definedName name="HTML_Control" localSheetId="7" hidden="1">{"'ma_vr'!$A$1:$AA$42"}</definedName>
    <definedName name="HTML_Control" localSheetId="8" hidden="1">{"'ma_vr'!$A$1:$AA$42"}</definedName>
    <definedName name="HTML_Control" localSheetId="10" hidden="1">{"'ma_vr'!$A$1:$AA$42"}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anSun1">DATE(TheYear,1,1)-WEEKDAY(DATE(TheYear,1,1))+1</definedName>
    <definedName name="JulSun1">DATE(TheYear,7,1)-WEEKDAY(DATE(TheYear,7,1))+1</definedName>
    <definedName name="JunSun1">DATE(TheYear,6,1)-WEEKDAY(DATE(TheYear,6,1))+1</definedName>
    <definedName name="kant_KENGETAL">'[4]1.2-Kengetallen'!$B$57:$J$82</definedName>
    <definedName name="Kengetal" localSheetId="7">'[5]1.2-Kengetal'!$C$10:$P$33</definedName>
    <definedName name="Kengetal" localSheetId="8">'[6]1.2-Kengetal'!$C$16:$X$93</definedName>
    <definedName name="Kengetal" localSheetId="10">'[7]1.2-Kengetal'!$C$10:$O$34</definedName>
    <definedName name="Kengetal">'1.2-Kengetal'!$C$16:$R$64</definedName>
    <definedName name="KENGETALPRODUCTIE">'[8]1.2-Tijdseenheid Productie'!$B$19:$H$260</definedName>
    <definedName name="LNGR">'[8]1.5 Opbouw uurtarieven'!$I$13:$T$13</definedName>
    <definedName name="LOCATIE" localSheetId="6">'1.3a-Mutaties'!$E:$T</definedName>
    <definedName name="LOCATIE">'1.3-Basis ruimtestaat'!$D:$S</definedName>
    <definedName name="Loongroepen" localSheetId="7">'[5]1.5 Opbouw uurtarieven'!$A$12:$A$46</definedName>
    <definedName name="Loongroepen" localSheetId="8">'1.4-Opbouw uurtarieven'!$A$16:$A$34</definedName>
    <definedName name="MarSun1">DATE(TheYear,3,1)-WEEKDAY(DATE(TheYear,3,1))+1</definedName>
    <definedName name="MaySun1">DATE(TheYear,5,1)-WEEKDAY(DATE(TheYear,5,1))+1</definedName>
    <definedName name="Meters" localSheetId="6">'1.3a-Mutaties'!$K:$K</definedName>
    <definedName name="Meters" localSheetId="7">'[5]1.3-Basis ruimtestaat'!$K:$K</definedName>
    <definedName name="Meters" localSheetId="10">'[7]1.3-Basis ruimtestaat'!$K:$K</definedName>
    <definedName name="Meters">'1.3-Basis ruimtestaat'!$J:$J</definedName>
    <definedName name="NovSun1">DATE(TheYear,11,1)-WEEKDAY(DATE(TheYear,11,1))+1</definedName>
    <definedName name="OctSun1">DATE(TheYear,10,1)-WEEKDAY(DATE(TheYear,10,1))+1</definedName>
    <definedName name="Perceel" localSheetId="6">'1.3a-Mutaties'!$F:$W</definedName>
    <definedName name="Perceel">'1.3-Basis ruimtestaat'!$E:$W</definedName>
    <definedName name="PERCEEL2" localSheetId="6">'1.3a-Mutaties'!$A:$W</definedName>
    <definedName name="PERCEEL2">'1.3-Basis ruimtestaat'!$A:$W</definedName>
    <definedName name="q" localSheetId="8" hidden="1">[1]Blad1!#REF!</definedName>
    <definedName name="q" localSheetId="10" hidden="1">[1]Blad1!#REF!</definedName>
    <definedName name="q" hidden="1">[1]Blad1!#REF!</definedName>
    <definedName name="SepSun1">DATE(TheYear,11,1)-WEEKDAY(DATE(TheYear,11,1))+1</definedName>
    <definedName name="Tabel" localSheetId="8">'1.4-Opbouw uurtarieven'!$L$3:$M$4</definedName>
    <definedName name="TariefGLAS">'1.4-Opbouw uurtarieven'!$V$16:$Y$16</definedName>
    <definedName name="tariefschoonmaak" localSheetId="8">'1.4-Opbouw uurtarieven'!$J$16:$Y$16</definedName>
    <definedName name="tariefSMO">'1.4-Opbouw uurtarieven'!$J$16:$O$16</definedName>
    <definedName name="tariefTZ">'1.4-Opbouw uurtarieven'!$P$16:$U$16</definedName>
    <definedName name="tarievenglas">'1.4-Opbouw uurtarieven'!$V$16:$Y$68</definedName>
    <definedName name="Totaal" localSheetId="6">'1.3a-Mutaties'!$A$12:$V$12</definedName>
    <definedName name="Totaal">'1.3-Basis ruimtestaat'!$A$10:$U$10</definedName>
    <definedName name="Totaal2" localSheetId="6">'1.3a-Mutaties'!$E$12:$V$12</definedName>
    <definedName name="Totaal2" localSheetId="7">'[5]1.3-Basis ruimtestaat'!$E$10:$T$226</definedName>
    <definedName name="Totaal2" localSheetId="10">'[7]1.3-Basis ruimtestaat'!$E$10:$T$388</definedName>
    <definedName name="Totaal2">'1.3-Basis ruimtestaat'!$D$10:$U$10</definedName>
    <definedName name="UREMAVR" localSheetId="6">'1.3a-Mutaties'!$T$12:$T$12</definedName>
    <definedName name="UREMAVR" localSheetId="7">'[5]1.3-Basis ruimtestaat'!$R$10:$R$226</definedName>
    <definedName name="UREMAVR" localSheetId="10">'[7]1.3-Basis ruimtestaat'!$R$10:$R$388</definedName>
    <definedName name="UREMAVR">'1.3-Basis ruimtestaat'!$S$10:$S$10</definedName>
    <definedName name="URENEWEEKEND" localSheetId="6">'1.3a-Mutaties'!$V$12:$V$12</definedName>
    <definedName name="URENEWEEKEND" localSheetId="10">'[7]1.3-Basis ruimtestaat'!$T$10:$T$388</definedName>
    <definedName name="URENEWEEKEND">'1.3-Basis ruimtestaat'!$U$10:$U$10</definedName>
    <definedName name="URENNALOOP" localSheetId="6">'1.3a-Mutaties'!$U$12:$U$12</definedName>
    <definedName name="URENNALOOP" localSheetId="7">'[5]1.3-Basis ruimtestaat'!$S$10:$S$226</definedName>
    <definedName name="URENNALOOP" localSheetId="10">'[7]1.3-Basis ruimtestaat'!$S$10:$S$388</definedName>
    <definedName name="URENNALOOP">'1.3-Basis ruimtestaat'!$T$10:$T$10</definedName>
    <definedName name="vloerafwerking" localSheetId="8">'[6]1.2-Kengetal'!$G$95:$H$130</definedName>
    <definedName name="vloerafwerking">'1.2-Kengetal'!$L$66:$M$102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5" l="1"/>
  <c r="P11" i="2" l="1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AG442" i="2" s="1"/>
  <c r="P443" i="2"/>
  <c r="AG443" i="2" s="1"/>
  <c r="P444" i="2"/>
  <c r="AG444" i="2" s="1"/>
  <c r="P445" i="2"/>
  <c r="AF445" i="2" s="1"/>
  <c r="P446" i="2"/>
  <c r="AF446" i="2" s="1"/>
  <c r="P447" i="2"/>
  <c r="AG447" i="2" s="1"/>
  <c r="P448" i="2"/>
  <c r="AF448" i="2" s="1"/>
  <c r="P449" i="2"/>
  <c r="AF449" i="2" s="1"/>
  <c r="P450" i="2"/>
  <c r="AG450" i="2" s="1"/>
  <c r="P451" i="2"/>
  <c r="P452" i="2"/>
  <c r="AG452" i="2" s="1"/>
  <c r="P453" i="2"/>
  <c r="AG453" i="2" s="1"/>
  <c r="P454" i="2"/>
  <c r="P455" i="2"/>
  <c r="AF455" i="2" s="1"/>
  <c r="P456" i="2"/>
  <c r="P457" i="2"/>
  <c r="P458" i="2"/>
  <c r="P459" i="2"/>
  <c r="P460" i="2"/>
  <c r="AF460" i="2" s="1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X459" i="2"/>
  <c r="T459" i="2" s="1"/>
  <c r="X458" i="2"/>
  <c r="T458" i="2" s="1"/>
  <c r="X457" i="2"/>
  <c r="T457" i="2" s="1"/>
  <c r="X456" i="2"/>
  <c r="T456" i="2" s="1"/>
  <c r="X455" i="2"/>
  <c r="T455" i="2" s="1"/>
  <c r="X454" i="2"/>
  <c r="T454" i="2" s="1"/>
  <c r="W459" i="2"/>
  <c r="S459" i="2" s="1"/>
  <c r="W458" i="2"/>
  <c r="S458" i="2" s="1"/>
  <c r="W457" i="2"/>
  <c r="S457" i="2" s="1"/>
  <c r="W456" i="2"/>
  <c r="S456" i="2" s="1"/>
  <c r="W455" i="2"/>
  <c r="S455" i="2" s="1"/>
  <c r="W454" i="2"/>
  <c r="S454" i="2" s="1"/>
  <c r="H459" i="2"/>
  <c r="H458" i="2"/>
  <c r="H457" i="2"/>
  <c r="H456" i="2"/>
  <c r="H454" i="2"/>
  <c r="H453" i="2"/>
  <c r="H449" i="2"/>
  <c r="H447" i="2"/>
  <c r="AE443" i="2"/>
  <c r="AA443" i="2"/>
  <c r="Z443" i="2"/>
  <c r="Y443" i="2"/>
  <c r="U443" i="2" s="1"/>
  <c r="X443" i="2"/>
  <c r="T443" i="2" s="1"/>
  <c r="W443" i="2"/>
  <c r="S443" i="2" s="1"/>
  <c r="H443" i="2"/>
  <c r="AE442" i="2"/>
  <c r="AA442" i="2"/>
  <c r="Z442" i="2"/>
  <c r="Y442" i="2"/>
  <c r="U442" i="2" s="1"/>
  <c r="X442" i="2"/>
  <c r="T442" i="2" s="1"/>
  <c r="W442" i="2"/>
  <c r="S442" i="2" s="1"/>
  <c r="H442" i="2"/>
  <c r="AE460" i="2"/>
  <c r="AA460" i="2"/>
  <c r="Z460" i="2"/>
  <c r="Y460" i="2"/>
  <c r="U460" i="2" s="1"/>
  <c r="X460" i="2"/>
  <c r="T460" i="2" s="1"/>
  <c r="W460" i="2"/>
  <c r="S460" i="2" s="1"/>
  <c r="H460" i="2"/>
  <c r="AE455" i="2"/>
  <c r="AA455" i="2"/>
  <c r="Z455" i="2"/>
  <c r="Y455" i="2"/>
  <c r="U455" i="2" s="1"/>
  <c r="H455" i="2"/>
  <c r="AE453" i="2"/>
  <c r="AA453" i="2"/>
  <c r="Z453" i="2"/>
  <c r="Y453" i="2"/>
  <c r="U453" i="2" s="1"/>
  <c r="X453" i="2"/>
  <c r="T453" i="2" s="1"/>
  <c r="W453" i="2"/>
  <c r="S453" i="2" s="1"/>
  <c r="AE452" i="2"/>
  <c r="AA452" i="2"/>
  <c r="Z452" i="2"/>
  <c r="Y452" i="2"/>
  <c r="U452" i="2" s="1"/>
  <c r="X452" i="2"/>
  <c r="T452" i="2" s="1"/>
  <c r="W452" i="2"/>
  <c r="S452" i="2" s="1"/>
  <c r="H452" i="2"/>
  <c r="AE450" i="2"/>
  <c r="AA450" i="2"/>
  <c r="Z450" i="2"/>
  <c r="Y450" i="2"/>
  <c r="U450" i="2" s="1"/>
  <c r="X450" i="2"/>
  <c r="T450" i="2" s="1"/>
  <c r="W450" i="2"/>
  <c r="S450" i="2" s="1"/>
  <c r="H450" i="2"/>
  <c r="AE449" i="2"/>
  <c r="AA449" i="2"/>
  <c r="Z449" i="2"/>
  <c r="Y449" i="2"/>
  <c r="U449" i="2" s="1"/>
  <c r="X449" i="2"/>
  <c r="T449" i="2" s="1"/>
  <c r="W449" i="2"/>
  <c r="S449" i="2" s="1"/>
  <c r="AE448" i="2"/>
  <c r="AA448" i="2"/>
  <c r="Z448" i="2"/>
  <c r="Y448" i="2"/>
  <c r="U448" i="2" s="1"/>
  <c r="X448" i="2"/>
  <c r="T448" i="2" s="1"/>
  <c r="W448" i="2"/>
  <c r="S448" i="2" s="1"/>
  <c r="H448" i="2"/>
  <c r="AE447" i="2"/>
  <c r="AA447" i="2"/>
  <c r="Z447" i="2"/>
  <c r="Y447" i="2"/>
  <c r="U447" i="2" s="1"/>
  <c r="X447" i="2"/>
  <c r="T447" i="2" s="1"/>
  <c r="W447" i="2"/>
  <c r="S447" i="2" s="1"/>
  <c r="AE446" i="2"/>
  <c r="AA446" i="2"/>
  <c r="Z446" i="2"/>
  <c r="Y446" i="2"/>
  <c r="U446" i="2" s="1"/>
  <c r="X446" i="2"/>
  <c r="T446" i="2" s="1"/>
  <c r="W446" i="2"/>
  <c r="S446" i="2" s="1"/>
  <c r="H446" i="2"/>
  <c r="AE445" i="2"/>
  <c r="AA445" i="2"/>
  <c r="Z445" i="2"/>
  <c r="Y445" i="2"/>
  <c r="U445" i="2" s="1"/>
  <c r="X445" i="2"/>
  <c r="T445" i="2" s="1"/>
  <c r="W445" i="2"/>
  <c r="S445" i="2" s="1"/>
  <c r="H445" i="2"/>
  <c r="AE444" i="2"/>
  <c r="AA444" i="2"/>
  <c r="Z444" i="2"/>
  <c r="Y444" i="2"/>
  <c r="U444" i="2" s="1"/>
  <c r="X444" i="2"/>
  <c r="T444" i="2" s="1"/>
  <c r="W444" i="2"/>
  <c r="S444" i="2" s="1"/>
  <c r="H444" i="2"/>
  <c r="AA332" i="2"/>
  <c r="AA333" i="2"/>
  <c r="X332" i="2"/>
  <c r="T332" i="2" s="1"/>
  <c r="W332" i="2"/>
  <c r="S332" i="2" s="1"/>
  <c r="H333" i="2"/>
  <c r="H332" i="2"/>
  <c r="C155" i="28"/>
  <c r="B155" i="28"/>
  <c r="A36" i="28"/>
  <c r="A155" i="28" s="1"/>
  <c r="AA506" i="2"/>
  <c r="Z506" i="2"/>
  <c r="Y506" i="2"/>
  <c r="U506" i="2" s="1"/>
  <c r="X506" i="2"/>
  <c r="T506" i="2" s="1"/>
  <c r="W506" i="2"/>
  <c r="S506" i="2" s="1"/>
  <c r="H506" i="2"/>
  <c r="AA505" i="2"/>
  <c r="Z505" i="2"/>
  <c r="Y505" i="2"/>
  <c r="U505" i="2" s="1"/>
  <c r="X505" i="2"/>
  <c r="T505" i="2" s="1"/>
  <c r="W505" i="2"/>
  <c r="S505" i="2" s="1"/>
  <c r="H505" i="2"/>
  <c r="AA504" i="2"/>
  <c r="Z504" i="2"/>
  <c r="Y504" i="2"/>
  <c r="U504" i="2" s="1"/>
  <c r="X504" i="2"/>
  <c r="T504" i="2" s="1"/>
  <c r="W504" i="2"/>
  <c r="S504" i="2" s="1"/>
  <c r="H504" i="2"/>
  <c r="AA503" i="2"/>
  <c r="Z503" i="2"/>
  <c r="Y503" i="2"/>
  <c r="U503" i="2" s="1"/>
  <c r="X503" i="2"/>
  <c r="T503" i="2" s="1"/>
  <c r="W503" i="2"/>
  <c r="S503" i="2" s="1"/>
  <c r="H503" i="2"/>
  <c r="AA502" i="2"/>
  <c r="Z502" i="2"/>
  <c r="Y502" i="2"/>
  <c r="U502" i="2" s="1"/>
  <c r="X502" i="2"/>
  <c r="T502" i="2" s="1"/>
  <c r="W502" i="2"/>
  <c r="S502" i="2" s="1"/>
  <c r="H502" i="2"/>
  <c r="AA501" i="2"/>
  <c r="Z501" i="2"/>
  <c r="Y501" i="2"/>
  <c r="U501" i="2" s="1"/>
  <c r="X501" i="2"/>
  <c r="T501" i="2" s="1"/>
  <c r="W501" i="2"/>
  <c r="S501" i="2" s="1"/>
  <c r="H501" i="2"/>
  <c r="AA500" i="2"/>
  <c r="Z500" i="2"/>
  <c r="Y500" i="2"/>
  <c r="U500" i="2" s="1"/>
  <c r="X500" i="2"/>
  <c r="T500" i="2" s="1"/>
  <c r="W500" i="2"/>
  <c r="S500" i="2" s="1"/>
  <c r="H500" i="2"/>
  <c r="AA499" i="2"/>
  <c r="Z499" i="2"/>
  <c r="Y499" i="2"/>
  <c r="U499" i="2" s="1"/>
  <c r="X499" i="2"/>
  <c r="T499" i="2" s="1"/>
  <c r="W499" i="2"/>
  <c r="S499" i="2" s="1"/>
  <c r="H499" i="2"/>
  <c r="AA498" i="2"/>
  <c r="Z498" i="2"/>
  <c r="Y498" i="2"/>
  <c r="U498" i="2" s="1"/>
  <c r="X498" i="2"/>
  <c r="T498" i="2" s="1"/>
  <c r="W498" i="2"/>
  <c r="S498" i="2" s="1"/>
  <c r="H498" i="2"/>
  <c r="AA497" i="2"/>
  <c r="Z497" i="2"/>
  <c r="Y497" i="2"/>
  <c r="U497" i="2" s="1"/>
  <c r="X497" i="2"/>
  <c r="T497" i="2" s="1"/>
  <c r="W497" i="2"/>
  <c r="S497" i="2" s="1"/>
  <c r="H497" i="2"/>
  <c r="AA496" i="2"/>
  <c r="Z496" i="2"/>
  <c r="Y496" i="2"/>
  <c r="U496" i="2" s="1"/>
  <c r="X496" i="2"/>
  <c r="T496" i="2" s="1"/>
  <c r="W496" i="2"/>
  <c r="S496" i="2" s="1"/>
  <c r="H496" i="2"/>
  <c r="AA495" i="2"/>
  <c r="Z495" i="2"/>
  <c r="Y495" i="2"/>
  <c r="U495" i="2" s="1"/>
  <c r="X495" i="2"/>
  <c r="T495" i="2" s="1"/>
  <c r="W495" i="2"/>
  <c r="S495" i="2" s="1"/>
  <c r="H495" i="2"/>
  <c r="AA494" i="2"/>
  <c r="Z494" i="2"/>
  <c r="Y494" i="2"/>
  <c r="U494" i="2" s="1"/>
  <c r="X494" i="2"/>
  <c r="T494" i="2" s="1"/>
  <c r="W494" i="2"/>
  <c r="S494" i="2" s="1"/>
  <c r="H494" i="2"/>
  <c r="AA493" i="2"/>
  <c r="Z493" i="2"/>
  <c r="Y493" i="2"/>
  <c r="U493" i="2" s="1"/>
  <c r="X493" i="2"/>
  <c r="T493" i="2" s="1"/>
  <c r="W493" i="2"/>
  <c r="S493" i="2" s="1"/>
  <c r="H493" i="2"/>
  <c r="AA492" i="2"/>
  <c r="Z492" i="2"/>
  <c r="Y492" i="2"/>
  <c r="U492" i="2" s="1"/>
  <c r="X492" i="2"/>
  <c r="T492" i="2" s="1"/>
  <c r="W492" i="2"/>
  <c r="S492" i="2" s="1"/>
  <c r="H492" i="2"/>
  <c r="AA491" i="2"/>
  <c r="Z491" i="2"/>
  <c r="Y491" i="2"/>
  <c r="U491" i="2" s="1"/>
  <c r="X491" i="2"/>
  <c r="T491" i="2" s="1"/>
  <c r="W491" i="2"/>
  <c r="S491" i="2" s="1"/>
  <c r="H491" i="2"/>
  <c r="AA490" i="2"/>
  <c r="Z490" i="2"/>
  <c r="Y490" i="2"/>
  <c r="U490" i="2" s="1"/>
  <c r="X490" i="2"/>
  <c r="T490" i="2" s="1"/>
  <c r="W490" i="2"/>
  <c r="S490" i="2" s="1"/>
  <c r="H490" i="2"/>
  <c r="AA489" i="2"/>
  <c r="Z489" i="2"/>
  <c r="Y489" i="2"/>
  <c r="U489" i="2" s="1"/>
  <c r="X489" i="2"/>
  <c r="T489" i="2" s="1"/>
  <c r="W489" i="2"/>
  <c r="S489" i="2" s="1"/>
  <c r="H489" i="2"/>
  <c r="AA488" i="2"/>
  <c r="Z488" i="2"/>
  <c r="Y488" i="2"/>
  <c r="U488" i="2" s="1"/>
  <c r="X488" i="2"/>
  <c r="T488" i="2" s="1"/>
  <c r="W488" i="2"/>
  <c r="S488" i="2" s="1"/>
  <c r="H488" i="2"/>
  <c r="AA487" i="2"/>
  <c r="Z487" i="2"/>
  <c r="Y487" i="2"/>
  <c r="U487" i="2" s="1"/>
  <c r="X487" i="2"/>
  <c r="T487" i="2" s="1"/>
  <c r="W487" i="2"/>
  <c r="S487" i="2" s="1"/>
  <c r="H487" i="2"/>
  <c r="AA486" i="2"/>
  <c r="Z486" i="2"/>
  <c r="Y486" i="2"/>
  <c r="U486" i="2" s="1"/>
  <c r="X486" i="2"/>
  <c r="T486" i="2" s="1"/>
  <c r="W486" i="2"/>
  <c r="S486" i="2" s="1"/>
  <c r="H486" i="2"/>
  <c r="C154" i="28"/>
  <c r="B154" i="28"/>
  <c r="D154" i="28" l="1"/>
  <c r="V443" i="2"/>
  <c r="AF443" i="2"/>
  <c r="V442" i="2"/>
  <c r="AF442" i="2"/>
  <c r="V444" i="2"/>
  <c r="V452" i="2"/>
  <c r="AG448" i="2"/>
  <c r="V449" i="2"/>
  <c r="AG460" i="2"/>
  <c r="V455" i="2"/>
  <c r="AG455" i="2"/>
  <c r="V460" i="2"/>
  <c r="V453" i="2"/>
  <c r="AF453" i="2"/>
  <c r="AF452" i="2"/>
  <c r="AG446" i="2"/>
  <c r="V450" i="2"/>
  <c r="V448" i="2"/>
  <c r="V445" i="2"/>
  <c r="AG445" i="2"/>
  <c r="V446" i="2"/>
  <c r="AG449" i="2"/>
  <c r="V447" i="2"/>
  <c r="AF444" i="2"/>
  <c r="AF447" i="2"/>
  <c r="AF450" i="2"/>
  <c r="D155" i="28"/>
  <c r="V491" i="2"/>
  <c r="V499" i="2"/>
  <c r="V505" i="2"/>
  <c r="V504" i="2"/>
  <c r="V492" i="2"/>
  <c r="V493" i="2"/>
  <c r="V500" i="2"/>
  <c r="V501" i="2"/>
  <c r="V502" i="2"/>
  <c r="V503" i="2"/>
  <c r="V496" i="2"/>
  <c r="V506" i="2"/>
  <c r="V494" i="2"/>
  <c r="V497" i="2"/>
  <c r="V495" i="2"/>
  <c r="V498" i="2"/>
  <c r="V489" i="2"/>
  <c r="V490" i="2"/>
  <c r="V488" i="2"/>
  <c r="V486" i="2"/>
  <c r="V487" i="2"/>
  <c r="H461" i="2" l="1"/>
  <c r="AE485" i="2"/>
  <c r="AA485" i="2"/>
  <c r="Z485" i="2"/>
  <c r="Y485" i="2"/>
  <c r="U485" i="2" s="1"/>
  <c r="X485" i="2"/>
  <c r="T485" i="2" s="1"/>
  <c r="W485" i="2"/>
  <c r="S485" i="2" s="1"/>
  <c r="AG485" i="2"/>
  <c r="H485" i="2"/>
  <c r="AE484" i="2"/>
  <c r="AA484" i="2"/>
  <c r="Z484" i="2"/>
  <c r="Y484" i="2"/>
  <c r="U484" i="2" s="1"/>
  <c r="X484" i="2"/>
  <c r="T484" i="2" s="1"/>
  <c r="W484" i="2"/>
  <c r="S484" i="2" s="1"/>
  <c r="AG484" i="2"/>
  <c r="H484" i="2"/>
  <c r="AE483" i="2"/>
  <c r="AA483" i="2"/>
  <c r="Z483" i="2"/>
  <c r="Y483" i="2"/>
  <c r="U483" i="2" s="1"/>
  <c r="X483" i="2"/>
  <c r="T483" i="2" s="1"/>
  <c r="W483" i="2"/>
  <c r="S483" i="2" s="1"/>
  <c r="AF483" i="2"/>
  <c r="H483" i="2"/>
  <c r="AE482" i="2"/>
  <c r="AA482" i="2"/>
  <c r="Z482" i="2"/>
  <c r="Y482" i="2"/>
  <c r="U482" i="2" s="1"/>
  <c r="X482" i="2"/>
  <c r="T482" i="2" s="1"/>
  <c r="W482" i="2"/>
  <c r="S482" i="2" s="1"/>
  <c r="AG482" i="2"/>
  <c r="H482" i="2"/>
  <c r="AE481" i="2"/>
  <c r="AA481" i="2"/>
  <c r="Z481" i="2"/>
  <c r="Y481" i="2"/>
  <c r="U481" i="2" s="1"/>
  <c r="X481" i="2"/>
  <c r="T481" i="2" s="1"/>
  <c r="W481" i="2"/>
  <c r="S481" i="2" s="1"/>
  <c r="AG481" i="2"/>
  <c r="H481" i="2"/>
  <c r="AE480" i="2"/>
  <c r="AA480" i="2"/>
  <c r="Z480" i="2"/>
  <c r="Y480" i="2"/>
  <c r="U480" i="2" s="1"/>
  <c r="X480" i="2"/>
  <c r="T480" i="2" s="1"/>
  <c r="W480" i="2"/>
  <c r="S480" i="2" s="1"/>
  <c r="AF480" i="2"/>
  <c r="H480" i="2"/>
  <c r="AE479" i="2"/>
  <c r="AA479" i="2"/>
  <c r="Z479" i="2"/>
  <c r="Y479" i="2"/>
  <c r="U479" i="2" s="1"/>
  <c r="X479" i="2"/>
  <c r="T479" i="2" s="1"/>
  <c r="W479" i="2"/>
  <c r="S479" i="2" s="1"/>
  <c r="AG479" i="2"/>
  <c r="H479" i="2"/>
  <c r="AE478" i="2"/>
  <c r="AA478" i="2"/>
  <c r="Z478" i="2"/>
  <c r="Y478" i="2"/>
  <c r="U478" i="2" s="1"/>
  <c r="X478" i="2"/>
  <c r="T478" i="2" s="1"/>
  <c r="W478" i="2"/>
  <c r="S478" i="2" s="1"/>
  <c r="AG478" i="2"/>
  <c r="H478" i="2"/>
  <c r="AE477" i="2"/>
  <c r="AA477" i="2"/>
  <c r="Z477" i="2"/>
  <c r="Y477" i="2"/>
  <c r="U477" i="2" s="1"/>
  <c r="X477" i="2"/>
  <c r="T477" i="2" s="1"/>
  <c r="W477" i="2"/>
  <c r="S477" i="2" s="1"/>
  <c r="AF477" i="2"/>
  <c r="H477" i="2"/>
  <c r="AE476" i="2"/>
  <c r="AA476" i="2"/>
  <c r="Z476" i="2"/>
  <c r="Y476" i="2"/>
  <c r="U476" i="2" s="1"/>
  <c r="X476" i="2"/>
  <c r="T476" i="2" s="1"/>
  <c r="W476" i="2"/>
  <c r="S476" i="2" s="1"/>
  <c r="AG476" i="2"/>
  <c r="H476" i="2"/>
  <c r="AE475" i="2"/>
  <c r="AA475" i="2"/>
  <c r="Z475" i="2"/>
  <c r="Y475" i="2"/>
  <c r="U475" i="2" s="1"/>
  <c r="X475" i="2"/>
  <c r="T475" i="2" s="1"/>
  <c r="W475" i="2"/>
  <c r="S475" i="2" s="1"/>
  <c r="AG475" i="2"/>
  <c r="H475" i="2"/>
  <c r="AE474" i="2"/>
  <c r="AA474" i="2"/>
  <c r="Z474" i="2"/>
  <c r="Y474" i="2"/>
  <c r="U474" i="2" s="1"/>
  <c r="X474" i="2"/>
  <c r="T474" i="2" s="1"/>
  <c r="W474" i="2"/>
  <c r="S474" i="2" s="1"/>
  <c r="AF474" i="2"/>
  <c r="H474" i="2"/>
  <c r="AE473" i="2"/>
  <c r="AA473" i="2"/>
  <c r="Z473" i="2"/>
  <c r="Y473" i="2"/>
  <c r="U473" i="2" s="1"/>
  <c r="X473" i="2"/>
  <c r="T473" i="2" s="1"/>
  <c r="W473" i="2"/>
  <c r="S473" i="2" s="1"/>
  <c r="AG473" i="2"/>
  <c r="H473" i="2"/>
  <c r="AE472" i="2"/>
  <c r="AA472" i="2"/>
  <c r="Z472" i="2"/>
  <c r="Y472" i="2"/>
  <c r="U472" i="2" s="1"/>
  <c r="X472" i="2"/>
  <c r="T472" i="2" s="1"/>
  <c r="W472" i="2"/>
  <c r="S472" i="2" s="1"/>
  <c r="AG472" i="2"/>
  <c r="H472" i="2"/>
  <c r="AE471" i="2"/>
  <c r="AA471" i="2"/>
  <c r="Z471" i="2"/>
  <c r="Y471" i="2"/>
  <c r="U471" i="2" s="1"/>
  <c r="X471" i="2"/>
  <c r="T471" i="2" s="1"/>
  <c r="W471" i="2"/>
  <c r="S471" i="2" s="1"/>
  <c r="AF471" i="2"/>
  <c r="H471" i="2"/>
  <c r="AE470" i="2"/>
  <c r="AA470" i="2"/>
  <c r="Z470" i="2"/>
  <c r="Y470" i="2"/>
  <c r="U470" i="2" s="1"/>
  <c r="X470" i="2"/>
  <c r="T470" i="2" s="1"/>
  <c r="W470" i="2"/>
  <c r="S470" i="2" s="1"/>
  <c r="AG470" i="2"/>
  <c r="H470" i="2"/>
  <c r="AE469" i="2"/>
  <c r="AA469" i="2"/>
  <c r="Z469" i="2"/>
  <c r="Y469" i="2"/>
  <c r="U469" i="2" s="1"/>
  <c r="X469" i="2"/>
  <c r="T469" i="2" s="1"/>
  <c r="W469" i="2"/>
  <c r="S469" i="2" s="1"/>
  <c r="AG469" i="2"/>
  <c r="H469" i="2"/>
  <c r="AE468" i="2"/>
  <c r="AA468" i="2"/>
  <c r="Z468" i="2"/>
  <c r="Y468" i="2"/>
  <c r="U468" i="2" s="1"/>
  <c r="X468" i="2"/>
  <c r="T468" i="2" s="1"/>
  <c r="W468" i="2"/>
  <c r="S468" i="2" s="1"/>
  <c r="AG468" i="2"/>
  <c r="H468" i="2"/>
  <c r="AE467" i="2"/>
  <c r="AA467" i="2"/>
  <c r="Z467" i="2"/>
  <c r="Y467" i="2"/>
  <c r="U467" i="2" s="1"/>
  <c r="X467" i="2"/>
  <c r="T467" i="2" s="1"/>
  <c r="W467" i="2"/>
  <c r="S467" i="2" s="1"/>
  <c r="AG467" i="2"/>
  <c r="H467" i="2"/>
  <c r="AE466" i="2"/>
  <c r="AA466" i="2"/>
  <c r="Z466" i="2"/>
  <c r="Y466" i="2"/>
  <c r="U466" i="2" s="1"/>
  <c r="X466" i="2"/>
  <c r="T466" i="2" s="1"/>
  <c r="W466" i="2"/>
  <c r="S466" i="2" s="1"/>
  <c r="AF466" i="2"/>
  <c r="H466" i="2"/>
  <c r="AE465" i="2"/>
  <c r="AA465" i="2"/>
  <c r="Z465" i="2"/>
  <c r="Y465" i="2"/>
  <c r="U465" i="2" s="1"/>
  <c r="X465" i="2"/>
  <c r="T465" i="2" s="1"/>
  <c r="W465" i="2"/>
  <c r="S465" i="2" s="1"/>
  <c r="AF465" i="2"/>
  <c r="H465" i="2"/>
  <c r="AE464" i="2"/>
  <c r="AA464" i="2"/>
  <c r="Z464" i="2"/>
  <c r="Y464" i="2"/>
  <c r="U464" i="2" s="1"/>
  <c r="X464" i="2"/>
  <c r="T464" i="2" s="1"/>
  <c r="W464" i="2"/>
  <c r="S464" i="2" s="1"/>
  <c r="AG464" i="2"/>
  <c r="H464" i="2"/>
  <c r="AE463" i="2"/>
  <c r="AA463" i="2"/>
  <c r="Z463" i="2"/>
  <c r="Y463" i="2"/>
  <c r="U463" i="2" s="1"/>
  <c r="X463" i="2"/>
  <c r="T463" i="2" s="1"/>
  <c r="W463" i="2"/>
  <c r="S463" i="2" s="1"/>
  <c r="AG463" i="2"/>
  <c r="H463" i="2"/>
  <c r="AE462" i="2"/>
  <c r="AA462" i="2"/>
  <c r="Z462" i="2"/>
  <c r="Y462" i="2"/>
  <c r="U462" i="2" s="1"/>
  <c r="X462" i="2"/>
  <c r="T462" i="2" s="1"/>
  <c r="W462" i="2"/>
  <c r="S462" i="2" s="1"/>
  <c r="AG462" i="2"/>
  <c r="H462" i="2"/>
  <c r="AE461" i="2"/>
  <c r="AA461" i="2"/>
  <c r="Z461" i="2"/>
  <c r="Y461" i="2"/>
  <c r="U461" i="2" s="1"/>
  <c r="X461" i="2"/>
  <c r="T461" i="2" s="1"/>
  <c r="W461" i="2"/>
  <c r="S461" i="2" s="1"/>
  <c r="AG461" i="2"/>
  <c r="K21" i="55"/>
  <c r="K27" i="55" s="1"/>
  <c r="K22" i="55"/>
  <c r="L21" i="55"/>
  <c r="L27" i="55" s="1"/>
  <c r="L22" i="55"/>
  <c r="M22" i="55"/>
  <c r="N22" i="55"/>
  <c r="O22" i="55"/>
  <c r="Q22" i="55"/>
  <c r="Q27" i="55"/>
  <c r="Q21" i="55"/>
  <c r="R22" i="55"/>
  <c r="R27" i="55"/>
  <c r="S22" i="55"/>
  <c r="S27" i="55"/>
  <c r="T22" i="55"/>
  <c r="T27" i="55"/>
  <c r="U22" i="55"/>
  <c r="U27" i="55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51" i="2"/>
  <c r="D2" i="2"/>
  <c r="F3" i="2"/>
  <c r="F4" i="2"/>
  <c r="F5" i="2"/>
  <c r="F6" i="2"/>
  <c r="F7" i="2"/>
  <c r="F8" i="2"/>
  <c r="L19" i="35"/>
  <c r="M19" i="35"/>
  <c r="N19" i="35"/>
  <c r="L20" i="35"/>
  <c r="M20" i="35"/>
  <c r="N20" i="35"/>
  <c r="L21" i="35"/>
  <c r="M21" i="35"/>
  <c r="N21" i="35"/>
  <c r="L22" i="35"/>
  <c r="M22" i="35"/>
  <c r="N22" i="35"/>
  <c r="L23" i="35"/>
  <c r="M23" i="35"/>
  <c r="N23" i="35"/>
  <c r="L24" i="35"/>
  <c r="M24" i="35"/>
  <c r="N24" i="35"/>
  <c r="L25" i="35"/>
  <c r="M25" i="35"/>
  <c r="N25" i="35"/>
  <c r="L26" i="35"/>
  <c r="M26" i="35"/>
  <c r="N26" i="35"/>
  <c r="L27" i="35"/>
  <c r="M27" i="35"/>
  <c r="N27" i="35"/>
  <c r="L28" i="35"/>
  <c r="M28" i="35"/>
  <c r="N28" i="35"/>
  <c r="L29" i="35"/>
  <c r="M29" i="35"/>
  <c r="N29" i="35"/>
  <c r="L30" i="35"/>
  <c r="M30" i="35"/>
  <c r="N30" i="35"/>
  <c r="L31" i="35"/>
  <c r="M31" i="35"/>
  <c r="N31" i="35"/>
  <c r="L32" i="35"/>
  <c r="M32" i="35"/>
  <c r="N32" i="35"/>
  <c r="L33" i="35"/>
  <c r="M33" i="35"/>
  <c r="N33" i="35"/>
  <c r="L34" i="35"/>
  <c r="M34" i="35"/>
  <c r="N34" i="35"/>
  <c r="L35" i="35"/>
  <c r="M35" i="35"/>
  <c r="N35" i="35"/>
  <c r="L36" i="35"/>
  <c r="M36" i="35"/>
  <c r="N36" i="35"/>
  <c r="L37" i="35"/>
  <c r="M37" i="35"/>
  <c r="N37" i="35"/>
  <c r="L38" i="35"/>
  <c r="M38" i="35"/>
  <c r="N38" i="35"/>
  <c r="L39" i="35"/>
  <c r="M39" i="35"/>
  <c r="N39" i="35"/>
  <c r="L40" i="35"/>
  <c r="M40" i="35"/>
  <c r="N40" i="35"/>
  <c r="L41" i="35"/>
  <c r="M41" i="35"/>
  <c r="N41" i="35"/>
  <c r="L42" i="35"/>
  <c r="M42" i="35"/>
  <c r="N42" i="35"/>
  <c r="L43" i="35"/>
  <c r="M43" i="35"/>
  <c r="N43" i="35"/>
  <c r="H83" i="31"/>
  <c r="H86" i="31"/>
  <c r="H89" i="31"/>
  <c r="H100" i="31"/>
  <c r="B134" i="35"/>
  <c r="B135" i="35"/>
  <c r="B136" i="35"/>
  <c r="B137" i="35"/>
  <c r="B138" i="35"/>
  <c r="B139" i="35"/>
  <c r="B140" i="35"/>
  <c r="B141" i="35"/>
  <c r="B142" i="35"/>
  <c r="B143" i="35"/>
  <c r="B144" i="35"/>
  <c r="B145" i="35"/>
  <c r="B146" i="35"/>
  <c r="B147" i="35"/>
  <c r="B148" i="35"/>
  <c r="B149" i="35"/>
  <c r="B150" i="35"/>
  <c r="B151" i="35"/>
  <c r="B152" i="35"/>
  <c r="B153" i="35"/>
  <c r="B154" i="35"/>
  <c r="B155" i="35"/>
  <c r="B156" i="35"/>
  <c r="B157" i="35"/>
  <c r="B158" i="35"/>
  <c r="B159" i="35"/>
  <c r="B160" i="35"/>
  <c r="B161" i="35"/>
  <c r="B162" i="35"/>
  <c r="B163" i="35"/>
  <c r="W19" i="35"/>
  <c r="W20" i="35"/>
  <c r="W21" i="35"/>
  <c r="W22" i="35"/>
  <c r="W23" i="35"/>
  <c r="W24" i="35"/>
  <c r="W25" i="35"/>
  <c r="W26" i="35"/>
  <c r="W27" i="35"/>
  <c r="W28" i="35"/>
  <c r="W29" i="35"/>
  <c r="W30" i="35"/>
  <c r="W31" i="35"/>
  <c r="W32" i="35"/>
  <c r="W33" i="35"/>
  <c r="W34" i="35"/>
  <c r="W35" i="35"/>
  <c r="W36" i="35"/>
  <c r="W37" i="35"/>
  <c r="W38" i="35"/>
  <c r="W39" i="35"/>
  <c r="W40" i="35"/>
  <c r="W41" i="35"/>
  <c r="W42" i="35"/>
  <c r="W43" i="35"/>
  <c r="W11" i="2"/>
  <c r="S11" i="2" s="1"/>
  <c r="X11" i="2"/>
  <c r="T11" i="2" s="1"/>
  <c r="Y11" i="2"/>
  <c r="U11" i="2" s="1"/>
  <c r="W12" i="2"/>
  <c r="S12" i="2" s="1"/>
  <c r="X12" i="2"/>
  <c r="T12" i="2" s="1"/>
  <c r="Y12" i="2"/>
  <c r="U12" i="2" s="1"/>
  <c r="W13" i="2"/>
  <c r="S13" i="2" s="1"/>
  <c r="X13" i="2"/>
  <c r="T13" i="2" s="1"/>
  <c r="Y13" i="2"/>
  <c r="U13" i="2" s="1"/>
  <c r="W14" i="2"/>
  <c r="S14" i="2" s="1"/>
  <c r="X14" i="2"/>
  <c r="T14" i="2" s="1"/>
  <c r="Y14" i="2"/>
  <c r="U14" i="2" s="1"/>
  <c r="W15" i="2"/>
  <c r="S15" i="2" s="1"/>
  <c r="X15" i="2"/>
  <c r="T15" i="2" s="1"/>
  <c r="Y15" i="2"/>
  <c r="U15" i="2" s="1"/>
  <c r="W16" i="2"/>
  <c r="S16" i="2" s="1"/>
  <c r="X16" i="2"/>
  <c r="T16" i="2" s="1"/>
  <c r="Y16" i="2"/>
  <c r="U16" i="2" s="1"/>
  <c r="W17" i="2"/>
  <c r="S17" i="2" s="1"/>
  <c r="X17" i="2"/>
  <c r="T17" i="2" s="1"/>
  <c r="Y17" i="2"/>
  <c r="U17" i="2" s="1"/>
  <c r="W18" i="2"/>
  <c r="S18" i="2" s="1"/>
  <c r="X18" i="2"/>
  <c r="T18" i="2" s="1"/>
  <c r="Y18" i="2"/>
  <c r="U18" i="2" s="1"/>
  <c r="W19" i="2"/>
  <c r="S19" i="2" s="1"/>
  <c r="X19" i="2"/>
  <c r="T19" i="2" s="1"/>
  <c r="Y19" i="2"/>
  <c r="U19" i="2" s="1"/>
  <c r="W20" i="2"/>
  <c r="S20" i="2" s="1"/>
  <c r="X20" i="2"/>
  <c r="T20" i="2" s="1"/>
  <c r="Y20" i="2"/>
  <c r="U20" i="2" s="1"/>
  <c r="W21" i="2"/>
  <c r="S21" i="2" s="1"/>
  <c r="X21" i="2"/>
  <c r="T21" i="2" s="1"/>
  <c r="Y21" i="2"/>
  <c r="U21" i="2" s="1"/>
  <c r="W22" i="2"/>
  <c r="S22" i="2" s="1"/>
  <c r="X22" i="2"/>
  <c r="T22" i="2" s="1"/>
  <c r="Y22" i="2"/>
  <c r="U22" i="2" s="1"/>
  <c r="W23" i="2"/>
  <c r="S23" i="2" s="1"/>
  <c r="X23" i="2"/>
  <c r="T23" i="2" s="1"/>
  <c r="Y23" i="2"/>
  <c r="U23" i="2" s="1"/>
  <c r="W24" i="2"/>
  <c r="S24" i="2" s="1"/>
  <c r="X24" i="2"/>
  <c r="T24" i="2" s="1"/>
  <c r="Y24" i="2"/>
  <c r="U24" i="2" s="1"/>
  <c r="W25" i="2"/>
  <c r="S25" i="2" s="1"/>
  <c r="X25" i="2"/>
  <c r="T25" i="2" s="1"/>
  <c r="Y25" i="2"/>
  <c r="U25" i="2" s="1"/>
  <c r="W26" i="2"/>
  <c r="S26" i="2" s="1"/>
  <c r="X26" i="2"/>
  <c r="T26" i="2" s="1"/>
  <c r="Y26" i="2"/>
  <c r="U26" i="2" s="1"/>
  <c r="W27" i="2"/>
  <c r="S27" i="2" s="1"/>
  <c r="X27" i="2"/>
  <c r="T27" i="2" s="1"/>
  <c r="Y27" i="2"/>
  <c r="U27" i="2" s="1"/>
  <c r="W28" i="2"/>
  <c r="S28" i="2" s="1"/>
  <c r="X28" i="2"/>
  <c r="T28" i="2" s="1"/>
  <c r="Y28" i="2"/>
  <c r="U28" i="2" s="1"/>
  <c r="W29" i="2"/>
  <c r="S29" i="2" s="1"/>
  <c r="X29" i="2"/>
  <c r="T29" i="2" s="1"/>
  <c r="Y29" i="2"/>
  <c r="U29" i="2" s="1"/>
  <c r="W30" i="2"/>
  <c r="S30" i="2" s="1"/>
  <c r="X30" i="2"/>
  <c r="T30" i="2" s="1"/>
  <c r="Y30" i="2"/>
  <c r="U30" i="2" s="1"/>
  <c r="W31" i="2"/>
  <c r="S31" i="2" s="1"/>
  <c r="X31" i="2"/>
  <c r="T31" i="2" s="1"/>
  <c r="Y31" i="2"/>
  <c r="U31" i="2" s="1"/>
  <c r="W32" i="2"/>
  <c r="S32" i="2" s="1"/>
  <c r="X32" i="2"/>
  <c r="T32" i="2" s="1"/>
  <c r="Y32" i="2"/>
  <c r="U32" i="2" s="1"/>
  <c r="W33" i="2"/>
  <c r="S33" i="2" s="1"/>
  <c r="X33" i="2"/>
  <c r="T33" i="2" s="1"/>
  <c r="Y33" i="2"/>
  <c r="U33" i="2" s="1"/>
  <c r="W34" i="2"/>
  <c r="S34" i="2" s="1"/>
  <c r="X34" i="2"/>
  <c r="T34" i="2" s="1"/>
  <c r="Y34" i="2"/>
  <c r="U34" i="2" s="1"/>
  <c r="W35" i="2"/>
  <c r="S35" i="2" s="1"/>
  <c r="X35" i="2"/>
  <c r="T35" i="2" s="1"/>
  <c r="Y35" i="2"/>
  <c r="U35" i="2" s="1"/>
  <c r="W36" i="2"/>
  <c r="S36" i="2" s="1"/>
  <c r="X36" i="2"/>
  <c r="T36" i="2" s="1"/>
  <c r="Y36" i="2"/>
  <c r="U36" i="2" s="1"/>
  <c r="W37" i="2"/>
  <c r="S37" i="2" s="1"/>
  <c r="X37" i="2"/>
  <c r="T37" i="2" s="1"/>
  <c r="Y37" i="2"/>
  <c r="U37" i="2" s="1"/>
  <c r="W38" i="2"/>
  <c r="S38" i="2" s="1"/>
  <c r="X38" i="2"/>
  <c r="T38" i="2" s="1"/>
  <c r="Y38" i="2"/>
  <c r="U38" i="2" s="1"/>
  <c r="W39" i="2"/>
  <c r="S39" i="2" s="1"/>
  <c r="X39" i="2"/>
  <c r="T39" i="2" s="1"/>
  <c r="Y39" i="2"/>
  <c r="U39" i="2" s="1"/>
  <c r="W40" i="2"/>
  <c r="S40" i="2" s="1"/>
  <c r="X40" i="2"/>
  <c r="T40" i="2" s="1"/>
  <c r="Y40" i="2"/>
  <c r="U40" i="2" s="1"/>
  <c r="W41" i="2"/>
  <c r="S41" i="2" s="1"/>
  <c r="X41" i="2"/>
  <c r="T41" i="2" s="1"/>
  <c r="Y41" i="2"/>
  <c r="U41" i="2" s="1"/>
  <c r="W42" i="2"/>
  <c r="S42" i="2" s="1"/>
  <c r="X42" i="2"/>
  <c r="T42" i="2" s="1"/>
  <c r="Y42" i="2"/>
  <c r="U42" i="2" s="1"/>
  <c r="W43" i="2"/>
  <c r="S43" i="2" s="1"/>
  <c r="X43" i="2"/>
  <c r="T43" i="2" s="1"/>
  <c r="Y43" i="2"/>
  <c r="U43" i="2" s="1"/>
  <c r="W44" i="2"/>
  <c r="S44" i="2" s="1"/>
  <c r="X44" i="2"/>
  <c r="T44" i="2" s="1"/>
  <c r="Y44" i="2"/>
  <c r="U44" i="2" s="1"/>
  <c r="W45" i="2"/>
  <c r="S45" i="2" s="1"/>
  <c r="X45" i="2"/>
  <c r="T45" i="2" s="1"/>
  <c r="Y45" i="2"/>
  <c r="U45" i="2" s="1"/>
  <c r="W46" i="2"/>
  <c r="S46" i="2" s="1"/>
  <c r="X46" i="2"/>
  <c r="T46" i="2" s="1"/>
  <c r="Y46" i="2"/>
  <c r="U46" i="2" s="1"/>
  <c r="W47" i="2"/>
  <c r="S47" i="2" s="1"/>
  <c r="X47" i="2"/>
  <c r="T47" i="2" s="1"/>
  <c r="Y47" i="2"/>
  <c r="U47" i="2" s="1"/>
  <c r="W48" i="2"/>
  <c r="S48" i="2" s="1"/>
  <c r="X48" i="2"/>
  <c r="T48" i="2" s="1"/>
  <c r="Y48" i="2"/>
  <c r="U48" i="2" s="1"/>
  <c r="W49" i="2"/>
  <c r="S49" i="2" s="1"/>
  <c r="X49" i="2"/>
  <c r="T49" i="2" s="1"/>
  <c r="Y49" i="2"/>
  <c r="U49" i="2" s="1"/>
  <c r="W50" i="2"/>
  <c r="S50" i="2" s="1"/>
  <c r="X50" i="2"/>
  <c r="T50" i="2" s="1"/>
  <c r="Y50" i="2"/>
  <c r="U50" i="2" s="1"/>
  <c r="W51" i="2"/>
  <c r="S51" i="2" s="1"/>
  <c r="X51" i="2"/>
  <c r="T51" i="2" s="1"/>
  <c r="Y51" i="2"/>
  <c r="U51" i="2" s="1"/>
  <c r="W52" i="2"/>
  <c r="S52" i="2" s="1"/>
  <c r="X52" i="2"/>
  <c r="T52" i="2" s="1"/>
  <c r="Y52" i="2"/>
  <c r="U52" i="2" s="1"/>
  <c r="W53" i="2"/>
  <c r="S53" i="2" s="1"/>
  <c r="X53" i="2"/>
  <c r="T53" i="2" s="1"/>
  <c r="Y53" i="2"/>
  <c r="U53" i="2" s="1"/>
  <c r="W54" i="2"/>
  <c r="S54" i="2" s="1"/>
  <c r="X54" i="2"/>
  <c r="T54" i="2" s="1"/>
  <c r="Y54" i="2"/>
  <c r="U54" i="2" s="1"/>
  <c r="W55" i="2"/>
  <c r="S55" i="2" s="1"/>
  <c r="X55" i="2"/>
  <c r="T55" i="2" s="1"/>
  <c r="Y55" i="2"/>
  <c r="U55" i="2" s="1"/>
  <c r="W56" i="2"/>
  <c r="S56" i="2" s="1"/>
  <c r="X56" i="2"/>
  <c r="T56" i="2" s="1"/>
  <c r="Y56" i="2"/>
  <c r="U56" i="2" s="1"/>
  <c r="W57" i="2"/>
  <c r="S57" i="2" s="1"/>
  <c r="X57" i="2"/>
  <c r="T57" i="2" s="1"/>
  <c r="Y57" i="2"/>
  <c r="U57" i="2" s="1"/>
  <c r="W58" i="2"/>
  <c r="S58" i="2" s="1"/>
  <c r="X58" i="2"/>
  <c r="T58" i="2" s="1"/>
  <c r="Y58" i="2"/>
  <c r="U58" i="2" s="1"/>
  <c r="W59" i="2"/>
  <c r="S59" i="2" s="1"/>
  <c r="X59" i="2"/>
  <c r="T59" i="2" s="1"/>
  <c r="Y59" i="2"/>
  <c r="U59" i="2" s="1"/>
  <c r="W60" i="2"/>
  <c r="S60" i="2" s="1"/>
  <c r="X60" i="2"/>
  <c r="T60" i="2" s="1"/>
  <c r="Y60" i="2"/>
  <c r="U60" i="2" s="1"/>
  <c r="W61" i="2"/>
  <c r="S61" i="2" s="1"/>
  <c r="X61" i="2"/>
  <c r="T61" i="2" s="1"/>
  <c r="Y61" i="2"/>
  <c r="U61" i="2" s="1"/>
  <c r="W62" i="2"/>
  <c r="S62" i="2" s="1"/>
  <c r="X62" i="2"/>
  <c r="T62" i="2" s="1"/>
  <c r="Y62" i="2"/>
  <c r="U62" i="2" s="1"/>
  <c r="W63" i="2"/>
  <c r="S63" i="2" s="1"/>
  <c r="X63" i="2"/>
  <c r="T63" i="2" s="1"/>
  <c r="Y63" i="2"/>
  <c r="U63" i="2" s="1"/>
  <c r="W64" i="2"/>
  <c r="S64" i="2" s="1"/>
  <c r="X64" i="2"/>
  <c r="T64" i="2" s="1"/>
  <c r="Y64" i="2"/>
  <c r="U64" i="2" s="1"/>
  <c r="W65" i="2"/>
  <c r="S65" i="2" s="1"/>
  <c r="X65" i="2"/>
  <c r="T65" i="2" s="1"/>
  <c r="Y65" i="2"/>
  <c r="U65" i="2" s="1"/>
  <c r="W66" i="2"/>
  <c r="S66" i="2" s="1"/>
  <c r="X66" i="2"/>
  <c r="T66" i="2" s="1"/>
  <c r="Y66" i="2"/>
  <c r="U66" i="2" s="1"/>
  <c r="W67" i="2"/>
  <c r="S67" i="2" s="1"/>
  <c r="X67" i="2"/>
  <c r="T67" i="2" s="1"/>
  <c r="Y67" i="2"/>
  <c r="U67" i="2" s="1"/>
  <c r="W68" i="2"/>
  <c r="S68" i="2" s="1"/>
  <c r="X68" i="2"/>
  <c r="T68" i="2" s="1"/>
  <c r="Y68" i="2"/>
  <c r="U68" i="2" s="1"/>
  <c r="W69" i="2"/>
  <c r="S69" i="2" s="1"/>
  <c r="X69" i="2"/>
  <c r="T69" i="2" s="1"/>
  <c r="Y69" i="2"/>
  <c r="U69" i="2" s="1"/>
  <c r="W70" i="2"/>
  <c r="S70" i="2" s="1"/>
  <c r="X70" i="2"/>
  <c r="T70" i="2" s="1"/>
  <c r="Y70" i="2"/>
  <c r="U70" i="2" s="1"/>
  <c r="W71" i="2"/>
  <c r="S71" i="2" s="1"/>
  <c r="X71" i="2"/>
  <c r="T71" i="2" s="1"/>
  <c r="Y71" i="2"/>
  <c r="U71" i="2" s="1"/>
  <c r="W72" i="2"/>
  <c r="S72" i="2" s="1"/>
  <c r="X72" i="2"/>
  <c r="T72" i="2" s="1"/>
  <c r="Y72" i="2"/>
  <c r="U72" i="2" s="1"/>
  <c r="W73" i="2"/>
  <c r="S73" i="2" s="1"/>
  <c r="X73" i="2"/>
  <c r="T73" i="2" s="1"/>
  <c r="Y73" i="2"/>
  <c r="U73" i="2" s="1"/>
  <c r="W74" i="2"/>
  <c r="S74" i="2" s="1"/>
  <c r="X74" i="2"/>
  <c r="T74" i="2" s="1"/>
  <c r="Y74" i="2"/>
  <c r="U74" i="2" s="1"/>
  <c r="W75" i="2"/>
  <c r="S75" i="2" s="1"/>
  <c r="X75" i="2"/>
  <c r="T75" i="2" s="1"/>
  <c r="Y75" i="2"/>
  <c r="U75" i="2" s="1"/>
  <c r="W76" i="2"/>
  <c r="S76" i="2" s="1"/>
  <c r="X76" i="2"/>
  <c r="T76" i="2" s="1"/>
  <c r="Y76" i="2"/>
  <c r="U76" i="2" s="1"/>
  <c r="W77" i="2"/>
  <c r="S77" i="2" s="1"/>
  <c r="X77" i="2"/>
  <c r="T77" i="2" s="1"/>
  <c r="Y77" i="2"/>
  <c r="U77" i="2" s="1"/>
  <c r="W78" i="2"/>
  <c r="S78" i="2" s="1"/>
  <c r="X78" i="2"/>
  <c r="T78" i="2" s="1"/>
  <c r="Y78" i="2"/>
  <c r="U78" i="2" s="1"/>
  <c r="W79" i="2"/>
  <c r="S79" i="2" s="1"/>
  <c r="X79" i="2"/>
  <c r="T79" i="2" s="1"/>
  <c r="Y79" i="2"/>
  <c r="U79" i="2" s="1"/>
  <c r="W80" i="2"/>
  <c r="S80" i="2" s="1"/>
  <c r="X80" i="2"/>
  <c r="T80" i="2" s="1"/>
  <c r="Y80" i="2"/>
  <c r="U80" i="2" s="1"/>
  <c r="W81" i="2"/>
  <c r="S81" i="2" s="1"/>
  <c r="X81" i="2"/>
  <c r="T81" i="2" s="1"/>
  <c r="Y81" i="2"/>
  <c r="U81" i="2" s="1"/>
  <c r="W82" i="2"/>
  <c r="S82" i="2" s="1"/>
  <c r="X82" i="2"/>
  <c r="T82" i="2" s="1"/>
  <c r="Y82" i="2"/>
  <c r="U82" i="2" s="1"/>
  <c r="W83" i="2"/>
  <c r="S83" i="2" s="1"/>
  <c r="X83" i="2"/>
  <c r="T83" i="2" s="1"/>
  <c r="Y83" i="2"/>
  <c r="U83" i="2" s="1"/>
  <c r="W84" i="2"/>
  <c r="S84" i="2" s="1"/>
  <c r="X84" i="2"/>
  <c r="T84" i="2" s="1"/>
  <c r="Y84" i="2"/>
  <c r="U84" i="2" s="1"/>
  <c r="W85" i="2"/>
  <c r="S85" i="2" s="1"/>
  <c r="X85" i="2"/>
  <c r="T85" i="2" s="1"/>
  <c r="Y85" i="2"/>
  <c r="U85" i="2" s="1"/>
  <c r="W86" i="2"/>
  <c r="S86" i="2" s="1"/>
  <c r="X86" i="2"/>
  <c r="T86" i="2" s="1"/>
  <c r="Y86" i="2"/>
  <c r="U86" i="2" s="1"/>
  <c r="W87" i="2"/>
  <c r="S87" i="2" s="1"/>
  <c r="X87" i="2"/>
  <c r="T87" i="2" s="1"/>
  <c r="Y87" i="2"/>
  <c r="U87" i="2" s="1"/>
  <c r="W88" i="2"/>
  <c r="S88" i="2" s="1"/>
  <c r="X88" i="2"/>
  <c r="T88" i="2" s="1"/>
  <c r="Y88" i="2"/>
  <c r="U88" i="2" s="1"/>
  <c r="W89" i="2"/>
  <c r="S89" i="2" s="1"/>
  <c r="X89" i="2"/>
  <c r="T89" i="2" s="1"/>
  <c r="Y89" i="2"/>
  <c r="U89" i="2" s="1"/>
  <c r="W90" i="2"/>
  <c r="S90" i="2" s="1"/>
  <c r="X90" i="2"/>
  <c r="T90" i="2" s="1"/>
  <c r="Y90" i="2"/>
  <c r="U90" i="2" s="1"/>
  <c r="W91" i="2"/>
  <c r="S91" i="2" s="1"/>
  <c r="X91" i="2"/>
  <c r="T91" i="2" s="1"/>
  <c r="Y91" i="2"/>
  <c r="U91" i="2" s="1"/>
  <c r="W92" i="2"/>
  <c r="S92" i="2" s="1"/>
  <c r="X92" i="2"/>
  <c r="T92" i="2" s="1"/>
  <c r="Y92" i="2"/>
  <c r="U92" i="2" s="1"/>
  <c r="W93" i="2"/>
  <c r="S93" i="2" s="1"/>
  <c r="X93" i="2"/>
  <c r="T93" i="2" s="1"/>
  <c r="Y93" i="2"/>
  <c r="U93" i="2" s="1"/>
  <c r="W94" i="2"/>
  <c r="S94" i="2" s="1"/>
  <c r="X94" i="2"/>
  <c r="T94" i="2" s="1"/>
  <c r="Y94" i="2"/>
  <c r="U94" i="2" s="1"/>
  <c r="W95" i="2"/>
  <c r="S95" i="2" s="1"/>
  <c r="X95" i="2"/>
  <c r="T95" i="2" s="1"/>
  <c r="Y95" i="2"/>
  <c r="U95" i="2" s="1"/>
  <c r="W96" i="2"/>
  <c r="S96" i="2" s="1"/>
  <c r="X96" i="2"/>
  <c r="T96" i="2" s="1"/>
  <c r="Y96" i="2"/>
  <c r="U96" i="2" s="1"/>
  <c r="W97" i="2"/>
  <c r="S97" i="2" s="1"/>
  <c r="X97" i="2"/>
  <c r="T97" i="2" s="1"/>
  <c r="Y97" i="2"/>
  <c r="U97" i="2" s="1"/>
  <c r="W98" i="2"/>
  <c r="S98" i="2" s="1"/>
  <c r="X98" i="2"/>
  <c r="T98" i="2" s="1"/>
  <c r="Y98" i="2"/>
  <c r="U98" i="2" s="1"/>
  <c r="W99" i="2"/>
  <c r="S99" i="2" s="1"/>
  <c r="X99" i="2"/>
  <c r="T99" i="2" s="1"/>
  <c r="Y99" i="2"/>
  <c r="U99" i="2" s="1"/>
  <c r="W100" i="2"/>
  <c r="S100" i="2" s="1"/>
  <c r="X100" i="2"/>
  <c r="T100" i="2" s="1"/>
  <c r="Y100" i="2"/>
  <c r="U100" i="2" s="1"/>
  <c r="W101" i="2"/>
  <c r="S101" i="2" s="1"/>
  <c r="X101" i="2"/>
  <c r="T101" i="2" s="1"/>
  <c r="Y101" i="2"/>
  <c r="U101" i="2" s="1"/>
  <c r="W102" i="2"/>
  <c r="S102" i="2" s="1"/>
  <c r="X102" i="2"/>
  <c r="T102" i="2" s="1"/>
  <c r="Y102" i="2"/>
  <c r="U102" i="2" s="1"/>
  <c r="W103" i="2"/>
  <c r="S103" i="2" s="1"/>
  <c r="X103" i="2"/>
  <c r="T103" i="2" s="1"/>
  <c r="Y103" i="2"/>
  <c r="U103" i="2" s="1"/>
  <c r="W104" i="2"/>
  <c r="S104" i="2" s="1"/>
  <c r="X104" i="2"/>
  <c r="T104" i="2" s="1"/>
  <c r="Y104" i="2"/>
  <c r="U104" i="2" s="1"/>
  <c r="W105" i="2"/>
  <c r="S105" i="2" s="1"/>
  <c r="X105" i="2"/>
  <c r="T105" i="2" s="1"/>
  <c r="Y105" i="2"/>
  <c r="U105" i="2" s="1"/>
  <c r="W106" i="2"/>
  <c r="S106" i="2" s="1"/>
  <c r="X106" i="2"/>
  <c r="T106" i="2" s="1"/>
  <c r="Y106" i="2"/>
  <c r="U106" i="2" s="1"/>
  <c r="W107" i="2"/>
  <c r="S107" i="2" s="1"/>
  <c r="X107" i="2"/>
  <c r="T107" i="2" s="1"/>
  <c r="Y107" i="2"/>
  <c r="U107" i="2" s="1"/>
  <c r="W108" i="2"/>
  <c r="S108" i="2" s="1"/>
  <c r="X108" i="2"/>
  <c r="T108" i="2" s="1"/>
  <c r="Y108" i="2"/>
  <c r="U108" i="2" s="1"/>
  <c r="W109" i="2"/>
  <c r="S109" i="2" s="1"/>
  <c r="X109" i="2"/>
  <c r="T109" i="2" s="1"/>
  <c r="Y109" i="2"/>
  <c r="U109" i="2" s="1"/>
  <c r="W110" i="2"/>
  <c r="S110" i="2" s="1"/>
  <c r="X110" i="2"/>
  <c r="T110" i="2" s="1"/>
  <c r="Y110" i="2"/>
  <c r="U110" i="2" s="1"/>
  <c r="W111" i="2"/>
  <c r="S111" i="2" s="1"/>
  <c r="X111" i="2"/>
  <c r="T111" i="2" s="1"/>
  <c r="Y111" i="2"/>
  <c r="U111" i="2" s="1"/>
  <c r="W112" i="2"/>
  <c r="S112" i="2" s="1"/>
  <c r="X112" i="2"/>
  <c r="T112" i="2" s="1"/>
  <c r="Y112" i="2"/>
  <c r="U112" i="2" s="1"/>
  <c r="W113" i="2"/>
  <c r="S113" i="2" s="1"/>
  <c r="X113" i="2"/>
  <c r="T113" i="2" s="1"/>
  <c r="Y113" i="2"/>
  <c r="U113" i="2" s="1"/>
  <c r="W114" i="2"/>
  <c r="S114" i="2" s="1"/>
  <c r="X114" i="2"/>
  <c r="T114" i="2" s="1"/>
  <c r="Y114" i="2"/>
  <c r="U114" i="2" s="1"/>
  <c r="W115" i="2"/>
  <c r="S115" i="2" s="1"/>
  <c r="X115" i="2"/>
  <c r="T115" i="2" s="1"/>
  <c r="Y115" i="2"/>
  <c r="U115" i="2" s="1"/>
  <c r="W116" i="2"/>
  <c r="S116" i="2" s="1"/>
  <c r="X116" i="2"/>
  <c r="T116" i="2" s="1"/>
  <c r="Y116" i="2"/>
  <c r="U116" i="2" s="1"/>
  <c r="W117" i="2"/>
  <c r="S117" i="2" s="1"/>
  <c r="X117" i="2"/>
  <c r="T117" i="2" s="1"/>
  <c r="Y117" i="2"/>
  <c r="U117" i="2" s="1"/>
  <c r="W118" i="2"/>
  <c r="S118" i="2" s="1"/>
  <c r="X118" i="2"/>
  <c r="T118" i="2" s="1"/>
  <c r="Y118" i="2"/>
  <c r="U118" i="2" s="1"/>
  <c r="W119" i="2"/>
  <c r="S119" i="2" s="1"/>
  <c r="X119" i="2"/>
  <c r="T119" i="2" s="1"/>
  <c r="Y119" i="2"/>
  <c r="U119" i="2" s="1"/>
  <c r="W120" i="2"/>
  <c r="S120" i="2" s="1"/>
  <c r="X120" i="2"/>
  <c r="T120" i="2" s="1"/>
  <c r="Y120" i="2"/>
  <c r="U120" i="2" s="1"/>
  <c r="W121" i="2"/>
  <c r="S121" i="2" s="1"/>
  <c r="X121" i="2"/>
  <c r="T121" i="2" s="1"/>
  <c r="Y121" i="2"/>
  <c r="U121" i="2" s="1"/>
  <c r="W122" i="2"/>
  <c r="S122" i="2" s="1"/>
  <c r="X122" i="2"/>
  <c r="T122" i="2" s="1"/>
  <c r="Y122" i="2"/>
  <c r="U122" i="2" s="1"/>
  <c r="W123" i="2"/>
  <c r="S123" i="2" s="1"/>
  <c r="X123" i="2"/>
  <c r="T123" i="2" s="1"/>
  <c r="Y123" i="2"/>
  <c r="U123" i="2" s="1"/>
  <c r="W124" i="2"/>
  <c r="S124" i="2" s="1"/>
  <c r="X124" i="2"/>
  <c r="T124" i="2" s="1"/>
  <c r="Y124" i="2"/>
  <c r="U124" i="2" s="1"/>
  <c r="W125" i="2"/>
  <c r="S125" i="2" s="1"/>
  <c r="X125" i="2"/>
  <c r="T125" i="2" s="1"/>
  <c r="Y125" i="2"/>
  <c r="U125" i="2" s="1"/>
  <c r="W126" i="2"/>
  <c r="S126" i="2" s="1"/>
  <c r="X126" i="2"/>
  <c r="T126" i="2" s="1"/>
  <c r="Y126" i="2"/>
  <c r="U126" i="2" s="1"/>
  <c r="W127" i="2"/>
  <c r="S127" i="2" s="1"/>
  <c r="X127" i="2"/>
  <c r="T127" i="2" s="1"/>
  <c r="Y127" i="2"/>
  <c r="U127" i="2" s="1"/>
  <c r="W128" i="2"/>
  <c r="S128" i="2" s="1"/>
  <c r="X128" i="2"/>
  <c r="T128" i="2" s="1"/>
  <c r="Y128" i="2"/>
  <c r="U128" i="2" s="1"/>
  <c r="W129" i="2"/>
  <c r="S129" i="2" s="1"/>
  <c r="X129" i="2"/>
  <c r="T129" i="2" s="1"/>
  <c r="Y129" i="2"/>
  <c r="U129" i="2" s="1"/>
  <c r="W130" i="2"/>
  <c r="S130" i="2" s="1"/>
  <c r="X130" i="2"/>
  <c r="T130" i="2" s="1"/>
  <c r="Y130" i="2"/>
  <c r="U130" i="2" s="1"/>
  <c r="W131" i="2"/>
  <c r="S131" i="2" s="1"/>
  <c r="X131" i="2"/>
  <c r="T131" i="2" s="1"/>
  <c r="Y131" i="2"/>
  <c r="U131" i="2" s="1"/>
  <c r="W132" i="2"/>
  <c r="S132" i="2" s="1"/>
  <c r="X132" i="2"/>
  <c r="T132" i="2" s="1"/>
  <c r="Y132" i="2"/>
  <c r="U132" i="2" s="1"/>
  <c r="W133" i="2"/>
  <c r="S133" i="2" s="1"/>
  <c r="X133" i="2"/>
  <c r="T133" i="2" s="1"/>
  <c r="Y133" i="2"/>
  <c r="U133" i="2" s="1"/>
  <c r="W134" i="2"/>
  <c r="S134" i="2" s="1"/>
  <c r="X134" i="2"/>
  <c r="T134" i="2" s="1"/>
  <c r="Y134" i="2"/>
  <c r="U134" i="2" s="1"/>
  <c r="W135" i="2"/>
  <c r="S135" i="2" s="1"/>
  <c r="X135" i="2"/>
  <c r="T135" i="2" s="1"/>
  <c r="Y135" i="2"/>
  <c r="U135" i="2" s="1"/>
  <c r="W136" i="2"/>
  <c r="S136" i="2" s="1"/>
  <c r="X136" i="2"/>
  <c r="T136" i="2" s="1"/>
  <c r="Y136" i="2"/>
  <c r="U136" i="2" s="1"/>
  <c r="W137" i="2"/>
  <c r="S137" i="2" s="1"/>
  <c r="X137" i="2"/>
  <c r="T137" i="2" s="1"/>
  <c r="Y137" i="2"/>
  <c r="U137" i="2" s="1"/>
  <c r="W138" i="2"/>
  <c r="S138" i="2" s="1"/>
  <c r="X138" i="2"/>
  <c r="T138" i="2" s="1"/>
  <c r="Y138" i="2"/>
  <c r="U138" i="2" s="1"/>
  <c r="W139" i="2"/>
  <c r="S139" i="2" s="1"/>
  <c r="X139" i="2"/>
  <c r="T139" i="2" s="1"/>
  <c r="Y139" i="2"/>
  <c r="U139" i="2" s="1"/>
  <c r="W140" i="2"/>
  <c r="S140" i="2" s="1"/>
  <c r="X140" i="2"/>
  <c r="T140" i="2" s="1"/>
  <c r="Y140" i="2"/>
  <c r="U140" i="2" s="1"/>
  <c r="W141" i="2"/>
  <c r="S141" i="2" s="1"/>
  <c r="X141" i="2"/>
  <c r="T141" i="2" s="1"/>
  <c r="Y141" i="2"/>
  <c r="U141" i="2" s="1"/>
  <c r="W142" i="2"/>
  <c r="S142" i="2" s="1"/>
  <c r="X142" i="2"/>
  <c r="T142" i="2" s="1"/>
  <c r="Y142" i="2"/>
  <c r="U142" i="2" s="1"/>
  <c r="W143" i="2"/>
  <c r="S143" i="2" s="1"/>
  <c r="X143" i="2"/>
  <c r="T143" i="2" s="1"/>
  <c r="Y143" i="2"/>
  <c r="U143" i="2" s="1"/>
  <c r="W144" i="2"/>
  <c r="S144" i="2" s="1"/>
  <c r="X144" i="2"/>
  <c r="T144" i="2" s="1"/>
  <c r="Y144" i="2"/>
  <c r="U144" i="2" s="1"/>
  <c r="W145" i="2"/>
  <c r="S145" i="2" s="1"/>
  <c r="X145" i="2"/>
  <c r="T145" i="2" s="1"/>
  <c r="Y145" i="2"/>
  <c r="U145" i="2" s="1"/>
  <c r="W146" i="2"/>
  <c r="S146" i="2" s="1"/>
  <c r="X146" i="2"/>
  <c r="T146" i="2" s="1"/>
  <c r="Y146" i="2"/>
  <c r="U146" i="2" s="1"/>
  <c r="W147" i="2"/>
  <c r="S147" i="2" s="1"/>
  <c r="X147" i="2"/>
  <c r="T147" i="2" s="1"/>
  <c r="Y147" i="2"/>
  <c r="U147" i="2" s="1"/>
  <c r="W148" i="2"/>
  <c r="S148" i="2" s="1"/>
  <c r="X148" i="2"/>
  <c r="T148" i="2" s="1"/>
  <c r="Y148" i="2"/>
  <c r="U148" i="2" s="1"/>
  <c r="W149" i="2"/>
  <c r="S149" i="2" s="1"/>
  <c r="X149" i="2"/>
  <c r="T149" i="2" s="1"/>
  <c r="Y149" i="2"/>
  <c r="U149" i="2" s="1"/>
  <c r="W150" i="2"/>
  <c r="S150" i="2" s="1"/>
  <c r="X150" i="2"/>
  <c r="T150" i="2" s="1"/>
  <c r="Y150" i="2"/>
  <c r="U150" i="2" s="1"/>
  <c r="W151" i="2"/>
  <c r="S151" i="2" s="1"/>
  <c r="X151" i="2"/>
  <c r="T151" i="2" s="1"/>
  <c r="Y151" i="2"/>
  <c r="U151" i="2" s="1"/>
  <c r="W152" i="2"/>
  <c r="S152" i="2" s="1"/>
  <c r="X152" i="2"/>
  <c r="T152" i="2" s="1"/>
  <c r="Y152" i="2"/>
  <c r="U152" i="2" s="1"/>
  <c r="W153" i="2"/>
  <c r="S153" i="2" s="1"/>
  <c r="X153" i="2"/>
  <c r="T153" i="2" s="1"/>
  <c r="Y153" i="2"/>
  <c r="U153" i="2" s="1"/>
  <c r="W154" i="2"/>
  <c r="S154" i="2" s="1"/>
  <c r="X154" i="2"/>
  <c r="T154" i="2" s="1"/>
  <c r="Y154" i="2"/>
  <c r="U154" i="2" s="1"/>
  <c r="W155" i="2"/>
  <c r="S155" i="2" s="1"/>
  <c r="X155" i="2"/>
  <c r="T155" i="2" s="1"/>
  <c r="Y155" i="2"/>
  <c r="U155" i="2" s="1"/>
  <c r="W156" i="2"/>
  <c r="S156" i="2" s="1"/>
  <c r="X156" i="2"/>
  <c r="T156" i="2" s="1"/>
  <c r="Y156" i="2"/>
  <c r="U156" i="2" s="1"/>
  <c r="W157" i="2"/>
  <c r="S157" i="2" s="1"/>
  <c r="X157" i="2"/>
  <c r="T157" i="2" s="1"/>
  <c r="Y157" i="2"/>
  <c r="U157" i="2" s="1"/>
  <c r="W158" i="2"/>
  <c r="S158" i="2" s="1"/>
  <c r="X158" i="2"/>
  <c r="T158" i="2" s="1"/>
  <c r="Y158" i="2"/>
  <c r="U158" i="2" s="1"/>
  <c r="W159" i="2"/>
  <c r="S159" i="2" s="1"/>
  <c r="X159" i="2"/>
  <c r="T159" i="2" s="1"/>
  <c r="Y159" i="2"/>
  <c r="U159" i="2" s="1"/>
  <c r="W160" i="2"/>
  <c r="S160" i="2" s="1"/>
  <c r="X160" i="2"/>
  <c r="T160" i="2" s="1"/>
  <c r="Y160" i="2"/>
  <c r="U160" i="2" s="1"/>
  <c r="W161" i="2"/>
  <c r="S161" i="2" s="1"/>
  <c r="X161" i="2"/>
  <c r="T161" i="2" s="1"/>
  <c r="Y161" i="2"/>
  <c r="U161" i="2" s="1"/>
  <c r="W162" i="2"/>
  <c r="S162" i="2" s="1"/>
  <c r="X162" i="2"/>
  <c r="T162" i="2" s="1"/>
  <c r="Y162" i="2"/>
  <c r="U162" i="2" s="1"/>
  <c r="W163" i="2"/>
  <c r="S163" i="2" s="1"/>
  <c r="X163" i="2"/>
  <c r="T163" i="2" s="1"/>
  <c r="Y163" i="2"/>
  <c r="U163" i="2" s="1"/>
  <c r="W164" i="2"/>
  <c r="S164" i="2" s="1"/>
  <c r="X164" i="2"/>
  <c r="T164" i="2" s="1"/>
  <c r="Y164" i="2"/>
  <c r="U164" i="2" s="1"/>
  <c r="W165" i="2"/>
  <c r="S165" i="2" s="1"/>
  <c r="X165" i="2"/>
  <c r="T165" i="2" s="1"/>
  <c r="Y165" i="2"/>
  <c r="U165" i="2" s="1"/>
  <c r="W166" i="2"/>
  <c r="S166" i="2" s="1"/>
  <c r="X166" i="2"/>
  <c r="T166" i="2" s="1"/>
  <c r="Y166" i="2"/>
  <c r="U166" i="2" s="1"/>
  <c r="W167" i="2"/>
  <c r="S167" i="2" s="1"/>
  <c r="X167" i="2"/>
  <c r="T167" i="2" s="1"/>
  <c r="Y167" i="2"/>
  <c r="U167" i="2" s="1"/>
  <c r="W168" i="2"/>
  <c r="S168" i="2" s="1"/>
  <c r="X168" i="2"/>
  <c r="T168" i="2" s="1"/>
  <c r="Y168" i="2"/>
  <c r="U168" i="2" s="1"/>
  <c r="W169" i="2"/>
  <c r="S169" i="2" s="1"/>
  <c r="X169" i="2"/>
  <c r="T169" i="2" s="1"/>
  <c r="Y169" i="2"/>
  <c r="U169" i="2" s="1"/>
  <c r="W170" i="2"/>
  <c r="S170" i="2" s="1"/>
  <c r="X170" i="2"/>
  <c r="T170" i="2" s="1"/>
  <c r="Y170" i="2"/>
  <c r="U170" i="2" s="1"/>
  <c r="W171" i="2"/>
  <c r="S171" i="2" s="1"/>
  <c r="X171" i="2"/>
  <c r="T171" i="2" s="1"/>
  <c r="Y171" i="2"/>
  <c r="U171" i="2" s="1"/>
  <c r="W172" i="2"/>
  <c r="S172" i="2" s="1"/>
  <c r="X172" i="2"/>
  <c r="T172" i="2" s="1"/>
  <c r="Y172" i="2"/>
  <c r="U172" i="2" s="1"/>
  <c r="W173" i="2"/>
  <c r="S173" i="2" s="1"/>
  <c r="X173" i="2"/>
  <c r="T173" i="2" s="1"/>
  <c r="Y173" i="2"/>
  <c r="U173" i="2" s="1"/>
  <c r="W174" i="2"/>
  <c r="S174" i="2" s="1"/>
  <c r="X174" i="2"/>
  <c r="T174" i="2" s="1"/>
  <c r="Y174" i="2"/>
  <c r="U174" i="2" s="1"/>
  <c r="W175" i="2"/>
  <c r="S175" i="2" s="1"/>
  <c r="X175" i="2"/>
  <c r="T175" i="2" s="1"/>
  <c r="Y175" i="2"/>
  <c r="U175" i="2" s="1"/>
  <c r="W176" i="2"/>
  <c r="S176" i="2" s="1"/>
  <c r="X176" i="2"/>
  <c r="T176" i="2" s="1"/>
  <c r="Y176" i="2"/>
  <c r="U176" i="2" s="1"/>
  <c r="W177" i="2"/>
  <c r="S177" i="2" s="1"/>
  <c r="X177" i="2"/>
  <c r="T177" i="2" s="1"/>
  <c r="Y177" i="2"/>
  <c r="U177" i="2" s="1"/>
  <c r="W178" i="2"/>
  <c r="S178" i="2" s="1"/>
  <c r="X178" i="2"/>
  <c r="T178" i="2" s="1"/>
  <c r="Y178" i="2"/>
  <c r="U178" i="2" s="1"/>
  <c r="W179" i="2"/>
  <c r="S179" i="2" s="1"/>
  <c r="X179" i="2"/>
  <c r="T179" i="2" s="1"/>
  <c r="Y179" i="2"/>
  <c r="U179" i="2" s="1"/>
  <c r="W180" i="2"/>
  <c r="S180" i="2" s="1"/>
  <c r="X180" i="2"/>
  <c r="T180" i="2" s="1"/>
  <c r="Y180" i="2"/>
  <c r="U180" i="2" s="1"/>
  <c r="W181" i="2"/>
  <c r="S181" i="2" s="1"/>
  <c r="X181" i="2"/>
  <c r="T181" i="2" s="1"/>
  <c r="Y181" i="2"/>
  <c r="U181" i="2" s="1"/>
  <c r="W182" i="2"/>
  <c r="S182" i="2" s="1"/>
  <c r="X182" i="2"/>
  <c r="T182" i="2" s="1"/>
  <c r="Y182" i="2"/>
  <c r="U182" i="2" s="1"/>
  <c r="W183" i="2"/>
  <c r="S183" i="2" s="1"/>
  <c r="X183" i="2"/>
  <c r="T183" i="2" s="1"/>
  <c r="Y183" i="2"/>
  <c r="U183" i="2" s="1"/>
  <c r="W184" i="2"/>
  <c r="S184" i="2" s="1"/>
  <c r="X184" i="2"/>
  <c r="T184" i="2" s="1"/>
  <c r="Y184" i="2"/>
  <c r="U184" i="2" s="1"/>
  <c r="W185" i="2"/>
  <c r="S185" i="2" s="1"/>
  <c r="X185" i="2"/>
  <c r="T185" i="2" s="1"/>
  <c r="Y185" i="2"/>
  <c r="U185" i="2" s="1"/>
  <c r="W186" i="2"/>
  <c r="S186" i="2" s="1"/>
  <c r="X186" i="2"/>
  <c r="T186" i="2" s="1"/>
  <c r="Y186" i="2"/>
  <c r="U186" i="2" s="1"/>
  <c r="W187" i="2"/>
  <c r="S187" i="2" s="1"/>
  <c r="X187" i="2"/>
  <c r="T187" i="2" s="1"/>
  <c r="Y187" i="2"/>
  <c r="U187" i="2" s="1"/>
  <c r="W188" i="2"/>
  <c r="S188" i="2" s="1"/>
  <c r="X188" i="2"/>
  <c r="T188" i="2" s="1"/>
  <c r="Y188" i="2"/>
  <c r="U188" i="2" s="1"/>
  <c r="W189" i="2"/>
  <c r="S189" i="2" s="1"/>
  <c r="X189" i="2"/>
  <c r="T189" i="2" s="1"/>
  <c r="Y189" i="2"/>
  <c r="U189" i="2" s="1"/>
  <c r="W190" i="2"/>
  <c r="S190" i="2" s="1"/>
  <c r="X190" i="2"/>
  <c r="T190" i="2" s="1"/>
  <c r="Y190" i="2"/>
  <c r="U190" i="2" s="1"/>
  <c r="W191" i="2"/>
  <c r="S191" i="2" s="1"/>
  <c r="X191" i="2"/>
  <c r="T191" i="2" s="1"/>
  <c r="Y191" i="2"/>
  <c r="U191" i="2" s="1"/>
  <c r="W192" i="2"/>
  <c r="S192" i="2" s="1"/>
  <c r="X192" i="2"/>
  <c r="T192" i="2" s="1"/>
  <c r="Y192" i="2"/>
  <c r="U192" i="2" s="1"/>
  <c r="W193" i="2"/>
  <c r="S193" i="2" s="1"/>
  <c r="X193" i="2"/>
  <c r="T193" i="2" s="1"/>
  <c r="Y193" i="2"/>
  <c r="U193" i="2" s="1"/>
  <c r="W194" i="2"/>
  <c r="S194" i="2" s="1"/>
  <c r="X194" i="2"/>
  <c r="T194" i="2" s="1"/>
  <c r="Y194" i="2"/>
  <c r="U194" i="2" s="1"/>
  <c r="W195" i="2"/>
  <c r="S195" i="2" s="1"/>
  <c r="X195" i="2"/>
  <c r="T195" i="2" s="1"/>
  <c r="Y195" i="2"/>
  <c r="U195" i="2" s="1"/>
  <c r="W196" i="2"/>
  <c r="S196" i="2" s="1"/>
  <c r="X196" i="2"/>
  <c r="T196" i="2" s="1"/>
  <c r="Y196" i="2"/>
  <c r="U196" i="2" s="1"/>
  <c r="W197" i="2"/>
  <c r="S197" i="2" s="1"/>
  <c r="X197" i="2"/>
  <c r="T197" i="2" s="1"/>
  <c r="Y197" i="2"/>
  <c r="U197" i="2" s="1"/>
  <c r="W198" i="2"/>
  <c r="S198" i="2" s="1"/>
  <c r="X198" i="2"/>
  <c r="T198" i="2" s="1"/>
  <c r="Y198" i="2"/>
  <c r="U198" i="2" s="1"/>
  <c r="W199" i="2"/>
  <c r="S199" i="2" s="1"/>
  <c r="X199" i="2"/>
  <c r="T199" i="2" s="1"/>
  <c r="Y199" i="2"/>
  <c r="U199" i="2" s="1"/>
  <c r="W200" i="2"/>
  <c r="S200" i="2" s="1"/>
  <c r="X200" i="2"/>
  <c r="T200" i="2" s="1"/>
  <c r="Y200" i="2"/>
  <c r="U200" i="2" s="1"/>
  <c r="W201" i="2"/>
  <c r="S201" i="2" s="1"/>
  <c r="X201" i="2"/>
  <c r="T201" i="2" s="1"/>
  <c r="Y201" i="2"/>
  <c r="U201" i="2" s="1"/>
  <c r="W202" i="2"/>
  <c r="S202" i="2" s="1"/>
  <c r="X202" i="2"/>
  <c r="T202" i="2" s="1"/>
  <c r="Y202" i="2"/>
  <c r="U202" i="2" s="1"/>
  <c r="W203" i="2"/>
  <c r="S203" i="2" s="1"/>
  <c r="X203" i="2"/>
  <c r="T203" i="2" s="1"/>
  <c r="Y203" i="2"/>
  <c r="U203" i="2" s="1"/>
  <c r="W204" i="2"/>
  <c r="S204" i="2" s="1"/>
  <c r="X204" i="2"/>
  <c r="T204" i="2" s="1"/>
  <c r="Y204" i="2"/>
  <c r="U204" i="2" s="1"/>
  <c r="W205" i="2"/>
  <c r="S205" i="2" s="1"/>
  <c r="X205" i="2"/>
  <c r="T205" i="2" s="1"/>
  <c r="Y205" i="2"/>
  <c r="U205" i="2" s="1"/>
  <c r="W206" i="2"/>
  <c r="S206" i="2" s="1"/>
  <c r="X206" i="2"/>
  <c r="T206" i="2" s="1"/>
  <c r="Y206" i="2"/>
  <c r="U206" i="2" s="1"/>
  <c r="W207" i="2"/>
  <c r="S207" i="2" s="1"/>
  <c r="X207" i="2"/>
  <c r="T207" i="2" s="1"/>
  <c r="Y207" i="2"/>
  <c r="U207" i="2" s="1"/>
  <c r="W208" i="2"/>
  <c r="S208" i="2" s="1"/>
  <c r="X208" i="2"/>
  <c r="T208" i="2" s="1"/>
  <c r="Y208" i="2"/>
  <c r="U208" i="2" s="1"/>
  <c r="W209" i="2"/>
  <c r="S209" i="2" s="1"/>
  <c r="X209" i="2"/>
  <c r="T209" i="2" s="1"/>
  <c r="Y209" i="2"/>
  <c r="U209" i="2" s="1"/>
  <c r="W210" i="2"/>
  <c r="S210" i="2" s="1"/>
  <c r="X210" i="2"/>
  <c r="T210" i="2" s="1"/>
  <c r="Y210" i="2"/>
  <c r="U210" i="2" s="1"/>
  <c r="W211" i="2"/>
  <c r="S211" i="2" s="1"/>
  <c r="X211" i="2"/>
  <c r="T211" i="2" s="1"/>
  <c r="Y211" i="2"/>
  <c r="U211" i="2" s="1"/>
  <c r="W212" i="2"/>
  <c r="S212" i="2" s="1"/>
  <c r="X212" i="2"/>
  <c r="T212" i="2" s="1"/>
  <c r="Y212" i="2"/>
  <c r="U212" i="2" s="1"/>
  <c r="W213" i="2"/>
  <c r="S213" i="2" s="1"/>
  <c r="X213" i="2"/>
  <c r="T213" i="2" s="1"/>
  <c r="Y213" i="2"/>
  <c r="U213" i="2" s="1"/>
  <c r="W214" i="2"/>
  <c r="S214" i="2" s="1"/>
  <c r="X214" i="2"/>
  <c r="T214" i="2" s="1"/>
  <c r="Y214" i="2"/>
  <c r="U214" i="2" s="1"/>
  <c r="W215" i="2"/>
  <c r="S215" i="2" s="1"/>
  <c r="X215" i="2"/>
  <c r="T215" i="2" s="1"/>
  <c r="Y215" i="2"/>
  <c r="U215" i="2" s="1"/>
  <c r="W216" i="2"/>
  <c r="S216" i="2" s="1"/>
  <c r="X216" i="2"/>
  <c r="T216" i="2" s="1"/>
  <c r="Y216" i="2"/>
  <c r="U216" i="2" s="1"/>
  <c r="W217" i="2"/>
  <c r="S217" i="2" s="1"/>
  <c r="X217" i="2"/>
  <c r="T217" i="2" s="1"/>
  <c r="Y217" i="2"/>
  <c r="U217" i="2" s="1"/>
  <c r="W218" i="2"/>
  <c r="S218" i="2" s="1"/>
  <c r="X218" i="2"/>
  <c r="T218" i="2" s="1"/>
  <c r="Y218" i="2"/>
  <c r="U218" i="2" s="1"/>
  <c r="W219" i="2"/>
  <c r="S219" i="2" s="1"/>
  <c r="X219" i="2"/>
  <c r="T219" i="2" s="1"/>
  <c r="Y219" i="2"/>
  <c r="U219" i="2" s="1"/>
  <c r="W220" i="2"/>
  <c r="S220" i="2" s="1"/>
  <c r="X220" i="2"/>
  <c r="T220" i="2" s="1"/>
  <c r="Y220" i="2"/>
  <c r="U220" i="2" s="1"/>
  <c r="W221" i="2"/>
  <c r="S221" i="2" s="1"/>
  <c r="X221" i="2"/>
  <c r="T221" i="2" s="1"/>
  <c r="Y221" i="2"/>
  <c r="U221" i="2" s="1"/>
  <c r="W222" i="2"/>
  <c r="S222" i="2" s="1"/>
  <c r="X222" i="2"/>
  <c r="T222" i="2" s="1"/>
  <c r="Y222" i="2"/>
  <c r="U222" i="2" s="1"/>
  <c r="W223" i="2"/>
  <c r="S223" i="2" s="1"/>
  <c r="X223" i="2"/>
  <c r="T223" i="2" s="1"/>
  <c r="Y223" i="2"/>
  <c r="U223" i="2" s="1"/>
  <c r="W224" i="2"/>
  <c r="S224" i="2" s="1"/>
  <c r="X224" i="2"/>
  <c r="T224" i="2" s="1"/>
  <c r="Y224" i="2"/>
  <c r="U224" i="2" s="1"/>
  <c r="W225" i="2"/>
  <c r="S225" i="2" s="1"/>
  <c r="X225" i="2"/>
  <c r="T225" i="2" s="1"/>
  <c r="Y225" i="2"/>
  <c r="U225" i="2" s="1"/>
  <c r="W226" i="2"/>
  <c r="S226" i="2" s="1"/>
  <c r="X226" i="2"/>
  <c r="T226" i="2" s="1"/>
  <c r="Y226" i="2"/>
  <c r="U226" i="2" s="1"/>
  <c r="W227" i="2"/>
  <c r="S227" i="2" s="1"/>
  <c r="X227" i="2"/>
  <c r="T227" i="2" s="1"/>
  <c r="Y227" i="2"/>
  <c r="U227" i="2" s="1"/>
  <c r="W228" i="2"/>
  <c r="S228" i="2" s="1"/>
  <c r="X228" i="2"/>
  <c r="T228" i="2" s="1"/>
  <c r="Y228" i="2"/>
  <c r="U228" i="2" s="1"/>
  <c r="W229" i="2"/>
  <c r="S229" i="2" s="1"/>
  <c r="X229" i="2"/>
  <c r="T229" i="2" s="1"/>
  <c r="Y229" i="2"/>
  <c r="U229" i="2" s="1"/>
  <c r="W230" i="2"/>
  <c r="S230" i="2" s="1"/>
  <c r="X230" i="2"/>
  <c r="T230" i="2" s="1"/>
  <c r="Y230" i="2"/>
  <c r="U230" i="2" s="1"/>
  <c r="W231" i="2"/>
  <c r="S231" i="2" s="1"/>
  <c r="X231" i="2"/>
  <c r="T231" i="2" s="1"/>
  <c r="Y231" i="2"/>
  <c r="U231" i="2" s="1"/>
  <c r="W232" i="2"/>
  <c r="S232" i="2" s="1"/>
  <c r="X232" i="2"/>
  <c r="T232" i="2" s="1"/>
  <c r="Y232" i="2"/>
  <c r="U232" i="2" s="1"/>
  <c r="W233" i="2"/>
  <c r="S233" i="2" s="1"/>
  <c r="X233" i="2"/>
  <c r="T233" i="2" s="1"/>
  <c r="Y233" i="2"/>
  <c r="U233" i="2" s="1"/>
  <c r="W234" i="2"/>
  <c r="S234" i="2" s="1"/>
  <c r="X234" i="2"/>
  <c r="T234" i="2" s="1"/>
  <c r="Y234" i="2"/>
  <c r="U234" i="2" s="1"/>
  <c r="W235" i="2"/>
  <c r="S235" i="2" s="1"/>
  <c r="X235" i="2"/>
  <c r="T235" i="2" s="1"/>
  <c r="Y235" i="2"/>
  <c r="U235" i="2" s="1"/>
  <c r="W236" i="2"/>
  <c r="S236" i="2" s="1"/>
  <c r="X236" i="2"/>
  <c r="T236" i="2" s="1"/>
  <c r="Y236" i="2"/>
  <c r="U236" i="2" s="1"/>
  <c r="W237" i="2"/>
  <c r="S237" i="2" s="1"/>
  <c r="X237" i="2"/>
  <c r="T237" i="2" s="1"/>
  <c r="Y237" i="2"/>
  <c r="U237" i="2" s="1"/>
  <c r="W238" i="2"/>
  <c r="S238" i="2" s="1"/>
  <c r="X238" i="2"/>
  <c r="T238" i="2" s="1"/>
  <c r="Y238" i="2"/>
  <c r="U238" i="2" s="1"/>
  <c r="W239" i="2"/>
  <c r="S239" i="2" s="1"/>
  <c r="X239" i="2"/>
  <c r="T239" i="2" s="1"/>
  <c r="Y239" i="2"/>
  <c r="U239" i="2" s="1"/>
  <c r="W240" i="2"/>
  <c r="S240" i="2" s="1"/>
  <c r="X240" i="2"/>
  <c r="T240" i="2" s="1"/>
  <c r="Y240" i="2"/>
  <c r="U240" i="2" s="1"/>
  <c r="W241" i="2"/>
  <c r="S241" i="2" s="1"/>
  <c r="X241" i="2"/>
  <c r="T241" i="2" s="1"/>
  <c r="Y241" i="2"/>
  <c r="U241" i="2" s="1"/>
  <c r="W242" i="2"/>
  <c r="S242" i="2" s="1"/>
  <c r="X242" i="2"/>
  <c r="T242" i="2" s="1"/>
  <c r="Y242" i="2"/>
  <c r="U242" i="2" s="1"/>
  <c r="W243" i="2"/>
  <c r="S243" i="2" s="1"/>
  <c r="X243" i="2"/>
  <c r="T243" i="2" s="1"/>
  <c r="Y243" i="2"/>
  <c r="U243" i="2" s="1"/>
  <c r="W244" i="2"/>
  <c r="S244" i="2" s="1"/>
  <c r="X244" i="2"/>
  <c r="T244" i="2" s="1"/>
  <c r="Y244" i="2"/>
  <c r="U244" i="2" s="1"/>
  <c r="W245" i="2"/>
  <c r="S245" i="2" s="1"/>
  <c r="X245" i="2"/>
  <c r="T245" i="2" s="1"/>
  <c r="Y245" i="2"/>
  <c r="U245" i="2" s="1"/>
  <c r="W246" i="2"/>
  <c r="S246" i="2" s="1"/>
  <c r="X246" i="2"/>
  <c r="T246" i="2" s="1"/>
  <c r="Y246" i="2"/>
  <c r="U246" i="2" s="1"/>
  <c r="W247" i="2"/>
  <c r="S247" i="2" s="1"/>
  <c r="X247" i="2"/>
  <c r="T247" i="2" s="1"/>
  <c r="Y247" i="2"/>
  <c r="U247" i="2" s="1"/>
  <c r="W248" i="2"/>
  <c r="S248" i="2" s="1"/>
  <c r="X248" i="2"/>
  <c r="T248" i="2" s="1"/>
  <c r="Y248" i="2"/>
  <c r="U248" i="2" s="1"/>
  <c r="W249" i="2"/>
  <c r="S249" i="2" s="1"/>
  <c r="X249" i="2"/>
  <c r="T249" i="2" s="1"/>
  <c r="Y249" i="2"/>
  <c r="U249" i="2" s="1"/>
  <c r="W250" i="2"/>
  <c r="S250" i="2" s="1"/>
  <c r="X250" i="2"/>
  <c r="T250" i="2" s="1"/>
  <c r="Y250" i="2"/>
  <c r="U250" i="2" s="1"/>
  <c r="W251" i="2"/>
  <c r="S251" i="2" s="1"/>
  <c r="X251" i="2"/>
  <c r="T251" i="2" s="1"/>
  <c r="Y251" i="2"/>
  <c r="U251" i="2" s="1"/>
  <c r="W252" i="2"/>
  <c r="S252" i="2" s="1"/>
  <c r="X252" i="2"/>
  <c r="T252" i="2" s="1"/>
  <c r="Y252" i="2"/>
  <c r="U252" i="2" s="1"/>
  <c r="W253" i="2"/>
  <c r="S253" i="2" s="1"/>
  <c r="X253" i="2"/>
  <c r="T253" i="2" s="1"/>
  <c r="Y253" i="2"/>
  <c r="U253" i="2" s="1"/>
  <c r="W254" i="2"/>
  <c r="S254" i="2" s="1"/>
  <c r="X254" i="2"/>
  <c r="T254" i="2" s="1"/>
  <c r="Y254" i="2"/>
  <c r="U254" i="2" s="1"/>
  <c r="W255" i="2"/>
  <c r="S255" i="2" s="1"/>
  <c r="X255" i="2"/>
  <c r="T255" i="2" s="1"/>
  <c r="Y255" i="2"/>
  <c r="U255" i="2" s="1"/>
  <c r="W256" i="2"/>
  <c r="S256" i="2" s="1"/>
  <c r="X256" i="2"/>
  <c r="T256" i="2" s="1"/>
  <c r="Y256" i="2"/>
  <c r="U256" i="2" s="1"/>
  <c r="W257" i="2"/>
  <c r="S257" i="2" s="1"/>
  <c r="X257" i="2"/>
  <c r="T257" i="2" s="1"/>
  <c r="Y257" i="2"/>
  <c r="U257" i="2" s="1"/>
  <c r="W258" i="2"/>
  <c r="S258" i="2" s="1"/>
  <c r="X258" i="2"/>
  <c r="T258" i="2" s="1"/>
  <c r="Y258" i="2"/>
  <c r="U258" i="2" s="1"/>
  <c r="W259" i="2"/>
  <c r="S259" i="2" s="1"/>
  <c r="X259" i="2"/>
  <c r="T259" i="2" s="1"/>
  <c r="Y259" i="2"/>
  <c r="U259" i="2" s="1"/>
  <c r="W260" i="2"/>
  <c r="S260" i="2" s="1"/>
  <c r="X260" i="2"/>
  <c r="T260" i="2" s="1"/>
  <c r="Y260" i="2"/>
  <c r="U260" i="2" s="1"/>
  <c r="W261" i="2"/>
  <c r="S261" i="2" s="1"/>
  <c r="X261" i="2"/>
  <c r="T261" i="2" s="1"/>
  <c r="Y261" i="2"/>
  <c r="U261" i="2" s="1"/>
  <c r="W262" i="2"/>
  <c r="S262" i="2" s="1"/>
  <c r="X262" i="2"/>
  <c r="T262" i="2" s="1"/>
  <c r="Y262" i="2"/>
  <c r="U262" i="2" s="1"/>
  <c r="W263" i="2"/>
  <c r="S263" i="2" s="1"/>
  <c r="X263" i="2"/>
  <c r="T263" i="2" s="1"/>
  <c r="Y263" i="2"/>
  <c r="U263" i="2" s="1"/>
  <c r="W264" i="2"/>
  <c r="S264" i="2" s="1"/>
  <c r="X264" i="2"/>
  <c r="T264" i="2" s="1"/>
  <c r="Y264" i="2"/>
  <c r="U264" i="2" s="1"/>
  <c r="W265" i="2"/>
  <c r="S265" i="2" s="1"/>
  <c r="X265" i="2"/>
  <c r="T265" i="2" s="1"/>
  <c r="Y265" i="2"/>
  <c r="U265" i="2" s="1"/>
  <c r="W266" i="2"/>
  <c r="S266" i="2" s="1"/>
  <c r="X266" i="2"/>
  <c r="T266" i="2" s="1"/>
  <c r="Y266" i="2"/>
  <c r="U266" i="2" s="1"/>
  <c r="W267" i="2"/>
  <c r="S267" i="2" s="1"/>
  <c r="X267" i="2"/>
  <c r="T267" i="2" s="1"/>
  <c r="Y267" i="2"/>
  <c r="U267" i="2" s="1"/>
  <c r="W268" i="2"/>
  <c r="S268" i="2" s="1"/>
  <c r="X268" i="2"/>
  <c r="T268" i="2" s="1"/>
  <c r="Y268" i="2"/>
  <c r="U268" i="2" s="1"/>
  <c r="W269" i="2"/>
  <c r="S269" i="2" s="1"/>
  <c r="X269" i="2"/>
  <c r="T269" i="2" s="1"/>
  <c r="Y269" i="2"/>
  <c r="U269" i="2" s="1"/>
  <c r="W270" i="2"/>
  <c r="S270" i="2" s="1"/>
  <c r="X270" i="2"/>
  <c r="T270" i="2" s="1"/>
  <c r="Y270" i="2"/>
  <c r="U270" i="2" s="1"/>
  <c r="W271" i="2"/>
  <c r="S271" i="2" s="1"/>
  <c r="X271" i="2"/>
  <c r="T271" i="2" s="1"/>
  <c r="Y271" i="2"/>
  <c r="U271" i="2" s="1"/>
  <c r="W272" i="2"/>
  <c r="S272" i="2" s="1"/>
  <c r="X272" i="2"/>
  <c r="T272" i="2" s="1"/>
  <c r="Y272" i="2"/>
  <c r="U272" i="2" s="1"/>
  <c r="W273" i="2"/>
  <c r="S273" i="2" s="1"/>
  <c r="X273" i="2"/>
  <c r="T273" i="2" s="1"/>
  <c r="Y273" i="2"/>
  <c r="U273" i="2" s="1"/>
  <c r="W274" i="2"/>
  <c r="S274" i="2" s="1"/>
  <c r="X274" i="2"/>
  <c r="T274" i="2" s="1"/>
  <c r="Y274" i="2"/>
  <c r="U274" i="2" s="1"/>
  <c r="W275" i="2"/>
  <c r="S275" i="2" s="1"/>
  <c r="X275" i="2"/>
  <c r="T275" i="2" s="1"/>
  <c r="Y275" i="2"/>
  <c r="U275" i="2" s="1"/>
  <c r="W276" i="2"/>
  <c r="S276" i="2" s="1"/>
  <c r="X276" i="2"/>
  <c r="T276" i="2" s="1"/>
  <c r="Y276" i="2"/>
  <c r="U276" i="2" s="1"/>
  <c r="W277" i="2"/>
  <c r="S277" i="2" s="1"/>
  <c r="X277" i="2"/>
  <c r="T277" i="2" s="1"/>
  <c r="Y277" i="2"/>
  <c r="U277" i="2" s="1"/>
  <c r="W278" i="2"/>
  <c r="S278" i="2" s="1"/>
  <c r="X278" i="2"/>
  <c r="T278" i="2" s="1"/>
  <c r="Y278" i="2"/>
  <c r="U278" i="2" s="1"/>
  <c r="W279" i="2"/>
  <c r="S279" i="2" s="1"/>
  <c r="X279" i="2"/>
  <c r="T279" i="2" s="1"/>
  <c r="Y279" i="2"/>
  <c r="U279" i="2" s="1"/>
  <c r="W280" i="2"/>
  <c r="S280" i="2" s="1"/>
  <c r="X280" i="2"/>
  <c r="T280" i="2" s="1"/>
  <c r="Y280" i="2"/>
  <c r="U280" i="2" s="1"/>
  <c r="W281" i="2"/>
  <c r="S281" i="2" s="1"/>
  <c r="X281" i="2"/>
  <c r="T281" i="2" s="1"/>
  <c r="Y281" i="2"/>
  <c r="U281" i="2" s="1"/>
  <c r="W282" i="2"/>
  <c r="S282" i="2" s="1"/>
  <c r="X282" i="2"/>
  <c r="T282" i="2" s="1"/>
  <c r="Y282" i="2"/>
  <c r="U282" i="2" s="1"/>
  <c r="W283" i="2"/>
  <c r="S283" i="2" s="1"/>
  <c r="X283" i="2"/>
  <c r="T283" i="2" s="1"/>
  <c r="Y283" i="2"/>
  <c r="U283" i="2" s="1"/>
  <c r="W284" i="2"/>
  <c r="S284" i="2" s="1"/>
  <c r="X284" i="2"/>
  <c r="T284" i="2" s="1"/>
  <c r="Y284" i="2"/>
  <c r="U284" i="2" s="1"/>
  <c r="W285" i="2"/>
  <c r="S285" i="2" s="1"/>
  <c r="X285" i="2"/>
  <c r="T285" i="2" s="1"/>
  <c r="Y285" i="2"/>
  <c r="U285" i="2" s="1"/>
  <c r="W286" i="2"/>
  <c r="S286" i="2" s="1"/>
  <c r="X286" i="2"/>
  <c r="T286" i="2" s="1"/>
  <c r="Y286" i="2"/>
  <c r="U286" i="2" s="1"/>
  <c r="W287" i="2"/>
  <c r="S287" i="2" s="1"/>
  <c r="X287" i="2"/>
  <c r="T287" i="2" s="1"/>
  <c r="Y287" i="2"/>
  <c r="U287" i="2" s="1"/>
  <c r="W288" i="2"/>
  <c r="S288" i="2" s="1"/>
  <c r="X288" i="2"/>
  <c r="T288" i="2" s="1"/>
  <c r="Y288" i="2"/>
  <c r="U288" i="2" s="1"/>
  <c r="W289" i="2"/>
  <c r="S289" i="2" s="1"/>
  <c r="X289" i="2"/>
  <c r="T289" i="2" s="1"/>
  <c r="Y289" i="2"/>
  <c r="U289" i="2" s="1"/>
  <c r="W290" i="2"/>
  <c r="S290" i="2" s="1"/>
  <c r="X290" i="2"/>
  <c r="T290" i="2" s="1"/>
  <c r="Y290" i="2"/>
  <c r="U290" i="2" s="1"/>
  <c r="W291" i="2"/>
  <c r="S291" i="2" s="1"/>
  <c r="X291" i="2"/>
  <c r="T291" i="2" s="1"/>
  <c r="Y291" i="2"/>
  <c r="U291" i="2" s="1"/>
  <c r="W292" i="2"/>
  <c r="S292" i="2" s="1"/>
  <c r="X292" i="2"/>
  <c r="T292" i="2" s="1"/>
  <c r="Y292" i="2"/>
  <c r="U292" i="2" s="1"/>
  <c r="W293" i="2"/>
  <c r="S293" i="2" s="1"/>
  <c r="X293" i="2"/>
  <c r="T293" i="2" s="1"/>
  <c r="Y293" i="2"/>
  <c r="U293" i="2" s="1"/>
  <c r="W294" i="2"/>
  <c r="S294" i="2" s="1"/>
  <c r="X294" i="2"/>
  <c r="T294" i="2" s="1"/>
  <c r="Y294" i="2"/>
  <c r="U294" i="2" s="1"/>
  <c r="W295" i="2"/>
  <c r="S295" i="2" s="1"/>
  <c r="X295" i="2"/>
  <c r="T295" i="2" s="1"/>
  <c r="Y295" i="2"/>
  <c r="U295" i="2" s="1"/>
  <c r="W296" i="2"/>
  <c r="S296" i="2" s="1"/>
  <c r="X296" i="2"/>
  <c r="T296" i="2" s="1"/>
  <c r="Y296" i="2"/>
  <c r="U296" i="2" s="1"/>
  <c r="W297" i="2"/>
  <c r="S297" i="2" s="1"/>
  <c r="X297" i="2"/>
  <c r="T297" i="2" s="1"/>
  <c r="Y297" i="2"/>
  <c r="U297" i="2" s="1"/>
  <c r="W298" i="2"/>
  <c r="S298" i="2" s="1"/>
  <c r="X298" i="2"/>
  <c r="T298" i="2" s="1"/>
  <c r="Y298" i="2"/>
  <c r="U298" i="2" s="1"/>
  <c r="W299" i="2"/>
  <c r="S299" i="2" s="1"/>
  <c r="X299" i="2"/>
  <c r="T299" i="2" s="1"/>
  <c r="Y299" i="2"/>
  <c r="U299" i="2" s="1"/>
  <c r="W300" i="2"/>
  <c r="S300" i="2" s="1"/>
  <c r="X300" i="2"/>
  <c r="T300" i="2" s="1"/>
  <c r="Y300" i="2"/>
  <c r="U300" i="2" s="1"/>
  <c r="W301" i="2"/>
  <c r="S301" i="2" s="1"/>
  <c r="X301" i="2"/>
  <c r="T301" i="2" s="1"/>
  <c r="Y301" i="2"/>
  <c r="U301" i="2" s="1"/>
  <c r="W302" i="2"/>
  <c r="S302" i="2" s="1"/>
  <c r="X302" i="2"/>
  <c r="T302" i="2" s="1"/>
  <c r="Y302" i="2"/>
  <c r="U302" i="2" s="1"/>
  <c r="W303" i="2"/>
  <c r="S303" i="2" s="1"/>
  <c r="X303" i="2"/>
  <c r="T303" i="2" s="1"/>
  <c r="Y303" i="2"/>
  <c r="U303" i="2" s="1"/>
  <c r="W304" i="2"/>
  <c r="S304" i="2" s="1"/>
  <c r="X304" i="2"/>
  <c r="T304" i="2" s="1"/>
  <c r="Y304" i="2"/>
  <c r="U304" i="2" s="1"/>
  <c r="W305" i="2"/>
  <c r="S305" i="2" s="1"/>
  <c r="X305" i="2"/>
  <c r="T305" i="2" s="1"/>
  <c r="Y305" i="2"/>
  <c r="U305" i="2" s="1"/>
  <c r="W306" i="2"/>
  <c r="S306" i="2" s="1"/>
  <c r="X306" i="2"/>
  <c r="T306" i="2" s="1"/>
  <c r="Y306" i="2"/>
  <c r="U306" i="2" s="1"/>
  <c r="W307" i="2"/>
  <c r="S307" i="2" s="1"/>
  <c r="X307" i="2"/>
  <c r="T307" i="2" s="1"/>
  <c r="Y307" i="2"/>
  <c r="U307" i="2" s="1"/>
  <c r="W308" i="2"/>
  <c r="S308" i="2" s="1"/>
  <c r="X308" i="2"/>
  <c r="T308" i="2" s="1"/>
  <c r="Y308" i="2"/>
  <c r="U308" i="2" s="1"/>
  <c r="W309" i="2"/>
  <c r="S309" i="2" s="1"/>
  <c r="X309" i="2"/>
  <c r="T309" i="2" s="1"/>
  <c r="Y309" i="2"/>
  <c r="U309" i="2" s="1"/>
  <c r="W310" i="2"/>
  <c r="S310" i="2" s="1"/>
  <c r="X310" i="2"/>
  <c r="T310" i="2" s="1"/>
  <c r="Y310" i="2"/>
  <c r="U310" i="2" s="1"/>
  <c r="W311" i="2"/>
  <c r="S311" i="2" s="1"/>
  <c r="X311" i="2"/>
  <c r="T311" i="2" s="1"/>
  <c r="Y311" i="2"/>
  <c r="U311" i="2" s="1"/>
  <c r="W312" i="2"/>
  <c r="S312" i="2" s="1"/>
  <c r="X312" i="2"/>
  <c r="T312" i="2" s="1"/>
  <c r="Y312" i="2"/>
  <c r="U312" i="2" s="1"/>
  <c r="W313" i="2"/>
  <c r="S313" i="2" s="1"/>
  <c r="X313" i="2"/>
  <c r="T313" i="2" s="1"/>
  <c r="Y313" i="2"/>
  <c r="U313" i="2" s="1"/>
  <c r="W314" i="2"/>
  <c r="S314" i="2" s="1"/>
  <c r="X314" i="2"/>
  <c r="T314" i="2" s="1"/>
  <c r="Y314" i="2"/>
  <c r="U314" i="2" s="1"/>
  <c r="W315" i="2"/>
  <c r="S315" i="2" s="1"/>
  <c r="X315" i="2"/>
  <c r="T315" i="2" s="1"/>
  <c r="Y315" i="2"/>
  <c r="U315" i="2" s="1"/>
  <c r="W316" i="2"/>
  <c r="S316" i="2" s="1"/>
  <c r="X316" i="2"/>
  <c r="T316" i="2" s="1"/>
  <c r="Y316" i="2"/>
  <c r="U316" i="2" s="1"/>
  <c r="W317" i="2"/>
  <c r="S317" i="2" s="1"/>
  <c r="X317" i="2"/>
  <c r="T317" i="2" s="1"/>
  <c r="Y317" i="2"/>
  <c r="U317" i="2" s="1"/>
  <c r="W318" i="2"/>
  <c r="S318" i="2" s="1"/>
  <c r="X318" i="2"/>
  <c r="T318" i="2" s="1"/>
  <c r="Y318" i="2"/>
  <c r="U318" i="2" s="1"/>
  <c r="W319" i="2"/>
  <c r="S319" i="2" s="1"/>
  <c r="X319" i="2"/>
  <c r="T319" i="2" s="1"/>
  <c r="Y319" i="2"/>
  <c r="U319" i="2" s="1"/>
  <c r="W320" i="2"/>
  <c r="S320" i="2" s="1"/>
  <c r="X320" i="2"/>
  <c r="T320" i="2" s="1"/>
  <c r="Y320" i="2"/>
  <c r="U320" i="2" s="1"/>
  <c r="W321" i="2"/>
  <c r="S321" i="2" s="1"/>
  <c r="X321" i="2"/>
  <c r="T321" i="2" s="1"/>
  <c r="Y321" i="2"/>
  <c r="U321" i="2" s="1"/>
  <c r="W322" i="2"/>
  <c r="S322" i="2" s="1"/>
  <c r="X322" i="2"/>
  <c r="T322" i="2" s="1"/>
  <c r="Y322" i="2"/>
  <c r="U322" i="2" s="1"/>
  <c r="W323" i="2"/>
  <c r="S323" i="2" s="1"/>
  <c r="X323" i="2"/>
  <c r="T323" i="2" s="1"/>
  <c r="Y323" i="2"/>
  <c r="U323" i="2" s="1"/>
  <c r="W324" i="2"/>
  <c r="S324" i="2" s="1"/>
  <c r="X324" i="2"/>
  <c r="T324" i="2" s="1"/>
  <c r="Y324" i="2"/>
  <c r="U324" i="2" s="1"/>
  <c r="W325" i="2"/>
  <c r="S325" i="2" s="1"/>
  <c r="X325" i="2"/>
  <c r="T325" i="2" s="1"/>
  <c r="Y325" i="2"/>
  <c r="U325" i="2" s="1"/>
  <c r="W326" i="2"/>
  <c r="S326" i="2" s="1"/>
  <c r="X326" i="2"/>
  <c r="T326" i="2" s="1"/>
  <c r="Y326" i="2"/>
  <c r="U326" i="2" s="1"/>
  <c r="W327" i="2"/>
  <c r="S327" i="2" s="1"/>
  <c r="X327" i="2"/>
  <c r="T327" i="2" s="1"/>
  <c r="Y327" i="2"/>
  <c r="U327" i="2" s="1"/>
  <c r="W328" i="2"/>
  <c r="S328" i="2" s="1"/>
  <c r="X328" i="2"/>
  <c r="T328" i="2" s="1"/>
  <c r="Y328" i="2"/>
  <c r="U328" i="2" s="1"/>
  <c r="W329" i="2"/>
  <c r="S329" i="2" s="1"/>
  <c r="X329" i="2"/>
  <c r="T329" i="2" s="1"/>
  <c r="Y329" i="2"/>
  <c r="U329" i="2" s="1"/>
  <c r="W330" i="2"/>
  <c r="S330" i="2" s="1"/>
  <c r="X330" i="2"/>
  <c r="T330" i="2" s="1"/>
  <c r="Y330" i="2"/>
  <c r="U330" i="2" s="1"/>
  <c r="W331" i="2"/>
  <c r="S331" i="2" s="1"/>
  <c r="X331" i="2"/>
  <c r="T331" i="2" s="1"/>
  <c r="Y331" i="2"/>
  <c r="U331" i="2" s="1"/>
  <c r="W333" i="2"/>
  <c r="S333" i="2" s="1"/>
  <c r="X333" i="2"/>
  <c r="T333" i="2" s="1"/>
  <c r="Y333" i="2"/>
  <c r="U333" i="2" s="1"/>
  <c r="W334" i="2"/>
  <c r="S334" i="2" s="1"/>
  <c r="X334" i="2"/>
  <c r="T334" i="2" s="1"/>
  <c r="Y334" i="2"/>
  <c r="U334" i="2" s="1"/>
  <c r="W335" i="2"/>
  <c r="S335" i="2" s="1"/>
  <c r="X335" i="2"/>
  <c r="T335" i="2" s="1"/>
  <c r="Y335" i="2"/>
  <c r="U335" i="2" s="1"/>
  <c r="W336" i="2"/>
  <c r="S336" i="2" s="1"/>
  <c r="X336" i="2"/>
  <c r="T336" i="2" s="1"/>
  <c r="Y336" i="2"/>
  <c r="U336" i="2" s="1"/>
  <c r="W337" i="2"/>
  <c r="S337" i="2" s="1"/>
  <c r="X337" i="2"/>
  <c r="T337" i="2" s="1"/>
  <c r="Y337" i="2"/>
  <c r="U337" i="2" s="1"/>
  <c r="W338" i="2"/>
  <c r="S338" i="2" s="1"/>
  <c r="X338" i="2"/>
  <c r="T338" i="2" s="1"/>
  <c r="Y338" i="2"/>
  <c r="U338" i="2" s="1"/>
  <c r="W339" i="2"/>
  <c r="S339" i="2" s="1"/>
  <c r="X339" i="2"/>
  <c r="T339" i="2" s="1"/>
  <c r="Y339" i="2"/>
  <c r="U339" i="2" s="1"/>
  <c r="W340" i="2"/>
  <c r="S340" i="2" s="1"/>
  <c r="X340" i="2"/>
  <c r="T340" i="2" s="1"/>
  <c r="Y340" i="2"/>
  <c r="U340" i="2" s="1"/>
  <c r="W341" i="2"/>
  <c r="S341" i="2" s="1"/>
  <c r="X341" i="2"/>
  <c r="T341" i="2" s="1"/>
  <c r="Y341" i="2"/>
  <c r="U341" i="2" s="1"/>
  <c r="W342" i="2"/>
  <c r="S342" i="2" s="1"/>
  <c r="X342" i="2"/>
  <c r="T342" i="2" s="1"/>
  <c r="Y342" i="2"/>
  <c r="U342" i="2" s="1"/>
  <c r="W343" i="2"/>
  <c r="S343" i="2" s="1"/>
  <c r="X343" i="2"/>
  <c r="T343" i="2" s="1"/>
  <c r="Y343" i="2"/>
  <c r="U343" i="2" s="1"/>
  <c r="W344" i="2"/>
  <c r="S344" i="2" s="1"/>
  <c r="X344" i="2"/>
  <c r="T344" i="2" s="1"/>
  <c r="Y344" i="2"/>
  <c r="U344" i="2" s="1"/>
  <c r="W345" i="2"/>
  <c r="S345" i="2" s="1"/>
  <c r="X345" i="2"/>
  <c r="T345" i="2" s="1"/>
  <c r="Y345" i="2"/>
  <c r="U345" i="2" s="1"/>
  <c r="W346" i="2"/>
  <c r="S346" i="2" s="1"/>
  <c r="X346" i="2"/>
  <c r="T346" i="2" s="1"/>
  <c r="Y346" i="2"/>
  <c r="U346" i="2" s="1"/>
  <c r="W347" i="2"/>
  <c r="S347" i="2" s="1"/>
  <c r="X347" i="2"/>
  <c r="T347" i="2" s="1"/>
  <c r="Y347" i="2"/>
  <c r="U347" i="2" s="1"/>
  <c r="W348" i="2"/>
  <c r="S348" i="2" s="1"/>
  <c r="X348" i="2"/>
  <c r="T348" i="2" s="1"/>
  <c r="Y348" i="2"/>
  <c r="U348" i="2" s="1"/>
  <c r="W349" i="2"/>
  <c r="S349" i="2" s="1"/>
  <c r="X349" i="2"/>
  <c r="T349" i="2" s="1"/>
  <c r="Y349" i="2"/>
  <c r="U349" i="2" s="1"/>
  <c r="W350" i="2"/>
  <c r="S350" i="2" s="1"/>
  <c r="X350" i="2"/>
  <c r="T350" i="2" s="1"/>
  <c r="Y350" i="2"/>
  <c r="U350" i="2" s="1"/>
  <c r="W351" i="2"/>
  <c r="S351" i="2" s="1"/>
  <c r="X351" i="2"/>
  <c r="T351" i="2" s="1"/>
  <c r="Y351" i="2"/>
  <c r="U351" i="2" s="1"/>
  <c r="W352" i="2"/>
  <c r="S352" i="2" s="1"/>
  <c r="X352" i="2"/>
  <c r="T352" i="2" s="1"/>
  <c r="Y352" i="2"/>
  <c r="U352" i="2" s="1"/>
  <c r="W353" i="2"/>
  <c r="S353" i="2" s="1"/>
  <c r="X353" i="2"/>
  <c r="T353" i="2" s="1"/>
  <c r="Y353" i="2"/>
  <c r="U353" i="2" s="1"/>
  <c r="W354" i="2"/>
  <c r="S354" i="2" s="1"/>
  <c r="X354" i="2"/>
  <c r="T354" i="2" s="1"/>
  <c r="Y354" i="2"/>
  <c r="U354" i="2" s="1"/>
  <c r="W355" i="2"/>
  <c r="S355" i="2" s="1"/>
  <c r="X355" i="2"/>
  <c r="T355" i="2" s="1"/>
  <c r="Y355" i="2"/>
  <c r="U355" i="2" s="1"/>
  <c r="W356" i="2"/>
  <c r="S356" i="2" s="1"/>
  <c r="X356" i="2"/>
  <c r="T356" i="2" s="1"/>
  <c r="Y356" i="2"/>
  <c r="U356" i="2" s="1"/>
  <c r="W357" i="2"/>
  <c r="S357" i="2" s="1"/>
  <c r="X357" i="2"/>
  <c r="T357" i="2" s="1"/>
  <c r="Y357" i="2"/>
  <c r="U357" i="2" s="1"/>
  <c r="W358" i="2"/>
  <c r="S358" i="2" s="1"/>
  <c r="X358" i="2"/>
  <c r="T358" i="2" s="1"/>
  <c r="Y358" i="2"/>
  <c r="U358" i="2" s="1"/>
  <c r="W359" i="2"/>
  <c r="S359" i="2" s="1"/>
  <c r="X359" i="2"/>
  <c r="T359" i="2" s="1"/>
  <c r="Y359" i="2"/>
  <c r="U359" i="2" s="1"/>
  <c r="W360" i="2"/>
  <c r="S360" i="2" s="1"/>
  <c r="X360" i="2"/>
  <c r="T360" i="2" s="1"/>
  <c r="Y360" i="2"/>
  <c r="U360" i="2" s="1"/>
  <c r="W361" i="2"/>
  <c r="S361" i="2" s="1"/>
  <c r="X361" i="2"/>
  <c r="T361" i="2" s="1"/>
  <c r="Y361" i="2"/>
  <c r="U361" i="2" s="1"/>
  <c r="W362" i="2"/>
  <c r="S362" i="2" s="1"/>
  <c r="X362" i="2"/>
  <c r="T362" i="2" s="1"/>
  <c r="Y362" i="2"/>
  <c r="U362" i="2" s="1"/>
  <c r="W363" i="2"/>
  <c r="S363" i="2" s="1"/>
  <c r="X363" i="2"/>
  <c r="T363" i="2" s="1"/>
  <c r="Y363" i="2"/>
  <c r="U363" i="2" s="1"/>
  <c r="W364" i="2"/>
  <c r="S364" i="2" s="1"/>
  <c r="X364" i="2"/>
  <c r="T364" i="2" s="1"/>
  <c r="Y364" i="2"/>
  <c r="U364" i="2" s="1"/>
  <c r="W365" i="2"/>
  <c r="S365" i="2" s="1"/>
  <c r="X365" i="2"/>
  <c r="T365" i="2" s="1"/>
  <c r="Y365" i="2"/>
  <c r="U365" i="2" s="1"/>
  <c r="W366" i="2"/>
  <c r="S366" i="2" s="1"/>
  <c r="X366" i="2"/>
  <c r="T366" i="2" s="1"/>
  <c r="Y366" i="2"/>
  <c r="U366" i="2" s="1"/>
  <c r="W367" i="2"/>
  <c r="S367" i="2" s="1"/>
  <c r="X367" i="2"/>
  <c r="T367" i="2" s="1"/>
  <c r="Y367" i="2"/>
  <c r="U367" i="2" s="1"/>
  <c r="W368" i="2"/>
  <c r="S368" i="2" s="1"/>
  <c r="X368" i="2"/>
  <c r="T368" i="2" s="1"/>
  <c r="Y368" i="2"/>
  <c r="U368" i="2" s="1"/>
  <c r="W369" i="2"/>
  <c r="S369" i="2" s="1"/>
  <c r="X369" i="2"/>
  <c r="T369" i="2" s="1"/>
  <c r="Y369" i="2"/>
  <c r="U369" i="2" s="1"/>
  <c r="W370" i="2"/>
  <c r="S370" i="2" s="1"/>
  <c r="X370" i="2"/>
  <c r="T370" i="2" s="1"/>
  <c r="Y370" i="2"/>
  <c r="U370" i="2" s="1"/>
  <c r="W371" i="2"/>
  <c r="S371" i="2" s="1"/>
  <c r="X371" i="2"/>
  <c r="T371" i="2" s="1"/>
  <c r="Y371" i="2"/>
  <c r="U371" i="2" s="1"/>
  <c r="W372" i="2"/>
  <c r="S372" i="2" s="1"/>
  <c r="X372" i="2"/>
  <c r="T372" i="2" s="1"/>
  <c r="Y372" i="2"/>
  <c r="U372" i="2" s="1"/>
  <c r="W373" i="2"/>
  <c r="S373" i="2" s="1"/>
  <c r="X373" i="2"/>
  <c r="T373" i="2" s="1"/>
  <c r="Y373" i="2"/>
  <c r="U373" i="2" s="1"/>
  <c r="W374" i="2"/>
  <c r="S374" i="2" s="1"/>
  <c r="X374" i="2"/>
  <c r="T374" i="2" s="1"/>
  <c r="Y374" i="2"/>
  <c r="U374" i="2" s="1"/>
  <c r="W375" i="2"/>
  <c r="S375" i="2" s="1"/>
  <c r="X375" i="2"/>
  <c r="T375" i="2" s="1"/>
  <c r="Y375" i="2"/>
  <c r="U375" i="2" s="1"/>
  <c r="W376" i="2"/>
  <c r="S376" i="2" s="1"/>
  <c r="X376" i="2"/>
  <c r="T376" i="2" s="1"/>
  <c r="Y376" i="2"/>
  <c r="U376" i="2" s="1"/>
  <c r="W377" i="2"/>
  <c r="S377" i="2" s="1"/>
  <c r="X377" i="2"/>
  <c r="T377" i="2" s="1"/>
  <c r="Y377" i="2"/>
  <c r="U377" i="2" s="1"/>
  <c r="W378" i="2"/>
  <c r="S378" i="2" s="1"/>
  <c r="X378" i="2"/>
  <c r="T378" i="2" s="1"/>
  <c r="Y378" i="2"/>
  <c r="U378" i="2" s="1"/>
  <c r="W379" i="2"/>
  <c r="S379" i="2" s="1"/>
  <c r="X379" i="2"/>
  <c r="T379" i="2" s="1"/>
  <c r="Y379" i="2"/>
  <c r="U379" i="2" s="1"/>
  <c r="W380" i="2"/>
  <c r="S380" i="2" s="1"/>
  <c r="X380" i="2"/>
  <c r="T380" i="2" s="1"/>
  <c r="Y380" i="2"/>
  <c r="U380" i="2" s="1"/>
  <c r="W381" i="2"/>
  <c r="S381" i="2" s="1"/>
  <c r="X381" i="2"/>
  <c r="T381" i="2" s="1"/>
  <c r="Y381" i="2"/>
  <c r="U381" i="2" s="1"/>
  <c r="W382" i="2"/>
  <c r="S382" i="2" s="1"/>
  <c r="X382" i="2"/>
  <c r="T382" i="2" s="1"/>
  <c r="Y382" i="2"/>
  <c r="U382" i="2" s="1"/>
  <c r="W383" i="2"/>
  <c r="S383" i="2" s="1"/>
  <c r="X383" i="2"/>
  <c r="T383" i="2" s="1"/>
  <c r="Y383" i="2"/>
  <c r="U383" i="2" s="1"/>
  <c r="W384" i="2"/>
  <c r="S384" i="2" s="1"/>
  <c r="X384" i="2"/>
  <c r="T384" i="2" s="1"/>
  <c r="Y384" i="2"/>
  <c r="U384" i="2" s="1"/>
  <c r="W385" i="2"/>
  <c r="S385" i="2" s="1"/>
  <c r="X385" i="2"/>
  <c r="T385" i="2" s="1"/>
  <c r="Y385" i="2"/>
  <c r="U385" i="2" s="1"/>
  <c r="W386" i="2"/>
  <c r="S386" i="2" s="1"/>
  <c r="X386" i="2"/>
  <c r="T386" i="2" s="1"/>
  <c r="Y386" i="2"/>
  <c r="U386" i="2" s="1"/>
  <c r="W387" i="2"/>
  <c r="S387" i="2" s="1"/>
  <c r="X387" i="2"/>
  <c r="T387" i="2" s="1"/>
  <c r="Y387" i="2"/>
  <c r="U387" i="2" s="1"/>
  <c r="W388" i="2"/>
  <c r="S388" i="2" s="1"/>
  <c r="X388" i="2"/>
  <c r="T388" i="2" s="1"/>
  <c r="Y388" i="2"/>
  <c r="U388" i="2" s="1"/>
  <c r="W389" i="2"/>
  <c r="S389" i="2" s="1"/>
  <c r="X389" i="2"/>
  <c r="T389" i="2" s="1"/>
  <c r="Y389" i="2"/>
  <c r="U389" i="2" s="1"/>
  <c r="W390" i="2"/>
  <c r="S390" i="2" s="1"/>
  <c r="X390" i="2"/>
  <c r="T390" i="2" s="1"/>
  <c r="Y390" i="2"/>
  <c r="U390" i="2" s="1"/>
  <c r="W391" i="2"/>
  <c r="S391" i="2" s="1"/>
  <c r="X391" i="2"/>
  <c r="T391" i="2" s="1"/>
  <c r="Y391" i="2"/>
  <c r="U391" i="2" s="1"/>
  <c r="W392" i="2"/>
  <c r="S392" i="2" s="1"/>
  <c r="X392" i="2"/>
  <c r="T392" i="2" s="1"/>
  <c r="Y392" i="2"/>
  <c r="U392" i="2" s="1"/>
  <c r="W393" i="2"/>
  <c r="S393" i="2" s="1"/>
  <c r="X393" i="2"/>
  <c r="T393" i="2" s="1"/>
  <c r="Y393" i="2"/>
  <c r="U393" i="2" s="1"/>
  <c r="W394" i="2"/>
  <c r="S394" i="2" s="1"/>
  <c r="X394" i="2"/>
  <c r="T394" i="2" s="1"/>
  <c r="Y394" i="2"/>
  <c r="U394" i="2" s="1"/>
  <c r="W395" i="2"/>
  <c r="S395" i="2" s="1"/>
  <c r="X395" i="2"/>
  <c r="T395" i="2" s="1"/>
  <c r="Y395" i="2"/>
  <c r="U395" i="2" s="1"/>
  <c r="W396" i="2"/>
  <c r="S396" i="2" s="1"/>
  <c r="X396" i="2"/>
  <c r="T396" i="2" s="1"/>
  <c r="Y396" i="2"/>
  <c r="U396" i="2" s="1"/>
  <c r="W397" i="2"/>
  <c r="S397" i="2" s="1"/>
  <c r="X397" i="2"/>
  <c r="T397" i="2" s="1"/>
  <c r="Y397" i="2"/>
  <c r="U397" i="2" s="1"/>
  <c r="W398" i="2"/>
  <c r="S398" i="2" s="1"/>
  <c r="X398" i="2"/>
  <c r="T398" i="2" s="1"/>
  <c r="Y398" i="2"/>
  <c r="U398" i="2" s="1"/>
  <c r="W399" i="2"/>
  <c r="S399" i="2" s="1"/>
  <c r="X399" i="2"/>
  <c r="T399" i="2" s="1"/>
  <c r="Y399" i="2"/>
  <c r="U399" i="2" s="1"/>
  <c r="W400" i="2"/>
  <c r="S400" i="2" s="1"/>
  <c r="X400" i="2"/>
  <c r="T400" i="2" s="1"/>
  <c r="Y400" i="2"/>
  <c r="U400" i="2" s="1"/>
  <c r="W401" i="2"/>
  <c r="S401" i="2" s="1"/>
  <c r="X401" i="2"/>
  <c r="T401" i="2" s="1"/>
  <c r="Y401" i="2"/>
  <c r="U401" i="2" s="1"/>
  <c r="W402" i="2"/>
  <c r="S402" i="2" s="1"/>
  <c r="X402" i="2"/>
  <c r="T402" i="2" s="1"/>
  <c r="Y402" i="2"/>
  <c r="U402" i="2" s="1"/>
  <c r="W403" i="2"/>
  <c r="S403" i="2" s="1"/>
  <c r="X403" i="2"/>
  <c r="T403" i="2" s="1"/>
  <c r="Y403" i="2"/>
  <c r="U403" i="2" s="1"/>
  <c r="W404" i="2"/>
  <c r="S404" i="2" s="1"/>
  <c r="X404" i="2"/>
  <c r="T404" i="2" s="1"/>
  <c r="Y404" i="2"/>
  <c r="U404" i="2" s="1"/>
  <c r="W405" i="2"/>
  <c r="S405" i="2" s="1"/>
  <c r="X405" i="2"/>
  <c r="T405" i="2" s="1"/>
  <c r="Y405" i="2"/>
  <c r="U405" i="2" s="1"/>
  <c r="W406" i="2"/>
  <c r="S406" i="2" s="1"/>
  <c r="X406" i="2"/>
  <c r="T406" i="2" s="1"/>
  <c r="Y406" i="2"/>
  <c r="U406" i="2" s="1"/>
  <c r="W407" i="2"/>
  <c r="S407" i="2" s="1"/>
  <c r="X407" i="2"/>
  <c r="T407" i="2" s="1"/>
  <c r="Y407" i="2"/>
  <c r="U407" i="2" s="1"/>
  <c r="W408" i="2"/>
  <c r="S408" i="2" s="1"/>
  <c r="X408" i="2"/>
  <c r="T408" i="2" s="1"/>
  <c r="Y408" i="2"/>
  <c r="U408" i="2" s="1"/>
  <c r="W409" i="2"/>
  <c r="S409" i="2" s="1"/>
  <c r="X409" i="2"/>
  <c r="T409" i="2" s="1"/>
  <c r="Y409" i="2"/>
  <c r="U409" i="2" s="1"/>
  <c r="W410" i="2"/>
  <c r="S410" i="2" s="1"/>
  <c r="X410" i="2"/>
  <c r="T410" i="2" s="1"/>
  <c r="Y410" i="2"/>
  <c r="U410" i="2" s="1"/>
  <c r="W411" i="2"/>
  <c r="S411" i="2" s="1"/>
  <c r="X411" i="2"/>
  <c r="T411" i="2" s="1"/>
  <c r="Y411" i="2"/>
  <c r="U411" i="2" s="1"/>
  <c r="W412" i="2"/>
  <c r="S412" i="2" s="1"/>
  <c r="X412" i="2"/>
  <c r="T412" i="2" s="1"/>
  <c r="Y412" i="2"/>
  <c r="U412" i="2" s="1"/>
  <c r="W413" i="2"/>
  <c r="S413" i="2" s="1"/>
  <c r="X413" i="2"/>
  <c r="T413" i="2" s="1"/>
  <c r="Y413" i="2"/>
  <c r="U413" i="2" s="1"/>
  <c r="W414" i="2"/>
  <c r="S414" i="2" s="1"/>
  <c r="X414" i="2"/>
  <c r="T414" i="2" s="1"/>
  <c r="Y414" i="2"/>
  <c r="U414" i="2" s="1"/>
  <c r="W415" i="2"/>
  <c r="S415" i="2" s="1"/>
  <c r="X415" i="2"/>
  <c r="T415" i="2" s="1"/>
  <c r="Y415" i="2"/>
  <c r="U415" i="2" s="1"/>
  <c r="W416" i="2"/>
  <c r="S416" i="2" s="1"/>
  <c r="X416" i="2"/>
  <c r="T416" i="2" s="1"/>
  <c r="Y416" i="2"/>
  <c r="U416" i="2" s="1"/>
  <c r="W417" i="2"/>
  <c r="S417" i="2" s="1"/>
  <c r="X417" i="2"/>
  <c r="T417" i="2" s="1"/>
  <c r="Y417" i="2"/>
  <c r="U417" i="2" s="1"/>
  <c r="W418" i="2"/>
  <c r="S418" i="2" s="1"/>
  <c r="X418" i="2"/>
  <c r="T418" i="2" s="1"/>
  <c r="Y418" i="2"/>
  <c r="U418" i="2" s="1"/>
  <c r="W419" i="2"/>
  <c r="S419" i="2" s="1"/>
  <c r="X419" i="2"/>
  <c r="T419" i="2" s="1"/>
  <c r="Y419" i="2"/>
  <c r="U419" i="2" s="1"/>
  <c r="W420" i="2"/>
  <c r="S420" i="2" s="1"/>
  <c r="X420" i="2"/>
  <c r="T420" i="2" s="1"/>
  <c r="Y420" i="2"/>
  <c r="U420" i="2" s="1"/>
  <c r="W421" i="2"/>
  <c r="S421" i="2" s="1"/>
  <c r="X421" i="2"/>
  <c r="T421" i="2" s="1"/>
  <c r="Y421" i="2"/>
  <c r="U421" i="2" s="1"/>
  <c r="W422" i="2"/>
  <c r="S422" i="2" s="1"/>
  <c r="X422" i="2"/>
  <c r="T422" i="2" s="1"/>
  <c r="Y422" i="2"/>
  <c r="U422" i="2" s="1"/>
  <c r="W423" i="2"/>
  <c r="S423" i="2" s="1"/>
  <c r="X423" i="2"/>
  <c r="T423" i="2" s="1"/>
  <c r="Y423" i="2"/>
  <c r="U423" i="2" s="1"/>
  <c r="W424" i="2"/>
  <c r="S424" i="2" s="1"/>
  <c r="X424" i="2"/>
  <c r="T424" i="2" s="1"/>
  <c r="Y424" i="2"/>
  <c r="U424" i="2" s="1"/>
  <c r="W425" i="2"/>
  <c r="S425" i="2" s="1"/>
  <c r="X425" i="2"/>
  <c r="T425" i="2" s="1"/>
  <c r="Y425" i="2"/>
  <c r="U425" i="2" s="1"/>
  <c r="W426" i="2"/>
  <c r="S426" i="2" s="1"/>
  <c r="X426" i="2"/>
  <c r="T426" i="2" s="1"/>
  <c r="Y426" i="2"/>
  <c r="U426" i="2" s="1"/>
  <c r="W427" i="2"/>
  <c r="S427" i="2" s="1"/>
  <c r="X427" i="2"/>
  <c r="T427" i="2" s="1"/>
  <c r="Y427" i="2"/>
  <c r="U427" i="2" s="1"/>
  <c r="W428" i="2"/>
  <c r="S428" i="2" s="1"/>
  <c r="X428" i="2"/>
  <c r="T428" i="2" s="1"/>
  <c r="Y428" i="2"/>
  <c r="U428" i="2" s="1"/>
  <c r="W429" i="2"/>
  <c r="S429" i="2" s="1"/>
  <c r="X429" i="2"/>
  <c r="T429" i="2" s="1"/>
  <c r="Y429" i="2"/>
  <c r="U429" i="2" s="1"/>
  <c r="W430" i="2"/>
  <c r="S430" i="2" s="1"/>
  <c r="X430" i="2"/>
  <c r="T430" i="2" s="1"/>
  <c r="Y430" i="2"/>
  <c r="U430" i="2" s="1"/>
  <c r="W431" i="2"/>
  <c r="S431" i="2" s="1"/>
  <c r="X431" i="2"/>
  <c r="T431" i="2" s="1"/>
  <c r="Y431" i="2"/>
  <c r="U431" i="2" s="1"/>
  <c r="W432" i="2"/>
  <c r="S432" i="2" s="1"/>
  <c r="X432" i="2"/>
  <c r="T432" i="2" s="1"/>
  <c r="Y432" i="2"/>
  <c r="U432" i="2" s="1"/>
  <c r="W433" i="2"/>
  <c r="S433" i="2" s="1"/>
  <c r="X433" i="2"/>
  <c r="T433" i="2" s="1"/>
  <c r="Y433" i="2"/>
  <c r="U433" i="2" s="1"/>
  <c r="W434" i="2"/>
  <c r="S434" i="2" s="1"/>
  <c r="X434" i="2"/>
  <c r="T434" i="2" s="1"/>
  <c r="Y434" i="2"/>
  <c r="U434" i="2" s="1"/>
  <c r="W435" i="2"/>
  <c r="S435" i="2" s="1"/>
  <c r="X435" i="2"/>
  <c r="T435" i="2" s="1"/>
  <c r="Y435" i="2"/>
  <c r="U435" i="2" s="1"/>
  <c r="W436" i="2"/>
  <c r="S436" i="2" s="1"/>
  <c r="X436" i="2"/>
  <c r="T436" i="2" s="1"/>
  <c r="Y436" i="2"/>
  <c r="U436" i="2" s="1"/>
  <c r="W437" i="2"/>
  <c r="S437" i="2" s="1"/>
  <c r="X437" i="2"/>
  <c r="T437" i="2" s="1"/>
  <c r="Y437" i="2"/>
  <c r="U437" i="2" s="1"/>
  <c r="W438" i="2"/>
  <c r="S438" i="2" s="1"/>
  <c r="X438" i="2"/>
  <c r="T438" i="2" s="1"/>
  <c r="Y438" i="2"/>
  <c r="U438" i="2" s="1"/>
  <c r="W439" i="2"/>
  <c r="S439" i="2" s="1"/>
  <c r="X439" i="2"/>
  <c r="T439" i="2" s="1"/>
  <c r="Y439" i="2"/>
  <c r="U439" i="2" s="1"/>
  <c r="W440" i="2"/>
  <c r="S440" i="2" s="1"/>
  <c r="X440" i="2"/>
  <c r="T440" i="2" s="1"/>
  <c r="Y440" i="2"/>
  <c r="U440" i="2" s="1"/>
  <c r="W441" i="2"/>
  <c r="S441" i="2" s="1"/>
  <c r="X441" i="2"/>
  <c r="T441" i="2" s="1"/>
  <c r="Y441" i="2"/>
  <c r="U441" i="2" s="1"/>
  <c r="W451" i="2"/>
  <c r="S451" i="2" s="1"/>
  <c r="X451" i="2"/>
  <c r="T451" i="2" s="1"/>
  <c r="Y451" i="2"/>
  <c r="U451" i="2" s="1"/>
  <c r="S7" i="2"/>
  <c r="T7" i="2"/>
  <c r="U7" i="2"/>
  <c r="H20" i="31"/>
  <c r="H23" i="31"/>
  <c r="H26" i="31"/>
  <c r="H35" i="31"/>
  <c r="H38" i="31"/>
  <c r="D39" i="31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51" i="2"/>
  <c r="H49" i="31"/>
  <c r="AF11" i="2"/>
  <c r="AF13" i="2"/>
  <c r="AF15" i="2"/>
  <c r="AF17" i="2"/>
  <c r="AF19" i="2"/>
  <c r="AF21" i="2"/>
  <c r="AF23" i="2"/>
  <c r="AF25" i="2"/>
  <c r="AF27" i="2"/>
  <c r="AF29" i="2"/>
  <c r="AF31" i="2"/>
  <c r="AF33" i="2"/>
  <c r="AF35" i="2"/>
  <c r="AF37" i="2"/>
  <c r="AF39" i="2"/>
  <c r="AF41" i="2"/>
  <c r="AF43" i="2"/>
  <c r="AF45" i="2"/>
  <c r="AF47" i="2"/>
  <c r="AF49" i="2"/>
  <c r="AF51" i="2"/>
  <c r="AF53" i="2"/>
  <c r="AF55" i="2"/>
  <c r="AF57" i="2"/>
  <c r="AF59" i="2"/>
  <c r="AF61" i="2"/>
  <c r="AF63" i="2"/>
  <c r="AF65" i="2"/>
  <c r="AF67" i="2"/>
  <c r="AF69" i="2"/>
  <c r="AF71" i="2"/>
  <c r="AF73" i="2"/>
  <c r="AF75" i="2"/>
  <c r="AF77" i="2"/>
  <c r="AF79" i="2"/>
  <c r="AF81" i="2"/>
  <c r="AF83" i="2"/>
  <c r="AF85" i="2"/>
  <c r="AF87" i="2"/>
  <c r="AF89" i="2"/>
  <c r="AF91" i="2"/>
  <c r="AF93" i="2"/>
  <c r="AF95" i="2"/>
  <c r="AF97" i="2"/>
  <c r="AF99" i="2"/>
  <c r="AF101" i="2"/>
  <c r="AF103" i="2"/>
  <c r="AF105" i="2"/>
  <c r="AF107" i="2"/>
  <c r="AF109" i="2"/>
  <c r="AF111" i="2"/>
  <c r="AF113" i="2"/>
  <c r="AF115" i="2"/>
  <c r="AF117" i="2"/>
  <c r="AF119" i="2"/>
  <c r="AF121" i="2"/>
  <c r="AF123" i="2"/>
  <c r="AF125" i="2"/>
  <c r="AF127" i="2"/>
  <c r="AF129" i="2"/>
  <c r="AF131" i="2"/>
  <c r="AF133" i="2"/>
  <c r="AF135" i="2"/>
  <c r="AF137" i="2"/>
  <c r="AF139" i="2"/>
  <c r="AF141" i="2"/>
  <c r="AF143" i="2"/>
  <c r="AF145" i="2"/>
  <c r="AF147" i="2"/>
  <c r="AF149" i="2"/>
  <c r="AF151" i="2"/>
  <c r="AF153" i="2"/>
  <c r="AF155" i="2"/>
  <c r="AF157" i="2"/>
  <c r="AF159" i="2"/>
  <c r="AF161" i="2"/>
  <c r="AF163" i="2"/>
  <c r="AF165" i="2"/>
  <c r="AF167" i="2"/>
  <c r="AF169" i="2"/>
  <c r="AF171" i="2"/>
  <c r="AF173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51" i="2"/>
  <c r="Q16" i="55"/>
  <c r="M46" i="1"/>
  <c r="B47" i="1"/>
  <c r="N61" i="1"/>
  <c r="O61" i="1" s="1"/>
  <c r="N62" i="1"/>
  <c r="O62" i="1" s="1"/>
  <c r="N59" i="1"/>
  <c r="N60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7" i="1"/>
  <c r="M48" i="1"/>
  <c r="M49" i="1"/>
  <c r="M50" i="1"/>
  <c r="M51" i="1"/>
  <c r="M52" i="1"/>
  <c r="M53" i="1"/>
  <c r="M54" i="1"/>
  <c r="M55" i="1"/>
  <c r="M56" i="1"/>
  <c r="M57" i="1"/>
  <c r="M58" i="1"/>
  <c r="M61" i="1"/>
  <c r="M62" i="1"/>
  <c r="B131" i="28"/>
  <c r="C131" i="28"/>
  <c r="B132" i="28"/>
  <c r="C132" i="28"/>
  <c r="B133" i="28"/>
  <c r="C133" i="28"/>
  <c r="B134" i="28"/>
  <c r="C134" i="28"/>
  <c r="B135" i="28"/>
  <c r="D135" i="28" s="1"/>
  <c r="C135" i="28"/>
  <c r="B136" i="28"/>
  <c r="C136" i="28"/>
  <c r="B137" i="28"/>
  <c r="C137" i="28"/>
  <c r="B138" i="28"/>
  <c r="C138" i="28"/>
  <c r="B139" i="28"/>
  <c r="D139" i="28" s="1"/>
  <c r="C139" i="28"/>
  <c r="B140" i="28"/>
  <c r="C140" i="28"/>
  <c r="B141" i="28"/>
  <c r="C141" i="28"/>
  <c r="B142" i="28"/>
  <c r="D142" i="28" s="1"/>
  <c r="C142" i="28"/>
  <c r="B143" i="28"/>
  <c r="D143" i="28" s="1"/>
  <c r="C143" i="28"/>
  <c r="B144" i="28"/>
  <c r="C144" i="28"/>
  <c r="B145" i="28"/>
  <c r="D145" i="28" s="1"/>
  <c r="C145" i="28"/>
  <c r="B146" i="28"/>
  <c r="D146" i="28" s="1"/>
  <c r="C146" i="28"/>
  <c r="B147" i="28"/>
  <c r="C147" i="28"/>
  <c r="B148" i="28"/>
  <c r="C148" i="28"/>
  <c r="B149" i="28"/>
  <c r="D149" i="28" s="1"/>
  <c r="C149" i="28"/>
  <c r="B150" i="28"/>
  <c r="C150" i="28"/>
  <c r="B151" i="28"/>
  <c r="C151" i="28"/>
  <c r="B152" i="28"/>
  <c r="C152" i="28"/>
  <c r="B153" i="28"/>
  <c r="C153" i="28"/>
  <c r="B156" i="28"/>
  <c r="C156" i="28"/>
  <c r="B157" i="28"/>
  <c r="C157" i="28"/>
  <c r="B158" i="28"/>
  <c r="C158" i="28"/>
  <c r="B159" i="28"/>
  <c r="C159" i="28"/>
  <c r="B160" i="28"/>
  <c r="C160" i="28"/>
  <c r="B161" i="28"/>
  <c r="C161" i="28"/>
  <c r="B162" i="28"/>
  <c r="C162" i="28"/>
  <c r="B163" i="28"/>
  <c r="C163" i="28"/>
  <c r="B164" i="28"/>
  <c r="C164" i="28"/>
  <c r="B165" i="28"/>
  <c r="C165" i="28"/>
  <c r="B166" i="28"/>
  <c r="C166" i="28"/>
  <c r="B167" i="28"/>
  <c r="C167" i="28"/>
  <c r="B168" i="28"/>
  <c r="C168" i="28"/>
  <c r="B169" i="28"/>
  <c r="C169" i="28"/>
  <c r="B170" i="28"/>
  <c r="C170" i="28"/>
  <c r="B171" i="28"/>
  <c r="C171" i="28"/>
  <c r="B172" i="28"/>
  <c r="C172" i="28"/>
  <c r="B173" i="28"/>
  <c r="C173" i="28"/>
  <c r="B174" i="28"/>
  <c r="C174" i="28"/>
  <c r="B175" i="28"/>
  <c r="C175" i="28"/>
  <c r="B176" i="28"/>
  <c r="C176" i="28"/>
  <c r="B177" i="28"/>
  <c r="C177" i="28"/>
  <c r="B178" i="28"/>
  <c r="C178" i="28"/>
  <c r="B179" i="28"/>
  <c r="C179" i="28"/>
  <c r="B180" i="28"/>
  <c r="C180" i="28"/>
  <c r="B181" i="28"/>
  <c r="C181" i="28"/>
  <c r="B182" i="28"/>
  <c r="C182" i="28"/>
  <c r="B183" i="28"/>
  <c r="C183" i="28"/>
  <c r="B184" i="28"/>
  <c r="C184" i="28"/>
  <c r="B185" i="28"/>
  <c r="C185" i="28"/>
  <c r="B186" i="28"/>
  <c r="C186" i="28"/>
  <c r="B187" i="28"/>
  <c r="C187" i="28"/>
  <c r="B188" i="28"/>
  <c r="C188" i="28"/>
  <c r="B189" i="28"/>
  <c r="C189" i="28"/>
  <c r="B190" i="28"/>
  <c r="C190" i="28"/>
  <c r="B191" i="28"/>
  <c r="C191" i="28"/>
  <c r="B192" i="28"/>
  <c r="C192" i="28"/>
  <c r="B193" i="28"/>
  <c r="C193" i="28"/>
  <c r="B194" i="28"/>
  <c r="C194" i="28"/>
  <c r="B195" i="28"/>
  <c r="C195" i="28"/>
  <c r="B196" i="28"/>
  <c r="C196" i="28"/>
  <c r="B197" i="28"/>
  <c r="C197" i="28"/>
  <c r="B198" i="28"/>
  <c r="C198" i="28"/>
  <c r="B199" i="28"/>
  <c r="C199" i="28"/>
  <c r="B200" i="28"/>
  <c r="C200" i="28"/>
  <c r="B201" i="28"/>
  <c r="C201" i="28"/>
  <c r="B202" i="28"/>
  <c r="C202" i="28"/>
  <c r="B203" i="28"/>
  <c r="C203" i="28"/>
  <c r="B204" i="28"/>
  <c r="C204" i="28"/>
  <c r="B205" i="28"/>
  <c r="C205" i="28"/>
  <c r="B206" i="28"/>
  <c r="C206" i="28"/>
  <c r="B207" i="28"/>
  <c r="C207" i="28"/>
  <c r="B208" i="28"/>
  <c r="C208" i="28"/>
  <c r="B209" i="28"/>
  <c r="C209" i="28"/>
  <c r="B210" i="28"/>
  <c r="C210" i="28"/>
  <c r="B211" i="28"/>
  <c r="C211" i="28"/>
  <c r="B212" i="28"/>
  <c r="C212" i="28"/>
  <c r="B213" i="28"/>
  <c r="C213" i="28"/>
  <c r="B214" i="28"/>
  <c r="C214" i="28"/>
  <c r="B215" i="28"/>
  <c r="C215" i="28"/>
  <c r="B216" i="28"/>
  <c r="C216" i="28"/>
  <c r="B217" i="28"/>
  <c r="C217" i="28"/>
  <c r="B218" i="28"/>
  <c r="C218" i="28"/>
  <c r="B219" i="28"/>
  <c r="C219" i="28"/>
  <c r="B220" i="28"/>
  <c r="C220" i="28"/>
  <c r="B221" i="28"/>
  <c r="C221" i="28"/>
  <c r="B222" i="28"/>
  <c r="C222" i="28"/>
  <c r="B223" i="28"/>
  <c r="C223" i="28"/>
  <c r="B224" i="28"/>
  <c r="C224" i="28"/>
  <c r="B225" i="28"/>
  <c r="C225" i="28"/>
  <c r="B226" i="28"/>
  <c r="C226" i="28"/>
  <c r="B227" i="28"/>
  <c r="C227" i="28"/>
  <c r="B228" i="28"/>
  <c r="C228" i="28"/>
  <c r="B229" i="28"/>
  <c r="C229" i="28"/>
  <c r="B230" i="28"/>
  <c r="C230" i="28"/>
  <c r="B231" i="28"/>
  <c r="C231" i="28"/>
  <c r="B232" i="28"/>
  <c r="C232" i="28"/>
  <c r="B233" i="28"/>
  <c r="C233" i="28"/>
  <c r="B234" i="28"/>
  <c r="C234" i="28"/>
  <c r="B235" i="28"/>
  <c r="C235" i="28"/>
  <c r="B236" i="28"/>
  <c r="C236" i="28"/>
  <c r="B237" i="28"/>
  <c r="C237" i="28"/>
  <c r="B238" i="28"/>
  <c r="C238" i="28"/>
  <c r="B239" i="28"/>
  <c r="C239" i="28"/>
  <c r="B240" i="28"/>
  <c r="C240" i="28"/>
  <c r="B241" i="28"/>
  <c r="C241" i="28"/>
  <c r="K59" i="1"/>
  <c r="L59" i="1"/>
  <c r="A43" i="35"/>
  <c r="E2" i="51"/>
  <c r="A35" i="28"/>
  <c r="A154" i="28" s="1"/>
  <c r="B130" i="28"/>
  <c r="A11" i="28"/>
  <c r="A12" i="28"/>
  <c r="A13" i="28"/>
  <c r="A14" i="28"/>
  <c r="A133" i="28" s="1"/>
  <c r="A15" i="28"/>
  <c r="A134" i="28" s="1"/>
  <c r="A16" i="28"/>
  <c r="A135" i="28" s="1"/>
  <c r="A17" i="28"/>
  <c r="A136" i="28" s="1"/>
  <c r="A18" i="28"/>
  <c r="A137" i="28" s="1"/>
  <c r="A19" i="28"/>
  <c r="A138" i="28" s="1"/>
  <c r="A20" i="28"/>
  <c r="A139" i="28" s="1"/>
  <c r="A21" i="28"/>
  <c r="A140" i="28" s="1"/>
  <c r="A22" i="28"/>
  <c r="A141" i="28" s="1"/>
  <c r="A23" i="28"/>
  <c r="A142" i="28" s="1"/>
  <c r="A24" i="28"/>
  <c r="A143" i="28" s="1"/>
  <c r="A25" i="28"/>
  <c r="A144" i="28" s="1"/>
  <c r="A26" i="28"/>
  <c r="A145" i="28" s="1"/>
  <c r="A27" i="28"/>
  <c r="A146" i="28" s="1"/>
  <c r="A29" i="28"/>
  <c r="A148" i="28" s="1"/>
  <c r="A28" i="28"/>
  <c r="A147" i="28" s="1"/>
  <c r="A30" i="28"/>
  <c r="A149" i="28" s="1"/>
  <c r="A31" i="28"/>
  <c r="A150" i="28" s="1"/>
  <c r="A32" i="28"/>
  <c r="A151" i="28" s="1"/>
  <c r="A33" i="28"/>
  <c r="A152" i="28" s="1"/>
  <c r="A34" i="28"/>
  <c r="A153" i="28" s="1"/>
  <c r="C130" i="28"/>
  <c r="A131" i="28"/>
  <c r="A132" i="28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4" i="2"/>
  <c r="AA335" i="2"/>
  <c r="AA336" i="2"/>
  <c r="AA337" i="2"/>
  <c r="AA338" i="2"/>
  <c r="AA339" i="2"/>
  <c r="AA340" i="2"/>
  <c r="AA341" i="2"/>
  <c r="AA342" i="2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51" i="2"/>
  <c r="K16" i="55"/>
  <c r="H46" i="31" s="1"/>
  <c r="L16" i="55"/>
  <c r="M16" i="55"/>
  <c r="M21" i="55"/>
  <c r="W16" i="55"/>
  <c r="W21" i="55"/>
  <c r="W27" i="55" s="1"/>
  <c r="W30" i="55" s="1"/>
  <c r="W22" i="55"/>
  <c r="A40" i="35"/>
  <c r="A39" i="35"/>
  <c r="A38" i="35"/>
  <c r="A37" i="35"/>
  <c r="A36" i="35"/>
  <c r="A35" i="35"/>
  <c r="A34" i="35"/>
  <c r="A33" i="35"/>
  <c r="A32" i="35"/>
  <c r="A31" i="35"/>
  <c r="A30" i="35"/>
  <c r="A29" i="35"/>
  <c r="A28" i="35"/>
  <c r="A27" i="35"/>
  <c r="A26" i="35"/>
  <c r="A25" i="35"/>
  <c r="A24" i="35"/>
  <c r="A23" i="35"/>
  <c r="A22" i="35"/>
  <c r="A21" i="35"/>
  <c r="A20" i="35"/>
  <c r="A19" i="35"/>
  <c r="H40" i="5"/>
  <c r="H41" i="5"/>
  <c r="H42" i="5"/>
  <c r="H43" i="5"/>
  <c r="H39" i="5"/>
  <c r="K54" i="1"/>
  <c r="L54" i="1" s="1"/>
  <c r="G54" i="1"/>
  <c r="K43" i="1"/>
  <c r="L43" i="1" s="1"/>
  <c r="G43" i="1"/>
  <c r="B43" i="1"/>
  <c r="K58" i="1"/>
  <c r="L58" i="1" s="1"/>
  <c r="G58" i="1"/>
  <c r="K50" i="1"/>
  <c r="L50" i="1" s="1"/>
  <c r="G50" i="1"/>
  <c r="K39" i="1"/>
  <c r="L39" i="1" s="1"/>
  <c r="G39" i="1"/>
  <c r="B39" i="1"/>
  <c r="K34" i="1"/>
  <c r="L34" i="1" s="1"/>
  <c r="G34" i="1"/>
  <c r="B34" i="1"/>
  <c r="K28" i="1"/>
  <c r="L28" i="1" s="1"/>
  <c r="G28" i="1"/>
  <c r="B28" i="1"/>
  <c r="K21" i="1"/>
  <c r="L21" i="1"/>
  <c r="G21" i="1"/>
  <c r="B21" i="1"/>
  <c r="K52" i="1"/>
  <c r="L52" i="1"/>
  <c r="G52" i="1"/>
  <c r="K56" i="1"/>
  <c r="L56" i="1" s="1"/>
  <c r="G56" i="1"/>
  <c r="K48" i="1"/>
  <c r="L48" i="1"/>
  <c r="G48" i="1"/>
  <c r="K38" i="1"/>
  <c r="L38" i="1"/>
  <c r="G38" i="1"/>
  <c r="B38" i="1"/>
  <c r="K36" i="1"/>
  <c r="L36" i="1" s="1"/>
  <c r="G36" i="1"/>
  <c r="B36" i="1"/>
  <c r="K30" i="1"/>
  <c r="L30" i="1" s="1"/>
  <c r="G30" i="1"/>
  <c r="B30" i="1"/>
  <c r="K24" i="1"/>
  <c r="L24" i="1" s="1"/>
  <c r="G24" i="1"/>
  <c r="B24" i="1"/>
  <c r="M17" i="1"/>
  <c r="K17" i="1"/>
  <c r="L17" i="1" s="1"/>
  <c r="G17" i="1"/>
  <c r="B17" i="1"/>
  <c r="K37" i="1"/>
  <c r="L37" i="1" s="1"/>
  <c r="G37" i="1"/>
  <c r="B37" i="1"/>
  <c r="K57" i="1"/>
  <c r="L57" i="1"/>
  <c r="G57" i="1"/>
  <c r="K53" i="1"/>
  <c r="L53" i="1" s="1"/>
  <c r="G53" i="1"/>
  <c r="K49" i="1"/>
  <c r="L49" i="1" s="1"/>
  <c r="G49" i="1"/>
  <c r="K42" i="1"/>
  <c r="L42" i="1" s="1"/>
  <c r="G42" i="1"/>
  <c r="B42" i="1"/>
  <c r="K26" i="1"/>
  <c r="L26" i="1" s="1"/>
  <c r="G26" i="1"/>
  <c r="B26" i="1"/>
  <c r="K32" i="1"/>
  <c r="L32" i="1" s="1"/>
  <c r="G32" i="1"/>
  <c r="B32" i="1"/>
  <c r="K19" i="1"/>
  <c r="L19" i="1" s="1"/>
  <c r="G19" i="1"/>
  <c r="B19" i="1"/>
  <c r="D51" i="31"/>
  <c r="K46" i="1"/>
  <c r="L46" i="1" s="1"/>
  <c r="G46" i="1"/>
  <c r="B46" i="1"/>
  <c r="K33" i="1"/>
  <c r="L33" i="1" s="1"/>
  <c r="G33" i="1"/>
  <c r="B33" i="1"/>
  <c r="K27" i="1"/>
  <c r="L27" i="1" s="1"/>
  <c r="G27" i="1"/>
  <c r="B27" i="1"/>
  <c r="K23" i="1"/>
  <c r="L23" i="1" s="1"/>
  <c r="G23" i="1"/>
  <c r="B23" i="1"/>
  <c r="G20" i="1"/>
  <c r="K20" i="1"/>
  <c r="L20" i="1" s="1"/>
  <c r="B20" i="1"/>
  <c r="K41" i="1"/>
  <c r="L41" i="1" s="1"/>
  <c r="G41" i="1"/>
  <c r="B41" i="1"/>
  <c r="K45" i="1"/>
  <c r="L45" i="1" s="1"/>
  <c r="G45" i="1"/>
  <c r="B45" i="1"/>
  <c r="K31" i="1"/>
  <c r="L31" i="1" s="1"/>
  <c r="G31" i="1"/>
  <c r="B31" i="1"/>
  <c r="K25" i="1"/>
  <c r="L25" i="1" s="1"/>
  <c r="G25" i="1"/>
  <c r="B25" i="1"/>
  <c r="K22" i="1"/>
  <c r="L22" i="1" s="1"/>
  <c r="G22" i="1"/>
  <c r="B22" i="1"/>
  <c r="K55" i="1"/>
  <c r="H103" i="31"/>
  <c r="H92" i="31"/>
  <c r="C7" i="55"/>
  <c r="C6" i="55"/>
  <c r="C5" i="55"/>
  <c r="C4" i="55"/>
  <c r="C3" i="55"/>
  <c r="C65" i="55"/>
  <c r="G54" i="55"/>
  <c r="G60" i="55" s="1"/>
  <c r="D54" i="55"/>
  <c r="D60" i="55" s="1"/>
  <c r="F46" i="55"/>
  <c r="Y22" i="55"/>
  <c r="X22" i="55"/>
  <c r="D21" i="55"/>
  <c r="D25" i="55" s="1"/>
  <c r="X16" i="55"/>
  <c r="O21" i="55"/>
  <c r="X21" i="55"/>
  <c r="X27" i="55"/>
  <c r="F65" i="55"/>
  <c r="T21" i="55"/>
  <c r="T30" i="55" s="1"/>
  <c r="S16" i="55"/>
  <c r="S21" i="55"/>
  <c r="S30" i="55" s="1"/>
  <c r="R16" i="55"/>
  <c r="R21" i="55"/>
  <c r="R30" i="55" s="1"/>
  <c r="Y16" i="55"/>
  <c r="Y21" i="55"/>
  <c r="Y27" i="55" s="1"/>
  <c r="N21" i="55"/>
  <c r="N16" i="55"/>
  <c r="O16" i="55"/>
  <c r="U21" i="55"/>
  <c r="U30" i="55" s="1"/>
  <c r="U16" i="55"/>
  <c r="T16" i="55"/>
  <c r="AE339" i="2"/>
  <c r="AE338" i="2"/>
  <c r="AE337" i="2"/>
  <c r="AE174" i="2"/>
  <c r="AE212" i="2"/>
  <c r="AE211" i="2"/>
  <c r="AE210" i="2"/>
  <c r="AE209" i="2"/>
  <c r="AE208" i="2"/>
  <c r="AE207" i="2"/>
  <c r="AE206" i="2"/>
  <c r="AE205" i="2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20" i="5"/>
  <c r="M69" i="1"/>
  <c r="N69" i="1" s="1"/>
  <c r="M68" i="1"/>
  <c r="N68" i="1" s="1"/>
  <c r="Q71" i="1"/>
  <c r="M71" i="1"/>
  <c r="N71" i="1" s="1"/>
  <c r="AE387" i="2"/>
  <c r="AE386" i="2"/>
  <c r="AE385" i="2"/>
  <c r="AE384" i="2"/>
  <c r="AE383" i="2"/>
  <c r="AE382" i="2"/>
  <c r="AE381" i="2"/>
  <c r="AE380" i="2"/>
  <c r="AE379" i="2"/>
  <c r="AE378" i="2"/>
  <c r="AE377" i="2"/>
  <c r="AE376" i="2"/>
  <c r="AE237" i="2"/>
  <c r="AE236" i="2"/>
  <c r="AE235" i="2"/>
  <c r="AE234" i="2"/>
  <c r="AE233" i="2"/>
  <c r="AE232" i="2"/>
  <c r="AE230" i="2"/>
  <c r="AE229" i="2"/>
  <c r="AE228" i="2"/>
  <c r="AE227" i="2"/>
  <c r="AE226" i="2"/>
  <c r="AE225" i="2"/>
  <c r="AE224" i="2"/>
  <c r="AE223" i="2"/>
  <c r="AE222" i="2"/>
  <c r="AE221" i="2"/>
  <c r="AE220" i="2"/>
  <c r="AE219" i="2"/>
  <c r="AE218" i="2"/>
  <c r="AE217" i="2"/>
  <c r="AE216" i="2"/>
  <c r="AE215" i="2"/>
  <c r="AE214" i="2"/>
  <c r="AE213" i="2"/>
  <c r="AE272" i="2"/>
  <c r="AE271" i="2"/>
  <c r="AE270" i="2"/>
  <c r="AE269" i="2"/>
  <c r="AE268" i="2"/>
  <c r="AE267" i="2"/>
  <c r="AE266" i="2"/>
  <c r="AE265" i="2"/>
  <c r="AE264" i="2"/>
  <c r="AE263" i="2"/>
  <c r="AE262" i="2"/>
  <c r="AE261" i="2"/>
  <c r="AE99" i="2"/>
  <c r="AE98" i="2"/>
  <c r="AE97" i="2"/>
  <c r="AE96" i="2"/>
  <c r="AE95" i="2"/>
  <c r="AE94" i="2"/>
  <c r="AE93" i="2"/>
  <c r="AE92" i="2"/>
  <c r="AE91" i="2"/>
  <c r="AE90" i="2"/>
  <c r="AE89" i="2"/>
  <c r="AE88" i="2"/>
  <c r="AE87" i="2"/>
  <c r="AE86" i="2"/>
  <c r="AE85" i="2"/>
  <c r="AE84" i="2"/>
  <c r="AE83" i="2"/>
  <c r="AE82" i="2"/>
  <c r="AE178" i="2"/>
  <c r="AE177" i="2"/>
  <c r="AE176" i="2"/>
  <c r="AE175" i="2"/>
  <c r="AE173" i="2"/>
  <c r="AE172" i="2"/>
  <c r="AE171" i="2"/>
  <c r="AE170" i="2"/>
  <c r="AE169" i="2"/>
  <c r="AE168" i="2"/>
  <c r="AE167" i="2"/>
  <c r="AE166" i="2"/>
  <c r="AE165" i="2"/>
  <c r="AE164" i="2"/>
  <c r="AE163" i="2"/>
  <c r="AE162" i="2"/>
  <c r="AE161" i="2"/>
  <c r="AE160" i="2"/>
  <c r="AE159" i="2"/>
  <c r="AE158" i="2"/>
  <c r="AE157" i="2"/>
  <c r="AE156" i="2"/>
  <c r="AE155" i="2"/>
  <c r="AE154" i="2"/>
  <c r="AE153" i="2"/>
  <c r="AE152" i="2"/>
  <c r="AE73" i="2"/>
  <c r="AE72" i="2"/>
  <c r="AE71" i="2"/>
  <c r="AE7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E204" i="2"/>
  <c r="AE203" i="2"/>
  <c r="AE202" i="2"/>
  <c r="AE201" i="2"/>
  <c r="AE200" i="2"/>
  <c r="AE199" i="2"/>
  <c r="AE198" i="2"/>
  <c r="AE197" i="2"/>
  <c r="AE196" i="2"/>
  <c r="AE195" i="2"/>
  <c r="AE194" i="2"/>
  <c r="AE193" i="2"/>
  <c r="AE192" i="2"/>
  <c r="AE191" i="2"/>
  <c r="AE190" i="2"/>
  <c r="AE189" i="2"/>
  <c r="AE188" i="2"/>
  <c r="AE187" i="2"/>
  <c r="AE186" i="2"/>
  <c r="AE185" i="2"/>
  <c r="AE184" i="2"/>
  <c r="AE183" i="2"/>
  <c r="AE182" i="2"/>
  <c r="AE181" i="2"/>
  <c r="AE180" i="2"/>
  <c r="AE179" i="2"/>
  <c r="AE247" i="2"/>
  <c r="AE246" i="2"/>
  <c r="AE245" i="2"/>
  <c r="AE244" i="2"/>
  <c r="AE243" i="2"/>
  <c r="AE242" i="2"/>
  <c r="AE241" i="2"/>
  <c r="AE240" i="2"/>
  <c r="AE239" i="2"/>
  <c r="AE238" i="2"/>
  <c r="AE277" i="2"/>
  <c r="AE276" i="2"/>
  <c r="AE275" i="2"/>
  <c r="AE274" i="2"/>
  <c r="AE273" i="2"/>
  <c r="AE151" i="2"/>
  <c r="AE150" i="2"/>
  <c r="AE149" i="2"/>
  <c r="AE148" i="2"/>
  <c r="AE147" i="2"/>
  <c r="AE146" i="2"/>
  <c r="AE145" i="2"/>
  <c r="AE144" i="2"/>
  <c r="AE143" i="2"/>
  <c r="AE142" i="2"/>
  <c r="AE141" i="2"/>
  <c r="AE140" i="2"/>
  <c r="AE139" i="2"/>
  <c r="AE138" i="2"/>
  <c r="AE137" i="2"/>
  <c r="AE136" i="2"/>
  <c r="AE135" i="2"/>
  <c r="AE134" i="2"/>
  <c r="AE133" i="2"/>
  <c r="AE132" i="2"/>
  <c r="AE131" i="2"/>
  <c r="AE130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38" i="2"/>
  <c r="AE37" i="2"/>
  <c r="AE36" i="2"/>
  <c r="AE35" i="2"/>
  <c r="AE34" i="2"/>
  <c r="AE33" i="2"/>
  <c r="AE32" i="2"/>
  <c r="AE31" i="2"/>
  <c r="AE30" i="2"/>
  <c r="AE451" i="2"/>
  <c r="AE441" i="2"/>
  <c r="AE440" i="2"/>
  <c r="AE439" i="2"/>
  <c r="U9" i="51"/>
  <c r="G8" i="51"/>
  <c r="G7" i="51"/>
  <c r="G6" i="51"/>
  <c r="G5" i="51"/>
  <c r="G4" i="51"/>
  <c r="G3" i="51"/>
  <c r="K18" i="1"/>
  <c r="L18" i="1" s="1"/>
  <c r="K29" i="1"/>
  <c r="L29" i="1"/>
  <c r="K35" i="1"/>
  <c r="L35" i="1"/>
  <c r="K40" i="1"/>
  <c r="L40" i="1" s="1"/>
  <c r="K44" i="1"/>
  <c r="L44" i="1" s="1"/>
  <c r="K47" i="1"/>
  <c r="L47" i="1" s="1"/>
  <c r="K51" i="1"/>
  <c r="L51" i="1" s="1"/>
  <c r="L55" i="1"/>
  <c r="B48" i="1"/>
  <c r="G47" i="1"/>
  <c r="M91" i="1"/>
  <c r="N91" i="1" s="1"/>
  <c r="M102" i="1"/>
  <c r="N102" i="1" s="1"/>
  <c r="M73" i="1"/>
  <c r="N73" i="1" s="1"/>
  <c r="M98" i="1"/>
  <c r="N98" i="1" s="1"/>
  <c r="M81" i="1"/>
  <c r="N81" i="1" s="1"/>
  <c r="M77" i="1"/>
  <c r="N77" i="1" s="1"/>
  <c r="M95" i="1"/>
  <c r="N95" i="1" s="1"/>
  <c r="M75" i="1"/>
  <c r="N75" i="1" s="1"/>
  <c r="M85" i="1"/>
  <c r="N85" i="1" s="1"/>
  <c r="M92" i="1"/>
  <c r="N92" i="1" s="1"/>
  <c r="M94" i="1"/>
  <c r="N94" i="1" s="1"/>
  <c r="M89" i="1"/>
  <c r="N89" i="1" s="1"/>
  <c r="M78" i="1"/>
  <c r="N78" i="1" s="1"/>
  <c r="M82" i="1"/>
  <c r="N82" i="1" s="1"/>
  <c r="M72" i="1"/>
  <c r="N72" i="1" s="1"/>
  <c r="M86" i="1"/>
  <c r="N86" i="1" s="1"/>
  <c r="M76" i="1"/>
  <c r="N76" i="1"/>
  <c r="M83" i="1"/>
  <c r="N83" i="1" s="1"/>
  <c r="G40" i="1"/>
  <c r="B40" i="1"/>
  <c r="G18" i="1"/>
  <c r="B18" i="1"/>
  <c r="Q82" i="1"/>
  <c r="Q75" i="1"/>
  <c r="G55" i="1"/>
  <c r="Q85" i="1"/>
  <c r="Q69" i="1"/>
  <c r="Q89" i="1"/>
  <c r="Q77" i="1"/>
  <c r="Q86" i="1"/>
  <c r="Q84" i="1"/>
  <c r="M84" i="1"/>
  <c r="N84" i="1" s="1"/>
  <c r="G51" i="1"/>
  <c r="Q72" i="1"/>
  <c r="Q73" i="1"/>
  <c r="Q74" i="1"/>
  <c r="Q76" i="1"/>
  <c r="Q78" i="1"/>
  <c r="Q79" i="1"/>
  <c r="Q80" i="1"/>
  <c r="Q81" i="1"/>
  <c r="Q83" i="1"/>
  <c r="Q87" i="1"/>
  <c r="Q88" i="1"/>
  <c r="Q90" i="1"/>
  <c r="Q92" i="1"/>
  <c r="Q93" i="1"/>
  <c r="Q94" i="1"/>
  <c r="Q95" i="1"/>
  <c r="Q96" i="1"/>
  <c r="Q97" i="1"/>
  <c r="Q98" i="1"/>
  <c r="Q99" i="1"/>
  <c r="Q100" i="1"/>
  <c r="Q101" i="1"/>
  <c r="Q102" i="1"/>
  <c r="Q68" i="1"/>
  <c r="AE104" i="2"/>
  <c r="AE108" i="2"/>
  <c r="AE371" i="2"/>
  <c r="AE372" i="2"/>
  <c r="AE363" i="2"/>
  <c r="AE362" i="2"/>
  <c r="AE364" i="2"/>
  <c r="AE365" i="2"/>
  <c r="AE368" i="2"/>
  <c r="AE369" i="2"/>
  <c r="AE341" i="2"/>
  <c r="AE326" i="2"/>
  <c r="AE357" i="2"/>
  <c r="B29" i="1"/>
  <c r="B44" i="1"/>
  <c r="B35" i="1"/>
  <c r="B53" i="1"/>
  <c r="G29" i="1"/>
  <c r="G35" i="1"/>
  <c r="G44" i="1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351" i="2"/>
  <c r="AE352" i="2"/>
  <c r="AE353" i="2"/>
  <c r="AE354" i="2"/>
  <c r="AE355" i="2"/>
  <c r="AE356" i="2"/>
  <c r="AE358" i="2"/>
  <c r="AE359" i="2"/>
  <c r="AE360" i="2"/>
  <c r="AE361" i="2"/>
  <c r="AE366" i="2"/>
  <c r="AE367" i="2"/>
  <c r="AE370" i="2"/>
  <c r="AE373" i="2"/>
  <c r="AE374" i="2"/>
  <c r="AE375" i="2"/>
  <c r="AE248" i="2"/>
  <c r="AE249" i="2"/>
  <c r="AE250" i="2"/>
  <c r="AE251" i="2"/>
  <c r="AE252" i="2"/>
  <c r="AE253" i="2"/>
  <c r="AE254" i="2"/>
  <c r="AE100" i="2"/>
  <c r="AE101" i="2"/>
  <c r="AE102" i="2"/>
  <c r="AE103" i="2"/>
  <c r="AE105" i="2"/>
  <c r="AE106" i="2"/>
  <c r="AE107" i="2"/>
  <c r="AE109" i="2"/>
  <c r="AE110" i="2"/>
  <c r="AE111" i="2"/>
  <c r="AE112" i="2"/>
  <c r="AE113" i="2"/>
  <c r="AE318" i="2"/>
  <c r="AE319" i="2"/>
  <c r="AE320" i="2"/>
  <c r="AE321" i="2"/>
  <c r="AE322" i="2"/>
  <c r="AE323" i="2"/>
  <c r="AE324" i="2"/>
  <c r="AE325" i="2"/>
  <c r="AE327" i="2"/>
  <c r="AE328" i="2"/>
  <c r="AE329" i="2"/>
  <c r="AE330" i="2"/>
  <c r="AE331" i="2"/>
  <c r="AE333" i="2"/>
  <c r="AE345" i="2"/>
  <c r="C5" i="35"/>
  <c r="M74" i="1"/>
  <c r="N74" i="1" s="1"/>
  <c r="M90" i="1"/>
  <c r="N90" i="1" s="1"/>
  <c r="M93" i="1"/>
  <c r="N93" i="1" s="1"/>
  <c r="M87" i="1"/>
  <c r="N87" i="1" s="1"/>
  <c r="M80" i="1"/>
  <c r="N80" i="1" s="1"/>
  <c r="M79" i="1"/>
  <c r="N79" i="1" s="1"/>
  <c r="M88" i="1"/>
  <c r="N88" i="1" s="1"/>
  <c r="M101" i="1"/>
  <c r="N101" i="1" s="1"/>
  <c r="M100" i="1"/>
  <c r="N100" i="1" s="1"/>
  <c r="M97" i="1"/>
  <c r="N97" i="1" s="1"/>
  <c r="M96" i="1"/>
  <c r="N96" i="1" s="1"/>
  <c r="M99" i="1"/>
  <c r="N99" i="1" s="1"/>
  <c r="C4" i="35"/>
  <c r="AE434" i="2"/>
  <c r="AE78" i="2"/>
  <c r="AE79" i="2"/>
  <c r="AE63" i="2"/>
  <c r="AE67" i="2"/>
  <c r="AE287" i="2"/>
  <c r="AE290" i="2"/>
  <c r="AE392" i="2"/>
  <c r="AE408" i="2"/>
  <c r="AE409" i="2"/>
  <c r="AE411" i="2"/>
  <c r="C7" i="35"/>
  <c r="C3" i="35"/>
  <c r="C6" i="35"/>
  <c r="D6" i="35"/>
  <c r="E112" i="31" s="1"/>
  <c r="AE336" i="2"/>
  <c r="AE426" i="2"/>
  <c r="AE344" i="2"/>
  <c r="AE340" i="2"/>
  <c r="L60" i="1"/>
  <c r="C3" i="28"/>
  <c r="D93" i="31"/>
  <c r="C93" i="31" s="1"/>
  <c r="D27" i="31"/>
  <c r="C27" i="31" s="1"/>
  <c r="C8" i="5"/>
  <c r="C7" i="5"/>
  <c r="C6" i="5"/>
  <c r="C5" i="5"/>
  <c r="C4" i="5"/>
  <c r="F8" i="1"/>
  <c r="F7" i="1"/>
  <c r="F6" i="1"/>
  <c r="F5" i="1"/>
  <c r="F4" i="1"/>
  <c r="F3" i="1"/>
  <c r="C7" i="28"/>
  <c r="C4" i="28"/>
  <c r="C6" i="28"/>
  <c r="C5" i="28"/>
  <c r="D7" i="31"/>
  <c r="D6" i="31"/>
  <c r="D5" i="31"/>
  <c r="D3" i="31"/>
  <c r="C264" i="28"/>
  <c r="D264" i="28" s="1"/>
  <c r="E264" i="28" s="1"/>
  <c r="F264" i="28" s="1"/>
  <c r="G264" i="28" s="1"/>
  <c r="H10" i="44"/>
  <c r="H9" i="44"/>
  <c r="H8" i="44"/>
  <c r="D104" i="31"/>
  <c r="A128" i="28"/>
  <c r="D261" i="28"/>
  <c r="E261" i="28" s="1"/>
  <c r="F261" i="28" s="1"/>
  <c r="G261" i="28" s="1"/>
  <c r="AE74" i="2"/>
  <c r="AE406" i="2"/>
  <c r="AE427" i="2"/>
  <c r="AE405" i="2"/>
  <c r="AE437" i="2"/>
  <c r="AE398" i="2"/>
  <c r="AE428" i="2"/>
  <c r="AE425" i="2"/>
  <c r="AE430" i="2"/>
  <c r="AE258" i="2"/>
  <c r="AE66" i="2"/>
  <c r="AE64" i="2"/>
  <c r="AE312" i="2"/>
  <c r="AE390" i="2"/>
  <c r="AE435" i="2"/>
  <c r="AE343" i="2"/>
  <c r="AE346" i="2"/>
  <c r="AE420" i="2"/>
  <c r="AE283" i="2"/>
  <c r="AE255" i="2"/>
  <c r="AE77" i="2"/>
  <c r="AE43" i="2"/>
  <c r="AE294" i="2"/>
  <c r="AE41" i="2"/>
  <c r="AE423" i="2"/>
  <c r="AE433" i="2"/>
  <c r="AE394" i="2"/>
  <c r="AE278" i="2"/>
  <c r="AE316" i="2"/>
  <c r="AE315" i="2"/>
  <c r="AE75" i="2"/>
  <c r="AE347" i="2"/>
  <c r="AE421" i="2"/>
  <c r="AE257" i="2"/>
  <c r="AE80" i="2"/>
  <c r="AE40" i="2"/>
  <c r="AE310" i="2"/>
  <c r="AE292" i="2"/>
  <c r="AE285" i="2"/>
  <c r="AE259" i="2"/>
  <c r="AE260" i="2"/>
  <c r="AE431" i="2"/>
  <c r="AE419" i="2"/>
  <c r="AE416" i="2"/>
  <c r="AE68" i="2"/>
  <c r="AE286" i="2"/>
  <c r="AE415" i="2"/>
  <c r="AE313" i="2"/>
  <c r="AE39" i="2"/>
  <c r="AE76" i="2"/>
  <c r="AE69" i="2"/>
  <c r="AE348" i="2"/>
  <c r="AE424" i="2"/>
  <c r="AE436" i="2"/>
  <c r="AE314" i="2"/>
  <c r="AE62" i="2"/>
  <c r="AE399" i="2"/>
  <c r="AE81" i="2"/>
  <c r="AE293" i="2"/>
  <c r="AE432" i="2"/>
  <c r="AE418" i="2"/>
  <c r="AE401" i="2"/>
  <c r="AE412" i="2"/>
  <c r="AE279" i="2"/>
  <c r="AE288" i="2"/>
  <c r="AE311" i="2"/>
  <c r="AE350" i="2"/>
  <c r="AE289" i="2"/>
  <c r="AE291" i="2"/>
  <c r="AE284" i="2"/>
  <c r="AE42" i="2"/>
  <c r="AE395" i="2"/>
  <c r="AE393" i="2"/>
  <c r="AE389" i="2"/>
  <c r="AE317" i="2"/>
  <c r="AE400" i="2"/>
  <c r="AE61" i="2"/>
  <c r="AE281" i="2"/>
  <c r="AE282" i="2"/>
  <c r="AE402" i="2"/>
  <c r="AE256" i="2"/>
  <c r="AE65" i="2"/>
  <c r="AE413" i="2"/>
  <c r="AE280" i="2"/>
  <c r="AE388" i="2"/>
  <c r="AE396" i="2"/>
  <c r="AE407" i="2"/>
  <c r="AE404" i="2"/>
  <c r="AE429" i="2"/>
  <c r="AE349" i="2"/>
  <c r="AE342" i="2"/>
  <c r="AE414" i="2"/>
  <c r="AE422" i="2"/>
  <c r="AE403" i="2"/>
  <c r="AE417" i="2"/>
  <c r="AE397" i="2"/>
  <c r="AE438" i="2"/>
  <c r="AE410" i="2"/>
  <c r="I66" i="31"/>
  <c r="I68" i="31"/>
  <c r="I67" i="31"/>
  <c r="W9" i="51"/>
  <c r="X9" i="51"/>
  <c r="AE391" i="2" l="1"/>
  <c r="I110" i="31"/>
  <c r="G93" i="31"/>
  <c r="G89" i="31" s="1"/>
  <c r="X30" i="55"/>
  <c r="Q30" i="55"/>
  <c r="K138" i="28"/>
  <c r="K155" i="28"/>
  <c r="K154" i="28"/>
  <c r="K153" i="28"/>
  <c r="K149" i="28"/>
  <c r="K147" i="28"/>
  <c r="K145" i="28"/>
  <c r="K143" i="28"/>
  <c r="K141" i="28"/>
  <c r="K139" i="28"/>
  <c r="K135" i="28"/>
  <c r="K148" i="28"/>
  <c r="K146" i="28"/>
  <c r="K142" i="28"/>
  <c r="K140" i="28"/>
  <c r="K136" i="28"/>
  <c r="K134" i="28"/>
  <c r="AE334" i="2"/>
  <c r="AE335" i="2"/>
  <c r="AE231" i="2"/>
  <c r="V178" i="2"/>
  <c r="V166" i="2"/>
  <c r="V226" i="2"/>
  <c r="V214" i="2"/>
  <c r="V202" i="2"/>
  <c r="V190" i="2"/>
  <c r="V184" i="2"/>
  <c r="V160" i="2"/>
  <c r="V235" i="2"/>
  <c r="V211" i="2"/>
  <c r="V187" i="2"/>
  <c r="V163" i="2"/>
  <c r="V139" i="2"/>
  <c r="V115" i="2"/>
  <c r="V229" i="2"/>
  <c r="V217" i="2"/>
  <c r="V205" i="2"/>
  <c r="V193" i="2"/>
  <c r="V181" i="2"/>
  <c r="V169" i="2"/>
  <c r="V157" i="2"/>
  <c r="V145" i="2"/>
  <c r="V133" i="2"/>
  <c r="V121" i="2"/>
  <c r="V109" i="2"/>
  <c r="V232" i="2"/>
  <c r="V208" i="2"/>
  <c r="M27" i="31"/>
  <c r="D152" i="28"/>
  <c r="K152" i="28"/>
  <c r="D150" i="28"/>
  <c r="K150" i="28"/>
  <c r="D144" i="28"/>
  <c r="K144" i="28"/>
  <c r="D138" i="28"/>
  <c r="D132" i="28"/>
  <c r="K132" i="28"/>
  <c r="D130" i="28"/>
  <c r="K130" i="28"/>
  <c r="D151" i="28"/>
  <c r="K151" i="28"/>
  <c r="D137" i="28"/>
  <c r="K137" i="28"/>
  <c r="D133" i="28"/>
  <c r="K133" i="28"/>
  <c r="D131" i="28"/>
  <c r="K131" i="28"/>
  <c r="M18" i="28"/>
  <c r="M34" i="28"/>
  <c r="G103" i="31"/>
  <c r="E103" i="31" s="1"/>
  <c r="M36" i="28"/>
  <c r="M27" i="28"/>
  <c r="M19" i="28"/>
  <c r="M22" i="28"/>
  <c r="A41" i="35"/>
  <c r="V267" i="2"/>
  <c r="V264" i="2"/>
  <c r="V255" i="2"/>
  <c r="V252" i="2"/>
  <c r="V249" i="2"/>
  <c r="V246" i="2"/>
  <c r="V243" i="2"/>
  <c r="V240" i="2"/>
  <c r="V352" i="2"/>
  <c r="V349" i="2"/>
  <c r="V346" i="2"/>
  <c r="V343" i="2"/>
  <c r="V340" i="2"/>
  <c r="V337" i="2"/>
  <c r="V327" i="2"/>
  <c r="V324" i="2"/>
  <c r="V321" i="2"/>
  <c r="V318" i="2"/>
  <c r="V315" i="2"/>
  <c r="V312" i="2"/>
  <c r="V303" i="2"/>
  <c r="V300" i="2"/>
  <c r="V297" i="2"/>
  <c r="V294" i="2"/>
  <c r="V291" i="2"/>
  <c r="V288" i="2"/>
  <c r="V279" i="2"/>
  <c r="V276" i="2"/>
  <c r="V273" i="2"/>
  <c r="V270" i="2"/>
  <c r="H36" i="28"/>
  <c r="I36" i="28"/>
  <c r="J36" i="28"/>
  <c r="E36" i="28"/>
  <c r="F36" i="28"/>
  <c r="AG11" i="2"/>
  <c r="H35" i="28"/>
  <c r="F35" i="28"/>
  <c r="E35" i="28"/>
  <c r="I35" i="28"/>
  <c r="M16" i="28"/>
  <c r="M33" i="28"/>
  <c r="M26" i="28"/>
  <c r="M20" i="28"/>
  <c r="M15" i="28"/>
  <c r="M11" i="28"/>
  <c r="M30" i="28"/>
  <c r="M25" i="28"/>
  <c r="M35" i="28"/>
  <c r="V471" i="2"/>
  <c r="V479" i="2"/>
  <c r="V477" i="2"/>
  <c r="V474" i="2"/>
  <c r="V480" i="2"/>
  <c r="V482" i="2"/>
  <c r="V467" i="2"/>
  <c r="V478" i="2"/>
  <c r="V483" i="2"/>
  <c r="AG483" i="2"/>
  <c r="V468" i="2"/>
  <c r="V472" i="2"/>
  <c r="AG480" i="2"/>
  <c r="V484" i="2"/>
  <c r="V473" i="2"/>
  <c r="V476" i="2"/>
  <c r="AG477" i="2"/>
  <c r="V481" i="2"/>
  <c r="V485" i="2"/>
  <c r="AF478" i="2"/>
  <c r="AF481" i="2"/>
  <c r="AF484" i="2"/>
  <c r="AG465" i="2"/>
  <c r="V466" i="2"/>
  <c r="V469" i="2"/>
  <c r="AG474" i="2"/>
  <c r="AF479" i="2"/>
  <c r="AF482" i="2"/>
  <c r="AF485" i="2"/>
  <c r="V470" i="2"/>
  <c r="AG471" i="2"/>
  <c r="V475" i="2"/>
  <c r="V465" i="2"/>
  <c r="AF469" i="2"/>
  <c r="AF472" i="2"/>
  <c r="AF475" i="2"/>
  <c r="AF470" i="2"/>
  <c r="AF473" i="2"/>
  <c r="AF476" i="2"/>
  <c r="AG466" i="2"/>
  <c r="AF467" i="2"/>
  <c r="V462" i="2"/>
  <c r="V463" i="2"/>
  <c r="AF468" i="2"/>
  <c r="V464" i="2"/>
  <c r="AF463" i="2"/>
  <c r="AF464" i="2"/>
  <c r="V354" i="2"/>
  <c r="V351" i="2"/>
  <c r="V348" i="2"/>
  <c r="V345" i="2"/>
  <c r="V336" i="2"/>
  <c r="V333" i="2"/>
  <c r="V329" i="2"/>
  <c r="V326" i="2"/>
  <c r="V323" i="2"/>
  <c r="V320" i="2"/>
  <c r="V311" i="2"/>
  <c r="V308" i="2"/>
  <c r="V305" i="2"/>
  <c r="V302" i="2"/>
  <c r="V299" i="2"/>
  <c r="V296" i="2"/>
  <c r="V287" i="2"/>
  <c r="V284" i="2"/>
  <c r="V281" i="2"/>
  <c r="V278" i="2"/>
  <c r="V275" i="2"/>
  <c r="V272" i="2"/>
  <c r="V263" i="2"/>
  <c r="V260" i="2"/>
  <c r="V257" i="2"/>
  <c r="V254" i="2"/>
  <c r="V251" i="2"/>
  <c r="V248" i="2"/>
  <c r="V239" i="2"/>
  <c r="V237" i="2"/>
  <c r="V234" i="2"/>
  <c r="V225" i="2"/>
  <c r="V222" i="2"/>
  <c r="V219" i="2"/>
  <c r="V216" i="2"/>
  <c r="V213" i="2"/>
  <c r="V210" i="2"/>
  <c r="V201" i="2"/>
  <c r="V198" i="2"/>
  <c r="V195" i="2"/>
  <c r="V192" i="2"/>
  <c r="V189" i="2"/>
  <c r="V186" i="2"/>
  <c r="V177" i="2"/>
  <c r="V174" i="2"/>
  <c r="V171" i="2"/>
  <c r="V168" i="2"/>
  <c r="V165" i="2"/>
  <c r="V162" i="2"/>
  <c r="V153" i="2"/>
  <c r="V147" i="2"/>
  <c r="V141" i="2"/>
  <c r="V129" i="2"/>
  <c r="V123" i="2"/>
  <c r="V117" i="2"/>
  <c r="AF462" i="2"/>
  <c r="V356" i="2"/>
  <c r="V353" i="2"/>
  <c r="V344" i="2"/>
  <c r="V341" i="2"/>
  <c r="V338" i="2"/>
  <c r="V335" i="2"/>
  <c r="V331" i="2"/>
  <c r="V328" i="2"/>
  <c r="V319" i="2"/>
  <c r="V316" i="2"/>
  <c r="V313" i="2"/>
  <c r="V310" i="2"/>
  <c r="V307" i="2"/>
  <c r="V304" i="2"/>
  <c r="V295" i="2"/>
  <c r="V292" i="2"/>
  <c r="V289" i="2"/>
  <c r="V286" i="2"/>
  <c r="V283" i="2"/>
  <c r="V280" i="2"/>
  <c r="V271" i="2"/>
  <c r="V268" i="2"/>
  <c r="V265" i="2"/>
  <c r="V262" i="2"/>
  <c r="V259" i="2"/>
  <c r="V256" i="2"/>
  <c r="V247" i="2"/>
  <c r="V244" i="2"/>
  <c r="V241" i="2"/>
  <c r="V238" i="2"/>
  <c r="V233" i="2"/>
  <c r="V230" i="2"/>
  <c r="V227" i="2"/>
  <c r="V224" i="2"/>
  <c r="V221" i="2"/>
  <c r="V218" i="2"/>
  <c r="V209" i="2"/>
  <c r="V206" i="2"/>
  <c r="V203" i="2"/>
  <c r="V200" i="2"/>
  <c r="V197" i="2"/>
  <c r="V194" i="2"/>
  <c r="V185" i="2"/>
  <c r="V182" i="2"/>
  <c r="V179" i="2"/>
  <c r="V176" i="2"/>
  <c r="V173" i="2"/>
  <c r="V170" i="2"/>
  <c r="V161" i="2"/>
  <c r="V158" i="2"/>
  <c r="V155" i="2"/>
  <c r="V149" i="2"/>
  <c r="V137" i="2"/>
  <c r="V131" i="2"/>
  <c r="V125" i="2"/>
  <c r="V113" i="2"/>
  <c r="V461" i="2"/>
  <c r="AF461" i="2"/>
  <c r="X32" i="55"/>
  <c r="X34" i="55" s="1"/>
  <c r="X36" i="55" s="1"/>
  <c r="X37" i="55" s="1"/>
  <c r="X39" i="55" s="1"/>
  <c r="D257" i="28"/>
  <c r="E256" i="28"/>
  <c r="D254" i="28"/>
  <c r="D256" i="28"/>
  <c r="F254" i="28"/>
  <c r="E254" i="28"/>
  <c r="G257" i="28"/>
  <c r="A130" i="28"/>
  <c r="F257" i="28"/>
  <c r="E257" i="28"/>
  <c r="G256" i="28"/>
  <c r="F256" i="28"/>
  <c r="C64" i="55"/>
  <c r="C62" i="55"/>
  <c r="C265" i="28"/>
  <c r="F62" i="55"/>
  <c r="F64" i="55"/>
  <c r="F63" i="55"/>
  <c r="O27" i="55"/>
  <c r="O30" i="55" s="1"/>
  <c r="C63" i="55"/>
  <c r="Y30" i="55"/>
  <c r="W32" i="55"/>
  <c r="W34" i="55" s="1"/>
  <c r="W36" i="55" s="1"/>
  <c r="S32" i="55"/>
  <c r="S34" i="55" s="1"/>
  <c r="S36" i="55" s="1"/>
  <c r="S37" i="55" s="1"/>
  <c r="S39" i="55" s="1"/>
  <c r="N63" i="1"/>
  <c r="O59" i="1"/>
  <c r="U32" i="55"/>
  <c r="U34" i="55" s="1"/>
  <c r="U36" i="55" s="1"/>
  <c r="U37" i="55" s="1"/>
  <c r="U39" i="55" s="1"/>
  <c r="G254" i="28"/>
  <c r="T32" i="55"/>
  <c r="T34" i="55" s="1"/>
  <c r="T36" i="55" s="1"/>
  <c r="T37" i="55" s="1"/>
  <c r="T39" i="55" s="1"/>
  <c r="M27" i="55"/>
  <c r="M30" i="55" s="1"/>
  <c r="N27" i="55"/>
  <c r="N30" i="55" s="1"/>
  <c r="D147" i="28"/>
  <c r="M63" i="1"/>
  <c r="R32" i="55"/>
  <c r="R34" i="55" s="1"/>
  <c r="R36" i="55" s="1"/>
  <c r="R37" i="55" s="1"/>
  <c r="R39" i="55" s="1"/>
  <c r="D140" i="28"/>
  <c r="D153" i="28"/>
  <c r="D141" i="28"/>
  <c r="D134" i="28"/>
  <c r="D136" i="28"/>
  <c r="G86" i="31"/>
  <c r="E86" i="31" s="1"/>
  <c r="G80" i="31"/>
  <c r="E80" i="31" s="1"/>
  <c r="Q32" i="55"/>
  <c r="Q34" i="55" s="1"/>
  <c r="Q36" i="55" s="1"/>
  <c r="A42" i="35"/>
  <c r="D148" i="28"/>
  <c r="M29" i="28"/>
  <c r="M14" i="28"/>
  <c r="V355" i="2"/>
  <c r="V347" i="2"/>
  <c r="V339" i="2"/>
  <c r="V330" i="2"/>
  <c r="V322" i="2"/>
  <c r="V314" i="2"/>
  <c r="V306" i="2"/>
  <c r="V298" i="2"/>
  <c r="V290" i="2"/>
  <c r="V282" i="2"/>
  <c r="V274" i="2"/>
  <c r="V266" i="2"/>
  <c r="V258" i="2"/>
  <c r="V250" i="2"/>
  <c r="V242" i="2"/>
  <c r="V236" i="2"/>
  <c r="V228" i="2"/>
  <c r="V220" i="2"/>
  <c r="V212" i="2"/>
  <c r="V204" i="2"/>
  <c r="V196" i="2"/>
  <c r="V188" i="2"/>
  <c r="V180" i="2"/>
  <c r="V172" i="2"/>
  <c r="V164" i="2"/>
  <c r="V156" i="2"/>
  <c r="M28" i="28"/>
  <c r="M21" i="28"/>
  <c r="M13" i="28"/>
  <c r="M12" i="28"/>
  <c r="K30" i="55"/>
  <c r="M32" i="28"/>
  <c r="M24" i="28"/>
  <c r="M17" i="28"/>
  <c r="V350" i="2"/>
  <c r="V342" i="2"/>
  <c r="V334" i="2"/>
  <c r="V325" i="2"/>
  <c r="V317" i="2"/>
  <c r="V309" i="2"/>
  <c r="V301" i="2"/>
  <c r="V293" i="2"/>
  <c r="V285" i="2"/>
  <c r="V277" i="2"/>
  <c r="V269" i="2"/>
  <c r="V261" i="2"/>
  <c r="V253" i="2"/>
  <c r="V245" i="2"/>
  <c r="V231" i="2"/>
  <c r="V223" i="2"/>
  <c r="V215" i="2"/>
  <c r="V207" i="2"/>
  <c r="V199" i="2"/>
  <c r="V191" i="2"/>
  <c r="V183" i="2"/>
  <c r="V175" i="2"/>
  <c r="V167" i="2"/>
  <c r="V159" i="2"/>
  <c r="V151" i="2"/>
  <c r="V143" i="2"/>
  <c r="V135" i="2"/>
  <c r="V127" i="2"/>
  <c r="V119" i="2"/>
  <c r="V111" i="2"/>
  <c r="L30" i="55"/>
  <c r="M31" i="28"/>
  <c r="M23" i="28"/>
  <c r="AG342" i="2"/>
  <c r="AG139" i="2"/>
  <c r="AG223" i="2"/>
  <c r="AG75" i="2"/>
  <c r="AG406" i="2"/>
  <c r="AG277" i="2"/>
  <c r="AG171" i="2"/>
  <c r="AG107" i="2"/>
  <c r="AG43" i="2"/>
  <c r="AG438" i="2"/>
  <c r="AG374" i="2"/>
  <c r="AG309" i="2"/>
  <c r="AG245" i="2"/>
  <c r="AG191" i="2"/>
  <c r="AG155" i="2"/>
  <c r="AG123" i="2"/>
  <c r="AG91" i="2"/>
  <c r="AG59" i="2"/>
  <c r="AG27" i="2"/>
  <c r="AG422" i="2"/>
  <c r="AG390" i="2"/>
  <c r="AG358" i="2"/>
  <c r="AG325" i="2"/>
  <c r="AG293" i="2"/>
  <c r="AG261" i="2"/>
  <c r="AG207" i="2"/>
  <c r="AG179" i="2"/>
  <c r="AG163" i="2"/>
  <c r="AG147" i="2"/>
  <c r="AG131" i="2"/>
  <c r="AG115" i="2"/>
  <c r="AG99" i="2"/>
  <c r="AG83" i="2"/>
  <c r="AG67" i="2"/>
  <c r="AG51" i="2"/>
  <c r="AG35" i="2"/>
  <c r="AG19" i="2"/>
  <c r="AG430" i="2"/>
  <c r="AG414" i="2"/>
  <c r="AG398" i="2"/>
  <c r="AG382" i="2"/>
  <c r="AG366" i="2"/>
  <c r="AG350" i="2"/>
  <c r="AG334" i="2"/>
  <c r="AG317" i="2"/>
  <c r="AG301" i="2"/>
  <c r="AG285" i="2"/>
  <c r="AG269" i="2"/>
  <c r="AG253" i="2"/>
  <c r="AG231" i="2"/>
  <c r="AG215" i="2"/>
  <c r="AG199" i="2"/>
  <c r="AG183" i="2"/>
  <c r="AG175" i="2"/>
  <c r="AG167" i="2"/>
  <c r="AG159" i="2"/>
  <c r="AG151" i="2"/>
  <c r="AG143" i="2"/>
  <c r="AG135" i="2"/>
  <c r="AG127" i="2"/>
  <c r="AG119" i="2"/>
  <c r="AG111" i="2"/>
  <c r="AG103" i="2"/>
  <c r="AG95" i="2"/>
  <c r="AG87" i="2"/>
  <c r="AG79" i="2"/>
  <c r="AG71" i="2"/>
  <c r="AG63" i="2"/>
  <c r="AG55" i="2"/>
  <c r="AG47" i="2"/>
  <c r="AG39" i="2"/>
  <c r="AG31" i="2"/>
  <c r="AG23" i="2"/>
  <c r="AG15" i="2"/>
  <c r="AG441" i="2"/>
  <c r="AG434" i="2"/>
  <c r="AG426" i="2"/>
  <c r="AG418" i="2"/>
  <c r="AG410" i="2"/>
  <c r="AG402" i="2"/>
  <c r="AG394" i="2"/>
  <c r="AG386" i="2"/>
  <c r="AG378" i="2"/>
  <c r="AG370" i="2"/>
  <c r="AG362" i="2"/>
  <c r="AG354" i="2"/>
  <c r="AG346" i="2"/>
  <c r="AG338" i="2"/>
  <c r="AG329" i="2"/>
  <c r="AG321" i="2"/>
  <c r="AG313" i="2"/>
  <c r="AG305" i="2"/>
  <c r="AG297" i="2"/>
  <c r="AG289" i="2"/>
  <c r="AG281" i="2"/>
  <c r="AG273" i="2"/>
  <c r="AG265" i="2"/>
  <c r="AG257" i="2"/>
  <c r="AG249" i="2"/>
  <c r="AG241" i="2"/>
  <c r="AG235" i="2"/>
  <c r="AG227" i="2"/>
  <c r="AG219" i="2"/>
  <c r="AG211" i="2"/>
  <c r="AG203" i="2"/>
  <c r="AG195" i="2"/>
  <c r="AG187" i="2"/>
  <c r="AG181" i="2"/>
  <c r="AG177" i="2"/>
  <c r="AG173" i="2"/>
  <c r="AG169" i="2"/>
  <c r="AG165" i="2"/>
  <c r="AG161" i="2"/>
  <c r="AG157" i="2"/>
  <c r="AG153" i="2"/>
  <c r="AG149" i="2"/>
  <c r="AG145" i="2"/>
  <c r="AG141" i="2"/>
  <c r="AG137" i="2"/>
  <c r="AG133" i="2"/>
  <c r="AG129" i="2"/>
  <c r="AG125" i="2"/>
  <c r="AG121" i="2"/>
  <c r="AG117" i="2"/>
  <c r="AG113" i="2"/>
  <c r="AG109" i="2"/>
  <c r="AG105" i="2"/>
  <c r="AG101" i="2"/>
  <c r="AG97" i="2"/>
  <c r="AG93" i="2"/>
  <c r="AG89" i="2"/>
  <c r="AG85" i="2"/>
  <c r="AG81" i="2"/>
  <c r="AG77" i="2"/>
  <c r="AG73" i="2"/>
  <c r="AG69" i="2"/>
  <c r="AG65" i="2"/>
  <c r="AG61" i="2"/>
  <c r="AG57" i="2"/>
  <c r="AG53" i="2"/>
  <c r="AG49" i="2"/>
  <c r="AG45" i="2"/>
  <c r="AG41" i="2"/>
  <c r="AG37" i="2"/>
  <c r="AG33" i="2"/>
  <c r="AG29" i="2"/>
  <c r="AG25" i="2"/>
  <c r="AG21" i="2"/>
  <c r="AG17" i="2"/>
  <c r="AG13" i="2"/>
  <c r="AG451" i="2"/>
  <c r="AG440" i="2"/>
  <c r="AG436" i="2"/>
  <c r="AG432" i="2"/>
  <c r="AG428" i="2"/>
  <c r="AG424" i="2"/>
  <c r="AG420" i="2"/>
  <c r="AG416" i="2"/>
  <c r="AG412" i="2"/>
  <c r="AG408" i="2"/>
  <c r="AG404" i="2"/>
  <c r="AG400" i="2"/>
  <c r="AG396" i="2"/>
  <c r="AG392" i="2"/>
  <c r="AG388" i="2"/>
  <c r="AG384" i="2"/>
  <c r="AG380" i="2"/>
  <c r="AG376" i="2"/>
  <c r="AG372" i="2"/>
  <c r="AG368" i="2"/>
  <c r="AG364" i="2"/>
  <c r="AG360" i="2"/>
  <c r="AG356" i="2"/>
  <c r="AG352" i="2"/>
  <c r="AG348" i="2"/>
  <c r="AG344" i="2"/>
  <c r="AG340" i="2"/>
  <c r="AG336" i="2"/>
  <c r="AG331" i="2"/>
  <c r="AG327" i="2"/>
  <c r="AG323" i="2"/>
  <c r="AG319" i="2"/>
  <c r="AG315" i="2"/>
  <c r="AG311" i="2"/>
  <c r="AG307" i="2"/>
  <c r="AG303" i="2"/>
  <c r="AG299" i="2"/>
  <c r="AG295" i="2"/>
  <c r="AG291" i="2"/>
  <c r="AG287" i="2"/>
  <c r="AG283" i="2"/>
  <c r="AG279" i="2"/>
  <c r="AG275" i="2"/>
  <c r="AG271" i="2"/>
  <c r="AG267" i="2"/>
  <c r="AG263" i="2"/>
  <c r="AG259" i="2"/>
  <c r="AG255" i="2"/>
  <c r="AG251" i="2"/>
  <c r="AG247" i="2"/>
  <c r="AG243" i="2"/>
  <c r="AG239" i="2"/>
  <c r="AG237" i="2"/>
  <c r="AG233" i="2"/>
  <c r="AG229" i="2"/>
  <c r="AG225" i="2"/>
  <c r="AG221" i="2"/>
  <c r="AG217" i="2"/>
  <c r="AG213" i="2"/>
  <c r="AG209" i="2"/>
  <c r="AG205" i="2"/>
  <c r="AG201" i="2"/>
  <c r="AG197" i="2"/>
  <c r="AG193" i="2"/>
  <c r="AG189" i="2"/>
  <c r="AG185" i="2"/>
  <c r="F19" i="28"/>
  <c r="AG439" i="2"/>
  <c r="AG437" i="2"/>
  <c r="AG435" i="2"/>
  <c r="AG433" i="2"/>
  <c r="AG431" i="2"/>
  <c r="AG429" i="2"/>
  <c r="AG427" i="2"/>
  <c r="AG425" i="2"/>
  <c r="AG423" i="2"/>
  <c r="AG421" i="2"/>
  <c r="AG419" i="2"/>
  <c r="AG417" i="2"/>
  <c r="AG415" i="2"/>
  <c r="AG413" i="2"/>
  <c r="AG411" i="2"/>
  <c r="AG409" i="2"/>
  <c r="AG407" i="2"/>
  <c r="AG405" i="2"/>
  <c r="AG403" i="2"/>
  <c r="AG401" i="2"/>
  <c r="AG399" i="2"/>
  <c r="AG397" i="2"/>
  <c r="AG395" i="2"/>
  <c r="AG393" i="2"/>
  <c r="AG391" i="2"/>
  <c r="AG389" i="2"/>
  <c r="AG387" i="2"/>
  <c r="AG385" i="2"/>
  <c r="AG383" i="2"/>
  <c r="AG381" i="2"/>
  <c r="AG379" i="2"/>
  <c r="AG377" i="2"/>
  <c r="AG375" i="2"/>
  <c r="AG373" i="2"/>
  <c r="AG371" i="2"/>
  <c r="AG369" i="2"/>
  <c r="AG367" i="2"/>
  <c r="AG365" i="2"/>
  <c r="AG363" i="2"/>
  <c r="AG361" i="2"/>
  <c r="AG359" i="2"/>
  <c r="AG357" i="2"/>
  <c r="AG355" i="2"/>
  <c r="AG353" i="2"/>
  <c r="AG351" i="2"/>
  <c r="AG349" i="2"/>
  <c r="AG347" i="2"/>
  <c r="AG345" i="2"/>
  <c r="AG343" i="2"/>
  <c r="AG341" i="2"/>
  <c r="AG339" i="2"/>
  <c r="AG337" i="2"/>
  <c r="AG335" i="2"/>
  <c r="AG333" i="2"/>
  <c r="AG330" i="2"/>
  <c r="AG328" i="2"/>
  <c r="AG326" i="2"/>
  <c r="AG324" i="2"/>
  <c r="AG322" i="2"/>
  <c r="AG320" i="2"/>
  <c r="AG318" i="2"/>
  <c r="AG316" i="2"/>
  <c r="AG314" i="2"/>
  <c r="AG312" i="2"/>
  <c r="AG310" i="2"/>
  <c r="AG308" i="2"/>
  <c r="AG306" i="2"/>
  <c r="AG304" i="2"/>
  <c r="AG302" i="2"/>
  <c r="AG300" i="2"/>
  <c r="AG298" i="2"/>
  <c r="AG296" i="2"/>
  <c r="AG294" i="2"/>
  <c r="AG292" i="2"/>
  <c r="AG290" i="2"/>
  <c r="AG288" i="2"/>
  <c r="AG286" i="2"/>
  <c r="AG284" i="2"/>
  <c r="AG282" i="2"/>
  <c r="AG280" i="2"/>
  <c r="AG278" i="2"/>
  <c r="AG276" i="2"/>
  <c r="AG274" i="2"/>
  <c r="AG272" i="2"/>
  <c r="AG270" i="2"/>
  <c r="AG268" i="2"/>
  <c r="AG266" i="2"/>
  <c r="AG264" i="2"/>
  <c r="AG262" i="2"/>
  <c r="AG260" i="2"/>
  <c r="AG258" i="2"/>
  <c r="AG256" i="2"/>
  <c r="AG254" i="2"/>
  <c r="AG252" i="2"/>
  <c r="AG250" i="2"/>
  <c r="AG248" i="2"/>
  <c r="AG246" i="2"/>
  <c r="AG244" i="2"/>
  <c r="AG242" i="2"/>
  <c r="AG240" i="2"/>
  <c r="AG238" i="2"/>
  <c r="AG236" i="2"/>
  <c r="AG234" i="2"/>
  <c r="AG232" i="2"/>
  <c r="AG230" i="2"/>
  <c r="AG228" i="2"/>
  <c r="AG226" i="2"/>
  <c r="AG224" i="2"/>
  <c r="AG222" i="2"/>
  <c r="AG220" i="2"/>
  <c r="AG218" i="2"/>
  <c r="AG216" i="2"/>
  <c r="AG214" i="2"/>
  <c r="AG212" i="2"/>
  <c r="AG210" i="2"/>
  <c r="AG208" i="2"/>
  <c r="AG206" i="2"/>
  <c r="AG204" i="2"/>
  <c r="AG202" i="2"/>
  <c r="AG200" i="2"/>
  <c r="AG198" i="2"/>
  <c r="AG196" i="2"/>
  <c r="AG194" i="2"/>
  <c r="AG192" i="2"/>
  <c r="AG190" i="2"/>
  <c r="AG188" i="2"/>
  <c r="AG186" i="2"/>
  <c r="AG184" i="2"/>
  <c r="AG182" i="2"/>
  <c r="AG180" i="2"/>
  <c r="AG178" i="2"/>
  <c r="AG176" i="2"/>
  <c r="AF174" i="2"/>
  <c r="AG174" i="2"/>
  <c r="AF172" i="2"/>
  <c r="AG172" i="2"/>
  <c r="AF170" i="2"/>
  <c r="AG170" i="2"/>
  <c r="AF168" i="2"/>
  <c r="AG168" i="2"/>
  <c r="AF166" i="2"/>
  <c r="AG166" i="2"/>
  <c r="AF164" i="2"/>
  <c r="AG164" i="2"/>
  <c r="AF162" i="2"/>
  <c r="AG162" i="2"/>
  <c r="AF160" i="2"/>
  <c r="AG160" i="2"/>
  <c r="AF158" i="2"/>
  <c r="AG158" i="2"/>
  <c r="AF156" i="2"/>
  <c r="AG156" i="2"/>
  <c r="AF154" i="2"/>
  <c r="AG154" i="2"/>
  <c r="AF152" i="2"/>
  <c r="AG152" i="2"/>
  <c r="AF150" i="2"/>
  <c r="AG150" i="2"/>
  <c r="AF148" i="2"/>
  <c r="AG148" i="2"/>
  <c r="AF146" i="2"/>
  <c r="AG146" i="2"/>
  <c r="AF144" i="2"/>
  <c r="AG144" i="2"/>
  <c r="AF142" i="2"/>
  <c r="AG142" i="2"/>
  <c r="AF140" i="2"/>
  <c r="AG140" i="2"/>
  <c r="AF138" i="2"/>
  <c r="AG138" i="2"/>
  <c r="AF136" i="2"/>
  <c r="AG136" i="2"/>
  <c r="AF134" i="2"/>
  <c r="AG134" i="2"/>
  <c r="AF132" i="2"/>
  <c r="AG132" i="2"/>
  <c r="AF130" i="2"/>
  <c r="AG130" i="2"/>
  <c r="AF128" i="2"/>
  <c r="AG128" i="2"/>
  <c r="AF126" i="2"/>
  <c r="AG126" i="2"/>
  <c r="AF124" i="2"/>
  <c r="AG124" i="2"/>
  <c r="AF122" i="2"/>
  <c r="AG122" i="2"/>
  <c r="AF120" i="2"/>
  <c r="AG120" i="2"/>
  <c r="AF118" i="2"/>
  <c r="AG118" i="2"/>
  <c r="AF116" i="2"/>
  <c r="AG116" i="2"/>
  <c r="AF114" i="2"/>
  <c r="AG114" i="2"/>
  <c r="AF112" i="2"/>
  <c r="AG112" i="2"/>
  <c r="AF110" i="2"/>
  <c r="AG110" i="2"/>
  <c r="AF108" i="2"/>
  <c r="AG108" i="2"/>
  <c r="AF106" i="2"/>
  <c r="AG106" i="2"/>
  <c r="AF104" i="2"/>
  <c r="AG104" i="2"/>
  <c r="AF102" i="2"/>
  <c r="AG102" i="2"/>
  <c r="AF100" i="2"/>
  <c r="AG100" i="2"/>
  <c r="AF98" i="2"/>
  <c r="AG98" i="2"/>
  <c r="AF96" i="2"/>
  <c r="AG96" i="2"/>
  <c r="AF94" i="2"/>
  <c r="AG94" i="2"/>
  <c r="AF92" i="2"/>
  <c r="AG92" i="2"/>
  <c r="AF90" i="2"/>
  <c r="AG90" i="2"/>
  <c r="AF88" i="2"/>
  <c r="AG88" i="2"/>
  <c r="AF86" i="2"/>
  <c r="AG86" i="2"/>
  <c r="AF84" i="2"/>
  <c r="AG84" i="2"/>
  <c r="AF82" i="2"/>
  <c r="AG82" i="2"/>
  <c r="AF80" i="2"/>
  <c r="AG80" i="2"/>
  <c r="AF78" i="2"/>
  <c r="AG78" i="2"/>
  <c r="AF76" i="2"/>
  <c r="AG76" i="2"/>
  <c r="AF74" i="2"/>
  <c r="AG74" i="2"/>
  <c r="AF72" i="2"/>
  <c r="AG72" i="2"/>
  <c r="AF70" i="2"/>
  <c r="AG70" i="2"/>
  <c r="AF68" i="2"/>
  <c r="AG68" i="2"/>
  <c r="AF66" i="2"/>
  <c r="AG66" i="2"/>
  <c r="AF64" i="2"/>
  <c r="AG64" i="2"/>
  <c r="AF62" i="2"/>
  <c r="AG62" i="2"/>
  <c r="AF60" i="2"/>
  <c r="AG60" i="2"/>
  <c r="AF58" i="2"/>
  <c r="AG58" i="2"/>
  <c r="AF56" i="2"/>
  <c r="AG56" i="2"/>
  <c r="AF54" i="2"/>
  <c r="AG54" i="2"/>
  <c r="AF52" i="2"/>
  <c r="AG52" i="2"/>
  <c r="AF50" i="2"/>
  <c r="AG50" i="2"/>
  <c r="AF48" i="2"/>
  <c r="AG48" i="2"/>
  <c r="AF46" i="2"/>
  <c r="AG46" i="2"/>
  <c r="AF44" i="2"/>
  <c r="AG44" i="2"/>
  <c r="AF42" i="2"/>
  <c r="AG42" i="2"/>
  <c r="AF40" i="2"/>
  <c r="AG40" i="2"/>
  <c r="AF38" i="2"/>
  <c r="AG38" i="2"/>
  <c r="AF36" i="2"/>
  <c r="AG36" i="2"/>
  <c r="AF34" i="2"/>
  <c r="AG34" i="2"/>
  <c r="AF32" i="2"/>
  <c r="AG32" i="2"/>
  <c r="AF30" i="2"/>
  <c r="AG30" i="2"/>
  <c r="AF28" i="2"/>
  <c r="AG28" i="2"/>
  <c r="AF26" i="2"/>
  <c r="AG26" i="2"/>
  <c r="AF24" i="2"/>
  <c r="AG24" i="2"/>
  <c r="AF22" i="2"/>
  <c r="AG22" i="2"/>
  <c r="AF20" i="2"/>
  <c r="AG20" i="2"/>
  <c r="AF18" i="2"/>
  <c r="AG18" i="2"/>
  <c r="AF16" i="2"/>
  <c r="AG16" i="2"/>
  <c r="AF14" i="2"/>
  <c r="AG14" i="2"/>
  <c r="AF12" i="2"/>
  <c r="AG12" i="2"/>
  <c r="E24" i="28"/>
  <c r="F30" i="28"/>
  <c r="E34" i="28"/>
  <c r="F34" i="28"/>
  <c r="F26" i="28"/>
  <c r="E17" i="28"/>
  <c r="F32" i="28"/>
  <c r="F28" i="28"/>
  <c r="F22" i="28"/>
  <c r="F15" i="28"/>
  <c r="E30" i="28"/>
  <c r="H28" i="28"/>
  <c r="I27" i="28"/>
  <c r="E21" i="28"/>
  <c r="F11" i="28"/>
  <c r="E11" i="28"/>
  <c r="F33" i="28"/>
  <c r="F31" i="28"/>
  <c r="F29" i="28"/>
  <c r="F27" i="28"/>
  <c r="F24" i="28"/>
  <c r="F21" i="28"/>
  <c r="F17" i="28"/>
  <c r="F13" i="28"/>
  <c r="E32" i="28"/>
  <c r="E28" i="28"/>
  <c r="F25" i="28"/>
  <c r="F23" i="28"/>
  <c r="F20" i="28"/>
  <c r="E15" i="28"/>
  <c r="F18" i="28"/>
  <c r="F16" i="28"/>
  <c r="F14" i="28"/>
  <c r="F12" i="28"/>
  <c r="E33" i="28"/>
  <c r="E31" i="28"/>
  <c r="E29" i="28"/>
  <c r="E27" i="28"/>
  <c r="E22" i="28"/>
  <c r="E19" i="28"/>
  <c r="E25" i="28"/>
  <c r="E14" i="28"/>
  <c r="E23" i="28"/>
  <c r="E20" i="28"/>
  <c r="E18" i="28"/>
  <c r="E16" i="28"/>
  <c r="E13" i="28"/>
  <c r="I30" i="28"/>
  <c r="H30" i="28"/>
  <c r="H20" i="28"/>
  <c r="H19" i="28"/>
  <c r="H18" i="28"/>
  <c r="H17" i="28"/>
  <c r="H16" i="28"/>
  <c r="H15" i="28"/>
  <c r="H14" i="28"/>
  <c r="H13" i="28"/>
  <c r="E12" i="28"/>
  <c r="I28" i="28"/>
  <c r="H27" i="28"/>
  <c r="H26" i="28"/>
  <c r="H25" i="28"/>
  <c r="H24" i="28"/>
  <c r="H23" i="28"/>
  <c r="H22" i="28"/>
  <c r="H21" i="28"/>
  <c r="V154" i="2"/>
  <c r="V152" i="2"/>
  <c r="V150" i="2"/>
  <c r="V148" i="2"/>
  <c r="V146" i="2"/>
  <c r="V144" i="2"/>
  <c r="V142" i="2"/>
  <c r="V140" i="2"/>
  <c r="V138" i="2"/>
  <c r="V136" i="2"/>
  <c r="V134" i="2"/>
  <c r="V132" i="2"/>
  <c r="V130" i="2"/>
  <c r="V128" i="2"/>
  <c r="V126" i="2"/>
  <c r="V124" i="2"/>
  <c r="V122" i="2"/>
  <c r="V120" i="2"/>
  <c r="V118" i="2"/>
  <c r="V116" i="2"/>
  <c r="V114" i="2"/>
  <c r="V112" i="2"/>
  <c r="V110" i="2"/>
  <c r="V108" i="2"/>
  <c r="V106" i="2"/>
  <c r="V104" i="2"/>
  <c r="V102" i="2"/>
  <c r="V100" i="2"/>
  <c r="V98" i="2"/>
  <c r="V96" i="2"/>
  <c r="V94" i="2"/>
  <c r="V92" i="2"/>
  <c r="V90" i="2"/>
  <c r="V88" i="2"/>
  <c r="V86" i="2"/>
  <c r="V84" i="2"/>
  <c r="V82" i="2"/>
  <c r="V80" i="2"/>
  <c r="V78" i="2"/>
  <c r="V76" i="2"/>
  <c r="V437" i="2"/>
  <c r="V435" i="2"/>
  <c r="V433" i="2"/>
  <c r="V431" i="2"/>
  <c r="V429" i="2"/>
  <c r="V427" i="2"/>
  <c r="H11" i="28"/>
  <c r="V425" i="2"/>
  <c r="V423" i="2"/>
  <c r="V421" i="2"/>
  <c r="V419" i="2"/>
  <c r="V417" i="2"/>
  <c r="V415" i="2"/>
  <c r="V413" i="2"/>
  <c r="V411" i="2"/>
  <c r="V409" i="2"/>
  <c r="V407" i="2"/>
  <c r="V405" i="2"/>
  <c r="V403" i="2"/>
  <c r="V401" i="2"/>
  <c r="V399" i="2"/>
  <c r="V397" i="2"/>
  <c r="V395" i="2"/>
  <c r="V393" i="2"/>
  <c r="V391" i="2"/>
  <c r="V389" i="2"/>
  <c r="V387" i="2"/>
  <c r="V385" i="2"/>
  <c r="V383" i="2"/>
  <c r="V381" i="2"/>
  <c r="V379" i="2"/>
  <c r="V377" i="2"/>
  <c r="V375" i="2"/>
  <c r="V373" i="2"/>
  <c r="V371" i="2"/>
  <c r="V369" i="2"/>
  <c r="V367" i="2"/>
  <c r="V365" i="2"/>
  <c r="V363" i="2"/>
  <c r="V361" i="2"/>
  <c r="V359" i="2"/>
  <c r="V107" i="2"/>
  <c r="V105" i="2"/>
  <c r="V103" i="2"/>
  <c r="V101" i="2"/>
  <c r="V99" i="2"/>
  <c r="V97" i="2"/>
  <c r="V95" i="2"/>
  <c r="V93" i="2"/>
  <c r="V91" i="2"/>
  <c r="V89" i="2"/>
  <c r="V87" i="2"/>
  <c r="V85" i="2"/>
  <c r="V83" i="2"/>
  <c r="V81" i="2"/>
  <c r="V79" i="2"/>
  <c r="V77" i="2"/>
  <c r="V65" i="2"/>
  <c r="V63" i="2"/>
  <c r="V61" i="2"/>
  <c r="V59" i="2"/>
  <c r="V57" i="2"/>
  <c r="V55" i="2"/>
  <c r="V53" i="2"/>
  <c r="V51" i="2"/>
  <c r="V49" i="2"/>
  <c r="V47" i="2"/>
  <c r="V45" i="2"/>
  <c r="V43" i="2"/>
  <c r="V41" i="2"/>
  <c r="V39" i="2"/>
  <c r="V37" i="2"/>
  <c r="V35" i="2"/>
  <c r="V33" i="2"/>
  <c r="V31" i="2"/>
  <c r="V29" i="2"/>
  <c r="V27" i="2"/>
  <c r="V25" i="2"/>
  <c r="V23" i="2"/>
  <c r="V21" i="2"/>
  <c r="V19" i="2"/>
  <c r="V17" i="2"/>
  <c r="V15" i="2"/>
  <c r="V13" i="2"/>
  <c r="V11" i="2"/>
  <c r="V451" i="2"/>
  <c r="V441" i="2"/>
  <c r="V440" i="2"/>
  <c r="V438" i="2"/>
  <c r="V436" i="2"/>
  <c r="V434" i="2"/>
  <c r="V432" i="2"/>
  <c r="V430" i="2"/>
  <c r="V428" i="2"/>
  <c r="V424" i="2"/>
  <c r="V422" i="2"/>
  <c r="V420" i="2"/>
  <c r="V418" i="2"/>
  <c r="V416" i="2"/>
  <c r="V414" i="2"/>
  <c r="V410" i="2"/>
  <c r="V408" i="2"/>
  <c r="V406" i="2"/>
  <c r="V404" i="2"/>
  <c r="V402" i="2"/>
  <c r="V400" i="2"/>
  <c r="V398" i="2"/>
  <c r="V396" i="2"/>
  <c r="V394" i="2"/>
  <c r="V392" i="2"/>
  <c r="V390" i="2"/>
  <c r="V386" i="2"/>
  <c r="V384" i="2"/>
  <c r="V382" i="2"/>
  <c r="V380" i="2"/>
  <c r="V378" i="2"/>
  <c r="V374" i="2"/>
  <c r="V372" i="2"/>
  <c r="V370" i="2"/>
  <c r="V368" i="2"/>
  <c r="V366" i="2"/>
  <c r="V364" i="2"/>
  <c r="V362" i="2"/>
  <c r="V360" i="2"/>
  <c r="V358" i="2"/>
  <c r="I29" i="28"/>
  <c r="V439" i="2"/>
  <c r="H29" i="28"/>
  <c r="I11" i="28"/>
  <c r="V426" i="2"/>
  <c r="I34" i="28"/>
  <c r="V412" i="2"/>
  <c r="I33" i="28"/>
  <c r="V388" i="2"/>
  <c r="V376" i="2"/>
  <c r="I32" i="28"/>
  <c r="G27" i="31"/>
  <c r="G23" i="31" s="1"/>
  <c r="H31" i="28"/>
  <c r="H34" i="28"/>
  <c r="H33" i="28"/>
  <c r="H32" i="28"/>
  <c r="V357" i="2"/>
  <c r="I31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V75" i="2"/>
  <c r="V73" i="2"/>
  <c r="V71" i="2"/>
  <c r="V69" i="2"/>
  <c r="V67" i="2"/>
  <c r="I13" i="28"/>
  <c r="H12" i="28"/>
  <c r="V74" i="2"/>
  <c r="V72" i="2"/>
  <c r="V70" i="2"/>
  <c r="V68" i="2"/>
  <c r="V66" i="2"/>
  <c r="V64" i="2"/>
  <c r="V62" i="2"/>
  <c r="V60" i="2"/>
  <c r="V58" i="2"/>
  <c r="V56" i="2"/>
  <c r="V54" i="2"/>
  <c r="V52" i="2"/>
  <c r="V50" i="2"/>
  <c r="V48" i="2"/>
  <c r="V46" i="2"/>
  <c r="V44" i="2"/>
  <c r="V42" i="2"/>
  <c r="V40" i="2"/>
  <c r="V38" i="2"/>
  <c r="V36" i="2"/>
  <c r="V34" i="2"/>
  <c r="V32" i="2"/>
  <c r="V30" i="2"/>
  <c r="V28" i="2"/>
  <c r="V26" i="2"/>
  <c r="V24" i="2"/>
  <c r="V22" i="2"/>
  <c r="V20" i="2"/>
  <c r="V18" i="2"/>
  <c r="V16" i="2"/>
  <c r="V14" i="2"/>
  <c r="V12" i="2"/>
  <c r="E26" i="28"/>
  <c r="I12" i="28"/>
  <c r="D248" i="28" l="1"/>
  <c r="G97" i="31"/>
  <c r="E97" i="31" s="1"/>
  <c r="G100" i="31"/>
  <c r="E100" i="31" s="1"/>
  <c r="G83" i="31"/>
  <c r="E83" i="31" s="1"/>
  <c r="D66" i="55"/>
  <c r="J41" i="55" s="1"/>
  <c r="G66" i="55"/>
  <c r="K243" i="28"/>
  <c r="I86" i="31"/>
  <c r="J26" i="28"/>
  <c r="L36" i="28"/>
  <c r="N36" i="28"/>
  <c r="N35" i="28"/>
  <c r="J35" i="28"/>
  <c r="L35" i="28"/>
  <c r="G255" i="28"/>
  <c r="J24" i="28"/>
  <c r="J20" i="28"/>
  <c r="J23" i="28"/>
  <c r="J22" i="28"/>
  <c r="J25" i="28"/>
  <c r="J30" i="28"/>
  <c r="J21" i="28"/>
  <c r="J28" i="28"/>
  <c r="J27" i="28"/>
  <c r="M32" i="55"/>
  <c r="M34" i="55"/>
  <c r="M36" i="55" s="1"/>
  <c r="M37" i="55" s="1"/>
  <c r="M39" i="55" s="1"/>
  <c r="O32" i="55"/>
  <c r="O34" i="55" s="1"/>
  <c r="O36" i="55" s="1"/>
  <c r="O37" i="55" s="1"/>
  <c r="O39" i="55" s="1"/>
  <c r="T41" i="55"/>
  <c r="T42" i="55" s="1"/>
  <c r="X41" i="55"/>
  <c r="X42" i="55" s="1"/>
  <c r="N32" i="55"/>
  <c r="N34" i="55" s="1"/>
  <c r="N36" i="55" s="1"/>
  <c r="N37" i="55" s="1"/>
  <c r="N39" i="55" s="1"/>
  <c r="U41" i="55"/>
  <c r="U42" i="55" s="1"/>
  <c r="S41" i="55"/>
  <c r="S42" i="55" s="1"/>
  <c r="G104" i="31"/>
  <c r="R41" i="55"/>
  <c r="R42" i="55" s="1"/>
  <c r="L32" i="55"/>
  <c r="L34" i="55"/>
  <c r="L36" i="55" s="1"/>
  <c r="N64" i="1"/>
  <c r="I83" i="31"/>
  <c r="I89" i="31"/>
  <c r="E89" i="31"/>
  <c r="Y32" i="55"/>
  <c r="Y34" i="55" s="1"/>
  <c r="Y36" i="55" s="1"/>
  <c r="I100" i="31"/>
  <c r="K32" i="55"/>
  <c r="K34" i="55" s="1"/>
  <c r="K36" i="55" s="1"/>
  <c r="N29" i="28"/>
  <c r="L16" i="28"/>
  <c r="L28" i="28"/>
  <c r="L30" i="28"/>
  <c r="G14" i="31"/>
  <c r="E14" i="31" s="1"/>
  <c r="L34" i="28"/>
  <c r="N34" i="28"/>
  <c r="G32" i="31"/>
  <c r="G20" i="31"/>
  <c r="E20" i="31" s="1"/>
  <c r="N30" i="28"/>
  <c r="N26" i="28"/>
  <c r="G38" i="31"/>
  <c r="I38" i="31" s="1"/>
  <c r="N11" i="28"/>
  <c r="N28" i="28"/>
  <c r="N27" i="28"/>
  <c r="N13" i="28"/>
  <c r="L11" i="28"/>
  <c r="J16" i="28"/>
  <c r="L25" i="28"/>
  <c r="N32" i="28"/>
  <c r="G35" i="31"/>
  <c r="E35" i="31" s="1"/>
  <c r="G26" i="31"/>
  <c r="E26" i="31" s="1"/>
  <c r="G17" i="31"/>
  <c r="E17" i="31" s="1"/>
  <c r="L20" i="28"/>
  <c r="N20" i="28"/>
  <c r="J31" i="28"/>
  <c r="N33" i="28"/>
  <c r="L31" i="28"/>
  <c r="J18" i="28"/>
  <c r="N19" i="28"/>
  <c r="L23" i="28"/>
  <c r="N25" i="28"/>
  <c r="N15" i="28"/>
  <c r="N22" i="28"/>
  <c r="L27" i="28"/>
  <c r="L33" i="28"/>
  <c r="N17" i="28"/>
  <c r="N21" i="28"/>
  <c r="N24" i="28"/>
  <c r="G51" i="31"/>
  <c r="G49" i="31" s="1"/>
  <c r="E49" i="31" s="1"/>
  <c r="J15" i="28"/>
  <c r="J33" i="28"/>
  <c r="J34" i="28"/>
  <c r="J11" i="28"/>
  <c r="E255" i="28"/>
  <c r="L14" i="28"/>
  <c r="L18" i="28"/>
  <c r="N16" i="28"/>
  <c r="N23" i="28"/>
  <c r="N31" i="28"/>
  <c r="J17" i="28"/>
  <c r="J19" i="28"/>
  <c r="L15" i="28"/>
  <c r="J12" i="28"/>
  <c r="J13" i="28"/>
  <c r="N14" i="28"/>
  <c r="N18" i="28"/>
  <c r="L32" i="28"/>
  <c r="J32" i="28"/>
  <c r="L12" i="28"/>
  <c r="L13" i="28"/>
  <c r="J29" i="28"/>
  <c r="G92" i="31"/>
  <c r="E92" i="31" s="1"/>
  <c r="L29" i="28"/>
  <c r="I23" i="31"/>
  <c r="E23" i="31"/>
  <c r="L19" i="28"/>
  <c r="L22" i="28"/>
  <c r="L26" i="28"/>
  <c r="L17" i="28"/>
  <c r="L21" i="28"/>
  <c r="L24" i="28"/>
  <c r="J14" i="28"/>
  <c r="N12" i="28"/>
  <c r="C256" i="28"/>
  <c r="C254" i="28"/>
  <c r="C255" i="28"/>
  <c r="C257" i="28"/>
  <c r="E93" i="31" l="1"/>
  <c r="Y37" i="55"/>
  <c r="Y39" i="55" s="1"/>
  <c r="L79" i="55"/>
  <c r="L78" i="55"/>
  <c r="I20" i="31"/>
  <c r="I26" i="31"/>
  <c r="K51" i="31"/>
  <c r="J126" i="28" s="1"/>
  <c r="G154" i="28" s="1"/>
  <c r="N41" i="55"/>
  <c r="N42" i="55" s="1"/>
  <c r="X47" i="55"/>
  <c r="X58" i="55" s="1"/>
  <c r="X60" i="55" s="1"/>
  <c r="X62" i="55" s="1"/>
  <c r="X64" i="55" s="1"/>
  <c r="K79" i="55"/>
  <c r="K78" i="55"/>
  <c r="O41" i="55"/>
  <c r="O42" i="55" s="1"/>
  <c r="O28" i="1"/>
  <c r="O26" i="1"/>
  <c r="O54" i="1"/>
  <c r="O52" i="1"/>
  <c r="O19" i="1"/>
  <c r="O36" i="1"/>
  <c r="O33" i="1"/>
  <c r="O22" i="1"/>
  <c r="O34" i="1"/>
  <c r="O42" i="1"/>
  <c r="O38" i="1"/>
  <c r="O45" i="1"/>
  <c r="O50" i="1"/>
  <c r="O46" i="1"/>
  <c r="O60" i="1"/>
  <c r="O29" i="1"/>
  <c r="O43" i="1"/>
  <c r="O47" i="1"/>
  <c r="O25" i="1"/>
  <c r="O18" i="1"/>
  <c r="O51" i="1"/>
  <c r="O30" i="1"/>
  <c r="O39" i="1"/>
  <c r="O44" i="1"/>
  <c r="O41" i="1"/>
  <c r="O40" i="1"/>
  <c r="O53" i="1"/>
  <c r="O35" i="1"/>
  <c r="O49" i="1"/>
  <c r="O21" i="1"/>
  <c r="O37" i="1"/>
  <c r="O31" i="1"/>
  <c r="O55" i="1"/>
  <c r="O27" i="1"/>
  <c r="O20" i="1"/>
  <c r="O57" i="1"/>
  <c r="O32" i="1"/>
  <c r="O17" i="1"/>
  <c r="O58" i="1"/>
  <c r="O24" i="1"/>
  <c r="O56" i="1"/>
  <c r="O48" i="1"/>
  <c r="O23" i="1"/>
  <c r="S47" i="55"/>
  <c r="S58" i="55" s="1"/>
  <c r="S60" i="55" s="1"/>
  <c r="S62" i="55" s="1"/>
  <c r="S68" i="55" s="1"/>
  <c r="T47" i="55"/>
  <c r="T58" i="55" s="1"/>
  <c r="T60" i="55" s="1"/>
  <c r="T62" i="55" s="1"/>
  <c r="T66" i="55" s="1"/>
  <c r="Y41" i="55"/>
  <c r="Y42" i="55" s="1"/>
  <c r="U47" i="55"/>
  <c r="U58" i="55" s="1"/>
  <c r="U60" i="55" s="1"/>
  <c r="U62" i="55" s="1"/>
  <c r="U64" i="55" s="1"/>
  <c r="R47" i="55"/>
  <c r="R58" i="55" s="1"/>
  <c r="R60" i="55" s="1"/>
  <c r="R62" i="55" s="1"/>
  <c r="R64" i="55" s="1"/>
  <c r="M41" i="55"/>
  <c r="M42" i="55" s="1"/>
  <c r="E104" i="31"/>
  <c r="E32" i="31"/>
  <c r="I35" i="31"/>
  <c r="G46" i="31"/>
  <c r="I46" i="31" s="1"/>
  <c r="E38" i="31"/>
  <c r="I49" i="31"/>
  <c r="G39" i="31"/>
  <c r="D255" i="28"/>
  <c r="F255" i="28"/>
  <c r="E27" i="31"/>
  <c r="L80" i="55" l="1"/>
  <c r="T68" i="55"/>
  <c r="S66" i="55"/>
  <c r="X66" i="55"/>
  <c r="T64" i="55"/>
  <c r="X68" i="55"/>
  <c r="U66" i="55"/>
  <c r="S64" i="55"/>
  <c r="G155" i="28"/>
  <c r="G132" i="28"/>
  <c r="G143" i="28"/>
  <c r="G137" i="28"/>
  <c r="G138" i="28"/>
  <c r="G148" i="28"/>
  <c r="G136" i="28"/>
  <c r="G140" i="28"/>
  <c r="G144" i="28"/>
  <c r="G141" i="28"/>
  <c r="G134" i="28"/>
  <c r="G133" i="28"/>
  <c r="G135" i="28"/>
  <c r="G151" i="28"/>
  <c r="G150" i="28"/>
  <c r="G142" i="28"/>
  <c r="G131" i="28"/>
  <c r="G139" i="28"/>
  <c r="G149" i="28"/>
  <c r="G130" i="28"/>
  <c r="G147" i="28"/>
  <c r="G152" i="28"/>
  <c r="G145" i="28"/>
  <c r="G153" i="28"/>
  <c r="G146" i="28"/>
  <c r="M47" i="55"/>
  <c r="M58" i="55" s="1"/>
  <c r="M60" i="55" s="1"/>
  <c r="M62" i="55" s="1"/>
  <c r="M68" i="55" s="1"/>
  <c r="Y47" i="55"/>
  <c r="Y58" i="55" s="1"/>
  <c r="Y60" i="55" s="1"/>
  <c r="Y62" i="55" s="1"/>
  <c r="Y66" i="55" s="1"/>
  <c r="K80" i="55"/>
  <c r="D41" i="55" s="1"/>
  <c r="R66" i="55"/>
  <c r="U68" i="55"/>
  <c r="R68" i="55"/>
  <c r="P63" i="1"/>
  <c r="O47" i="55"/>
  <c r="O58" i="55" s="1"/>
  <c r="O60" i="55" s="1"/>
  <c r="O62" i="55" s="1"/>
  <c r="O66" i="55" s="1"/>
  <c r="N47" i="55"/>
  <c r="N58" i="55" s="1"/>
  <c r="N60" i="55" s="1"/>
  <c r="N62" i="55" s="1"/>
  <c r="N68" i="55" s="1"/>
  <c r="I51" i="31"/>
  <c r="E39" i="31"/>
  <c r="E46" i="31"/>
  <c r="E51" i="31" s="1"/>
  <c r="Y68" i="55" l="1"/>
  <c r="N64" i="55"/>
  <c r="M64" i="55"/>
  <c r="Y64" i="55"/>
  <c r="N66" i="55"/>
  <c r="O64" i="55"/>
  <c r="O68" i="55"/>
  <c r="D46" i="55"/>
  <c r="D30" i="55" s="1"/>
  <c r="D36" i="55" s="1"/>
  <c r="D43" i="55"/>
  <c r="M66" i="55"/>
  <c r="J37" i="55" l="1"/>
  <c r="Q37" i="55"/>
  <c r="Q39" i="55" s="1"/>
  <c r="W37" i="55"/>
  <c r="W39" i="55" s="1"/>
  <c r="K37" i="55"/>
  <c r="K39" i="55" s="1"/>
  <c r="L37" i="55"/>
  <c r="L39" i="55" s="1"/>
  <c r="K41" i="55" l="1"/>
  <c r="K42" i="55" s="1"/>
  <c r="W41" i="55"/>
  <c r="W42" i="55" s="1"/>
  <c r="Q41" i="55"/>
  <c r="Q42" i="55" s="1"/>
  <c r="L41" i="55"/>
  <c r="L42" i="55" s="1"/>
  <c r="W47" i="55" l="1"/>
  <c r="W58" i="55" s="1"/>
  <c r="W60" i="55" s="1"/>
  <c r="W62" i="55" s="1"/>
  <c r="W68" i="55" s="1"/>
  <c r="W66" i="55"/>
  <c r="K47" i="55"/>
  <c r="K58" i="55" s="1"/>
  <c r="K60" i="55" s="1"/>
  <c r="K62" i="55" s="1"/>
  <c r="H14" i="31" s="1"/>
  <c r="I14" i="31" s="1"/>
  <c r="L47" i="55"/>
  <c r="L58" i="55" s="1"/>
  <c r="L60" i="55" s="1"/>
  <c r="L62" i="55" s="1"/>
  <c r="H17" i="31" s="1"/>
  <c r="I17" i="31" s="1"/>
  <c r="Q47" i="55"/>
  <c r="Q58" i="55" s="1"/>
  <c r="Q60" i="55" s="1"/>
  <c r="Q62" i="55" s="1"/>
  <c r="H32" i="31" s="1"/>
  <c r="I32" i="31" s="1"/>
  <c r="I39" i="31" s="1"/>
  <c r="H80" i="31" l="1"/>
  <c r="I80" i="31" s="1"/>
  <c r="I93" i="31" s="1"/>
  <c r="H97" i="31"/>
  <c r="I97" i="31" s="1"/>
  <c r="I104" i="31" s="1"/>
  <c r="L64" i="55"/>
  <c r="K64" i="55"/>
  <c r="L68" i="55"/>
  <c r="L66" i="55"/>
  <c r="K66" i="55"/>
  <c r="I27" i="31"/>
  <c r="K27" i="31" s="1"/>
  <c r="H126" i="28" s="1"/>
  <c r="K68" i="55"/>
  <c r="Q66" i="55"/>
  <c r="Q64" i="55"/>
  <c r="Q68" i="55"/>
  <c r="W64" i="55"/>
  <c r="K39" i="31"/>
  <c r="L126" i="28" s="1"/>
  <c r="I116" i="31" l="1"/>
  <c r="I117" i="31" s="1"/>
  <c r="I118" i="31" s="1"/>
  <c r="I106" i="31"/>
  <c r="K104" i="31" s="1"/>
  <c r="O34" i="35" s="1"/>
  <c r="H154" i="28"/>
  <c r="H155" i="28"/>
  <c r="I155" i="28"/>
  <c r="I154" i="28"/>
  <c r="O36" i="35"/>
  <c r="O23" i="35"/>
  <c r="O43" i="35"/>
  <c r="O25" i="35"/>
  <c r="O33" i="35"/>
  <c r="O30" i="35"/>
  <c r="O37" i="35"/>
  <c r="I41" i="31"/>
  <c r="I126" i="28"/>
  <c r="F145" i="28" s="1"/>
  <c r="I135" i="28"/>
  <c r="I142" i="28"/>
  <c r="I130" i="28"/>
  <c r="I145" i="28"/>
  <c r="I138" i="28"/>
  <c r="I139" i="28"/>
  <c r="I153" i="28"/>
  <c r="I132" i="28"/>
  <c r="I133" i="28"/>
  <c r="I136" i="28"/>
  <c r="I140" i="28"/>
  <c r="I150" i="28"/>
  <c r="I144" i="28"/>
  <c r="I149" i="28"/>
  <c r="I148" i="28"/>
  <c r="I151" i="28"/>
  <c r="I146" i="28"/>
  <c r="I152" i="28"/>
  <c r="I137" i="28"/>
  <c r="I131" i="28"/>
  <c r="I134" i="28"/>
  <c r="I143" i="28"/>
  <c r="I141" i="28"/>
  <c r="I147" i="28"/>
  <c r="H132" i="28"/>
  <c r="H145" i="28"/>
  <c r="H136" i="28"/>
  <c r="H137" i="28"/>
  <c r="H146" i="28"/>
  <c r="H133" i="28"/>
  <c r="H153" i="28"/>
  <c r="H134" i="28"/>
  <c r="H130" i="28"/>
  <c r="H131" i="28"/>
  <c r="H149" i="28"/>
  <c r="H139" i="28"/>
  <c r="H150" i="28"/>
  <c r="H141" i="28"/>
  <c r="H152" i="28"/>
  <c r="H144" i="28"/>
  <c r="H143" i="28"/>
  <c r="H140" i="28"/>
  <c r="H138" i="28"/>
  <c r="H151" i="28"/>
  <c r="H147" i="28"/>
  <c r="H148" i="28"/>
  <c r="H135" i="28"/>
  <c r="H142" i="28"/>
  <c r="O22" i="35" l="1"/>
  <c r="O39" i="35"/>
  <c r="O31" i="35"/>
  <c r="O21" i="35"/>
  <c r="O38" i="35"/>
  <c r="O35" i="35"/>
  <c r="O26" i="35"/>
  <c r="O27" i="35"/>
  <c r="O20" i="35"/>
  <c r="O28" i="35"/>
  <c r="O41" i="35"/>
  <c r="O32" i="35"/>
  <c r="O24" i="35"/>
  <c r="O29" i="35"/>
  <c r="O42" i="35"/>
  <c r="O19" i="35"/>
  <c r="O40" i="35"/>
  <c r="G248" i="28"/>
  <c r="H248" i="28"/>
  <c r="F135" i="28"/>
  <c r="J135" i="28" s="1"/>
  <c r="F147" i="28"/>
  <c r="J147" i="28" s="1"/>
  <c r="F155" i="28"/>
  <c r="J155" i="28" s="1"/>
  <c r="F137" i="28"/>
  <c r="J137" i="28" s="1"/>
  <c r="F154" i="28"/>
  <c r="J154" i="28" s="1"/>
  <c r="J145" i="28"/>
  <c r="F130" i="28"/>
  <c r="R25" i="35"/>
  <c r="V25" i="35" s="1"/>
  <c r="P25" i="35"/>
  <c r="Q25" i="35"/>
  <c r="U25" i="35" s="1"/>
  <c r="P41" i="35"/>
  <c r="Q41" i="35"/>
  <c r="U41" i="35" s="1"/>
  <c r="R41" i="35"/>
  <c r="V41" i="35" s="1"/>
  <c r="P32" i="35"/>
  <c r="Q32" i="35"/>
  <c r="U32" i="35" s="1"/>
  <c r="R32" i="35"/>
  <c r="V32" i="35" s="1"/>
  <c r="F132" i="28"/>
  <c r="J132" i="28" s="1"/>
  <c r="F142" i="28"/>
  <c r="J142" i="28" s="1"/>
  <c r="P24" i="35"/>
  <c r="Q24" i="35"/>
  <c r="U24" i="35" s="1"/>
  <c r="R24" i="35"/>
  <c r="V24" i="35" s="1"/>
  <c r="F136" i="28"/>
  <c r="J136" i="28" s="1"/>
  <c r="P37" i="35"/>
  <c r="R37" i="35"/>
  <c r="V37" i="35" s="1"/>
  <c r="Q37" i="35"/>
  <c r="U37" i="35" s="1"/>
  <c r="R35" i="35"/>
  <c r="V35" i="35" s="1"/>
  <c r="P35" i="35"/>
  <c r="Q35" i="35"/>
  <c r="U35" i="35" s="1"/>
  <c r="P26" i="35"/>
  <c r="Q26" i="35"/>
  <c r="U26" i="35" s="1"/>
  <c r="R26" i="35"/>
  <c r="V26" i="35" s="1"/>
  <c r="R42" i="35"/>
  <c r="V42" i="35" s="1"/>
  <c r="Q42" i="35"/>
  <c r="U42" i="35" s="1"/>
  <c r="P42" i="35"/>
  <c r="F140" i="28"/>
  <c r="J140" i="28" s="1"/>
  <c r="F138" i="28"/>
  <c r="J138" i="28" s="1"/>
  <c r="R43" i="35"/>
  <c r="V43" i="35" s="1"/>
  <c r="P43" i="35"/>
  <c r="Q43" i="35"/>
  <c r="U43" i="35" s="1"/>
  <c r="F134" i="28"/>
  <c r="J134" i="28" s="1"/>
  <c r="F141" i="28"/>
  <c r="J141" i="28" s="1"/>
  <c r="F151" i="28"/>
  <c r="J151" i="28" s="1"/>
  <c r="F131" i="28"/>
  <c r="J131" i="28" s="1"/>
  <c r="F146" i="28"/>
  <c r="J146" i="28" s="1"/>
  <c r="F144" i="28"/>
  <c r="J144" i="28" s="1"/>
  <c r="P30" i="35"/>
  <c r="Q30" i="35"/>
  <c r="U30" i="35" s="1"/>
  <c r="R30" i="35"/>
  <c r="V30" i="35" s="1"/>
  <c r="R28" i="35"/>
  <c r="V28" i="35" s="1"/>
  <c r="P28" i="35"/>
  <c r="Q28" i="35"/>
  <c r="U28" i="35" s="1"/>
  <c r="P19" i="35"/>
  <c r="Q19" i="35"/>
  <c r="U19" i="35" s="1"/>
  <c r="R19" i="35"/>
  <c r="V19" i="35" s="1"/>
  <c r="P34" i="35"/>
  <c r="Q34" i="35"/>
  <c r="U34" i="35" s="1"/>
  <c r="R34" i="35"/>
  <c r="V34" i="35" s="1"/>
  <c r="F149" i="28"/>
  <c r="J149" i="28" s="1"/>
  <c r="F150" i="28"/>
  <c r="J150" i="28" s="1"/>
  <c r="F143" i="28"/>
  <c r="J143" i="28" s="1"/>
  <c r="F148" i="28"/>
  <c r="J148" i="28" s="1"/>
  <c r="P22" i="35"/>
  <c r="Q22" i="35"/>
  <c r="U22" i="35" s="1"/>
  <c r="R22" i="35"/>
  <c r="V22" i="35" s="1"/>
  <c r="P36" i="35"/>
  <c r="Q36" i="35"/>
  <c r="U36" i="35" s="1"/>
  <c r="R36" i="35"/>
  <c r="V36" i="35" s="1"/>
  <c r="P27" i="35"/>
  <c r="Q27" i="35"/>
  <c r="U27" i="35" s="1"/>
  <c r="R27" i="35"/>
  <c r="V27" i="35" s="1"/>
  <c r="F139" i="28"/>
  <c r="J139" i="28" s="1"/>
  <c r="F152" i="28"/>
  <c r="J152" i="28" s="1"/>
  <c r="F153" i="28"/>
  <c r="J153" i="28" s="1"/>
  <c r="Q38" i="35"/>
  <c r="U38" i="35" s="1"/>
  <c r="R38" i="35"/>
  <c r="V38" i="35" s="1"/>
  <c r="P38" i="35"/>
  <c r="R39" i="35"/>
  <c r="V39" i="35" s="1"/>
  <c r="Q39" i="35"/>
  <c r="U39" i="35" s="1"/>
  <c r="P39" i="35"/>
  <c r="P29" i="35"/>
  <c r="Q29" i="35"/>
  <c r="U29" i="35" s="1"/>
  <c r="R29" i="35"/>
  <c r="V29" i="35" s="1"/>
  <c r="P20" i="35"/>
  <c r="Q20" i="35"/>
  <c r="U20" i="35" s="1"/>
  <c r="R20" i="35"/>
  <c r="V20" i="35" s="1"/>
  <c r="Q31" i="35"/>
  <c r="U31" i="35" s="1"/>
  <c r="R31" i="35"/>
  <c r="V31" i="35" s="1"/>
  <c r="P31" i="35"/>
  <c r="P21" i="35"/>
  <c r="Q21" i="35"/>
  <c r="U21" i="35" s="1"/>
  <c r="R21" i="35"/>
  <c r="V21" i="35" s="1"/>
  <c r="F133" i="28"/>
  <c r="J133" i="28" s="1"/>
  <c r="I70" i="31"/>
  <c r="I71" i="31" s="1"/>
  <c r="I72" i="31" s="1"/>
  <c r="K68" i="31"/>
  <c r="P33" i="35"/>
  <c r="Q33" i="35"/>
  <c r="U33" i="35" s="1"/>
  <c r="R33" i="35"/>
  <c r="V33" i="35" s="1"/>
  <c r="Q23" i="35"/>
  <c r="U23" i="35" s="1"/>
  <c r="R23" i="35"/>
  <c r="V23" i="35" s="1"/>
  <c r="P23" i="35"/>
  <c r="P40" i="35"/>
  <c r="Q40" i="35"/>
  <c r="U40" i="35" s="1"/>
  <c r="R40" i="35"/>
  <c r="V40" i="35" s="1"/>
  <c r="F248" i="28" l="1"/>
  <c r="AC457" i="2"/>
  <c r="AC459" i="2"/>
  <c r="AC454" i="2"/>
  <c r="AC455" i="2"/>
  <c r="AC456" i="2"/>
  <c r="AC458" i="2"/>
  <c r="M134" i="28"/>
  <c r="N134" i="28" s="1"/>
  <c r="O134" i="28" s="1"/>
  <c r="AC442" i="2"/>
  <c r="AC443" i="2"/>
  <c r="AC460" i="2"/>
  <c r="AC453" i="2"/>
  <c r="AC452" i="2"/>
  <c r="AC332" i="2"/>
  <c r="AC450" i="2"/>
  <c r="AC447" i="2"/>
  <c r="AC445" i="2"/>
  <c r="AC444" i="2"/>
  <c r="AC449" i="2"/>
  <c r="AC448" i="2"/>
  <c r="AC446" i="2"/>
  <c r="AC506" i="2"/>
  <c r="AC505" i="2"/>
  <c r="AC502" i="2"/>
  <c r="AC504" i="2"/>
  <c r="AC503" i="2"/>
  <c r="AC494" i="2"/>
  <c r="AC497" i="2"/>
  <c r="AC495" i="2"/>
  <c r="AC499" i="2"/>
  <c r="AC500" i="2"/>
  <c r="AC498" i="2"/>
  <c r="AC496" i="2"/>
  <c r="AC501" i="2"/>
  <c r="AC490" i="2"/>
  <c r="AC491" i="2"/>
  <c r="AC492" i="2"/>
  <c r="AC493" i="2"/>
  <c r="AC488" i="2"/>
  <c r="AC489" i="2"/>
  <c r="AC486" i="2"/>
  <c r="AC487" i="2"/>
  <c r="AC477" i="2"/>
  <c r="AC483" i="2"/>
  <c r="AC479" i="2"/>
  <c r="AC478" i="2"/>
  <c r="AC481" i="2"/>
  <c r="AC480" i="2"/>
  <c r="AC482" i="2"/>
  <c r="AC485" i="2"/>
  <c r="AC484" i="2"/>
  <c r="AC476" i="2"/>
  <c r="AC474" i="2"/>
  <c r="AC471" i="2"/>
  <c r="AC473" i="2"/>
  <c r="AC470" i="2"/>
  <c r="AC469" i="2"/>
  <c r="AC472" i="2"/>
  <c r="AC475" i="2"/>
  <c r="AC465" i="2"/>
  <c r="AC468" i="2"/>
  <c r="AC466" i="2"/>
  <c r="AC467" i="2"/>
  <c r="AC464" i="2"/>
  <c r="AC463" i="2"/>
  <c r="AC461" i="2"/>
  <c r="AC462" i="2"/>
  <c r="X33" i="35"/>
  <c r="M145" i="28" s="1"/>
  <c r="N145" i="28" s="1"/>
  <c r="O145" i="28" s="1"/>
  <c r="T33" i="35"/>
  <c r="X42" i="35"/>
  <c r="M154" i="28" s="1"/>
  <c r="N154" i="28" s="1"/>
  <c r="O154" i="28" s="1"/>
  <c r="T42" i="35"/>
  <c r="X40" i="35"/>
  <c r="T40" i="35"/>
  <c r="X29" i="35"/>
  <c r="M133" i="28" s="1"/>
  <c r="T29" i="35"/>
  <c r="X22" i="35"/>
  <c r="M152" i="28" s="1"/>
  <c r="N152" i="28" s="1"/>
  <c r="O152" i="28" s="1"/>
  <c r="T22" i="35"/>
  <c r="X43" i="35"/>
  <c r="M155" i="28" s="1"/>
  <c r="T43" i="35"/>
  <c r="X24" i="35"/>
  <c r="M144" i="28" s="1"/>
  <c r="N144" i="28" s="1"/>
  <c r="O144" i="28" s="1"/>
  <c r="T24" i="35"/>
  <c r="X31" i="35"/>
  <c r="M138" i="28" s="1"/>
  <c r="N138" i="28" s="1"/>
  <c r="O138" i="28" s="1"/>
  <c r="T31" i="35"/>
  <c r="X23" i="35"/>
  <c r="M153" i="28" s="1"/>
  <c r="N153" i="28" s="1"/>
  <c r="O153" i="28" s="1"/>
  <c r="T23" i="35"/>
  <c r="X39" i="35"/>
  <c r="T39" i="35"/>
  <c r="X37" i="35"/>
  <c r="M139" i="28" s="1"/>
  <c r="N139" i="28" s="1"/>
  <c r="O139" i="28" s="1"/>
  <c r="T37" i="35"/>
  <c r="X25" i="35"/>
  <c r="M147" i="28" s="1"/>
  <c r="N147" i="28" s="1"/>
  <c r="O147" i="28" s="1"/>
  <c r="T25" i="35"/>
  <c r="X21" i="35"/>
  <c r="M149" i="28" s="1"/>
  <c r="N149" i="28" s="1"/>
  <c r="O149" i="28" s="1"/>
  <c r="T21" i="35"/>
  <c r="AC51" i="2"/>
  <c r="AC145" i="2"/>
  <c r="AC91" i="2"/>
  <c r="AC356" i="2"/>
  <c r="AC413" i="2"/>
  <c r="AC54" i="2"/>
  <c r="AC370" i="2"/>
  <c r="AC85" i="2"/>
  <c r="AC364" i="2"/>
  <c r="AC27" i="2"/>
  <c r="AC393" i="2"/>
  <c r="AC12" i="2"/>
  <c r="AC140" i="2"/>
  <c r="AC321" i="2"/>
  <c r="AC161" i="2"/>
  <c r="AC408" i="2"/>
  <c r="AC302" i="2"/>
  <c r="AC30" i="2"/>
  <c r="AC158" i="2"/>
  <c r="AC350" i="2"/>
  <c r="AC198" i="2"/>
  <c r="AC262" i="2"/>
  <c r="AC267" i="2"/>
  <c r="AC180" i="2"/>
  <c r="AC312" i="2"/>
  <c r="AC247" i="2"/>
  <c r="AC131" i="2"/>
  <c r="AC209" i="2"/>
  <c r="AC79" i="2"/>
  <c r="AC163" i="2"/>
  <c r="AC45" i="2"/>
  <c r="AC173" i="2"/>
  <c r="AC392" i="2"/>
  <c r="AC406" i="2"/>
  <c r="AC365" i="2"/>
  <c r="AC300" i="2"/>
  <c r="AC239" i="2"/>
  <c r="AC119" i="2"/>
  <c r="AC380" i="2"/>
  <c r="AC307" i="2"/>
  <c r="AC385" i="2"/>
  <c r="AC256" i="2"/>
  <c r="AC16" i="2"/>
  <c r="AC80" i="2"/>
  <c r="AC144" i="2"/>
  <c r="AC211" i="2"/>
  <c r="AC329" i="2"/>
  <c r="AC41" i="2"/>
  <c r="AC169" i="2"/>
  <c r="AC401" i="2"/>
  <c r="AC404" i="2"/>
  <c r="AC363" i="2"/>
  <c r="AC298" i="2"/>
  <c r="AC34" i="2"/>
  <c r="AC98" i="2"/>
  <c r="AC162" i="2"/>
  <c r="AC378" i="2"/>
  <c r="AC339" i="2"/>
  <c r="AC122" i="2"/>
  <c r="AC194" i="2"/>
  <c r="AC138" i="2"/>
  <c r="AC419" i="2"/>
  <c r="AC17" i="2"/>
  <c r="AC374" i="2"/>
  <c r="AC224" i="2"/>
  <c r="AC241" i="2"/>
  <c r="AC39" i="2"/>
  <c r="AC115" i="2"/>
  <c r="AC53" i="2"/>
  <c r="AC361" i="2"/>
  <c r="AC28" i="2"/>
  <c r="AC156" i="2"/>
  <c r="AC354" i="2"/>
  <c r="AC193" i="2"/>
  <c r="AC432" i="2"/>
  <c r="AC286" i="2"/>
  <c r="AC46" i="2"/>
  <c r="AC174" i="2"/>
  <c r="AC334" i="2"/>
  <c r="AC166" i="2"/>
  <c r="AC294" i="2"/>
  <c r="AC177" i="2"/>
  <c r="AC148" i="2"/>
  <c r="AC377" i="2"/>
  <c r="AC187" i="2"/>
  <c r="AC99" i="2"/>
  <c r="AC191" i="2"/>
  <c r="AC63" i="2"/>
  <c r="AC139" i="2"/>
  <c r="AC61" i="2"/>
  <c r="AC189" i="2"/>
  <c r="AC360" i="2"/>
  <c r="AC451" i="2"/>
  <c r="AC357" i="2"/>
  <c r="AC292" i="2"/>
  <c r="AC155" i="2"/>
  <c r="AC87" i="2"/>
  <c r="AC37" i="2"/>
  <c r="AC417" i="2"/>
  <c r="AC369" i="2"/>
  <c r="AC244" i="2"/>
  <c r="AC24" i="2"/>
  <c r="AC88" i="2"/>
  <c r="AC152" i="2"/>
  <c r="AC227" i="2"/>
  <c r="AC346" i="2"/>
  <c r="AC57" i="2"/>
  <c r="AC185" i="2"/>
  <c r="AC368" i="2"/>
  <c r="AC440" i="2"/>
  <c r="AC355" i="2"/>
  <c r="AC290" i="2"/>
  <c r="AC236" i="2"/>
  <c r="AC42" i="2"/>
  <c r="AC106" i="2"/>
  <c r="AC170" i="2"/>
  <c r="AC390" i="2"/>
  <c r="AC358" i="2"/>
  <c r="AC196" i="2"/>
  <c r="AC342" i="2"/>
  <c r="AC278" i="2"/>
  <c r="AC164" i="2"/>
  <c r="AC331" i="2"/>
  <c r="AC117" i="2"/>
  <c r="AC328" i="2"/>
  <c r="AC44" i="2"/>
  <c r="AC172" i="2"/>
  <c r="AC386" i="2"/>
  <c r="AC399" i="2"/>
  <c r="AC270" i="2"/>
  <c r="AC62" i="2"/>
  <c r="AC190" i="2"/>
  <c r="AC317" i="2"/>
  <c r="AC134" i="2"/>
  <c r="AC326" i="2"/>
  <c r="AC113" i="2"/>
  <c r="AC116" i="2"/>
  <c r="AC418" i="2"/>
  <c r="AC67" i="2"/>
  <c r="AC175" i="2"/>
  <c r="AC47" i="2"/>
  <c r="AC107" i="2"/>
  <c r="AC77" i="2"/>
  <c r="AC205" i="2"/>
  <c r="AC327" i="2"/>
  <c r="AC428" i="2"/>
  <c r="AC349" i="2"/>
  <c r="AC284" i="2"/>
  <c r="AC83" i="2"/>
  <c r="AC55" i="2"/>
  <c r="AC69" i="2"/>
  <c r="AC344" i="2"/>
  <c r="AC353" i="2"/>
  <c r="AC32" i="2"/>
  <c r="AC96" i="2"/>
  <c r="AC160" i="2"/>
  <c r="AC362" i="2"/>
  <c r="AC73" i="2"/>
  <c r="AC201" i="2"/>
  <c r="AC336" i="2"/>
  <c r="AC423" i="2"/>
  <c r="AC347" i="2"/>
  <c r="AC282" i="2"/>
  <c r="AC228" i="2"/>
  <c r="AC50" i="2"/>
  <c r="AC114" i="2"/>
  <c r="AC178" i="2"/>
  <c r="AC168" i="2"/>
  <c r="AC407" i="2"/>
  <c r="AC186" i="2"/>
  <c r="AC258" i="2"/>
  <c r="AC261" i="2"/>
  <c r="AC293" i="2"/>
  <c r="AC68" i="2"/>
  <c r="AC309" i="2"/>
  <c r="AC343" i="2"/>
  <c r="AC100" i="2"/>
  <c r="AC199" i="2"/>
  <c r="AC181" i="2"/>
  <c r="AC296" i="2"/>
  <c r="AC60" i="2"/>
  <c r="AC188" i="2"/>
  <c r="AC438" i="2"/>
  <c r="AC299" i="2"/>
  <c r="AC383" i="2"/>
  <c r="AC254" i="2"/>
  <c r="AC78" i="2"/>
  <c r="AC207" i="2"/>
  <c r="AC301" i="2"/>
  <c r="AC102" i="2"/>
  <c r="AC359" i="2"/>
  <c r="AC49" i="2"/>
  <c r="AC84" i="2"/>
  <c r="AC372" i="2"/>
  <c r="AC441" i="2"/>
  <c r="AC35" i="2"/>
  <c r="AC159" i="2"/>
  <c r="AC31" i="2"/>
  <c r="AC75" i="2"/>
  <c r="AC93" i="2"/>
  <c r="AC237" i="2"/>
  <c r="AC411" i="2"/>
  <c r="AC341" i="2"/>
  <c r="AC276" i="2"/>
  <c r="AC19" i="2"/>
  <c r="AC23" i="2"/>
  <c r="AC101" i="2"/>
  <c r="AC337" i="2"/>
  <c r="AC40" i="2"/>
  <c r="AC104" i="2"/>
  <c r="AC249" i="2"/>
  <c r="AC89" i="2"/>
  <c r="AC58" i="2"/>
  <c r="AC426" i="2"/>
  <c r="AC310" i="2"/>
  <c r="AC22" i="2"/>
  <c r="AC223" i="2"/>
  <c r="AC280" i="2"/>
  <c r="AC277" i="2"/>
  <c r="AC415" i="2"/>
  <c r="AC36" i="2"/>
  <c r="AC135" i="2"/>
  <c r="AC275" i="2"/>
  <c r="AC264" i="2"/>
  <c r="AC76" i="2"/>
  <c r="AC204" i="2"/>
  <c r="AC33" i="2"/>
  <c r="AC434" i="2"/>
  <c r="AC367" i="2"/>
  <c r="AC238" i="2"/>
  <c r="AC94" i="2"/>
  <c r="AC430" i="2"/>
  <c r="AC285" i="2"/>
  <c r="AC70" i="2"/>
  <c r="AC391" i="2"/>
  <c r="AC405" i="2"/>
  <c r="AC52" i="2"/>
  <c r="AC149" i="2"/>
  <c r="AC315" i="2"/>
  <c r="AC396" i="2"/>
  <c r="AC143" i="2"/>
  <c r="AC15" i="2"/>
  <c r="AC43" i="2"/>
  <c r="AC109" i="2"/>
  <c r="AC259" i="2"/>
  <c r="AC439" i="2"/>
  <c r="AC397" i="2"/>
  <c r="AC333" i="2"/>
  <c r="AC268" i="2"/>
  <c r="AC279" i="2"/>
  <c r="AC255" i="2"/>
  <c r="AC133" i="2"/>
  <c r="AC427" i="2"/>
  <c r="AC320" i="2"/>
  <c r="AC230" i="2"/>
  <c r="AC48" i="2"/>
  <c r="AC112" i="2"/>
  <c r="AC176" i="2"/>
  <c r="AC265" i="2"/>
  <c r="AC394" i="2"/>
  <c r="AC105" i="2"/>
  <c r="AC251" i="2"/>
  <c r="AC437" i="2"/>
  <c r="AC395" i="2"/>
  <c r="AC330" i="2"/>
  <c r="AC266" i="2"/>
  <c r="AC130" i="2"/>
  <c r="AC325" i="2"/>
  <c r="AC416" i="2"/>
  <c r="AC86" i="2"/>
  <c r="AC221" i="2"/>
  <c r="AC245" i="2"/>
  <c r="AC319" i="2"/>
  <c r="AC71" i="2"/>
  <c r="AC376" i="2"/>
  <c r="AC240" i="2"/>
  <c r="AC92" i="2"/>
  <c r="AC235" i="2"/>
  <c r="AC65" i="2"/>
  <c r="AC352" i="2"/>
  <c r="AC351" i="2"/>
  <c r="AC232" i="2"/>
  <c r="AC110" i="2"/>
  <c r="AC398" i="2"/>
  <c r="AC269" i="2"/>
  <c r="AC38" i="2"/>
  <c r="AC400" i="2"/>
  <c r="AC338" i="2"/>
  <c r="AC20" i="2"/>
  <c r="AC21" i="2"/>
  <c r="AC271" i="2"/>
  <c r="AC295" i="2"/>
  <c r="AC127" i="2"/>
  <c r="AC287" i="2"/>
  <c r="AC11" i="2"/>
  <c r="AC125" i="2"/>
  <c r="AC291" i="2"/>
  <c r="AC431" i="2"/>
  <c r="AC389" i="2"/>
  <c r="AC324" i="2"/>
  <c r="AC260" i="2"/>
  <c r="AC225" i="2"/>
  <c r="AC179" i="2"/>
  <c r="AC165" i="2"/>
  <c r="AC410" i="2"/>
  <c r="AC304" i="2"/>
  <c r="AC222" i="2"/>
  <c r="AC56" i="2"/>
  <c r="AC120" i="2"/>
  <c r="AC184" i="2"/>
  <c r="AC281" i="2"/>
  <c r="AC421" i="2"/>
  <c r="AC121" i="2"/>
  <c r="AC283" i="2"/>
  <c r="AC429" i="2"/>
  <c r="AC387" i="2"/>
  <c r="AC322" i="2"/>
  <c r="AC202" i="2"/>
  <c r="AC132" i="2"/>
  <c r="AC305" i="2"/>
  <c r="AC246" i="2"/>
  <c r="AC167" i="2"/>
  <c r="AC182" i="2"/>
  <c r="AC213" i="2"/>
  <c r="AC345" i="2"/>
  <c r="AC303" i="2"/>
  <c r="AC435" i="2"/>
  <c r="AC234" i="2"/>
  <c r="AC108" i="2"/>
  <c r="AC257" i="2"/>
  <c r="AC97" i="2"/>
  <c r="AC335" i="2"/>
  <c r="AC216" i="2"/>
  <c r="AC126" i="2"/>
  <c r="AC382" i="2"/>
  <c r="AC253" i="2"/>
  <c r="AC208" i="2"/>
  <c r="AC433" i="2"/>
  <c r="AC273" i="2"/>
  <c r="AC226" i="2"/>
  <c r="AC217" i="2"/>
  <c r="AC203" i="2"/>
  <c r="AC263" i="2"/>
  <c r="AC111" i="2"/>
  <c r="AC233" i="2"/>
  <c r="AC13" i="2"/>
  <c r="AC141" i="2"/>
  <c r="AC340" i="2"/>
  <c r="AC422" i="2"/>
  <c r="AC381" i="2"/>
  <c r="AC316" i="2"/>
  <c r="AC252" i="2"/>
  <c r="AC183" i="2"/>
  <c r="AC123" i="2"/>
  <c r="AC197" i="2"/>
  <c r="AC436" i="2"/>
  <c r="AC288" i="2"/>
  <c r="AC214" i="2"/>
  <c r="AC64" i="2"/>
  <c r="AC128" i="2"/>
  <c r="AC192" i="2"/>
  <c r="AC297" i="2"/>
  <c r="AC425" i="2"/>
  <c r="AC137" i="2"/>
  <c r="AC323" i="2"/>
  <c r="AC420" i="2"/>
  <c r="AC379" i="2"/>
  <c r="AC314" i="2"/>
  <c r="AC250" i="2"/>
  <c r="AC18" i="2"/>
  <c r="AC82" i="2"/>
  <c r="AC146" i="2"/>
  <c r="AC215" i="2"/>
  <c r="AC154" i="2"/>
  <c r="AC229" i="2"/>
  <c r="AC220" i="2"/>
  <c r="AC66" i="2"/>
  <c r="AC150" i="2"/>
  <c r="AC210" i="2"/>
  <c r="AC375" i="2"/>
  <c r="AC118" i="2"/>
  <c r="AC81" i="2"/>
  <c r="AC311" i="2"/>
  <c r="AC147" i="2"/>
  <c r="AC402" i="2"/>
  <c r="AC218" i="2"/>
  <c r="AC124" i="2"/>
  <c r="AC289" i="2"/>
  <c r="AC129" i="2"/>
  <c r="AC424" i="2"/>
  <c r="AC318" i="2"/>
  <c r="AC14" i="2"/>
  <c r="AC142" i="2"/>
  <c r="AC366" i="2"/>
  <c r="AC384" i="2"/>
  <c r="AC219" i="2"/>
  <c r="AC248" i="2"/>
  <c r="AC103" i="2"/>
  <c r="AC171" i="2"/>
  <c r="AC95" i="2"/>
  <c r="AC195" i="2"/>
  <c r="AC29" i="2"/>
  <c r="AC157" i="2"/>
  <c r="AC409" i="2"/>
  <c r="AC414" i="2"/>
  <c r="AC373" i="2"/>
  <c r="AC308" i="2"/>
  <c r="AC348" i="2"/>
  <c r="AC151" i="2"/>
  <c r="AC59" i="2"/>
  <c r="AC243" i="2"/>
  <c r="AC403" i="2"/>
  <c r="AC272" i="2"/>
  <c r="AC206" i="2"/>
  <c r="AC72" i="2"/>
  <c r="AC136" i="2"/>
  <c r="AC200" i="2"/>
  <c r="AC313" i="2"/>
  <c r="AC25" i="2"/>
  <c r="AC153" i="2"/>
  <c r="AC388" i="2"/>
  <c r="AC412" i="2"/>
  <c r="AC371" i="2"/>
  <c r="AC306" i="2"/>
  <c r="AC242" i="2"/>
  <c r="AC26" i="2"/>
  <c r="AC90" i="2"/>
  <c r="AC231" i="2"/>
  <c r="AC274" i="2"/>
  <c r="AC212" i="2"/>
  <c r="AC74" i="2"/>
  <c r="J130" i="28"/>
  <c r="X28" i="35"/>
  <c r="M130" i="28" s="1"/>
  <c r="T28" i="35"/>
  <c r="X41" i="35"/>
  <c r="M148" i="28" s="1"/>
  <c r="N148" i="28" s="1"/>
  <c r="O148" i="28" s="1"/>
  <c r="T41" i="35"/>
  <c r="X36" i="35"/>
  <c r="M141" i="28" s="1"/>
  <c r="T36" i="35"/>
  <c r="X34" i="35"/>
  <c r="M135" i="28" s="1"/>
  <c r="N135" i="28" s="1"/>
  <c r="O135" i="28" s="1"/>
  <c r="T34" i="35"/>
  <c r="M142" i="28"/>
  <c r="N142" i="28" s="1"/>
  <c r="O142" i="28" s="1"/>
  <c r="X30" i="35"/>
  <c r="M136" i="28" s="1"/>
  <c r="N136" i="28" s="1"/>
  <c r="O136" i="28" s="1"/>
  <c r="T30" i="35"/>
  <c r="X26" i="35"/>
  <c r="M140" i="28" s="1"/>
  <c r="N140" i="28" s="1"/>
  <c r="O140" i="28" s="1"/>
  <c r="T26" i="35"/>
  <c r="X38" i="35"/>
  <c r="M131" i="28" s="1"/>
  <c r="N131" i="28" s="1"/>
  <c r="O131" i="28" s="1"/>
  <c r="T38" i="35"/>
  <c r="X32" i="35"/>
  <c r="M146" i="28" s="1"/>
  <c r="N146" i="28" s="1"/>
  <c r="O146" i="28" s="1"/>
  <c r="T32" i="35"/>
  <c r="X27" i="35"/>
  <c r="M151" i="28" s="1"/>
  <c r="N151" i="28" s="1"/>
  <c r="O151" i="28" s="1"/>
  <c r="T27" i="35"/>
  <c r="X20" i="35"/>
  <c r="M150" i="28" s="1"/>
  <c r="N150" i="28" s="1"/>
  <c r="O150" i="28" s="1"/>
  <c r="T20" i="35"/>
  <c r="X19" i="35"/>
  <c r="T19" i="35"/>
  <c r="X35" i="35"/>
  <c r="M132" i="28" s="1"/>
  <c r="N132" i="28" s="1"/>
  <c r="O132" i="28" s="1"/>
  <c r="T35" i="35"/>
  <c r="N155" i="28" l="1"/>
  <c r="O155" i="28" s="1"/>
  <c r="I248" i="28"/>
  <c r="J243" i="28"/>
  <c r="N130" i="28"/>
  <c r="N133" i="28"/>
  <c r="O133" i="28" s="1"/>
  <c r="N141" i="28"/>
  <c r="O141" i="28" s="1"/>
  <c r="M137" i="28"/>
  <c r="N137" i="28" s="1"/>
  <c r="O137" i="28" s="1"/>
  <c r="K116" i="31"/>
  <c r="M143" i="28"/>
  <c r="N143" i="28" s="1"/>
  <c r="O143" i="28" s="1"/>
  <c r="N243" i="28" l="1"/>
  <c r="O130" i="28"/>
  <c r="N248" i="28"/>
  <c r="M248" i="28"/>
  <c r="M243" i="28"/>
  <c r="M251" i="28" l="1"/>
  <c r="N251" i="28"/>
  <c r="N255" i="28" s="1"/>
  <c r="I251" i="28" l="1"/>
</calcChain>
</file>

<file path=xl/sharedStrings.xml><?xml version="1.0" encoding="utf-8"?>
<sst xmlns="http://schemas.openxmlformats.org/spreadsheetml/2006/main" count="3708" uniqueCount="1093">
  <si>
    <t>Tabblad: Voorblad</t>
  </si>
  <si>
    <t>Tabblad: 1.2-Kengetal</t>
  </si>
  <si>
    <t>Tabblad: 1.3-Basis ruimtestaat</t>
  </si>
  <si>
    <t>Vul de naam van uw organisatie in bij: "Naam Inschrijver"</t>
  </si>
  <si>
    <t xml:space="preserve">STAP 1: Voer in de gekleurde cellen de gevraagde kengetallen in </t>
  </si>
  <si>
    <t xml:space="preserve">STAP 2: De ingevoerde kengetallen worden automatisch geplaatst in het tabblad 1.3-Basisruimtestaat. Het aantal productie-uren per jaar wordt op ruimteniveau weergegeven. </t>
  </si>
  <si>
    <t>Volg de stappen 1 t/m 8 om de calcualtie</t>
  </si>
  <si>
    <t>Tabblad: 1.4-opbouw uurtarieven</t>
  </si>
  <si>
    <t>Tabblad: 1.4-Opbouw uurtarieven</t>
  </si>
  <si>
    <t>in te voeren.</t>
  </si>
  <si>
    <t>STAP 3: Voer in de gekleurde cellen de gevraagde informatie in. Let op: in de niet gekleurde cellen zijn formules of koppelingen aanwezig, deze mogen niet worden verwijderd of aangepast.</t>
  </si>
  <si>
    <t>STAP 4: Selecteer een loongroep medewerker in de cellen "Selecteer categorie medewerker". Voer in de gekleurde cellen de gevraagde informatie in. Let op: in de niet gekleurde cellen zijn formules of koppelingen aanwezig, deze mogen niet worden verwijderd of aangepast.</t>
  </si>
  <si>
    <t>Op ieder tabblad is een kortetoelichting</t>
  </si>
  <si>
    <t>aanwezig. Selecteer de cel "Toelichting"</t>
  </si>
  <si>
    <t>om de informatie te lezen.</t>
  </si>
  <si>
    <t>Toelichting</t>
  </si>
  <si>
    <t>= invulvelden</t>
  </si>
  <si>
    <t>Tabblad: 1.5-Afroep prijzen</t>
  </si>
  <si>
    <t>Tabblad: 1.6-Glasbewassing</t>
  </si>
  <si>
    <t>STAP 6: Voer in de gekleurde cellen de gevraagde informatie in. Let op: in de niet gekleurde cellen zijn formules of koppelingen aanwezig, deze mogen niet worden verwijderd of aangepast.</t>
  </si>
  <si>
    <t>STAP 7: Voer in de gekleurde cellen de gevraagde informatie in. Let op: in de niet gekleurde cellen zijn formules of koppelingen aanwezig, deze mogen niet worden verwijderd of aangepast.</t>
  </si>
  <si>
    <t xml:space="preserve">Overal waar inhet Calculatiemodul in de  invoervelden aanwezig zijn, dient een getal (niet zijnde nul (0)) te worden ingevuld. </t>
  </si>
  <si>
    <t>Tabblad: 1.0-Contractblad</t>
  </si>
  <si>
    <t>Tabblad: 1.1-Jaarprijzen</t>
  </si>
  <si>
    <t>Opmerking:</t>
  </si>
  <si>
    <t>In het contractblad wordt automatisch het aantal m2 glas weergegeven (indien van toepassing).</t>
  </si>
  <si>
    <t>STAP 8: Selecteer "Selecteer categorie medewerker" om een loongroep medewerker. Het uurtarief wordt automatisch geplaats. Vul het percentage in van het aantal in te zetten uren en het jaarbedrag wordt gecalculeerd.</t>
  </si>
  <si>
    <t>In dit tabblad wordt een recapitulatie van alle calcuatiegegevens weeergegeven</t>
  </si>
  <si>
    <t>In het tabblad 1.1-Jaarprijzen wordt een totaal overzicht per locatie</t>
  </si>
  <si>
    <t>weergegeven. Hier behoeft niets te worden ingevoerd.</t>
  </si>
  <si>
    <t>Calculatiemodule</t>
  </si>
  <si>
    <t>Schoonmaakonderhoud</t>
  </si>
  <si>
    <t>&amp;</t>
  </si>
  <si>
    <t>Glasbewassing</t>
  </si>
  <si>
    <t>HHNK bedrijfsgebouwen van werven en RWZI's</t>
  </si>
  <si>
    <t>Naam inschrijver</t>
  </si>
  <si>
    <t>Prijspeil</t>
  </si>
  <si>
    <t>Versie</t>
  </si>
  <si>
    <t>Mutatiebericht</t>
  </si>
  <si>
    <t>Verwerkt in ruimtestaat</t>
  </si>
  <si>
    <t>Omschrijving blad</t>
  </si>
  <si>
    <t>Contractblad jaarprijs schoonmaak &amp; Glasbewassing</t>
  </si>
  <si>
    <t>Naam opdrachtgever</t>
  </si>
  <si>
    <t>Adres/plaats</t>
  </si>
  <si>
    <t>Heerhugowaard</t>
  </si>
  <si>
    <t>Naam leverancier</t>
  </si>
  <si>
    <t>JAARPRIJS SCHOONMAAK</t>
  </si>
  <si>
    <t>Categorie/medewerker</t>
  </si>
  <si>
    <t>Percentage inzet medewerkers</t>
  </si>
  <si>
    <t>Aantal uren per dag</t>
  </si>
  <si>
    <t>Aantal dagen per jaar</t>
  </si>
  <si>
    <t>Aantal uren per jaar</t>
  </si>
  <si>
    <t>Tarief</t>
  </si>
  <si>
    <t>Prijs per jaar</t>
  </si>
  <si>
    <t>PRODUCTIE-UREN MAANDAG-VRIJDAG 06:00-21:30 uur</t>
  </si>
  <si>
    <t>Selecteer tarief uitvoerend</t>
  </si>
  <si>
    <t>TOEZICHT-UREN MAANDAG-VRIJDAG 06:00-21:30 uur</t>
  </si>
  <si>
    <t>Selecteer tarief toezicht</t>
  </si>
  <si>
    <t>SUBTOTAAL</t>
  </si>
  <si>
    <t>PRODUCTIE-UREN ZATERDAG - ZONDAG 06:00-21:30 uur</t>
  </si>
  <si>
    <t>Mutatie in schoonmaakcontract volgens blad 1.1b Overzicht mutaties</t>
  </si>
  <si>
    <t>ADDITIONELE PROJECTGEBONDEN SCHOONMAAKWERKZAAMHEDEN</t>
  </si>
  <si>
    <t>uren per jaar</t>
  </si>
  <si>
    <t>tarief per uur</t>
  </si>
  <si>
    <t>1.</t>
  </si>
  <si>
    <t>2.</t>
  </si>
  <si>
    <t>3.</t>
  </si>
  <si>
    <t>TOTAAL KOSTEN PER JAAR EXCLUSIEF BTW</t>
  </si>
  <si>
    <t>B.T.W.</t>
  </si>
  <si>
    <t>Totale kosten per jaar inclusief B.T.W.</t>
  </si>
  <si>
    <t>JAARPRIJS GLASBEWASSING</t>
  </si>
  <si>
    <t>Aantal uren gemiddeld per wasbeurt</t>
  </si>
  <si>
    <t>Selecteer tarief glazenwasser</t>
  </si>
  <si>
    <t>INZET ARBEIDSMIDDELEN</t>
  </si>
  <si>
    <t>Volgens specificatie blad 1.8-Glasbewassing</t>
  </si>
  <si>
    <t>Totaal oppervlakte binnen-/ buiten-/ en separatieglas</t>
  </si>
  <si>
    <t>m2</t>
  </si>
  <si>
    <t xml:space="preserve"> </t>
  </si>
  <si>
    <t></t>
  </si>
  <si>
    <t>Jaarkosten per locatie</t>
  </si>
  <si>
    <t>GEBOUW</t>
  </si>
  <si>
    <t>Adres</t>
  </si>
  <si>
    <t>Plaats</t>
  </si>
  <si>
    <t>Vloeropp in onderhoud</t>
  </si>
  <si>
    <t>Vloeropp niet in onderhoud</t>
  </si>
  <si>
    <t>Productie uren  regulier ma t/m vr</t>
  </si>
  <si>
    <t>Productie uren  perdiodiek</t>
  </si>
  <si>
    <t>Productie uren  weekend</t>
  </si>
  <si>
    <t>Afronding van taak-uren</t>
  </si>
  <si>
    <t>Toezicht uren ma-vr</t>
  </si>
  <si>
    <t>M2 glas binnen- buitenzijde en separatieglas</t>
  </si>
  <si>
    <t>Gewogen gemiddelde obv vloeropp in onderhoud</t>
  </si>
  <si>
    <t xml:space="preserve">RWZI Katwoude </t>
  </si>
  <si>
    <t>Wagenweg 11</t>
  </si>
  <si>
    <t>1145 PW Katwoude</t>
  </si>
  <si>
    <t>Werf Kwadijk</t>
  </si>
  <si>
    <t>Kwadijkerweg 3</t>
  </si>
  <si>
    <t>1461 DW Zuidoostbeemster</t>
  </si>
  <si>
    <t>RWZI Zuidoostbeemster</t>
  </si>
  <si>
    <t>Zuiderweg 44</t>
  </si>
  <si>
    <t xml:space="preserve">1461 GD Zuidoostbeemster </t>
  </si>
  <si>
    <t>RWZI Oosthuizen</t>
  </si>
  <si>
    <t>Beetsdijkje 2</t>
  </si>
  <si>
    <t>1474 HM Oosthuizen</t>
  </si>
  <si>
    <t>RWZI Zaandam Oost Slibgistinggebouw</t>
  </si>
  <si>
    <t>Poelenburg 467</t>
  </si>
  <si>
    <t>1504 NX Zaandam</t>
  </si>
  <si>
    <t>RWZI Zaandam-Oost</t>
  </si>
  <si>
    <t>Poelenburg 46</t>
  </si>
  <si>
    <t>RWZI Ursem</t>
  </si>
  <si>
    <t>Het Gors 1</t>
  </si>
  <si>
    <t>1645 RJ  Ursem</t>
  </si>
  <si>
    <t>Werf Zwaagdijk</t>
  </si>
  <si>
    <t>Zwaagdijk 390</t>
  </si>
  <si>
    <t>1686 PH Zwaag</t>
  </si>
  <si>
    <t>RWZI Wervershoof</t>
  </si>
  <si>
    <t>Ketellap 1</t>
  </si>
  <si>
    <t>1693 HC Wervershoof</t>
  </si>
  <si>
    <t>Werf Dirkshorn</t>
  </si>
  <si>
    <t>C. de Vriesweg 11-13</t>
  </si>
  <si>
    <t>1746 CL Dirkshorn</t>
  </si>
  <si>
    <t>RWZI Geestmerambacht</t>
  </si>
  <si>
    <t>Huiskebuurtweg 4</t>
  </si>
  <si>
    <t>1749 CL Warmenhuizen</t>
  </si>
  <si>
    <t>Werf Anna Paulowna</t>
  </si>
  <si>
    <t>Van Ewijcksvaart 3a</t>
  </si>
  <si>
    <t>1761 JS Anna Paulowna</t>
  </si>
  <si>
    <t>Oude Zeug Muskusrattenbestrijders</t>
  </si>
  <si>
    <t>Noorderdijkweg 12</t>
  </si>
  <si>
    <t>1771 MJ Wieringerwerf</t>
  </si>
  <si>
    <t>Betonloods Ulkesluis</t>
  </si>
  <si>
    <t>Amstelmeerweg 5</t>
  </si>
  <si>
    <t>1774 NN Slootdorp</t>
  </si>
  <si>
    <t>RWZI De Stolpen</t>
  </si>
  <si>
    <t>Schagerweg 2</t>
  </si>
  <si>
    <t>1775 DA Schagerbrug</t>
  </si>
  <si>
    <t>RWZI Wieringermeer</t>
  </si>
  <si>
    <t>Flevoweg 2</t>
  </si>
  <si>
    <t>1775 QQ  Middenmeer</t>
  </si>
  <si>
    <t>RWZI Wieringen</t>
  </si>
  <si>
    <t>Rijksweg 9</t>
  </si>
  <si>
    <t xml:space="preserve">1779 GX Den Oever </t>
  </si>
  <si>
    <t>RWZI Den Helder</t>
  </si>
  <si>
    <t>Oostoeverweg 70</t>
  </si>
  <si>
    <t>1786 PS Den Helder</t>
  </si>
  <si>
    <t>RWZI/Werf Evertsekoog</t>
  </si>
  <si>
    <t>Pontweg 150</t>
  </si>
  <si>
    <t>1796 MD  De Koog  (Texel)</t>
  </si>
  <si>
    <t>RWZI Alkmaar Bedrijfsgebouw</t>
  </si>
  <si>
    <t>Jan van Scorelkade 6</t>
  </si>
  <si>
    <t>1817 ET Alkmaar</t>
  </si>
  <si>
    <t>Noorderpolderhuis</t>
  </si>
  <si>
    <t>Molendijk 11</t>
  </si>
  <si>
    <t>1843 VK Schermerhorn</t>
  </si>
  <si>
    <t>RWZI Heiloo</t>
  </si>
  <si>
    <t>Kanaalstraat 11</t>
  </si>
  <si>
    <t>1851 LR Heiloo</t>
  </si>
  <si>
    <t>RWZI Beverwijk Bedrijfsgebouw</t>
  </si>
  <si>
    <t>Randweg 2</t>
  </si>
  <si>
    <t>1948 NS Beverwijk</t>
  </si>
  <si>
    <t>RWZI Beverwijk, Slibgebouw</t>
  </si>
  <si>
    <t>SDI Beverwijk Sanitairgebouw</t>
  </si>
  <si>
    <t>Randweg 17</t>
  </si>
  <si>
    <t>SDI Beverwijk Bedrijfsgebouw</t>
  </si>
  <si>
    <t>Additionele kosten</t>
  </si>
  <si>
    <t>Productie kosten ma-vr</t>
  </si>
  <si>
    <t>Productie kosten za-zo</t>
  </si>
  <si>
    <t>Toezicht kosten</t>
  </si>
  <si>
    <t>Kosten afrondingsuren</t>
  </si>
  <si>
    <t>Totaal schoonmaak</t>
  </si>
  <si>
    <t>Mutaties volgens blad 1.1</t>
  </si>
  <si>
    <t>Verrekend ja/nee</t>
  </si>
  <si>
    <t>Totaal per jaar</t>
  </si>
  <si>
    <t>TOTALEN</t>
  </si>
  <si>
    <t>ADDITIONELE KOSTEN</t>
  </si>
  <si>
    <t>PRODUCTIE KOSTEN</t>
  </si>
  <si>
    <t>TOEZICHT KOSTEN</t>
  </si>
  <si>
    <t>KOSTEN AFRONDINGSUREN</t>
  </si>
  <si>
    <t>KOSTEN TOTAAL SCHOONMAAK</t>
  </si>
  <si>
    <t>KOSTEN GLASBEWASSING</t>
  </si>
  <si>
    <t>TOTALE KOSTEN PER JAAR</t>
  </si>
  <si>
    <t>PERCEEL</t>
  </si>
  <si>
    <t>TOTAAL VLOEROPPERVLAK</t>
  </si>
  <si>
    <t>PRODUCTIE UREN REGULIER MA - VR</t>
  </si>
  <si>
    <t>PRODUCTIE UREN PERIODIEK</t>
  </si>
  <si>
    <t>TOEZICHT UREN MA-VR</t>
  </si>
  <si>
    <t>TOTAAL M2 GLAS</t>
  </si>
  <si>
    <t>TOTAAL OVER 3 JAAR</t>
  </si>
  <si>
    <t>Indexering</t>
  </si>
  <si>
    <t>invoerings datum</t>
  </si>
  <si>
    <t>percentage</t>
  </si>
  <si>
    <t>Kengetallenoverzicht schoonmaakonderhoud</t>
  </si>
  <si>
    <t>Besteknummer</t>
  </si>
  <si>
    <t>CALCULATIE-CODE</t>
  </si>
  <si>
    <t>PROGR CODE</t>
  </si>
  <si>
    <t>FREQ. NOTATIE</t>
  </si>
  <si>
    <t>RUIMTECATEGORIE</t>
  </si>
  <si>
    <t>FREQ. OMSCHRIJVING</t>
  </si>
  <si>
    <t>KENGETAL MA-VR</t>
  </si>
  <si>
    <t>KENGETAL PERIODIEK</t>
  </si>
  <si>
    <t>PRESTATIE NORM</t>
  </si>
  <si>
    <t>M2 VLOER IO</t>
  </si>
  <si>
    <t>M2 VLOER NIO</t>
  </si>
  <si>
    <t>VERHOUDING VLOEROPP.</t>
  </si>
  <si>
    <t>BIJZONDERHEDEN</t>
  </si>
  <si>
    <t>VSR CODE</t>
  </si>
  <si>
    <t>O156</t>
  </si>
  <si>
    <t>administratieve -, personeels- en vergaderruimte</t>
  </si>
  <si>
    <t>B</t>
  </si>
  <si>
    <t>Maand- woens-, t/m vrijdag</t>
  </si>
  <si>
    <t>L260</t>
  </si>
  <si>
    <t>museum, gemeenschappelijke ruimte, bibliotheek</t>
  </si>
  <si>
    <t>V</t>
  </si>
  <si>
    <t>entree, gang, hal, repro, kopieer</t>
  </si>
  <si>
    <t>sanitaire ruimte (toilet-/doucheruimte)</t>
  </si>
  <si>
    <t>S</t>
  </si>
  <si>
    <t>pantry, keuken, koffiecorner</t>
  </si>
  <si>
    <t>O260</t>
  </si>
  <si>
    <t>labruimte</t>
  </si>
  <si>
    <t>L12</t>
  </si>
  <si>
    <t>trappenhuis</t>
  </si>
  <si>
    <t>kleedruimten</t>
  </si>
  <si>
    <t>verblijfsruimte</t>
  </si>
  <si>
    <t>buitenbordes</t>
  </si>
  <si>
    <t>op afroep</t>
  </si>
  <si>
    <t>nvt</t>
  </si>
  <si>
    <t>niet van toepassing</t>
  </si>
  <si>
    <t>ed</t>
  </si>
  <si>
    <t>eigendienst</t>
  </si>
  <si>
    <t>Vervallen</t>
  </si>
  <si>
    <t>Vervallen (mutatie)</t>
  </si>
  <si>
    <t>Totaal</t>
  </si>
  <si>
    <t>In deze tabel geen wijziguingen aanbrengen &gt;&gt;</t>
  </si>
  <si>
    <t>Gietvloer</t>
  </si>
  <si>
    <t>Tegels</t>
  </si>
  <si>
    <t>-</t>
  </si>
  <si>
    <t>laminaat</t>
  </si>
  <si>
    <t>Glas</t>
  </si>
  <si>
    <t>Linoleum</t>
  </si>
  <si>
    <t>Hout-Gietvloer</t>
  </si>
  <si>
    <t>Beton</t>
  </si>
  <si>
    <t>beton-hout</t>
  </si>
  <si>
    <t>Tapijt</t>
  </si>
  <si>
    <t>Mat</t>
  </si>
  <si>
    <t>Bamboe</t>
  </si>
  <si>
    <t>geen</t>
  </si>
  <si>
    <t>Hout</t>
  </si>
  <si>
    <t>Hout-Lino</t>
  </si>
  <si>
    <t>hout-pvc</t>
  </si>
  <si>
    <t>Hout-Natuursteen</t>
  </si>
  <si>
    <t>inloop/coral</t>
  </si>
  <si>
    <t>Staal/coral</t>
  </si>
  <si>
    <t>Hout-Tapijt</t>
  </si>
  <si>
    <t>Lino-RVS</t>
  </si>
  <si>
    <t>Lino-beton</t>
  </si>
  <si>
    <t>Natuursteen</t>
  </si>
  <si>
    <t>Nvt</t>
  </si>
  <si>
    <t>PVC/Noppen</t>
  </si>
  <si>
    <t>RVS</t>
  </si>
  <si>
    <t>staal</t>
  </si>
  <si>
    <t>Sportvloer</t>
  </si>
  <si>
    <t>computervloer</t>
  </si>
  <si>
    <t>Leisteen</t>
  </si>
  <si>
    <t>pvc</t>
  </si>
  <si>
    <t>tapijttegel</t>
  </si>
  <si>
    <t>Gietvloer-Beton</t>
  </si>
  <si>
    <t>Lino-RVS-Glas</t>
  </si>
  <si>
    <t>Steen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</si>
  <si>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</si>
  <si>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</si>
  <si>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</si>
  <si>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</si>
  <si>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</si>
  <si>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</si>
  <si>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</si>
  <si>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</si>
  <si>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</si>
  <si>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</si>
  <si>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</si>
  <si>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Prestatienorm</t>
  </si>
  <si>
    <t>: aantal schoon te maken m2 per uur</t>
  </si>
  <si>
    <t>m2 Vloer IO</t>
  </si>
  <si>
    <t>: aantal m2 in onderhoud</t>
  </si>
  <si>
    <t>m2 Vloer NIO</t>
  </si>
  <si>
    <t>: aantal m2 niet in onderhoud</t>
  </si>
  <si>
    <t>Verhouding vloeropp.</t>
  </si>
  <si>
    <t>: percentage vloeroppervlakte per ruimtecategorie t.o.v. totale vloeroppervlakte</t>
  </si>
  <si>
    <t>Bijzonde3rheden</t>
  </si>
  <si>
    <t>: Eventuele opmerkingen</t>
  </si>
  <si>
    <t>VSR-code</t>
  </si>
  <si>
    <t>: afkortingen voor ruimtecategorieën bij toepassing van VSR-kwaliteitsmetingen V=verkeersruimten, S=Sanitaire ruimten en L=Leslokalen</t>
  </si>
  <si>
    <t>Ruimte/- calculatiestaat</t>
  </si>
  <si>
    <t>Mutatie nummer</t>
  </si>
  <si>
    <t>Ja</t>
  </si>
  <si>
    <t>ADRES</t>
  </si>
  <si>
    <t>VERD.</t>
  </si>
  <si>
    <t xml:space="preserve">RUIMTE NR </t>
  </si>
  <si>
    <t xml:space="preserve">RUIMTE OMSCHRIJVING </t>
  </si>
  <si>
    <t>RUIMTE CATEGORIE</t>
  </si>
  <si>
    <t>VLOER SOORT</t>
  </si>
  <si>
    <t>PROGR. CODE REGULIER</t>
  </si>
  <si>
    <t>PROGR. CODE NALOOP</t>
  </si>
  <si>
    <t>PROGR. CODE ZA-ZO</t>
  </si>
  <si>
    <t>FACTOR REGULIER</t>
  </si>
  <si>
    <t>FACTOR PERIODIEK</t>
  </si>
  <si>
    <t>UREN P/JR REGULIER</t>
  </si>
  <si>
    <t>UREN P/JR PERIODIEK</t>
  </si>
  <si>
    <t>UREN P/JR NALOOP</t>
  </si>
  <si>
    <t>KENGETAL REGULIER</t>
  </si>
  <si>
    <t>KENGETAL NALOOP</t>
  </si>
  <si>
    <t>KENGETAL ZA-ZO</t>
  </si>
  <si>
    <t>Bijzonderheden</t>
  </si>
  <si>
    <t>€ SCHOONMAAK</t>
  </si>
  <si>
    <t>€ GLAS-BEWASSING</t>
  </si>
  <si>
    <t>bgg</t>
  </si>
  <si>
    <t>0.01</t>
  </si>
  <si>
    <t>Meterkast</t>
  </si>
  <si>
    <t>0.02</t>
  </si>
  <si>
    <t>Entree</t>
  </si>
  <si>
    <t>Inloopmat</t>
  </si>
  <si>
    <t>0.03</t>
  </si>
  <si>
    <t>Doorgang incl. Facility corner</t>
  </si>
  <si>
    <t>Rubber</t>
  </si>
  <si>
    <t>0.04</t>
  </si>
  <si>
    <t xml:space="preserve">Gang </t>
  </si>
  <si>
    <t>0.05</t>
  </si>
  <si>
    <t>Kantoorruimte opgedeeld</t>
  </si>
  <si>
    <t>0.06</t>
  </si>
  <si>
    <t>Kantine</t>
  </si>
  <si>
    <t>Pvc/vinyl</t>
  </si>
  <si>
    <t>0.07</t>
  </si>
  <si>
    <t>Concentratieplek</t>
  </si>
  <si>
    <t>0.08</t>
  </si>
  <si>
    <t>Vergaderruimte</t>
  </si>
  <si>
    <t>0.09</t>
  </si>
  <si>
    <t>MIVA/EHBO</t>
  </si>
  <si>
    <t>Epoxy</t>
  </si>
  <si>
    <t>0.10a</t>
  </si>
  <si>
    <t>Voorruimte/urinoir  Hr.</t>
  </si>
  <si>
    <t>0.10b</t>
  </si>
  <si>
    <t>Toilet  Hr.</t>
  </si>
  <si>
    <t>samen met 10a</t>
  </si>
  <si>
    <t>0.11</t>
  </si>
  <si>
    <t>Douche/kleedruimte Ds.</t>
  </si>
  <si>
    <t>0.12a</t>
  </si>
  <si>
    <t>Voorruimte toilet  Ds.</t>
  </si>
  <si>
    <t>0.12b</t>
  </si>
  <si>
    <t>Toilet Ds.</t>
  </si>
  <si>
    <t>0.13</t>
  </si>
  <si>
    <t>Opslagruimte</t>
  </si>
  <si>
    <t>0.14</t>
  </si>
  <si>
    <t>Kleedruimte Hr.</t>
  </si>
  <si>
    <t>0.14a t/m e</t>
  </si>
  <si>
    <t>Voorruimte/Urinoirs  Hr.</t>
  </si>
  <si>
    <t>0.14b</t>
  </si>
  <si>
    <t xml:space="preserve">Toiletruimte   </t>
  </si>
  <si>
    <t>0.14a t/m 0.14e</t>
  </si>
  <si>
    <t>0.14c</t>
  </si>
  <si>
    <t>0.14d</t>
  </si>
  <si>
    <t>Doucheruimte</t>
  </si>
  <si>
    <t>0.14e</t>
  </si>
  <si>
    <t>0.15</t>
  </si>
  <si>
    <t>Werkkast schoonmaak</t>
  </si>
  <si>
    <t>0.16</t>
  </si>
  <si>
    <t>ICT ruimte</t>
  </si>
  <si>
    <t>0.17</t>
  </si>
  <si>
    <t>Droogruimte</t>
  </si>
  <si>
    <t>0.18</t>
  </si>
  <si>
    <t>Magazijn werfbeheer</t>
  </si>
  <si>
    <t>0.19</t>
  </si>
  <si>
    <t>Opslag olie en vetten</t>
  </si>
  <si>
    <t>0.20</t>
  </si>
  <si>
    <t>Onderhoudswerkplaats</t>
  </si>
  <si>
    <t>0.21</t>
  </si>
  <si>
    <t>Overige gebruiksruimte</t>
  </si>
  <si>
    <t>geen echt bordes maar wel toegangsdeur</t>
  </si>
  <si>
    <t>0.00</t>
  </si>
  <si>
    <t>Buitenbordes</t>
  </si>
  <si>
    <t>Steen/tegels</t>
  </si>
  <si>
    <t>Uitvoering op maandag, woensdag en vrijdag</t>
  </si>
  <si>
    <t>Entree/hal/gang</t>
  </si>
  <si>
    <t>Natuursteen/tegels</t>
  </si>
  <si>
    <t>Gang</t>
  </si>
  <si>
    <t>Labruimte</t>
  </si>
  <si>
    <t>Pvc</t>
  </si>
  <si>
    <t>Opslag/douche/wastafel</t>
  </si>
  <si>
    <t>Kantoor</t>
  </si>
  <si>
    <t>PVC</t>
  </si>
  <si>
    <t>Archief</t>
  </si>
  <si>
    <t>T.D</t>
  </si>
  <si>
    <t>Pauze lunchruimte</t>
  </si>
  <si>
    <t>0.10</t>
  </si>
  <si>
    <t>Werkplaats</t>
  </si>
  <si>
    <t>Magazijn</t>
  </si>
  <si>
    <t>0.12</t>
  </si>
  <si>
    <t>Lasplaats</t>
  </si>
  <si>
    <t>Garderobe</t>
  </si>
  <si>
    <t>Zij-entree</t>
  </si>
  <si>
    <t>Kleedruimte</t>
  </si>
  <si>
    <t>0.15 A</t>
  </si>
  <si>
    <t>0.15 B</t>
  </si>
  <si>
    <t>0.15 C</t>
  </si>
  <si>
    <t>0.15 D</t>
  </si>
  <si>
    <t>Doucheruimte/werkkast</t>
  </si>
  <si>
    <t>0.15 E</t>
  </si>
  <si>
    <t>Toiletruimte</t>
  </si>
  <si>
    <t>0.15 F</t>
  </si>
  <si>
    <t>Toiletruimte Ds.</t>
  </si>
  <si>
    <t>Toiletruimte Hr.</t>
  </si>
  <si>
    <t>Urinoirruimte</t>
  </si>
  <si>
    <t>Besturingsruimte</t>
  </si>
  <si>
    <t>0.22</t>
  </si>
  <si>
    <t>0.23</t>
  </si>
  <si>
    <t>Entree/hal</t>
  </si>
  <si>
    <t>Uitvoering oneven weken op woensdag</t>
  </si>
  <si>
    <t>Magazijn betreft alleen wasbak</t>
  </si>
  <si>
    <t>Besturingsruimte/kantoor</t>
  </si>
  <si>
    <t>Entree / trappenhuis</t>
  </si>
  <si>
    <t>Steen /Tegels</t>
  </si>
  <si>
    <t>1e</t>
  </si>
  <si>
    <t xml:space="preserve">Bordes </t>
  </si>
  <si>
    <t>zie trappenh.</t>
  </si>
  <si>
    <t>Lab</t>
  </si>
  <si>
    <t>Steen/Tegels</t>
  </si>
  <si>
    <t>Schakelruimte</t>
  </si>
  <si>
    <t>Douche / werkkast</t>
  </si>
  <si>
    <t xml:space="preserve">Voorruimte incl. Toilet  </t>
  </si>
  <si>
    <t>2e</t>
  </si>
  <si>
    <t>Uitvoering op dinsdag en donderdag</t>
  </si>
  <si>
    <t>Hal</t>
  </si>
  <si>
    <t>Technische ruimte</t>
  </si>
  <si>
    <t>Epoxie</t>
  </si>
  <si>
    <t>Opslag</t>
  </si>
  <si>
    <t>Noppenvinyl</t>
  </si>
  <si>
    <t xml:space="preserve">Magazijnruimte </t>
  </si>
  <si>
    <t>Voorruimte/Kleedruimte</t>
  </si>
  <si>
    <t>0.10c</t>
  </si>
  <si>
    <t>0.10d</t>
  </si>
  <si>
    <t>Urinoir</t>
  </si>
  <si>
    <t>0.10e</t>
  </si>
  <si>
    <t>Garage</t>
  </si>
  <si>
    <t>E7.0</t>
  </si>
  <si>
    <t>deur</t>
  </si>
  <si>
    <t>E7.1</t>
  </si>
  <si>
    <t>Uitvoering op dinsdag</t>
  </si>
  <si>
    <t>E7.2</t>
  </si>
  <si>
    <t>E7.3</t>
  </si>
  <si>
    <t>Kantoor/kantine</t>
  </si>
  <si>
    <t>E7.4</t>
  </si>
  <si>
    <t>Portaal/garderobe</t>
  </si>
  <si>
    <t>E7.5</t>
  </si>
  <si>
    <t>E7.6</t>
  </si>
  <si>
    <t>CV ruimte</t>
  </si>
  <si>
    <t>E7.7</t>
  </si>
  <si>
    <t>Portaal/tussenportaal</t>
  </si>
  <si>
    <t>Kokosmat</t>
  </si>
  <si>
    <t>E7.8</t>
  </si>
  <si>
    <t>E7.9</t>
  </si>
  <si>
    <t>Ertree/trap naar pompruimte</t>
  </si>
  <si>
    <t>staal/tegels</t>
  </si>
  <si>
    <t>E7.10</t>
  </si>
  <si>
    <t>Pompkelder</t>
  </si>
  <si>
    <t>E7.11</t>
  </si>
  <si>
    <t>E7.12</t>
  </si>
  <si>
    <t>Voorr.douche. Toilet</t>
  </si>
  <si>
    <t>E7.13</t>
  </si>
  <si>
    <t>0.001</t>
  </si>
  <si>
    <t>0.02/0.02a</t>
  </si>
  <si>
    <t>Hal &amp; Facility Corner</t>
  </si>
  <si>
    <t>Marmer</t>
  </si>
  <si>
    <t>Kantoorruimte</t>
  </si>
  <si>
    <t>Concentratiewerkplek</t>
  </si>
  <si>
    <t>Voorruimte toilet Hr</t>
  </si>
  <si>
    <t>Epoxy troffelvloer</t>
  </si>
  <si>
    <t>Voorruimte toilet Ds</t>
  </si>
  <si>
    <t>Printer-plotterruimte</t>
  </si>
  <si>
    <t>Miva - EHBO - lactatie</t>
  </si>
  <si>
    <t xml:space="preserve">hal </t>
  </si>
  <si>
    <t>Kleedruimte Ds</t>
  </si>
  <si>
    <t>Toiletruimte Ds</t>
  </si>
  <si>
    <t>Toiletruimte Hr</t>
  </si>
  <si>
    <t>Kleedruimte Hr incl.2 douche</t>
  </si>
  <si>
    <t>0.22  t/m 0.23c samen gemeten</t>
  </si>
  <si>
    <t>Toiletruimte  Hr</t>
  </si>
  <si>
    <t>0.23A</t>
  </si>
  <si>
    <t>0.23B</t>
  </si>
  <si>
    <t>0.23C</t>
  </si>
  <si>
    <t>0.25</t>
  </si>
  <si>
    <t>Werkkast</t>
  </si>
  <si>
    <t>0.29</t>
  </si>
  <si>
    <t>0.32</t>
  </si>
  <si>
    <t>Toiletruimte werkplaats</t>
  </si>
  <si>
    <t>0.33</t>
  </si>
  <si>
    <t>1.01</t>
  </si>
  <si>
    <t>1.02</t>
  </si>
  <si>
    <t>Bamboeparket</t>
  </si>
  <si>
    <t>1.03</t>
  </si>
  <si>
    <t>1.04</t>
  </si>
  <si>
    <t>1.05</t>
  </si>
  <si>
    <t>1.06</t>
  </si>
  <si>
    <t>Kantine/Keuken</t>
  </si>
  <si>
    <t>Pvc Vinyl</t>
  </si>
  <si>
    <t>1.07</t>
  </si>
  <si>
    <t>1.08</t>
  </si>
  <si>
    <t>1.09</t>
  </si>
  <si>
    <t>1.10</t>
  </si>
  <si>
    <t>0.30</t>
  </si>
  <si>
    <t>Timmerwerkplaats</t>
  </si>
  <si>
    <t>0.31</t>
  </si>
  <si>
    <t>Kantoor/magazijn</t>
  </si>
  <si>
    <t>0.36</t>
  </si>
  <si>
    <t>0.37</t>
  </si>
  <si>
    <t>Garage/werkplaats</t>
  </si>
  <si>
    <t>R3.1</t>
  </si>
  <si>
    <t>Buitenbordes/portaal</t>
  </si>
  <si>
    <t>R3.2</t>
  </si>
  <si>
    <t>Entree/gang</t>
  </si>
  <si>
    <t>R3.3</t>
  </si>
  <si>
    <t>R3.4</t>
  </si>
  <si>
    <t>Voorruimte toletten</t>
  </si>
  <si>
    <t>R3.5</t>
  </si>
  <si>
    <t>R3.6</t>
  </si>
  <si>
    <t>R3.7</t>
  </si>
  <si>
    <t>Vergaderzaal</t>
  </si>
  <si>
    <t>R3.8</t>
  </si>
  <si>
    <t>Hal / Portaal</t>
  </si>
  <si>
    <t>R3.9</t>
  </si>
  <si>
    <t>Staattegels</t>
  </si>
  <si>
    <t>R3.10</t>
  </si>
  <si>
    <t>Was/kleedruimte</t>
  </si>
  <si>
    <t>R3.11</t>
  </si>
  <si>
    <t>R3.12</t>
  </si>
  <si>
    <t>R3.13</t>
  </si>
  <si>
    <t>R3.14</t>
  </si>
  <si>
    <t>R3.15</t>
  </si>
  <si>
    <t>R3.16</t>
  </si>
  <si>
    <t>R3.17</t>
  </si>
  <si>
    <t>R3.18</t>
  </si>
  <si>
    <t>Schakelruimte/kantoor</t>
  </si>
  <si>
    <t>R3.19</t>
  </si>
  <si>
    <t>Buiten/Kantoor</t>
  </si>
  <si>
    <t>R3.20</t>
  </si>
  <si>
    <t>R3.21</t>
  </si>
  <si>
    <t>Pantry</t>
  </si>
  <si>
    <t>R3.22</t>
  </si>
  <si>
    <t>R3.23</t>
  </si>
  <si>
    <t>Laboratorium</t>
  </si>
  <si>
    <t>R7.1</t>
  </si>
  <si>
    <t>R4.1</t>
  </si>
  <si>
    <t>Entree/Pomphuis</t>
  </si>
  <si>
    <t>R5.1</t>
  </si>
  <si>
    <t>Entree/werkruimte</t>
  </si>
  <si>
    <t>R6.3</t>
  </si>
  <si>
    <t>Kantoor/schakelruimte</t>
  </si>
  <si>
    <t>Entree / Gang</t>
  </si>
  <si>
    <t>Vloerplaat</t>
  </si>
  <si>
    <t>Oplag olie en vetten</t>
  </si>
  <si>
    <t>Cementdekvloer</t>
  </si>
  <si>
    <t>0.01C</t>
  </si>
  <si>
    <t>Sluis/portaal</t>
  </si>
  <si>
    <t>Facility corner</t>
  </si>
  <si>
    <t>Was/kleedr. Toiletten Hr.</t>
  </si>
  <si>
    <t>0.09 /0.13 Voorruimte Hr.</t>
  </si>
  <si>
    <t>Toilet Hr.</t>
  </si>
  <si>
    <t>Douche Hr.</t>
  </si>
  <si>
    <t>Miva/EHBO</t>
  </si>
  <si>
    <t>Wekkast</t>
  </si>
  <si>
    <t>Was/kleedr. Toiletten Ds.</t>
  </si>
  <si>
    <t>Kast-inbouw</t>
  </si>
  <si>
    <t>0.24</t>
  </si>
  <si>
    <t>PVC/Vinyl</t>
  </si>
  <si>
    <t>Zolder</t>
  </si>
  <si>
    <t>Schacht</t>
  </si>
  <si>
    <t>Opslagvloer</t>
  </si>
  <si>
    <t>Stalling</t>
  </si>
  <si>
    <t>Opslag stoomcleaner</t>
  </si>
  <si>
    <t>E1.1</t>
  </si>
  <si>
    <t>Entree/buitenbordes</t>
  </si>
  <si>
    <t>Tegelvloer</t>
  </si>
  <si>
    <t>E1.10</t>
  </si>
  <si>
    <t>samen met E1.10 t/m E1.10d</t>
  </si>
  <si>
    <t>E1.10a</t>
  </si>
  <si>
    <t>Kleedruimte douche</t>
  </si>
  <si>
    <t>E1.10b</t>
  </si>
  <si>
    <t>Douche ruimte</t>
  </si>
  <si>
    <t>E1.10c</t>
  </si>
  <si>
    <t>E1.10d</t>
  </si>
  <si>
    <t>E1.11</t>
  </si>
  <si>
    <t>Was/droogruimte</t>
  </si>
  <si>
    <t>E1.12</t>
  </si>
  <si>
    <t>Achter entree</t>
  </si>
  <si>
    <t>E1.13</t>
  </si>
  <si>
    <t>E1.14</t>
  </si>
  <si>
    <t>Entree/balie</t>
  </si>
  <si>
    <t>E1.15</t>
  </si>
  <si>
    <t>Printerruimte</t>
  </si>
  <si>
    <t>E1.16</t>
  </si>
  <si>
    <t>E1.17/1.20/1.21</t>
  </si>
  <si>
    <t>E1.18</t>
  </si>
  <si>
    <t>Kantoor/Controleruimte</t>
  </si>
  <si>
    <t>E1.19</t>
  </si>
  <si>
    <t>E1.2</t>
  </si>
  <si>
    <t>gang links</t>
  </si>
  <si>
    <t>E1.22</t>
  </si>
  <si>
    <t>Kantoor/receptie</t>
  </si>
  <si>
    <t>E1.23</t>
  </si>
  <si>
    <t>Toiletgroep</t>
  </si>
  <si>
    <t>E1.3</t>
  </si>
  <si>
    <t>E1.3a</t>
  </si>
  <si>
    <t>E1.4</t>
  </si>
  <si>
    <t>E1.5</t>
  </si>
  <si>
    <t>E1.6</t>
  </si>
  <si>
    <t>E1.7</t>
  </si>
  <si>
    <t>E1.9</t>
  </si>
  <si>
    <t>Toiletgroep + voorruimte</t>
  </si>
  <si>
    <t>Stalling/opslag</t>
  </si>
  <si>
    <t>Keuken</t>
  </si>
  <si>
    <t>Voorruimte toilet</t>
  </si>
  <si>
    <t>Loods</t>
  </si>
  <si>
    <t>Entree / Garage / Werkplaats</t>
  </si>
  <si>
    <t>inclusief Magazijn</t>
  </si>
  <si>
    <t>Wasruimte / Doucheruimte</t>
  </si>
  <si>
    <t>Uitvoering op woensdag</t>
  </si>
  <si>
    <t>Trap naar 1e etage</t>
  </si>
  <si>
    <t xml:space="preserve">Zolder / Opslagruimte </t>
  </si>
  <si>
    <t>Keuken / Kantine / Werkplek</t>
  </si>
  <si>
    <t>Entree/portaal</t>
  </si>
  <si>
    <t>Personeelsruimte/pantry</t>
  </si>
  <si>
    <t>Magazijn/berging</t>
  </si>
  <si>
    <t>Elektra kast</t>
  </si>
  <si>
    <t>Loods/werkplaats</t>
  </si>
  <si>
    <t>RS 00</t>
  </si>
  <si>
    <t>RS 01</t>
  </si>
  <si>
    <t>Entree/garderobe</t>
  </si>
  <si>
    <t>RS 02</t>
  </si>
  <si>
    <t>Marmoleum</t>
  </si>
  <si>
    <t>RS 03</t>
  </si>
  <si>
    <t>Laagspanningsruimte</t>
  </si>
  <si>
    <t>RS 04</t>
  </si>
  <si>
    <t>Trafo ruimte</t>
  </si>
  <si>
    <t>RS 05</t>
  </si>
  <si>
    <t>RS 06</t>
  </si>
  <si>
    <t>Voorruimte</t>
  </si>
  <si>
    <t>RS 07</t>
  </si>
  <si>
    <t>Douche</t>
  </si>
  <si>
    <t>RS 08</t>
  </si>
  <si>
    <t>Werkplaats alleen keukenblok</t>
  </si>
  <si>
    <t>RS 09</t>
  </si>
  <si>
    <t>RS 0.10</t>
  </si>
  <si>
    <t>Patchruimte</t>
  </si>
  <si>
    <t>RS 0.11</t>
  </si>
  <si>
    <t>R2.1</t>
  </si>
  <si>
    <t>R2.2</t>
  </si>
  <si>
    <t>Kantoor/bedieningsruimte</t>
  </si>
  <si>
    <t>R2.3</t>
  </si>
  <si>
    <t>Keuken/pantry</t>
  </si>
  <si>
    <t>R2.4</t>
  </si>
  <si>
    <t>R2.5</t>
  </si>
  <si>
    <t>R1.1</t>
  </si>
  <si>
    <t>R1.2</t>
  </si>
  <si>
    <t>Tegel/Alu</t>
  </si>
  <si>
    <t>R1.3</t>
  </si>
  <si>
    <t>R1.4</t>
  </si>
  <si>
    <t>Pomphuis</t>
  </si>
  <si>
    <t>R1.5</t>
  </si>
  <si>
    <t>Trap van en naar Pomhuis/kelder</t>
  </si>
  <si>
    <t>Staal</t>
  </si>
  <si>
    <t>Lino./inloopmat</t>
  </si>
  <si>
    <t>gang</t>
  </si>
  <si>
    <t>0.02A</t>
  </si>
  <si>
    <t>Trap</t>
  </si>
  <si>
    <t>0.03A</t>
  </si>
  <si>
    <t>Kantoor opgedeeld</t>
  </si>
  <si>
    <t>0.03B</t>
  </si>
  <si>
    <t>I.C.T</t>
  </si>
  <si>
    <t>Portaal</t>
  </si>
  <si>
    <t>0.07A</t>
  </si>
  <si>
    <t>0.07B</t>
  </si>
  <si>
    <t>Doucheruimte Ds</t>
  </si>
  <si>
    <t>Berging tevens doorgang</t>
  </si>
  <si>
    <t>Berging /werkkast</t>
  </si>
  <si>
    <t>0.14A</t>
  </si>
  <si>
    <t>Kleedruimte hr (schoon)</t>
  </si>
  <si>
    <t>0.14B</t>
  </si>
  <si>
    <t>Doucheruimte nr 1 Hr links</t>
  </si>
  <si>
    <t>0.14C</t>
  </si>
  <si>
    <t>Doucheruimte nr 2 Hr rechts</t>
  </si>
  <si>
    <t>Kleedruimte Hr (vuil)</t>
  </si>
  <si>
    <t>0.15A</t>
  </si>
  <si>
    <t xml:space="preserve">Kantoor </t>
  </si>
  <si>
    <t>Overloop/gang</t>
  </si>
  <si>
    <t>Toilet/voorruimte Ds/Hr</t>
  </si>
  <si>
    <t>Kantine/keuken</t>
  </si>
  <si>
    <t>Toilet/voorruimte</t>
  </si>
  <si>
    <t>Gedeelte bij wasbak</t>
  </si>
  <si>
    <t>beton</t>
  </si>
  <si>
    <t>Kantoor/besturingsruimte</t>
  </si>
  <si>
    <t>Entree / Hal incl. trap</t>
  </si>
  <si>
    <t>Tegel/steen</t>
  </si>
  <si>
    <t>Pauze / Lunchruimte</t>
  </si>
  <si>
    <t>Kleedruimte/wasruimte</t>
  </si>
  <si>
    <t>0.04a</t>
  </si>
  <si>
    <t>0.04b</t>
  </si>
  <si>
    <t>0.04c</t>
  </si>
  <si>
    <t>Tegels/linoleum</t>
  </si>
  <si>
    <t>Bordes</t>
  </si>
  <si>
    <t>1.02A</t>
  </si>
  <si>
    <t>1.02B</t>
  </si>
  <si>
    <t>Flex / annex Vergaderruimte</t>
  </si>
  <si>
    <t>26.1</t>
  </si>
  <si>
    <t>16.1</t>
  </si>
  <si>
    <t>23.1</t>
  </si>
  <si>
    <t>Toiletruimte buitengebouw</t>
  </si>
  <si>
    <t>Magazijn cateraar</t>
  </si>
  <si>
    <t>Entree/voorzijde</t>
  </si>
  <si>
    <t>Uitvoering op maandag</t>
  </si>
  <si>
    <t>Herenkamer</t>
  </si>
  <si>
    <t>Tussenhal/doorloop</t>
  </si>
  <si>
    <t>Entree achterzijde naar Kant.</t>
  </si>
  <si>
    <t>Laminaat</t>
  </si>
  <si>
    <t>9.06</t>
  </si>
  <si>
    <t>Douche en toiletruimte</t>
  </si>
  <si>
    <t>Pantry/vergaderruimte</t>
  </si>
  <si>
    <t>Zij entree tuinzijde</t>
  </si>
  <si>
    <t>Keuken cateraar</t>
  </si>
  <si>
    <t>Ruimte cateraar</t>
  </si>
  <si>
    <t>Trap naar 1e verdieping</t>
  </si>
  <si>
    <t>Slaapkamer 1</t>
  </si>
  <si>
    <t>Badkamer</t>
  </si>
  <si>
    <t>Slaapkamer 2</t>
  </si>
  <si>
    <t>2.01</t>
  </si>
  <si>
    <t>Zolder vanaf 1.06 via trap</t>
  </si>
  <si>
    <t>0.1</t>
  </si>
  <si>
    <t>0.2</t>
  </si>
  <si>
    <t>0.3</t>
  </si>
  <si>
    <t>0.4</t>
  </si>
  <si>
    <t>0.5</t>
  </si>
  <si>
    <t>0.6</t>
  </si>
  <si>
    <t>Cv ruimte</t>
  </si>
  <si>
    <t>1.1</t>
  </si>
  <si>
    <t>1.2</t>
  </si>
  <si>
    <t>0.0</t>
  </si>
  <si>
    <t>0.1a</t>
  </si>
  <si>
    <t>keuken en opslag</t>
  </si>
  <si>
    <t>0.2a</t>
  </si>
  <si>
    <t>Gang toiletgroepen</t>
  </si>
  <si>
    <t>0.3a</t>
  </si>
  <si>
    <t>Toiletgroep Ds.</t>
  </si>
  <si>
    <t>0.4a</t>
  </si>
  <si>
    <t>Toiletgroep Hr.</t>
  </si>
  <si>
    <t>0.5a</t>
  </si>
  <si>
    <t>uitvoering op dinsdag en donderdag</t>
  </si>
  <si>
    <t>Samen met 0.3</t>
  </si>
  <si>
    <t>Samen met 0.2</t>
  </si>
  <si>
    <t>S0.4</t>
  </si>
  <si>
    <t xml:space="preserve">Toiletruimte incl. voorruimte hr. </t>
  </si>
  <si>
    <t>Garderobe/portaal</t>
  </si>
  <si>
    <t>S0.6</t>
  </si>
  <si>
    <t xml:space="preserve">Toiletruimte incl. voorruimte ds. </t>
  </si>
  <si>
    <t>S0.8</t>
  </si>
  <si>
    <t xml:space="preserve">Was/kleedruimte </t>
  </si>
  <si>
    <t>S0.9 A</t>
  </si>
  <si>
    <t xml:space="preserve">Doucheruimte </t>
  </si>
  <si>
    <t>S0.9 B</t>
  </si>
  <si>
    <t>S0.10</t>
  </si>
  <si>
    <t xml:space="preserve">Toiletruimte </t>
  </si>
  <si>
    <t>Waskleedruimte</t>
  </si>
  <si>
    <t>Entree/Hal incl. trap</t>
  </si>
  <si>
    <t>Hal/wachtruimte</t>
  </si>
  <si>
    <t>1.03/1.04</t>
  </si>
  <si>
    <t>Kantoortuin gedeeld</t>
  </si>
  <si>
    <t>1.11</t>
  </si>
  <si>
    <t>121-1</t>
  </si>
  <si>
    <t>109-1</t>
  </si>
  <si>
    <t>87-1</t>
  </si>
  <si>
    <t>107-1</t>
  </si>
  <si>
    <t>5--1</t>
  </si>
  <si>
    <t>Buiten entree</t>
  </si>
  <si>
    <t>Staal/steen</t>
  </si>
  <si>
    <t>Pauzeruimte</t>
  </si>
  <si>
    <t>Flexplekken/vergaderr.</t>
  </si>
  <si>
    <t>Tussengang</t>
  </si>
  <si>
    <t>Linoleum/steen</t>
  </si>
  <si>
    <t xml:space="preserve">Linoleum </t>
  </si>
  <si>
    <t>Voorruimte/kleedruimte</t>
  </si>
  <si>
    <t>Kantine/pantry</t>
  </si>
  <si>
    <t>Vinyl</t>
  </si>
  <si>
    <t>Garderobe/nis</t>
  </si>
  <si>
    <t>0.01A</t>
  </si>
  <si>
    <t>Doorloop vanuit stalling</t>
  </si>
  <si>
    <t xml:space="preserve">Kleedruimte </t>
  </si>
  <si>
    <t>kleedruimte</t>
  </si>
  <si>
    <t>1.00</t>
  </si>
  <si>
    <t>Bordes 1e etage</t>
  </si>
  <si>
    <t>PvC</t>
  </si>
  <si>
    <t>Trap naar 2e etage</t>
  </si>
  <si>
    <t>printruimte</t>
  </si>
  <si>
    <t>plotterruimte</t>
  </si>
  <si>
    <t>M2.1</t>
  </si>
  <si>
    <t>Entree/trappenhuis</t>
  </si>
  <si>
    <t>M2.2</t>
  </si>
  <si>
    <t>Stalen trap/bordes</t>
  </si>
  <si>
    <t>M2.3</t>
  </si>
  <si>
    <t>Voorruimte + wastrog</t>
  </si>
  <si>
    <t>M2.4</t>
  </si>
  <si>
    <t>Voorruimte + urinoirs</t>
  </si>
  <si>
    <t>M2.5</t>
  </si>
  <si>
    <t>M2.6</t>
  </si>
  <si>
    <t>M2.7</t>
  </si>
  <si>
    <t>M2.8</t>
  </si>
  <si>
    <t>M2.9</t>
  </si>
  <si>
    <t>M2.110</t>
  </si>
  <si>
    <t>Halletje naar voorruimte</t>
  </si>
  <si>
    <t>M2.111</t>
  </si>
  <si>
    <t>M2.112</t>
  </si>
  <si>
    <t>M2.113</t>
  </si>
  <si>
    <t>M2.115</t>
  </si>
  <si>
    <t xml:space="preserve">Halletje </t>
  </si>
  <si>
    <t>M2.116</t>
  </si>
  <si>
    <t>Kleedruimte + wastrog</t>
  </si>
  <si>
    <t>M2.117</t>
  </si>
  <si>
    <t>Voorruimte + sauna</t>
  </si>
  <si>
    <t>M2.118</t>
  </si>
  <si>
    <t>M2.119</t>
  </si>
  <si>
    <t>M2.120</t>
  </si>
  <si>
    <t>M2.121</t>
  </si>
  <si>
    <t>M2.122</t>
  </si>
  <si>
    <t>M2.125</t>
  </si>
  <si>
    <t>Ruimte met wastrog</t>
  </si>
  <si>
    <t>M2.126</t>
  </si>
  <si>
    <t>Voorruime</t>
  </si>
  <si>
    <t>M2.127</t>
  </si>
  <si>
    <t>M2.128</t>
  </si>
  <si>
    <t>M1.1</t>
  </si>
  <si>
    <t>M1.2</t>
  </si>
  <si>
    <t>Hal/garderobe</t>
  </si>
  <si>
    <t>M1.3</t>
  </si>
  <si>
    <t>Lift</t>
  </si>
  <si>
    <t>M1.4</t>
  </si>
  <si>
    <t>M1.5</t>
  </si>
  <si>
    <t>M1.6</t>
  </si>
  <si>
    <t>M1.7</t>
  </si>
  <si>
    <t>M1.8</t>
  </si>
  <si>
    <t>M1.9</t>
  </si>
  <si>
    <t>M1.10</t>
  </si>
  <si>
    <t>M1.11</t>
  </si>
  <si>
    <t>M1.12</t>
  </si>
  <si>
    <t>M1.13</t>
  </si>
  <si>
    <t>doorloop gang</t>
  </si>
  <si>
    <t>M1.14</t>
  </si>
  <si>
    <t>M1.15</t>
  </si>
  <si>
    <t>Loopbrug</t>
  </si>
  <si>
    <t>M1.16</t>
  </si>
  <si>
    <t>Kantoor/Overleg</t>
  </si>
  <si>
    <t>M1.17</t>
  </si>
  <si>
    <t>M1.18</t>
  </si>
  <si>
    <t>M1.19</t>
  </si>
  <si>
    <t>Mindervalidentoilet</t>
  </si>
  <si>
    <t>M1.20</t>
  </si>
  <si>
    <t>M1.21</t>
  </si>
  <si>
    <t>Besturingsruimte/Kantoor</t>
  </si>
  <si>
    <t>Ruimte/- calculatiestaat Mutaties</t>
  </si>
  <si>
    <t>Overzicht verrekening mutaties 4e kwartaal 2017</t>
  </si>
  <si>
    <t>Mutatie verwerkingsdatum</t>
  </si>
  <si>
    <t>Mutatie datum</t>
  </si>
  <si>
    <t>Mut nr</t>
  </si>
  <si>
    <t>Aantal dagen</t>
  </si>
  <si>
    <t>Jaar bedrag mutatie</t>
  </si>
  <si>
    <t>Bedrag t/m heden</t>
  </si>
  <si>
    <t>Perceel</t>
  </si>
  <si>
    <t>RUIMTE OMSCHRIJVING (OPDRACHTGEVER)</t>
  </si>
  <si>
    <t>VLOER CODE 1</t>
  </si>
  <si>
    <t>VLOER CODE 2</t>
  </si>
  <si>
    <t>Factor REGULIER</t>
  </si>
  <si>
    <t>Z</t>
  </si>
  <si>
    <t>PER-CEEL</t>
  </si>
  <si>
    <t>Eind datum berekening</t>
  </si>
  <si>
    <t>Te verekenen dagen</t>
  </si>
  <si>
    <t>Mutatiebedrag per jaar</t>
  </si>
  <si>
    <t>Verrekenbedrag</t>
  </si>
  <si>
    <t>Premies en opslagen &amp; tarieven  voor schoonmaakonderhoud</t>
  </si>
  <si>
    <t>SCHOONMAAKMEDEWERKERS</t>
  </si>
  <si>
    <t>TOEZICHTMEDEWERKERS</t>
  </si>
  <si>
    <t>GLAZENWASSERS</t>
  </si>
  <si>
    <t>Selecteer categorie medewerker</t>
  </si>
  <si>
    <t>Selecteer het aantal dienstjaren</t>
  </si>
  <si>
    <t>Basisuurloon per 1december 2023</t>
  </si>
  <si>
    <t xml:space="preserve">Sociale verzekeringen </t>
  </si>
  <si>
    <t>Project gemiddelde</t>
  </si>
  <si>
    <t>Wia basispremie</t>
  </si>
  <si>
    <t>WGA sectorpremie</t>
  </si>
  <si>
    <t>Percentages</t>
  </si>
  <si>
    <t>ZW-flex</t>
  </si>
  <si>
    <t>Specialisten toeslag (indien van toepassing)</t>
  </si>
  <si>
    <t>Totaal premie Whk</t>
  </si>
  <si>
    <t>BHV toeslag (indien van toepassing)</t>
  </si>
  <si>
    <t>Overname kosten volgens Bijlage overname personeel</t>
  </si>
  <si>
    <t>Eénmalige uitkering</t>
  </si>
  <si>
    <t>Werkeloosheidswet (W.W.)</t>
  </si>
  <si>
    <t>Zorgverzekeringswet</t>
  </si>
  <si>
    <t>OP/NP pensioen</t>
  </si>
  <si>
    <t>Bruto uurloon</t>
  </si>
  <si>
    <t>Pensioen overgangsregeling</t>
  </si>
  <si>
    <t xml:space="preserve">Vakantietoeslag </t>
  </si>
  <si>
    <t>Kinderopvang</t>
  </si>
  <si>
    <t xml:space="preserve">RAS-heffing </t>
  </si>
  <si>
    <t>Bruto uurloon inclusief toeslagen</t>
  </si>
  <si>
    <t xml:space="preserve">Totaal premies sociale verzekeringen    </t>
  </si>
  <si>
    <t>SV-loon grondslag voor berekening sociale verzekeringen</t>
  </si>
  <si>
    <t>Premies Sociale Verzekeringen</t>
  </si>
  <si>
    <t xml:space="preserve">Sociale verzekeringen - Ouderdomspensioen (OP) </t>
  </si>
  <si>
    <t>Subtotaal loonkosten per uur inclusief sociale verzekeringen</t>
  </si>
  <si>
    <t>werkgeversdeel</t>
  </si>
  <si>
    <t>SV uurloon inclusief toeslagen</t>
  </si>
  <si>
    <t>Opslag niet werkbare dagen</t>
  </si>
  <si>
    <t>Franchise OP-premie per uur</t>
  </si>
  <si>
    <t>Totaal loonkosten per uur</t>
  </si>
  <si>
    <t>Grondslag loon voor berekening OP premie</t>
  </si>
  <si>
    <t>Premie Ouderdomspensioen (OP)</t>
  </si>
  <si>
    <t>Materiaal/- en middelen</t>
  </si>
  <si>
    <t>Werkkleding en uitrusting</t>
  </si>
  <si>
    <t>Effectieve OP premie</t>
  </si>
  <si>
    <t>Totaal directe kosten</t>
  </si>
  <si>
    <t>Schoonmaak</t>
  </si>
  <si>
    <t>Indirect toezicht</t>
  </si>
  <si>
    <t>Berekening werkbaredagen</t>
  </si>
  <si>
    <t>Managementkosten</t>
  </si>
  <si>
    <t>Aantallen</t>
  </si>
  <si>
    <t>P.Z. kosten</t>
  </si>
  <si>
    <t>Aantal kalenderdagen</t>
  </si>
  <si>
    <t>Opleiding</t>
  </si>
  <si>
    <t>Weekenddagen</t>
  </si>
  <si>
    <t>Administratiekosten</t>
  </si>
  <si>
    <t>Werkdagen per jaar</t>
  </si>
  <si>
    <t>Huisvestingskosten</t>
  </si>
  <si>
    <t>Autokosten</t>
  </si>
  <si>
    <t>Nat. feestdagen, kort verzuim, bijz. CAO</t>
  </si>
  <si>
    <t>(Reserve regel)</t>
  </si>
  <si>
    <t>Vakantiedagen</t>
  </si>
  <si>
    <t>Ziektedagen</t>
  </si>
  <si>
    <t>Totaal indirecte kosten</t>
  </si>
  <si>
    <t>Vorstverlet</t>
  </si>
  <si>
    <t>Werkbare dagen per jaar</t>
  </si>
  <si>
    <t>Risico en winst</t>
  </si>
  <si>
    <t>Nat. feestdagen, kort verzuim, bijz CAO</t>
  </si>
  <si>
    <t>Totaal eindtarief normale werktijden [06.00-21.30 uur]</t>
  </si>
  <si>
    <t>Kosten ziektedagen</t>
  </si>
  <si>
    <t>Totaal eindtarief [incl. 30% toeslag]</t>
  </si>
  <si>
    <t>Opslag niet werkbare dagen in procenten</t>
  </si>
  <si>
    <t>Totaal eindtarief [incl. 50% toeslag]</t>
  </si>
  <si>
    <t>Totaal eindtarief  [incl. 150% toeslag]</t>
  </si>
  <si>
    <t>Selecteer categorie werkgever</t>
  </si>
  <si>
    <t>Kleine werkgever</t>
  </si>
  <si>
    <t>Middelgrote werkgever</t>
  </si>
  <si>
    <t>Grote werkgever</t>
  </si>
  <si>
    <t>Lngr 1 : Vakvolwassen</t>
  </si>
  <si>
    <t>Lngr 2 : Vakvolwassen</t>
  </si>
  <si>
    <t>Lngr 3 : Vakvolwassen</t>
  </si>
  <si>
    <t>Lngr 4 : Vakvolwassen</t>
  </si>
  <si>
    <t>Lngr 5 : Vakvolwassen</t>
  </si>
  <si>
    <t>Lngr 6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</si>
  <si>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</si>
  <si>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</si>
  <si>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</si>
  <si>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</si>
  <si>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</si>
  <si>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</si>
  <si>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</si>
  <si>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</si>
  <si>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</si>
  <si>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</si>
  <si>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</si>
  <si>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</si>
  <si>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</si>
  <si>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</si>
  <si>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</si>
  <si>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</si>
  <si>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</si>
  <si>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</si>
  <si>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</si>
  <si>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</si>
  <si>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</si>
  <si>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</si>
  <si>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</si>
  <si>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</si>
  <si>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</si>
  <si>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</si>
  <si>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</si>
  <si>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</si>
  <si>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</si>
  <si>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</si>
  <si>
    <t>Afroepprijzen</t>
  </si>
  <si>
    <t>Opmerking</t>
  </si>
  <si>
    <t>Uitvoering normale werktijden: maandag t/m vrijdag [06.00 en 20.30 uur]</t>
  </si>
  <si>
    <t xml:space="preserve">Reinigen koelkasten </t>
  </si>
  <si>
    <t>Koelkasten reinigen</t>
  </si>
  <si>
    <t>Hetreinigen van de binnen-/ en buitenzijde koelkasten, inclusief de rubbers  (excl. vriesruimten) en verwijderen van artikelen over houdbaarheidsdatum</t>
  </si>
  <si>
    <t>Aantal stuks</t>
  </si>
  <si>
    <t>Freq</t>
  </si>
  <si>
    <t>Prijs per stuk</t>
  </si>
  <si>
    <t>Totaal kosten</t>
  </si>
  <si>
    <r>
      <t>Automatische koppeling naar contractblad</t>
    </r>
    <r>
      <rPr>
        <i/>
        <sz val="14"/>
        <color rgb="FF424242"/>
        <rFont val="Verdana"/>
        <family val="2"/>
      </rPr>
      <t xml:space="preserve"> </t>
    </r>
    <r>
      <rPr>
        <i/>
        <sz val="24"/>
        <color theme="5" tint="-0.499984740745262"/>
        <rFont val="Verdana"/>
        <family val="2"/>
      </rPr>
      <t>➚</t>
    </r>
    <r>
      <rPr>
        <i/>
        <sz val="10"/>
        <color theme="5" tint="-0.499984740745262"/>
        <rFont val="Verdana"/>
        <family val="2"/>
      </rPr>
      <t xml:space="preserve">  </t>
    </r>
  </si>
  <si>
    <t>Spinbehandeling</t>
  </si>
  <si>
    <t>Het reinigen en inspuiten van glas, omlijsting en houtwerk in het voor-, en najaar. (In overleg welk product wordt gehanteerd)</t>
  </si>
  <si>
    <t xml:space="preserve">Prijsvorming Reinigen d.m.v. Hogedruk containerruimte  (inclusief middelen/materialen) </t>
  </si>
  <si>
    <t>Prijs in € per m2 in staffelvorm</t>
  </si>
  <si>
    <t>1 - 250</t>
  </si>
  <si>
    <t>251 - 500</t>
  </si>
  <si>
    <t>501 - 1.000</t>
  </si>
  <si>
    <t>&lt; 1.000</t>
  </si>
  <si>
    <t>Tegels , DHT met voegen</t>
  </si>
  <si>
    <t>Containerruimte met hoge druk spuiten</t>
  </si>
  <si>
    <t xml:space="preserve">Prijsvorming Reinigen buitenterrein  (inclusief middelen/materialen) </t>
  </si>
  <si>
    <t>Buitenterrein (o.a fietsenstalling, schoolplein etc.)</t>
  </si>
  <si>
    <t>Machinaal vegen</t>
  </si>
  <si>
    <t xml:space="preserve">Handmatig vegen </t>
  </si>
  <si>
    <t>Hogedruk reinigen</t>
  </si>
  <si>
    <t>Kauwgum verwijderen</t>
  </si>
  <si>
    <t>Prijsvorming  extra werkzaamheden (inclusief middelen/materialen)</t>
  </si>
  <si>
    <t>Prijs in € per stuk in staffelvorm</t>
  </si>
  <si>
    <t>Computer- en randapparatuur</t>
  </si>
  <si>
    <t>1 t/m 25</t>
  </si>
  <si>
    <t>26 t/m 50</t>
  </si>
  <si>
    <t>51 t/m 100</t>
  </si>
  <si>
    <t>&gt; 100</t>
  </si>
  <si>
    <t>Monitor</t>
  </si>
  <si>
    <t>Stof en vlekvrij maken, vochtig reinigen</t>
  </si>
  <si>
    <t>Toestenbord + muis (in- en uitwendig)</t>
  </si>
  <si>
    <t>Reiging meubilair</t>
  </si>
  <si>
    <t>Gestoffeerde stoelen</t>
  </si>
  <si>
    <t>Koolzuurreiniging</t>
  </si>
  <si>
    <t>Prijs in €</t>
  </si>
  <si>
    <t>Zonwering</t>
  </si>
  <si>
    <t>Handeling</t>
  </si>
  <si>
    <t>per meter</t>
  </si>
  <si>
    <t>per m2</t>
  </si>
  <si>
    <t>Vertikale lamellen (textiel)</t>
  </si>
  <si>
    <t>Stofzuigen</t>
  </si>
  <si>
    <t>Vertikale lamellen (kunststof/ aluminium)</t>
  </si>
  <si>
    <t>Afsponzen</t>
  </si>
  <si>
    <t>Gordijnen</t>
  </si>
  <si>
    <t>Reinigen, inclusief afhalen en ophangen</t>
  </si>
  <si>
    <t>Vitrage</t>
  </si>
  <si>
    <t>Regie- uurtarieven (volgens matrix CAO)</t>
  </si>
  <si>
    <t>Indien buiten genoemde dagen en uren regiewerkzaamheden verricht dienen te worden is aannemer gerechtigd de toeslagpercentages, zoals vastgelegd in artikel 18 van de CAO voor Schoonmaak- en Glazenwassersbedrijf, te berekenen.  De toeslag dient steeds over het basis CAO-uurloon, zoals vermeld in invuldocument 5-Opbouw uurtarieven te worden berekend.</t>
  </si>
  <si>
    <t>Tariefgroep</t>
  </si>
  <si>
    <t>Werktijden</t>
  </si>
  <si>
    <t>Medewerk(st)er algemeen schoonmaak onderhoud</t>
  </si>
  <si>
    <t xml:space="preserve">Ma/ vrij tussen 06.00 en 21.30 uur   </t>
  </si>
  <si>
    <t>Specialist - algemeen</t>
  </si>
  <si>
    <t>Ma/ vrij tussen 06.00 en 21.30 uur</t>
  </si>
  <si>
    <t xml:space="preserve">Za/zo tussen 06.00 en 21.30 uur   </t>
  </si>
  <si>
    <t xml:space="preserve">Feestdag tussen 06.00 en 21.30 uur   </t>
  </si>
  <si>
    <t>Alle prijzen inclusief materialen en middelen, toezicht, voorrijkosten en overige bijkomende kosten.</t>
  </si>
  <si>
    <t>Alle prijzen exclusief btw</t>
  </si>
  <si>
    <t>Prijsvorming Glasbewassing</t>
  </si>
  <si>
    <t>Oppervlakte (separatieglas dubbellvoudig gemeten)</t>
  </si>
  <si>
    <t>Prijzen p/m2 (separatieglas dubbelvoudig gemeten)</t>
  </si>
  <si>
    <t>Locatie</t>
  </si>
  <si>
    <t>Frequentie</t>
  </si>
  <si>
    <t>m2 buitenglas</t>
  </si>
  <si>
    <t>m2 binneglas</t>
  </si>
  <si>
    <t>m2 separatie glas</t>
  </si>
  <si>
    <t>Productienorm m2/p uur buitenglas</t>
  </si>
  <si>
    <t>Productienorm m2/p uur binnenglas</t>
  </si>
  <si>
    <t>Productienorm m2/p uur separatieglasglas</t>
  </si>
  <si>
    <t>uren per wasbeurt buitenglas</t>
  </si>
  <si>
    <t>uren per wasbeurt binnenglas</t>
  </si>
  <si>
    <t>uren per wasbeurt separatieglas</t>
  </si>
  <si>
    <t>Tarief p/uur</t>
  </si>
  <si>
    <t>Kosten per jaar buitenglas</t>
  </si>
  <si>
    <t>Kosten per jaar binnenglas</t>
  </si>
  <si>
    <t>Kosten per jaar separatie-glas</t>
  </si>
  <si>
    <t xml:space="preserve"> € per m2 buitenglas</t>
  </si>
  <si>
    <t>€ per m2 binnenglas</t>
  </si>
  <si>
    <t>€ per m2 separatieglas</t>
  </si>
  <si>
    <t>Inzet arbeids middelen</t>
  </si>
  <si>
    <t>Alle prijzen inclusief materialen en middelen, voorrijkosten en overige bijkomende kosten.</t>
  </si>
  <si>
    <r>
      <t xml:space="preserve">Totaal uren glasbewassing gekoppeld aan tabblad </t>
    </r>
    <r>
      <rPr>
        <b/>
        <sz val="10"/>
        <color indexed="63"/>
        <rFont val="Verdana"/>
        <family val="2"/>
      </rPr>
      <t>1.0-Contractblad : Cel G94</t>
    </r>
  </si>
  <si>
    <t>Het separatieglas is dubelzijdig gemeten, prijs dient voor enkelzijdig wassen te worden ingevoerd</t>
  </si>
  <si>
    <t>Bedrag per beurt</t>
  </si>
  <si>
    <t>Inzet arbeidsmiddel (omschijving)</t>
  </si>
  <si>
    <t>Productkeuze:</t>
  </si>
  <si>
    <t>Neutraal reinigingsmiddel, pH-7, het product mag niet schadelijk zijn voor het afwerkmateriaal, geen corroderende werking hebben en mag geen schuurmiddel of etsende stoffen bevatten.</t>
  </si>
  <si>
    <t>Het product is vrij van zure en alkalische bestanddelen, waardoor er geen enkel gevaar is voor aantasting van metaal, lak, rubber enz.</t>
  </si>
  <si>
    <t>Handeling:</t>
  </si>
  <si>
    <t>Inzetten van de beglazing met water en een reinigingsmiddel met behulp van schapenvacht en/of spons</t>
  </si>
  <si>
    <t>Omlijstingen en raam- en kozijnprofielen met spons afnemen.</t>
  </si>
  <si>
    <t>Droogtrekken van het glas en kozijnen zodat er geen resten van het reinigingsmiddel met de opgenomen vervuiling achterblijven.</t>
  </si>
  <si>
    <t>Selecteer categorie medewerker Dienstjaar 1</t>
  </si>
  <si>
    <t>V1 15-06-2023</t>
  </si>
  <si>
    <t>31.70</t>
  </si>
  <si>
    <t>16.8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</si>
</sst>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(&quot;ƒ&quot;* #,##0.00_);_(&quot;ƒ&quot;* \(#,##0.00\);_(&quot;ƒ&quot;* &quot;-&quot;??_);_(@_)"/>
    <numFmt numFmtId="169" formatCode="_-* #,##0.00_-;\-* #,##0.00_-;_-* &quot;-&quot;??_-;_-@_-"/>
    <numFmt numFmtId="170" formatCode="&quot;Fl.&quot;#,##0;\-&quot;Fl.&quot;#,##0"/>
    <numFmt numFmtId="171" formatCode="&quot;Fl.&quot;#,##0;[Red]\-&quot;Fl.&quot;#,##0"/>
    <numFmt numFmtId="172" formatCode="_-&quot;ƒ&quot;\ * #,##0.00_-;_-&quot;ƒ&quot;\ * #,##0.00\-;_-&quot;ƒ&quot;\ * &quot;-&quot;??_-;_-@_-"/>
    <numFmt numFmtId="173" formatCode="0_)"/>
    <numFmt numFmtId="174" formatCode="General_)"/>
    <numFmt numFmtId="175" formatCode="0.00_)"/>
    <numFmt numFmtId="176" formatCode="0.000"/>
    <numFmt numFmtId="177" formatCode="_-* #,##0_-;_-* #,##0\-;_-* &quot;-&quot;??_-;_-@_-"/>
    <numFmt numFmtId="178" formatCode="00,000"/>
    <numFmt numFmtId="179" formatCode="0.0%"/>
    <numFmt numFmtId="180" formatCode="0.0"/>
    <numFmt numFmtId="181" formatCode="#,##0.0"/>
    <numFmt numFmtId="182" formatCode="_-* #,##0.000_-;_-* #,##0.000\-;_-* &quot;-&quot;??_-;_-@_-"/>
    <numFmt numFmtId="183" formatCode="0.000%"/>
    <numFmt numFmtId="184" formatCode="_-[$€-2]\ * #,##0.00_ ;_-[$€-2]\ * \-#,##0.00\ ;_-[$€-2]\ * &quot;-&quot;??_ ;_-@_ "/>
    <numFmt numFmtId="185" formatCode="_([$€-2]\ * #,##0.00_);_([$€-2]\ * \(#,##0.00\);_([$€-2]\ * &quot;-&quot;??_);_(@_)"/>
    <numFmt numFmtId="186" formatCode="#,000"/>
    <numFmt numFmtId="187" formatCode="_-[$€-2]\ * #,##0.00_-;_-[$€-2]\ * #,##0.00\-;_-[$€-2]\ * &quot;-&quot;??_-;_-@_-"/>
    <numFmt numFmtId="188" formatCode="mm/dd/yyyy"/>
    <numFmt numFmtId="189" formatCode="[$-413]d\-mmm\-yy;@"/>
    <numFmt numFmtId="190" formatCode="0.0000000%"/>
    <numFmt numFmtId="191" formatCode="0\ &quot;x per jaar&quot;"/>
    <numFmt numFmtId="192" formatCode="_-[$€-413]\ * #,##0.00_-;_-[$€-413]\ * #,##0.00\-;_-[$€-413]\ * &quot;-&quot;??_-;_-@_-"/>
    <numFmt numFmtId="193" formatCode="[$-413]d/mmm/yy;@"/>
    <numFmt numFmtId="194" formatCode="dd/mmmm/yyyy"/>
    <numFmt numFmtId="195" formatCode="[$-413]dd/mmm/yy;@"/>
    <numFmt numFmtId="196" formatCode="&quot;fl&quot;\ #,##0_-;[Red]&quot;fl&quot;\ #,##0\-"/>
    <numFmt numFmtId="197" formatCode="_-[$€]\ * #,##0.00_-;_-[$€]\ * #,##0.00\-;_-[$€]\ * &quot;-&quot;??_-;_-@_-"/>
    <numFmt numFmtId="198" formatCode="_([$€]\ * #,##0.00_);_([$€]\ * \(#,##0.00\);_([$€]\ * &quot;-&quot;??_);_(@_)"/>
    <numFmt numFmtId="199" formatCode="_-&quot;fl&quot;\ * #,##0.00_-;_-&quot;fl&quot;\ * #,##0.00\-;_-&quot;fl&quot;\ * &quot;-&quot;??_-;_-@_-"/>
    <numFmt numFmtId="200" formatCode="_ [$€-413]\ * #,##0.00_ ;_ [$€-413]\ * \-#,##0.00_ ;_ [$€-413]\ * &quot;-&quot;??_ ;_ @_ "/>
    <numFmt numFmtId="201" formatCode="00"/>
    <numFmt numFmtId="202" formatCode="yyyy/mm/dd;@"/>
    <numFmt numFmtId="203" formatCode="0.00000"/>
    <numFmt numFmtId="204" formatCode="0.0000"/>
  </numFmts>
  <fonts count="125">
    <font>
      <sz val="10"/>
      <name val="MS Sans Serif"/>
    </font>
    <font>
      <sz val="10"/>
      <color theme="1"/>
      <name val="Verdana"/>
      <family val="2"/>
    </font>
    <font>
      <sz val="12"/>
      <color theme="1"/>
      <name val="Times New Roman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Verdana"/>
      <family val="2"/>
    </font>
    <font>
      <b/>
      <sz val="10"/>
      <name val="MS Sans Serif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9"/>
      <name val="Geneva"/>
      <family val="2"/>
    </font>
    <font>
      <sz val="8"/>
      <name val="Genev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0"/>
      <color indexed="9"/>
      <name val="Verdana"/>
      <family val="2"/>
    </font>
    <font>
      <sz val="12"/>
      <color indexed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sz val="12"/>
      <color indexed="63"/>
      <name val="Verdana"/>
      <family val="2"/>
    </font>
    <font>
      <sz val="12"/>
      <color indexed="63"/>
      <name val="Verdana"/>
      <family val="2"/>
    </font>
    <font>
      <sz val="9"/>
      <color indexed="63"/>
      <name val="Verdana"/>
      <family val="2"/>
    </font>
    <font>
      <sz val="10"/>
      <color indexed="63"/>
      <name val="MS Sans Serif"/>
      <family val="2"/>
    </font>
    <font>
      <b/>
      <sz val="8"/>
      <color indexed="63"/>
      <name val="Verdana"/>
      <family val="2"/>
    </font>
    <font>
      <i/>
      <sz val="10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Verdana"/>
      <family val="2"/>
    </font>
    <font>
      <b/>
      <i/>
      <sz val="10"/>
      <color indexed="63"/>
      <name val="Verdana"/>
      <family val="2"/>
    </font>
    <font>
      <b/>
      <sz val="10"/>
      <color indexed="10"/>
      <name val="Verdana"/>
      <family val="2"/>
    </font>
    <font>
      <sz val="9"/>
      <name val="Verdana"/>
      <family val="2"/>
    </font>
    <font>
      <b/>
      <sz val="16"/>
      <name val="Verdana"/>
      <family val="2"/>
    </font>
    <font>
      <b/>
      <sz val="9"/>
      <color indexed="63"/>
      <name val="Verdana"/>
      <family val="2"/>
    </font>
    <font>
      <b/>
      <sz val="14"/>
      <name val="Verdana"/>
      <family val="2"/>
    </font>
    <font>
      <b/>
      <sz val="12"/>
      <color theme="1" tint="4.9989318521683403E-2"/>
      <name val="Verdana"/>
      <family val="2"/>
    </font>
    <font>
      <sz val="12"/>
      <color theme="1" tint="4.9989318521683403E-2"/>
      <name val="Verdana"/>
      <family val="2"/>
    </font>
    <font>
      <b/>
      <sz val="10"/>
      <color theme="1" tint="4.9989318521683403E-2"/>
      <name val="Verdana"/>
      <family val="2"/>
    </font>
    <font>
      <sz val="10"/>
      <color theme="1" tint="4.9989318521683403E-2"/>
      <name val="Verdana"/>
      <family val="2"/>
    </font>
    <font>
      <sz val="10"/>
      <color theme="0"/>
      <name val="Verdana"/>
      <family val="2"/>
    </font>
    <font>
      <sz val="10"/>
      <color theme="0" tint="-0.499984740745262"/>
      <name val="MS Sans Serif"/>
      <family val="2"/>
    </font>
    <font>
      <sz val="10"/>
      <color theme="0" tint="-0.499984740745262"/>
      <name val="Verdana"/>
      <family val="2"/>
    </font>
    <font>
      <sz val="10"/>
      <color theme="1" tint="4.9989318521683403E-2"/>
      <name val="MS Sans Serif"/>
      <family val="2"/>
    </font>
    <font>
      <b/>
      <i/>
      <sz val="10"/>
      <color theme="1" tint="4.9989318521683403E-2"/>
      <name val="Verdana"/>
      <family val="2"/>
    </font>
    <font>
      <sz val="9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color rgb="FF424242"/>
      <name val="Verdana"/>
      <family val="2"/>
    </font>
    <font>
      <i/>
      <sz val="10"/>
      <color rgb="FF424242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10"/>
      <color rgb="FFFF0000"/>
      <name val="MS Sans Serif"/>
    </font>
    <font>
      <sz val="10"/>
      <color rgb="FFFF0000"/>
      <name val="Verdana"/>
      <family val="2"/>
    </font>
    <font>
      <b/>
      <sz val="11"/>
      <color theme="1" tint="4.9989318521683403E-2"/>
      <name val="Verdana"/>
      <family val="2"/>
    </font>
    <font>
      <b/>
      <sz val="11"/>
      <name val="Verdana"/>
      <family val="2"/>
    </font>
    <font>
      <i/>
      <sz val="12"/>
      <color indexed="63"/>
      <name val="Verdana"/>
      <family val="2"/>
    </font>
    <font>
      <b/>
      <i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4"/>
      <color theme="0"/>
      <name val="Verdana"/>
      <family val="2"/>
    </font>
    <font>
      <sz val="11"/>
      <color theme="1"/>
      <name val="Times New Roman"/>
      <family val="2"/>
      <scheme val="minor"/>
    </font>
    <font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indexed="63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Times New Roman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10"/>
      <color theme="2" tint="-0.499984740745262"/>
      <name val="Verdana"/>
      <family val="2"/>
    </font>
    <font>
      <sz val="9"/>
      <color theme="2" tint="-0.499984740745262"/>
      <name val="Verdana"/>
      <family val="2"/>
    </font>
    <font>
      <sz val="10"/>
      <color theme="2" tint="-0.499984740745262"/>
      <name val="MS Sans Serif"/>
      <family val="2"/>
    </font>
    <font>
      <sz val="6"/>
      <color theme="2" tint="-0.499984740745262"/>
      <name val="Verdana"/>
      <family val="2"/>
    </font>
    <font>
      <b/>
      <sz val="10"/>
      <color rgb="FFFF0000"/>
      <name val="Verdana"/>
      <family val="2"/>
    </font>
    <font>
      <sz val="10"/>
      <color theme="2"/>
      <name val="MS Sans Serif"/>
    </font>
    <font>
      <b/>
      <sz val="10"/>
      <color theme="2"/>
      <name val="MS Sans Serif"/>
      <family val="2"/>
    </font>
    <font>
      <b/>
      <sz val="10"/>
      <color theme="2"/>
      <name val="MS Sans Serif"/>
    </font>
    <font>
      <b/>
      <sz val="22"/>
      <color rgb="FFFF0000"/>
      <name val="Verdana"/>
      <family val="2"/>
    </font>
    <font>
      <sz val="11"/>
      <name val="Verdana"/>
      <family val="2"/>
    </font>
    <font>
      <b/>
      <sz val="10"/>
      <color theme="2" tint="0.79998168889431442"/>
      <name val="Verdana"/>
      <family val="2"/>
    </font>
    <font>
      <b/>
      <sz val="10"/>
      <color theme="2" tint="0.79998168889431442"/>
      <name val="MS Sans Serif"/>
      <family val="2"/>
    </font>
    <font>
      <b/>
      <sz val="14"/>
      <color rgb="FFFF0000"/>
      <name val="Verdana"/>
      <family val="2"/>
    </font>
    <font>
      <i/>
      <sz val="10"/>
      <color theme="1"/>
      <name val="Verdana"/>
      <family val="2"/>
    </font>
    <font>
      <b/>
      <sz val="14"/>
      <color indexed="63"/>
      <name val="Verdana"/>
      <family val="2"/>
    </font>
    <font>
      <i/>
      <sz val="14"/>
      <color rgb="FF424242"/>
      <name val="Verdana"/>
      <family val="2"/>
    </font>
    <font>
      <i/>
      <sz val="24"/>
      <color theme="5" tint="-0.499984740745262"/>
      <name val="Verdana"/>
      <family val="2"/>
    </font>
    <font>
      <i/>
      <sz val="10"/>
      <color theme="5" tint="-0.499984740745262"/>
      <name val="Verdana"/>
      <family val="2"/>
    </font>
    <font>
      <sz val="11"/>
      <color theme="1"/>
      <name val="Verdana"/>
      <family val="2"/>
    </font>
    <font>
      <sz val="10"/>
      <color theme="2"/>
      <name val="MS Sans Serif"/>
      <family val="2"/>
    </font>
    <font>
      <b/>
      <i/>
      <sz val="9"/>
      <name val="Verdana"/>
      <family val="2"/>
    </font>
    <font>
      <sz val="8"/>
      <color theme="1"/>
      <name val="Times New Roman"/>
      <family val="2"/>
      <scheme val="minor"/>
    </font>
    <font>
      <sz val="10"/>
      <name val="MS Sans Serif"/>
      <family val="2"/>
    </font>
    <font>
      <b/>
      <sz val="9"/>
      <color theme="1"/>
      <name val="Verdana"/>
      <family val="2"/>
    </font>
    <font>
      <b/>
      <i/>
      <sz val="10"/>
      <color theme="1"/>
      <name val="Verdana"/>
      <family val="2"/>
    </font>
    <font>
      <sz val="10"/>
      <color rgb="FFFDFBFA"/>
      <name val="Verdana"/>
      <family val="2"/>
    </font>
    <font>
      <sz val="10"/>
      <color rgb="FFFDFBFA"/>
      <name val="MS Sans Serif"/>
    </font>
    <font>
      <b/>
      <sz val="10"/>
      <color rgb="FFFDFBFA"/>
      <name val="Verdana"/>
      <family val="2"/>
    </font>
    <font>
      <b/>
      <sz val="10"/>
      <color rgb="FFFDFBFA"/>
      <name val="MS Sans Serif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</fonts>
  <fills count="4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 style="thin">
        <color rgb="FFFF9933"/>
      </left>
      <right style="thin">
        <color rgb="FFFF9933"/>
      </right>
      <top style="thin">
        <color rgb="FFFF9933"/>
      </top>
      <bottom style="thin">
        <color rgb="FFFF9933"/>
      </bottom>
      <diagonal/>
    </border>
    <border>
      <left style="thin">
        <color rgb="FFFF9933"/>
      </left>
      <right/>
      <top style="thin">
        <color rgb="FFFF9933"/>
      </top>
      <bottom style="thin">
        <color rgb="FFFF993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FF993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14999847407452621"/>
      </left>
      <right style="thick">
        <color theme="0" tint="-0.34998626667073579"/>
      </right>
      <top style="thin">
        <color theme="0" tint="-0.14999847407452621"/>
      </top>
      <bottom style="thick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theme="5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3331">
    <xf numFmtId="0" fontId="0" fillId="0" borderId="0"/>
    <xf numFmtId="0" fontId="31" fillId="3" borderId="1" applyNumberFormat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5" fillId="0" borderId="0"/>
    <xf numFmtId="0" fontId="32" fillId="0" borderId="2" applyNumberFormat="0" applyFill="0" applyAlignment="0" applyProtection="0"/>
    <xf numFmtId="0" fontId="33" fillId="2" borderId="0" applyNumberFormat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6" borderId="0"/>
    <xf numFmtId="167" fontId="35" fillId="0" borderId="0">
      <alignment horizontal="center" vertical="center" textRotation="90" wrapText="1"/>
    </xf>
    <xf numFmtId="0" fontId="36" fillId="5" borderId="3"/>
    <xf numFmtId="170" fontId="15" fillId="0" borderId="0"/>
    <xf numFmtId="0" fontId="37" fillId="4" borderId="0" applyNumberFormat="0" applyBorder="0" applyAlignment="0" applyProtection="0"/>
    <xf numFmtId="0" fontId="7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15" fillId="0" borderId="0"/>
    <xf numFmtId="0" fontId="6" fillId="0" borderId="0"/>
    <xf numFmtId="0" fontId="9" fillId="0" borderId="0"/>
    <xf numFmtId="0" fontId="7" fillId="0" borderId="0"/>
    <xf numFmtId="0" fontId="7" fillId="0" borderId="0"/>
    <xf numFmtId="0" fontId="10" fillId="0" borderId="0"/>
    <xf numFmtId="9" fontId="6" fillId="0" borderId="0" applyFont="0" applyFill="0" applyBorder="0" applyAlignment="0" applyProtection="0"/>
    <xf numFmtId="0" fontId="36" fillId="7" borderId="4" applyNumberFormat="0" applyFont="0" applyBorder="0">
      <alignment horizontal="center"/>
    </xf>
    <xf numFmtId="0" fontId="7" fillId="0" borderId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172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1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2" borderId="0" applyNumberFormat="0" applyBorder="0" applyAlignment="0" applyProtection="0"/>
    <xf numFmtId="0" fontId="75" fillId="17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17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1" borderId="0" applyNumberFormat="0" applyBorder="0" applyAlignment="0" applyProtection="0"/>
    <xf numFmtId="0" fontId="76" fillId="22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76" fillId="30" borderId="0" applyNumberFormat="0" applyBorder="0" applyAlignment="0" applyProtection="0"/>
    <xf numFmtId="0" fontId="76" fillId="25" borderId="0" applyNumberFormat="0" applyBorder="0" applyAlignment="0" applyProtection="0"/>
    <xf numFmtId="0" fontId="76" fillId="26" borderId="0" applyNumberFormat="0" applyBorder="0" applyAlignment="0" applyProtection="0"/>
    <xf numFmtId="0" fontId="76" fillId="31" borderId="0" applyNumberFormat="0" applyBorder="0" applyAlignment="0" applyProtection="0"/>
    <xf numFmtId="0" fontId="77" fillId="16" borderId="0" applyNumberFormat="0" applyBorder="0" applyAlignment="0" applyProtection="0"/>
    <xf numFmtId="0" fontId="31" fillId="3" borderId="1" applyNumberFormat="0" applyAlignment="0" applyProtection="0"/>
    <xf numFmtId="0" fontId="31" fillId="32" borderId="1" applyNumberFormat="0" applyAlignment="0" applyProtection="0"/>
    <xf numFmtId="0" fontId="78" fillId="33" borderId="38" applyNumberFormat="0" applyAlignment="0" applyProtection="0"/>
    <xf numFmtId="38" fontId="79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8" fillId="33" borderId="38" applyNumberFormat="0" applyAlignment="0" applyProtection="0"/>
    <xf numFmtId="196" fontId="79" fillId="0" borderId="0" applyFont="0" applyFill="0" applyBorder="0" applyAlignment="0" applyProtection="0"/>
    <xf numFmtId="16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32" fillId="0" borderId="2" applyNumberFormat="0" applyFill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82" fillId="0" borderId="39" applyNumberFormat="0" applyFill="0" applyAlignment="0" applyProtection="0"/>
    <xf numFmtId="0" fontId="83" fillId="0" borderId="40" applyNumberFormat="0" applyFill="0" applyAlignment="0" applyProtection="0"/>
    <xf numFmtId="0" fontId="84" fillId="0" borderId="41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4" borderId="1" applyNumberFormat="0" applyAlignment="0" applyProtection="0"/>
    <xf numFmtId="0" fontId="86" fillId="19" borderId="1" applyNumberFormat="0" applyAlignment="0" applyProtection="0"/>
    <xf numFmtId="167" fontId="4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87" fillId="0" borderId="42" applyNumberFormat="0" applyFill="0" applyAlignment="0" applyProtection="0"/>
    <xf numFmtId="0" fontId="88" fillId="0" borderId="40" applyNumberFormat="0" applyFill="0" applyAlignment="0" applyProtection="0"/>
    <xf numFmtId="0" fontId="89" fillId="0" borderId="43" applyNumberFormat="0" applyFill="0" applyAlignment="0" applyProtection="0"/>
    <xf numFmtId="0" fontId="89" fillId="0" borderId="0" applyNumberFormat="0" applyFill="0" applyBorder="0" applyAlignment="0" applyProtection="0"/>
    <xf numFmtId="0" fontId="32" fillId="0" borderId="2" applyNumberFormat="0" applyFill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4" fillId="0" borderId="0"/>
    <xf numFmtId="0" fontId="9" fillId="34" borderId="44" applyNumberFormat="0" applyFont="0" applyAlignment="0" applyProtection="0"/>
    <xf numFmtId="0" fontId="9" fillId="34" borderId="44" applyNumberFormat="0" applyFont="0" applyAlignment="0" applyProtection="0"/>
    <xf numFmtId="0" fontId="6" fillId="34" borderId="44" applyNumberFormat="0" applyFont="0" applyAlignment="0" applyProtection="0"/>
    <xf numFmtId="0" fontId="9" fillId="34" borderId="44" applyNumberFormat="0" applyFont="0" applyAlignment="0" applyProtection="0"/>
    <xf numFmtId="0" fontId="77" fillId="16" borderId="0" applyNumberFormat="0" applyBorder="0" applyAlignment="0" applyProtection="0"/>
    <xf numFmtId="0" fontId="90" fillId="32" borderId="45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1" fillId="0" borderId="0"/>
    <xf numFmtId="0" fontId="9" fillId="0" borderId="0"/>
    <xf numFmtId="0" fontId="9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39" fillId="0" borderId="46" applyNumberFormat="0" applyFill="0" applyAlignment="0" applyProtection="0"/>
    <xf numFmtId="0" fontId="90" fillId="3" borderId="45" applyNumberFormat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0"/>
    <xf numFmtId="0" fontId="6" fillId="0" borderId="0"/>
    <xf numFmtId="0" fontId="115" fillId="0" borderId="0"/>
    <xf numFmtId="0" fontId="116" fillId="0" borderId="0"/>
  </cellStyleXfs>
  <cellXfs count="770">
    <xf numFmtId="0" fontId="0" fillId="0" borderId="0" xfId="0"/>
    <xf numFmtId="0" fontId="15" fillId="0" borderId="0" xfId="0" applyFont="1"/>
    <xf numFmtId="0" fontId="15" fillId="0" borderId="0" xfId="0" applyFont="1" applyAlignment="1">
      <alignment vertical="center"/>
    </xf>
    <xf numFmtId="0" fontId="22" fillId="0" borderId="0" xfId="19" applyFont="1"/>
    <xf numFmtId="0" fontId="23" fillId="0" borderId="0" xfId="19" applyFont="1"/>
    <xf numFmtId="49" fontId="23" fillId="0" borderId="0" xfId="16" applyNumberFormat="1" applyFont="1" applyAlignment="1" applyProtection="1">
      <alignment horizontal="left" vertical="top"/>
      <protection hidden="1"/>
    </xf>
    <xf numFmtId="49" fontId="24" fillId="0" borderId="0" xfId="19" applyNumberFormat="1" applyFont="1"/>
    <xf numFmtId="2" fontId="25" fillId="0" borderId="0" xfId="19" applyNumberFormat="1" applyFont="1"/>
    <xf numFmtId="2" fontId="24" fillId="0" borderId="0" xfId="19" applyNumberFormat="1" applyFont="1"/>
    <xf numFmtId="0" fontId="25" fillId="0" borderId="0" xfId="19" applyFont="1"/>
    <xf numFmtId="49" fontId="23" fillId="0" borderId="0" xfId="19" applyNumberFormat="1" applyFont="1"/>
    <xf numFmtId="177" fontId="23" fillId="0" borderId="0" xfId="16" applyNumberFormat="1" applyFont="1" applyAlignment="1" applyProtection="1">
      <alignment horizontal="left" vertical="top"/>
      <protection hidden="1"/>
    </xf>
    <xf numFmtId="49" fontId="23" fillId="0" borderId="0" xfId="16" applyNumberFormat="1" applyFont="1" applyAlignment="1" applyProtection="1">
      <alignment horizontal="left"/>
      <protection hidden="1"/>
    </xf>
    <xf numFmtId="1" fontId="23" fillId="0" borderId="0" xfId="2" applyNumberFormat="1" applyFont="1" applyFill="1" applyAlignment="1">
      <alignment horizontal="center"/>
    </xf>
    <xf numFmtId="184" fontId="23" fillId="0" borderId="0" xfId="5" applyNumberFormat="1" applyFont="1" applyFill="1" applyAlignment="1"/>
    <xf numFmtId="184" fontId="23" fillId="0" borderId="0" xfId="5" applyNumberFormat="1" applyFont="1" applyFill="1" applyAlignment="1">
      <alignment horizontal="right"/>
    </xf>
    <xf numFmtId="164" fontId="23" fillId="0" borderId="0" xfId="19" applyNumberFormat="1" applyFont="1"/>
    <xf numFmtId="184" fontId="23" fillId="0" borderId="6" xfId="5" applyNumberFormat="1" applyFont="1" applyFill="1" applyBorder="1" applyAlignment="1">
      <alignment horizontal="right"/>
    </xf>
    <xf numFmtId="49" fontId="22" fillId="0" borderId="0" xfId="16" applyNumberFormat="1" applyFont="1" applyAlignment="1" applyProtection="1">
      <alignment horizontal="left"/>
      <protection hidden="1"/>
    </xf>
    <xf numFmtId="179" fontId="22" fillId="0" borderId="0" xfId="16" applyNumberFormat="1" applyFont="1" applyAlignment="1" applyProtection="1">
      <alignment horizontal="center"/>
      <protection hidden="1"/>
    </xf>
    <xf numFmtId="164" fontId="22" fillId="0" borderId="0" xfId="2" applyFont="1" applyFill="1" applyBorder="1" applyAlignment="1" applyProtection="1">
      <alignment horizontal="left"/>
      <protection hidden="1"/>
    </xf>
    <xf numFmtId="0" fontId="22" fillId="0" borderId="0" xfId="16" applyFont="1" applyAlignment="1" applyProtection="1">
      <alignment horizontal="left"/>
      <protection hidden="1"/>
    </xf>
    <xf numFmtId="184" fontId="22" fillId="0" borderId="0" xfId="16" applyNumberFormat="1" applyFont="1" applyAlignment="1" applyProtection="1">
      <alignment horizontal="left"/>
      <protection hidden="1"/>
    </xf>
    <xf numFmtId="179" fontId="22" fillId="0" borderId="0" xfId="27" applyNumberFormat="1" applyFont="1" applyFill="1" applyBorder="1" applyAlignment="1" applyProtection="1">
      <alignment horizontal="center"/>
      <protection hidden="1"/>
    </xf>
    <xf numFmtId="185" fontId="23" fillId="0" borderId="0" xfId="19" applyNumberFormat="1" applyFont="1"/>
    <xf numFmtId="49" fontId="22" fillId="0" borderId="0" xfId="19" applyNumberFormat="1" applyFont="1"/>
    <xf numFmtId="0" fontId="23" fillId="0" borderId="0" xfId="19" applyFont="1" applyAlignment="1">
      <alignment horizontal="right"/>
    </xf>
    <xf numFmtId="10" fontId="23" fillId="0" borderId="0" xfId="19" applyNumberFormat="1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19" applyFont="1" applyAlignment="1">
      <alignment vertical="center"/>
    </xf>
    <xf numFmtId="1" fontId="23" fillId="0" borderId="0" xfId="29" applyNumberFormat="1" applyFont="1" applyAlignment="1">
      <alignment horizontal="center"/>
    </xf>
    <xf numFmtId="167" fontId="23" fillId="0" borderId="0" xfId="9" applyFont="1" applyAlignment="1">
      <alignment horizontal="left"/>
    </xf>
    <xf numFmtId="176" fontId="23" fillId="0" borderId="0" xfId="29" applyNumberFormat="1" applyFont="1" applyAlignment="1">
      <alignment horizontal="center"/>
    </xf>
    <xf numFmtId="3" fontId="23" fillId="0" borderId="0" xfId="9" applyNumberFormat="1" applyFont="1" applyAlignment="1">
      <alignment horizontal="right"/>
    </xf>
    <xf numFmtId="167" fontId="23" fillId="0" borderId="0" xfId="9" applyFont="1" applyAlignment="1">
      <alignment horizontal="right"/>
    </xf>
    <xf numFmtId="167" fontId="23" fillId="0" borderId="0" xfId="9" applyFont="1" applyAlignment="1">
      <alignment horizontal="center"/>
    </xf>
    <xf numFmtId="0" fontId="23" fillId="0" borderId="0" xfId="29" applyFont="1" applyAlignment="1">
      <alignment horizontal="center"/>
    </xf>
    <xf numFmtId="0" fontId="23" fillId="0" borderId="0" xfId="29" applyFont="1"/>
    <xf numFmtId="176" fontId="25" fillId="0" borderId="0" xfId="19" applyNumberFormat="1" applyFont="1"/>
    <xf numFmtId="3" fontId="25" fillId="0" borderId="0" xfId="19" applyNumberFormat="1" applyFont="1" applyAlignment="1">
      <alignment horizontal="right"/>
    </xf>
    <xf numFmtId="0" fontId="25" fillId="0" borderId="0" xfId="19" applyFont="1" applyAlignment="1">
      <alignment horizontal="right"/>
    </xf>
    <xf numFmtId="0" fontId="27" fillId="0" borderId="0" xfId="0" applyFont="1" applyAlignment="1">
      <alignment vertical="top"/>
    </xf>
    <xf numFmtId="2" fontId="23" fillId="0" borderId="0" xfId="29" applyNumberFormat="1" applyFont="1" applyAlignment="1">
      <alignment horizontal="center"/>
    </xf>
    <xf numFmtId="2" fontId="23" fillId="0" borderId="0" xfId="9" applyNumberFormat="1" applyFont="1" applyAlignment="1">
      <alignment horizontal="left"/>
    </xf>
    <xf numFmtId="3" fontId="23" fillId="0" borderId="0" xfId="9" applyNumberFormat="1" applyFont="1" applyFill="1" applyAlignment="1">
      <alignment horizontal="right"/>
    </xf>
    <xf numFmtId="167" fontId="23" fillId="0" borderId="0" xfId="9" applyFont="1" applyFill="1" applyAlignment="1">
      <alignment horizontal="right"/>
    </xf>
    <xf numFmtId="167" fontId="23" fillId="0" borderId="0" xfId="9" applyFont="1" applyFill="1" applyAlignment="1">
      <alignment horizontal="left"/>
    </xf>
    <xf numFmtId="167" fontId="23" fillId="0" borderId="0" xfId="9" applyFont="1" applyFill="1" applyAlignment="1">
      <alignment horizontal="center"/>
    </xf>
    <xf numFmtId="0" fontId="23" fillId="0" borderId="0" xfId="0" applyFont="1"/>
    <xf numFmtId="0" fontId="22" fillId="0" borderId="0" xfId="0" applyFont="1"/>
    <xf numFmtId="178" fontId="23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2" fontId="23" fillId="0" borderId="0" xfId="16" applyNumberFormat="1" applyFont="1" applyAlignment="1" applyProtection="1">
      <alignment horizontal="center"/>
      <protection hidden="1"/>
    </xf>
    <xf numFmtId="4" fontId="23" fillId="0" borderId="0" xfId="16" applyNumberFormat="1" applyFont="1" applyAlignment="1" applyProtection="1">
      <alignment horizontal="center"/>
      <protection hidden="1"/>
    </xf>
    <xf numFmtId="2" fontId="25" fillId="0" borderId="0" xfId="17" applyNumberFormat="1" applyFont="1" applyAlignment="1">
      <alignment vertical="center"/>
    </xf>
    <xf numFmtId="0" fontId="24" fillId="0" borderId="0" xfId="16" applyFont="1" applyAlignment="1" applyProtection="1">
      <alignment horizontal="left" vertical="center"/>
      <protection hidden="1"/>
    </xf>
    <xf numFmtId="0" fontId="23" fillId="0" borderId="0" xfId="0" applyFont="1" applyAlignment="1">
      <alignment horizontal="center" vertical="center"/>
    </xf>
    <xf numFmtId="2" fontId="24" fillId="0" borderId="0" xfId="17" applyNumberFormat="1" applyFont="1" applyAlignment="1">
      <alignment horizontal="center" vertical="center"/>
    </xf>
    <xf numFmtId="0" fontId="26" fillId="0" borderId="0" xfId="17" applyFont="1" applyAlignment="1">
      <alignment vertical="center"/>
    </xf>
    <xf numFmtId="0" fontId="26" fillId="0" borderId="0" xfId="17" applyFont="1" applyAlignment="1">
      <alignment horizontal="center" vertical="center"/>
    </xf>
    <xf numFmtId="2" fontId="24" fillId="0" borderId="0" xfId="19" applyNumberFormat="1" applyFont="1" applyAlignment="1">
      <alignment vertical="center"/>
    </xf>
    <xf numFmtId="0" fontId="23" fillId="0" borderId="0" xfId="25" applyFont="1" applyAlignment="1">
      <alignment vertical="center"/>
    </xf>
    <xf numFmtId="2" fontId="23" fillId="0" borderId="0" xfId="25" applyNumberFormat="1" applyFont="1" applyAlignment="1">
      <alignment vertical="center"/>
    </xf>
    <xf numFmtId="2" fontId="23" fillId="0" borderId="0" xfId="25" applyNumberFormat="1" applyFont="1" applyAlignment="1">
      <alignment horizontal="center" vertical="center"/>
    </xf>
    <xf numFmtId="0" fontId="23" fillId="0" borderId="0" xfId="17" applyFont="1" applyAlignment="1">
      <alignment horizontal="center" vertical="center"/>
    </xf>
    <xf numFmtId="0" fontId="23" fillId="0" borderId="0" xfId="17" applyFont="1" applyAlignment="1">
      <alignment vertical="center"/>
    </xf>
    <xf numFmtId="2" fontId="23" fillId="0" borderId="0" xfId="24" applyNumberFormat="1" applyFont="1" applyAlignment="1" applyProtection="1">
      <alignment vertical="center"/>
      <protection hidden="1"/>
    </xf>
    <xf numFmtId="185" fontId="22" fillId="0" borderId="0" xfId="2" applyNumberFormat="1" applyFont="1" applyFill="1" applyBorder="1" applyAlignment="1" applyProtection="1">
      <alignment horizontal="left"/>
      <protection hidden="1"/>
    </xf>
    <xf numFmtId="164" fontId="22" fillId="0" borderId="0" xfId="16" applyNumberFormat="1" applyFont="1" applyAlignment="1" applyProtection="1">
      <alignment horizontal="left"/>
      <protection hidden="1"/>
    </xf>
    <xf numFmtId="184" fontId="23" fillId="0" borderId="0" xfId="19" applyNumberFormat="1" applyFont="1"/>
    <xf numFmtId="2" fontId="19" fillId="0" borderId="0" xfId="19" applyNumberFormat="1" applyFont="1"/>
    <xf numFmtId="0" fontId="22" fillId="0" borderId="0" xfId="16" applyFont="1" applyAlignment="1" applyProtection="1">
      <alignment horizontal="center"/>
      <protection hidden="1"/>
    </xf>
    <xf numFmtId="0" fontId="48" fillId="0" borderId="0" xfId="19" applyFont="1"/>
    <xf numFmtId="0" fontId="49" fillId="0" borderId="0" xfId="19" applyFont="1"/>
    <xf numFmtId="0" fontId="22" fillId="0" borderId="0" xfId="19" applyFont="1" applyAlignment="1">
      <alignment vertical="top" wrapText="1"/>
    </xf>
    <xf numFmtId="49" fontId="50" fillId="0" borderId="0" xfId="16" applyNumberFormat="1" applyFont="1" applyAlignment="1" applyProtection="1">
      <alignment horizontal="left"/>
      <protection hidden="1"/>
    </xf>
    <xf numFmtId="49" fontId="51" fillId="0" borderId="0" xfId="16" applyNumberFormat="1" applyFont="1" applyAlignment="1" applyProtection="1">
      <alignment horizontal="left"/>
      <protection hidden="1"/>
    </xf>
    <xf numFmtId="49" fontId="50" fillId="0" borderId="0" xfId="16" applyNumberFormat="1" applyFont="1" applyAlignment="1" applyProtection="1">
      <alignment horizontal="left" vertical="center"/>
      <protection hidden="1"/>
    </xf>
    <xf numFmtId="0" fontId="22" fillId="0" borderId="0" xfId="16" applyFont="1" applyAlignment="1" applyProtection="1">
      <alignment horizontal="left" vertical="center"/>
      <protection hidden="1"/>
    </xf>
    <xf numFmtId="177" fontId="23" fillId="0" borderId="0" xfId="16" applyNumberFormat="1" applyFont="1" applyAlignment="1" applyProtection="1">
      <alignment horizontal="left" vertical="center"/>
      <protection hidden="1"/>
    </xf>
    <xf numFmtId="184" fontId="23" fillId="0" borderId="0" xfId="19" applyNumberFormat="1" applyFont="1" applyAlignment="1">
      <alignment vertical="center"/>
    </xf>
    <xf numFmtId="179" fontId="22" fillId="0" borderId="0" xfId="16" applyNumberFormat="1" applyFont="1" applyAlignment="1" applyProtection="1">
      <alignment horizontal="center" vertical="center"/>
      <protection hidden="1"/>
    </xf>
    <xf numFmtId="164" fontId="22" fillId="0" borderId="0" xfId="2" applyFont="1" applyFill="1" applyBorder="1" applyAlignment="1" applyProtection="1">
      <alignment horizontal="left" vertical="center"/>
      <protection hidden="1"/>
    </xf>
    <xf numFmtId="184" fontId="22" fillId="0" borderId="0" xfId="16" applyNumberFormat="1" applyFont="1" applyAlignment="1" applyProtection="1">
      <alignment horizontal="left" vertical="center"/>
      <protection hidden="1"/>
    </xf>
    <xf numFmtId="0" fontId="15" fillId="0" borderId="0" xfId="0" applyFont="1" applyAlignment="1">
      <alignment horizontal="center" vertical="center"/>
    </xf>
    <xf numFmtId="184" fontId="23" fillId="0" borderId="0" xfId="19" applyNumberFormat="1" applyFont="1" applyAlignment="1">
      <alignment horizontal="right" vertical="center"/>
    </xf>
    <xf numFmtId="164" fontId="23" fillId="0" borderId="0" xfId="19" applyNumberFormat="1" applyFont="1" applyAlignment="1">
      <alignment vertical="center"/>
    </xf>
    <xf numFmtId="164" fontId="23" fillId="0" borderId="0" xfId="2" applyFont="1" applyFill="1" applyAlignment="1">
      <alignment vertical="center"/>
    </xf>
    <xf numFmtId="184" fontId="23" fillId="0" borderId="0" xfId="5" applyNumberFormat="1" applyFont="1" applyFill="1" applyAlignment="1">
      <alignment horizontal="right" vertical="center"/>
    </xf>
    <xf numFmtId="0" fontId="52" fillId="0" borderId="0" xfId="19" applyFont="1"/>
    <xf numFmtId="0" fontId="52" fillId="0" borderId="0" xfId="19" applyFont="1" applyAlignment="1">
      <alignment vertical="center"/>
    </xf>
    <xf numFmtId="0" fontId="52" fillId="0" borderId="10" xfId="19" applyFont="1" applyBorder="1"/>
    <xf numFmtId="0" fontId="17" fillId="0" borderId="0" xfId="19" applyFont="1"/>
    <xf numFmtId="0" fontId="21" fillId="0" borderId="0" xfId="19" applyFont="1"/>
    <xf numFmtId="0" fontId="43" fillId="0" borderId="0" xfId="19" applyFont="1" applyAlignment="1">
      <alignment vertical="top" wrapText="1"/>
    </xf>
    <xf numFmtId="0" fontId="17" fillId="0" borderId="0" xfId="19" applyFont="1" applyAlignment="1">
      <alignment vertical="center"/>
    </xf>
    <xf numFmtId="49" fontId="17" fillId="0" borderId="0" xfId="16" applyNumberFormat="1" applyFont="1" applyAlignment="1" applyProtection="1">
      <alignment horizontal="left"/>
      <protection hidden="1"/>
    </xf>
    <xf numFmtId="0" fontId="0" fillId="0" borderId="0" xfId="0" applyAlignment="1">
      <alignment vertical="center"/>
    </xf>
    <xf numFmtId="187" fontId="22" fillId="0" borderId="0" xfId="19" applyNumberFormat="1" applyFont="1"/>
    <xf numFmtId="49" fontId="29" fillId="0" borderId="0" xfId="19" applyNumberFormat="1" applyFont="1"/>
    <xf numFmtId="0" fontId="23" fillId="0" borderId="0" xfId="29" applyFont="1" applyAlignment="1">
      <alignment vertical="center"/>
    </xf>
    <xf numFmtId="2" fontId="26" fillId="0" borderId="0" xfId="17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81" fontId="23" fillId="0" borderId="0" xfId="19" applyNumberFormat="1" applyFont="1" applyAlignment="1">
      <alignment horizontal="right"/>
    </xf>
    <xf numFmtId="0" fontId="22" fillId="12" borderId="0" xfId="29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4" fontId="23" fillId="0" borderId="7" xfId="21" applyNumberFormat="1" applyFont="1" applyBorder="1" applyAlignment="1">
      <alignment horizontal="center" vertical="center"/>
    </xf>
    <xf numFmtId="49" fontId="42" fillId="0" borderId="0" xfId="2" applyNumberFormat="1" applyFont="1" applyFill="1" applyBorder="1" applyAlignment="1" applyProtection="1">
      <protection hidden="1"/>
    </xf>
    <xf numFmtId="0" fontId="15" fillId="0" borderId="0" xfId="21"/>
    <xf numFmtId="4" fontId="15" fillId="0" borderId="0" xfId="21" applyNumberFormat="1"/>
    <xf numFmtId="185" fontId="15" fillId="0" borderId="0" xfId="21" applyNumberFormat="1"/>
    <xf numFmtId="0" fontId="27" fillId="0" borderId="0" xfId="21" applyFont="1"/>
    <xf numFmtId="0" fontId="51" fillId="11" borderId="0" xfId="0" applyFont="1" applyFill="1" applyAlignment="1">
      <alignment vertical="center"/>
    </xf>
    <xf numFmtId="0" fontId="50" fillId="11" borderId="0" xfId="0" applyFont="1" applyFill="1" applyAlignment="1">
      <alignment vertical="center"/>
    </xf>
    <xf numFmtId="0" fontId="22" fillId="0" borderId="0" xfId="0" applyFont="1" applyAlignment="1">
      <alignment horizontal="right" vertical="center"/>
    </xf>
    <xf numFmtId="187" fontId="16" fillId="10" borderId="0" xfId="19" applyNumberFormat="1" applyFont="1" applyFill="1" applyAlignment="1">
      <alignment horizontal="center"/>
    </xf>
    <xf numFmtId="0" fontId="24" fillId="0" borderId="0" xfId="19" applyFont="1" applyAlignment="1">
      <alignment horizontal="left"/>
    </xf>
    <xf numFmtId="194" fontId="29" fillId="0" borderId="0" xfId="19" applyNumberFormat="1" applyFont="1"/>
    <xf numFmtId="187" fontId="23" fillId="0" borderId="0" xfId="19" applyNumberFormat="1" applyFont="1"/>
    <xf numFmtId="0" fontId="44" fillId="0" borderId="0" xfId="0" applyFont="1" applyAlignment="1">
      <alignment horizontal="center" vertical="center"/>
    </xf>
    <xf numFmtId="0" fontId="15" fillId="0" borderId="13" xfId="0" applyFont="1" applyBorder="1" applyAlignment="1">
      <alignment vertical="center"/>
    </xf>
    <xf numFmtId="181" fontId="22" fillId="0" borderId="0" xfId="0" applyNumberFormat="1" applyFont="1" applyAlignment="1">
      <alignment horizontal="center"/>
    </xf>
    <xf numFmtId="0" fontId="15" fillId="0" borderId="0" xfId="0" applyFont="1" applyAlignment="1">
      <alignment horizontal="left" indent="4"/>
    </xf>
    <xf numFmtId="194" fontId="60" fillId="0" borderId="0" xfId="0" applyNumberFormat="1" applyFont="1" applyAlignment="1">
      <alignment horizontal="left"/>
    </xf>
    <xf numFmtId="0" fontId="15" fillId="0" borderId="0" xfId="0" quotePrefix="1" applyFont="1" applyAlignment="1">
      <alignment vertical="center"/>
    </xf>
    <xf numFmtId="185" fontId="23" fillId="0" borderId="0" xfId="0" applyNumberFormat="1" applyFont="1" applyAlignment="1">
      <alignment vertical="center"/>
    </xf>
    <xf numFmtId="2" fontId="65" fillId="11" borderId="0" xfId="0" applyNumberFormat="1" applyFont="1" applyFill="1" applyAlignment="1">
      <alignment horizontal="center" vertical="center" wrapText="1"/>
    </xf>
    <xf numFmtId="188" fontId="23" fillId="0" borderId="11" xfId="0" applyNumberFormat="1" applyFont="1" applyBorder="1" applyAlignment="1">
      <alignment vertical="center"/>
    </xf>
    <xf numFmtId="193" fontId="23" fillId="0" borderId="11" xfId="0" applyNumberFormat="1" applyFont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195" fontId="23" fillId="0" borderId="12" xfId="0" applyNumberFormat="1" applyFont="1" applyBorder="1" applyAlignment="1">
      <alignment horizontal="center" vertical="center"/>
    </xf>
    <xf numFmtId="192" fontId="15" fillId="0" borderId="9" xfId="32" applyNumberFormat="1" applyFont="1" applyBorder="1" applyAlignment="1">
      <alignment vertical="center"/>
    </xf>
    <xf numFmtId="192" fontId="15" fillId="0" borderId="9" xfId="0" applyNumberFormat="1" applyFont="1" applyBorder="1" applyAlignment="1">
      <alignment vertical="center"/>
    </xf>
    <xf numFmtId="0" fontId="66" fillId="11" borderId="0" xfId="0" applyFont="1" applyFill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192" fontId="15" fillId="0" borderId="0" xfId="0" applyNumberFormat="1" applyFont="1"/>
    <xf numFmtId="49" fontId="50" fillId="0" borderId="0" xfId="16" applyNumberFormat="1" applyFont="1" applyAlignment="1" applyProtection="1">
      <alignment horizontal="center" vertical="center" wrapText="1"/>
      <protection hidden="1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85" fontId="48" fillId="0" borderId="0" xfId="0" applyNumberFormat="1" applyFont="1" applyAlignment="1">
      <alignment vertical="center"/>
    </xf>
    <xf numFmtId="183" fontId="16" fillId="0" borderId="0" xfId="27" applyNumberFormat="1" applyFont="1" applyFill="1" applyAlignment="1">
      <alignment horizontal="right" vertical="center"/>
    </xf>
    <xf numFmtId="187" fontId="15" fillId="0" borderId="0" xfId="0" applyNumberFormat="1" applyFont="1" applyAlignment="1">
      <alignment vertical="center"/>
    </xf>
    <xf numFmtId="0" fontId="56" fillId="0" borderId="0" xfId="23" applyFont="1" applyAlignment="1">
      <alignment horizontal="right" vertical="center"/>
    </xf>
    <xf numFmtId="0" fontId="54" fillId="0" borderId="0" xfId="23" applyFont="1" applyAlignment="1">
      <alignment vertical="center"/>
    </xf>
    <xf numFmtId="4" fontId="23" fillId="0" borderId="0" xfId="0" applyNumberFormat="1" applyFont="1" applyAlignment="1">
      <alignment horizontal="center"/>
    </xf>
    <xf numFmtId="2" fontId="50" fillId="11" borderId="0" xfId="0" applyNumberFormat="1" applyFont="1" applyFill="1" applyAlignment="1">
      <alignment vertical="center" wrapText="1"/>
    </xf>
    <xf numFmtId="2" fontId="50" fillId="11" borderId="0" xfId="0" applyNumberFormat="1" applyFont="1" applyFill="1" applyAlignment="1">
      <alignment horizontal="center" vertical="center" wrapText="1"/>
    </xf>
    <xf numFmtId="185" fontId="51" fillId="0" borderId="0" xfId="0" applyNumberFormat="1" applyFont="1" applyAlignment="1">
      <alignment vertical="center"/>
    </xf>
    <xf numFmtId="181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192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185" fontId="15" fillId="0" borderId="0" xfId="0" applyNumberFormat="1" applyFont="1" applyAlignment="1">
      <alignment vertical="center"/>
    </xf>
    <xf numFmtId="180" fontId="64" fillId="0" borderId="0" xfId="0" applyNumberFormat="1" applyFont="1" applyAlignment="1">
      <alignment horizontal="center" vertical="center"/>
    </xf>
    <xf numFmtId="2" fontId="23" fillId="11" borderId="9" xfId="27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 vertical="center"/>
    </xf>
    <xf numFmtId="0" fontId="44" fillId="11" borderId="9" xfId="0" applyFont="1" applyFill="1" applyBorder="1" applyAlignment="1">
      <alignment horizontal="center" vertical="center" wrapText="1"/>
    </xf>
    <xf numFmtId="0" fontId="27" fillId="0" borderId="0" xfId="20" applyFont="1" applyAlignment="1">
      <alignment vertical="center"/>
    </xf>
    <xf numFmtId="0" fontId="22" fillId="0" borderId="0" xfId="20" applyFont="1" applyAlignment="1">
      <alignment horizontal="center" vertical="center"/>
    </xf>
    <xf numFmtId="2" fontId="22" fillId="0" borderId="0" xfId="20" applyNumberFormat="1" applyFont="1" applyAlignment="1">
      <alignment horizontal="center" vertical="center"/>
    </xf>
    <xf numFmtId="181" fontId="23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7" fontId="22" fillId="0" borderId="0" xfId="9" applyFont="1" applyFill="1" applyAlignment="1">
      <alignment horizontal="center"/>
    </xf>
    <xf numFmtId="0" fontId="28" fillId="0" borderId="0" xfId="0" applyFont="1" applyAlignment="1">
      <alignment horizontal="center"/>
    </xf>
    <xf numFmtId="2" fontId="24" fillId="0" borderId="0" xfId="0" applyNumberFormat="1" applyFont="1" applyAlignment="1">
      <alignment horizontal="center"/>
    </xf>
    <xf numFmtId="0" fontId="50" fillId="0" borderId="0" xfId="0" applyFont="1" applyAlignment="1">
      <alignment vertical="center"/>
    </xf>
    <xf numFmtId="2" fontId="23" fillId="0" borderId="0" xfId="19" applyNumberFormat="1" applyFont="1" applyAlignment="1">
      <alignment vertical="center" wrapText="1"/>
    </xf>
    <xf numFmtId="0" fontId="50" fillId="11" borderId="0" xfId="0" applyFont="1" applyFill="1" applyAlignment="1">
      <alignment vertical="center" wrapText="1"/>
    </xf>
    <xf numFmtId="181" fontId="50" fillId="11" borderId="0" xfId="0" applyNumberFormat="1" applyFont="1" applyFill="1" applyAlignment="1">
      <alignment horizontal="center" vertical="center" wrapText="1"/>
    </xf>
    <xf numFmtId="178" fontId="50" fillId="11" borderId="0" xfId="0" applyNumberFormat="1" applyFont="1" applyFill="1" applyAlignment="1">
      <alignment horizontal="center" vertical="center" wrapText="1"/>
    </xf>
    <xf numFmtId="167" fontId="50" fillId="11" borderId="0" xfId="9" applyFont="1" applyFill="1" applyBorder="1" applyAlignment="1">
      <alignment horizontal="center" vertical="center" wrapText="1"/>
    </xf>
    <xf numFmtId="182" fontId="50" fillId="11" borderId="0" xfId="9" applyNumberFormat="1" applyFont="1" applyFill="1" applyBorder="1" applyAlignment="1">
      <alignment horizontal="center" vertical="center" wrapText="1"/>
    </xf>
    <xf numFmtId="0" fontId="50" fillId="11" borderId="0" xfId="0" applyFont="1" applyFill="1" applyAlignment="1">
      <alignment horizontal="center" vertical="center" wrapText="1"/>
    </xf>
    <xf numFmtId="49" fontId="19" fillId="0" borderId="0" xfId="19" applyNumberFormat="1" applyFont="1"/>
    <xf numFmtId="2" fontId="18" fillId="0" borderId="0" xfId="19" applyNumberFormat="1" applyFont="1"/>
    <xf numFmtId="15" fontId="18" fillId="0" borderId="0" xfId="19" applyNumberFormat="1" applyFont="1" applyAlignment="1">
      <alignment horizontal="left"/>
    </xf>
    <xf numFmtId="0" fontId="22" fillId="0" borderId="0" xfId="19" applyFont="1" applyAlignment="1">
      <alignment vertical="center" wrapText="1"/>
    </xf>
    <xf numFmtId="0" fontId="43" fillId="0" borderId="0" xfId="19" applyFont="1" applyAlignment="1">
      <alignment vertical="center" wrapText="1"/>
    </xf>
    <xf numFmtId="192" fontId="22" fillId="0" borderId="0" xfId="3" applyNumberFormat="1" applyFont="1" applyFill="1" applyBorder="1" applyAlignment="1" applyProtection="1">
      <alignment horizontal="center" vertical="center"/>
      <protection hidden="1"/>
    </xf>
    <xf numFmtId="192" fontId="23" fillId="0" borderId="0" xfId="3" applyNumberFormat="1" applyFont="1" applyFill="1" applyBorder="1" applyAlignment="1" applyProtection="1">
      <alignment horizontal="center" vertical="center"/>
      <protection hidden="1"/>
    </xf>
    <xf numFmtId="1" fontId="23" fillId="0" borderId="0" xfId="2" applyNumberFormat="1" applyFont="1" applyFill="1" applyAlignment="1">
      <alignment horizontal="center" vertical="center"/>
    </xf>
    <xf numFmtId="184" fontId="23" fillId="0" borderId="0" xfId="5" applyNumberFormat="1" applyFont="1" applyFill="1" applyAlignment="1">
      <alignment vertical="center"/>
    </xf>
    <xf numFmtId="0" fontId="52" fillId="0" borderId="10" xfId="19" applyFont="1" applyBorder="1" applyAlignment="1">
      <alignment vertical="center"/>
    </xf>
    <xf numFmtId="49" fontId="23" fillId="0" borderId="0" xfId="16" applyNumberFormat="1" applyFont="1" applyAlignment="1" applyProtection="1">
      <alignment horizontal="left" vertical="center"/>
      <protection hidden="1"/>
    </xf>
    <xf numFmtId="49" fontId="17" fillId="0" borderId="0" xfId="16" applyNumberFormat="1" applyFont="1" applyAlignment="1" applyProtection="1">
      <alignment horizontal="left" vertical="center"/>
      <protection hidden="1"/>
    </xf>
    <xf numFmtId="164" fontId="23" fillId="0" borderId="6" xfId="2" applyFont="1" applyFill="1" applyBorder="1" applyAlignment="1">
      <alignment vertical="center"/>
    </xf>
    <xf numFmtId="49" fontId="51" fillId="0" borderId="0" xfId="16" applyNumberFormat="1" applyFont="1" applyAlignment="1" applyProtection="1">
      <alignment horizontal="left" vertical="center"/>
      <protection hidden="1"/>
    </xf>
    <xf numFmtId="187" fontId="22" fillId="10" borderId="0" xfId="19" applyNumberFormat="1" applyFont="1" applyFill="1"/>
    <xf numFmtId="174" fontId="20" fillId="8" borderId="24" xfId="0" applyNumberFormat="1" applyFont="1" applyFill="1" applyBorder="1" applyAlignment="1">
      <alignment horizontal="center"/>
    </xf>
    <xf numFmtId="1" fontId="18" fillId="0" borderId="0" xfId="19" applyNumberFormat="1" applyFont="1" applyAlignment="1">
      <alignment horizontal="left"/>
    </xf>
    <xf numFmtId="194" fontId="67" fillId="0" borderId="0" xfId="19" applyNumberFormat="1" applyFont="1" applyAlignment="1">
      <alignment horizontal="left"/>
    </xf>
    <xf numFmtId="0" fontId="15" fillId="0" borderId="26" xfId="0" applyFont="1" applyBorder="1"/>
    <xf numFmtId="0" fontId="15" fillId="0" borderId="27" xfId="0" applyFont="1" applyBorder="1"/>
    <xf numFmtId="0" fontId="45" fillId="0" borderId="27" xfId="0" applyFont="1" applyBorder="1" applyAlignment="1">
      <alignment horizontal="center"/>
    </xf>
    <xf numFmtId="0" fontId="15" fillId="0" borderId="28" xfId="0" applyFont="1" applyBorder="1"/>
    <xf numFmtId="0" fontId="15" fillId="0" borderId="29" xfId="0" applyFont="1" applyBorder="1"/>
    <xf numFmtId="0" fontId="45" fillId="0" borderId="0" xfId="0" applyFont="1" applyAlignment="1">
      <alignment horizontal="center"/>
    </xf>
    <xf numFmtId="0" fontId="15" fillId="0" borderId="30" xfId="0" applyFont="1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0" fontId="15" fillId="0" borderId="31" xfId="0" applyFont="1" applyBorder="1"/>
    <xf numFmtId="0" fontId="15" fillId="0" borderId="32" xfId="0" applyFont="1" applyBorder="1"/>
    <xf numFmtId="0" fontId="15" fillId="0" borderId="33" xfId="0" applyFont="1" applyBorder="1"/>
    <xf numFmtId="10" fontId="23" fillId="11" borderId="9" xfId="27" applyNumberFormat="1" applyFont="1" applyFill="1" applyBorder="1" applyAlignment="1" applyProtection="1">
      <alignment horizontal="center" vertical="center"/>
      <protection hidden="1"/>
    </xf>
    <xf numFmtId="10" fontId="23" fillId="0" borderId="0" xfId="16" applyNumberFormat="1" applyFont="1" applyAlignment="1" applyProtection="1">
      <alignment horizontal="left"/>
      <protection hidden="1"/>
    </xf>
    <xf numFmtId="10" fontId="23" fillId="0" borderId="0" xfId="19" applyNumberFormat="1" applyFont="1" applyAlignment="1">
      <alignment vertical="center"/>
    </xf>
    <xf numFmtId="10" fontId="22" fillId="0" borderId="0" xfId="16" applyNumberFormat="1" applyFont="1" applyAlignment="1" applyProtection="1">
      <alignment horizontal="center" vertical="center"/>
      <protection hidden="1"/>
    </xf>
    <xf numFmtId="10" fontId="22" fillId="0" borderId="0" xfId="16" applyNumberFormat="1" applyFont="1" applyAlignment="1" applyProtection="1">
      <alignment horizontal="center"/>
      <protection hidden="1"/>
    </xf>
    <xf numFmtId="10" fontId="23" fillId="0" borderId="0" xfId="16" applyNumberFormat="1" applyFont="1" applyAlignment="1" applyProtection="1">
      <alignment horizontal="left" vertical="center"/>
      <protection hidden="1"/>
    </xf>
    <xf numFmtId="193" fontId="23" fillId="0" borderId="1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vertical="center"/>
    </xf>
    <xf numFmtId="0" fontId="23" fillId="0" borderId="23" xfId="0" applyFont="1" applyBorder="1" applyAlignment="1">
      <alignment horizontal="center" vertical="center"/>
    </xf>
    <xf numFmtId="0" fontId="23" fillId="0" borderId="23" xfId="9" applyNumberFormat="1" applyFont="1" applyFill="1" applyBorder="1" applyAlignment="1">
      <alignment vertical="center"/>
    </xf>
    <xf numFmtId="1" fontId="23" fillId="0" borderId="23" xfId="0" applyNumberFormat="1" applyFont="1" applyBorder="1" applyAlignment="1">
      <alignment horizontal="center" vertical="center"/>
    </xf>
    <xf numFmtId="2" fontId="23" fillId="0" borderId="23" xfId="9" applyNumberFormat="1" applyFont="1" applyFill="1" applyBorder="1" applyAlignment="1">
      <alignment horizontal="center" vertical="center"/>
    </xf>
    <xf numFmtId="185" fontId="23" fillId="0" borderId="13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23" fillId="0" borderId="8" xfId="21" applyNumberFormat="1" applyFont="1" applyBorder="1" applyAlignment="1">
      <alignment horizontal="center" vertical="center"/>
    </xf>
    <xf numFmtId="4" fontId="23" fillId="0" borderId="35" xfId="21" applyNumberFormat="1" applyFont="1" applyBorder="1" applyAlignment="1">
      <alignment horizontal="center" vertical="center"/>
    </xf>
    <xf numFmtId="185" fontId="23" fillId="0" borderId="35" xfId="21" applyNumberFormat="1" applyFont="1" applyBorder="1" applyAlignment="1">
      <alignment horizontal="center" vertical="center"/>
    </xf>
    <xf numFmtId="185" fontId="23" fillId="0" borderId="36" xfId="21" applyNumberFormat="1" applyFont="1" applyBorder="1" applyAlignment="1">
      <alignment horizontal="center" vertical="center"/>
    </xf>
    <xf numFmtId="0" fontId="46" fillId="11" borderId="0" xfId="17" applyFont="1" applyFill="1" applyAlignment="1">
      <alignment vertical="center"/>
    </xf>
    <xf numFmtId="49" fontId="42" fillId="11" borderId="0" xfId="2" applyNumberFormat="1" applyFont="1" applyFill="1" applyBorder="1" applyAlignment="1" applyProtection="1">
      <protection hidden="1"/>
    </xf>
    <xf numFmtId="0" fontId="27" fillId="11" borderId="0" xfId="21" applyFont="1" applyFill="1"/>
    <xf numFmtId="0" fontId="51" fillId="0" borderId="0" xfId="0" applyFont="1" applyAlignment="1">
      <alignment vertical="center"/>
    </xf>
    <xf numFmtId="164" fontId="68" fillId="0" borderId="0" xfId="2" applyFont="1" applyFill="1" applyAlignment="1">
      <alignment horizontal="right" vertic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5" fillId="0" borderId="0" xfId="0" applyFont="1" applyAlignment="1">
      <alignment horizontal="right" vertical="center"/>
    </xf>
    <xf numFmtId="183" fontId="44" fillId="0" borderId="0" xfId="0" applyNumberFormat="1" applyFont="1" applyAlignment="1">
      <alignment horizontal="center" vertical="center"/>
    </xf>
    <xf numFmtId="183" fontId="15" fillId="0" borderId="0" xfId="0" applyNumberFormat="1" applyFont="1" applyAlignment="1">
      <alignment horizontal="center" vertical="center"/>
    </xf>
    <xf numFmtId="1" fontId="23" fillId="0" borderId="1" xfId="0" applyNumberFormat="1" applyFont="1" applyBorder="1" applyAlignment="1">
      <alignment horizontal="center" vertical="center"/>
    </xf>
    <xf numFmtId="186" fontId="23" fillId="0" borderId="1" xfId="0" applyNumberFormat="1" applyFont="1" applyBorder="1" applyAlignment="1">
      <alignment horizontal="center" vertical="center"/>
    </xf>
    <xf numFmtId="1" fontId="23" fillId="0" borderId="1" xfId="29" applyNumberFormat="1" applyFont="1" applyBorder="1" applyAlignment="1">
      <alignment horizontal="center" vertical="center"/>
    </xf>
    <xf numFmtId="193" fontId="69" fillId="14" borderId="0" xfId="0" applyNumberFormat="1" applyFont="1" applyFill="1" applyAlignment="1">
      <alignment horizontal="center" vertical="center"/>
    </xf>
    <xf numFmtId="178" fontId="22" fillId="11" borderId="0" xfId="0" applyNumberFormat="1" applyFont="1" applyFill="1" applyAlignment="1">
      <alignment horizontal="center"/>
    </xf>
    <xf numFmtId="178" fontId="22" fillId="11" borderId="0" xfId="0" applyNumberFormat="1" applyFont="1" applyFill="1" applyAlignment="1">
      <alignment horizontal="center" wrapText="1"/>
    </xf>
    <xf numFmtId="2" fontId="22" fillId="11" borderId="0" xfId="0" applyNumberFormat="1" applyFont="1" applyFill="1" applyAlignment="1">
      <alignment horizontal="center" wrapText="1"/>
    </xf>
    <xf numFmtId="0" fontId="22" fillId="11" borderId="0" xfId="0" applyFont="1" applyFill="1" applyAlignment="1">
      <alignment horizontal="center" wrapText="1"/>
    </xf>
    <xf numFmtId="167" fontId="22" fillId="11" borderId="0" xfId="9" applyFont="1" applyFill="1" applyAlignment="1">
      <alignment horizontal="right"/>
    </xf>
    <xf numFmtId="1" fontId="5" fillId="11" borderId="0" xfId="0" applyNumberFormat="1" applyFont="1" applyFill="1" applyAlignment="1">
      <alignment horizontal="center"/>
    </xf>
    <xf numFmtId="192" fontId="22" fillId="11" borderId="0" xfId="0" applyNumberFormat="1" applyFont="1" applyFill="1" applyAlignment="1">
      <alignment horizontal="center"/>
    </xf>
    <xf numFmtId="192" fontId="5" fillId="11" borderId="0" xfId="32" applyNumberFormat="1" applyFont="1" applyFill="1" applyAlignment="1">
      <alignment horizontal="center"/>
    </xf>
    <xf numFmtId="2" fontId="23" fillId="0" borderId="0" xfId="0" applyNumberFormat="1" applyFont="1" applyAlignment="1">
      <alignment horizontal="center"/>
    </xf>
    <xf numFmtId="49" fontId="19" fillId="0" borderId="0" xfId="19" applyNumberFormat="1" applyFont="1" applyAlignment="1">
      <alignment vertical="center"/>
    </xf>
    <xf numFmtId="2" fontId="18" fillId="0" borderId="0" xfId="19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2" fontId="16" fillId="11" borderId="21" xfId="0" applyNumberFormat="1" applyFont="1" applyFill="1" applyBorder="1" applyAlignment="1">
      <alignment horizontal="center" vertical="center"/>
    </xf>
    <xf numFmtId="183" fontId="16" fillId="36" borderId="47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horizontal="center" vertical="center"/>
    </xf>
    <xf numFmtId="0" fontId="15" fillId="37" borderId="0" xfId="0" applyFont="1" applyFill="1" applyAlignment="1">
      <alignment vertical="center"/>
    </xf>
    <xf numFmtId="0" fontId="47" fillId="37" borderId="0" xfId="0" applyFont="1" applyFill="1" applyAlignment="1">
      <alignment horizontal="center"/>
    </xf>
    <xf numFmtId="3" fontId="15" fillId="0" borderId="0" xfId="0" applyNumberFormat="1" applyFont="1" applyAlignment="1">
      <alignment horizontal="center" vertical="center"/>
    </xf>
    <xf numFmtId="192" fontId="15" fillId="0" borderId="0" xfId="0" applyNumberFormat="1" applyFont="1" applyAlignment="1">
      <alignment horizontal="center" vertical="center"/>
    </xf>
    <xf numFmtId="0" fontId="25" fillId="0" borderId="0" xfId="19" applyFont="1" applyAlignment="1">
      <alignment vertical="center"/>
    </xf>
    <xf numFmtId="2" fontId="15" fillId="0" borderId="0" xfId="0" applyNumberFormat="1" applyFont="1" applyAlignment="1">
      <alignment vertical="center"/>
    </xf>
    <xf numFmtId="194" fontId="29" fillId="0" borderId="0" xfId="19" applyNumberFormat="1" applyFont="1" applyAlignment="1">
      <alignment vertical="center"/>
    </xf>
    <xf numFmtId="15" fontId="18" fillId="0" borderId="0" xfId="19" applyNumberFormat="1" applyFont="1" applyAlignment="1">
      <alignment horizontal="left" vertical="center"/>
    </xf>
    <xf numFmtId="164" fontId="15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1" fillId="0" borderId="0" xfId="23" applyFont="1" applyAlignment="1">
      <alignment vertical="center"/>
    </xf>
    <xf numFmtId="9" fontId="52" fillId="0" borderId="0" xfId="23" applyNumberFormat="1" applyFont="1" applyAlignment="1">
      <alignment vertical="center"/>
    </xf>
    <xf numFmtId="190" fontId="57" fillId="0" borderId="0" xfId="23" applyNumberFormat="1" applyFont="1" applyAlignment="1">
      <alignment vertical="center"/>
    </xf>
    <xf numFmtId="10" fontId="58" fillId="0" borderId="0" xfId="23" applyNumberFormat="1" applyFont="1" applyAlignment="1" applyProtection="1">
      <alignment horizontal="center" vertical="center"/>
      <protection locked="0" hidden="1"/>
    </xf>
    <xf numFmtId="0" fontId="52" fillId="0" borderId="0" xfId="0" applyFont="1" applyAlignment="1">
      <alignment vertical="center"/>
    </xf>
    <xf numFmtId="10" fontId="51" fillId="0" borderId="48" xfId="23" applyNumberFormat="1" applyFont="1" applyBorder="1" applyAlignment="1" applyProtection="1">
      <alignment horizontal="center" vertical="center"/>
      <protection locked="0" hidden="1"/>
    </xf>
    <xf numFmtId="0" fontId="41" fillId="0" borderId="9" xfId="23" applyFont="1" applyBorder="1" applyAlignment="1">
      <alignment horizontal="center" vertical="center"/>
    </xf>
    <xf numFmtId="189" fontId="41" fillId="0" borderId="49" xfId="23" applyNumberFormat="1" applyFont="1" applyBorder="1" applyAlignment="1">
      <alignment horizontal="center" vertical="center"/>
    </xf>
    <xf numFmtId="0" fontId="41" fillId="0" borderId="49" xfId="23" applyFont="1" applyBorder="1" applyAlignment="1">
      <alignment horizontal="center" vertical="center"/>
    </xf>
    <xf numFmtId="183" fontId="50" fillId="0" borderId="49" xfId="23" applyNumberFormat="1" applyFont="1" applyBorder="1" applyAlignment="1" applyProtection="1">
      <alignment horizontal="center" vertical="center"/>
      <protection locked="0" hidden="1"/>
    </xf>
    <xf numFmtId="0" fontId="15" fillId="0" borderId="0" xfId="0" applyFont="1" applyAlignment="1">
      <alignment horizontal="left" vertical="center" indent="1"/>
    </xf>
    <xf numFmtId="4" fontId="23" fillId="0" borderId="0" xfId="2" applyNumberFormat="1" applyFont="1" applyFill="1" applyBorder="1" applyAlignment="1">
      <alignment horizontal="center" vertical="center"/>
    </xf>
    <xf numFmtId="4" fontId="64" fillId="0" borderId="0" xfId="0" applyNumberFormat="1" applyFont="1" applyAlignment="1">
      <alignment horizontal="center" vertical="center"/>
    </xf>
    <xf numFmtId="181" fontId="73" fillId="12" borderId="0" xfId="0" applyNumberFormat="1" applyFont="1" applyFill="1" applyAlignment="1">
      <alignment horizontal="right" vertical="center"/>
    </xf>
    <xf numFmtId="0" fontId="23" fillId="38" borderId="50" xfId="29" applyFont="1" applyFill="1" applyBorder="1" applyAlignment="1">
      <alignment horizontal="center" vertical="center"/>
    </xf>
    <xf numFmtId="1" fontId="23" fillId="38" borderId="50" xfId="29" applyNumberFormat="1" applyFont="1" applyFill="1" applyBorder="1" applyAlignment="1">
      <alignment horizontal="center" vertical="center"/>
    </xf>
    <xf numFmtId="167" fontId="23" fillId="38" borderId="50" xfId="9" applyFont="1" applyFill="1" applyBorder="1" applyAlignment="1">
      <alignment horizontal="center" vertical="center"/>
    </xf>
    <xf numFmtId="1" fontId="23" fillId="38" borderId="50" xfId="9" applyNumberFormat="1" applyFont="1" applyFill="1" applyBorder="1" applyAlignment="1">
      <alignment horizontal="center" vertical="center"/>
    </xf>
    <xf numFmtId="0" fontId="25" fillId="0" borderId="0" xfId="19" applyFont="1" applyAlignment="1">
      <alignment horizontal="center"/>
    </xf>
    <xf numFmtId="9" fontId="73" fillId="12" borderId="0" xfId="27" applyFont="1" applyFill="1" applyBorder="1" applyAlignment="1" applyProtection="1">
      <alignment horizontal="center" vertical="center"/>
    </xf>
    <xf numFmtId="3" fontId="23" fillId="0" borderId="0" xfId="29" applyNumberFormat="1" applyFont="1" applyAlignment="1">
      <alignment horizontal="center"/>
    </xf>
    <xf numFmtId="3" fontId="25" fillId="0" borderId="0" xfId="19" applyNumberFormat="1" applyFont="1" applyAlignment="1">
      <alignment horizontal="center"/>
    </xf>
    <xf numFmtId="3" fontId="73" fillId="0" borderId="0" xfId="29" applyNumberFormat="1" applyFont="1" applyAlignment="1">
      <alignment horizontal="center" vertical="center"/>
    </xf>
    <xf numFmtId="2" fontId="23" fillId="0" borderId="0" xfId="2" applyNumberFormat="1" applyFont="1" applyFill="1" applyAlignment="1">
      <alignment horizontal="center" vertical="center"/>
    </xf>
    <xf numFmtId="2" fontId="23" fillId="0" borderId="0" xfId="19" applyNumberFormat="1" applyFont="1" applyAlignment="1">
      <alignment horizontal="center" vertical="center"/>
    </xf>
    <xf numFmtId="2" fontId="23" fillId="0" borderId="6" xfId="2" applyNumberFormat="1" applyFont="1" applyFill="1" applyBorder="1" applyAlignment="1">
      <alignment horizontal="center" vertical="center"/>
    </xf>
    <xf numFmtId="2" fontId="22" fillId="0" borderId="0" xfId="2" applyNumberFormat="1" applyFont="1" applyFill="1" applyBorder="1" applyAlignment="1" applyProtection="1">
      <alignment horizontal="center" vertical="center"/>
      <protection hidden="1"/>
    </xf>
    <xf numFmtId="2" fontId="23" fillId="0" borderId="0" xfId="2" applyNumberFormat="1" applyFont="1" applyFill="1" applyAlignment="1">
      <alignment horizontal="center"/>
    </xf>
    <xf numFmtId="2" fontId="22" fillId="0" borderId="0" xfId="2" applyNumberFormat="1" applyFont="1" applyFill="1" applyBorder="1" applyAlignment="1" applyProtection="1">
      <alignment horizontal="center"/>
      <protection hidden="1"/>
    </xf>
    <xf numFmtId="4" fontId="23" fillId="0" borderId="0" xfId="2" applyNumberFormat="1" applyFont="1" applyFill="1" applyAlignment="1">
      <alignment horizontal="center" vertical="center"/>
    </xf>
    <xf numFmtId="4" fontId="23" fillId="0" borderId="0" xfId="19" applyNumberFormat="1" applyFont="1" applyAlignment="1">
      <alignment horizontal="center" vertical="center"/>
    </xf>
    <xf numFmtId="4" fontId="23" fillId="0" borderId="6" xfId="2" applyNumberFormat="1" applyFont="1" applyFill="1" applyBorder="1" applyAlignment="1">
      <alignment horizontal="center" vertical="center"/>
    </xf>
    <xf numFmtId="4" fontId="22" fillId="0" borderId="0" xfId="2" applyNumberFormat="1" applyFont="1" applyFill="1" applyBorder="1" applyAlignment="1" applyProtection="1">
      <alignment horizontal="center" vertical="center"/>
      <protection hidden="1"/>
    </xf>
    <xf numFmtId="4" fontId="23" fillId="0" borderId="0" xfId="16" applyNumberFormat="1" applyFont="1" applyAlignment="1" applyProtection="1">
      <alignment horizontal="center" vertical="center"/>
      <protection hidden="1"/>
    </xf>
    <xf numFmtId="4" fontId="23" fillId="0" borderId="0" xfId="2" applyNumberFormat="1" applyFont="1" applyFill="1" applyAlignment="1">
      <alignment horizontal="center"/>
    </xf>
    <xf numFmtId="4" fontId="22" fillId="0" borderId="0" xfId="2" applyNumberFormat="1" applyFont="1" applyFill="1" applyBorder="1" applyAlignment="1" applyProtection="1">
      <alignment horizontal="center"/>
      <protection hidden="1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49" fontId="19" fillId="0" borderId="0" xfId="19" applyNumberFormat="1" applyFont="1" applyAlignment="1">
      <alignment horizontal="left" vertical="center" indent="1"/>
    </xf>
    <xf numFmtId="164" fontId="68" fillId="0" borderId="0" xfId="2" applyFont="1" applyFill="1" applyAlignment="1">
      <alignment horizontal="right"/>
    </xf>
    <xf numFmtId="177" fontId="23" fillId="0" borderId="0" xfId="16" applyNumberFormat="1" applyFont="1" applyAlignment="1" applyProtection="1">
      <alignment horizontal="left"/>
      <protection hidden="1"/>
    </xf>
    <xf numFmtId="192" fontId="22" fillId="0" borderId="0" xfId="3" applyNumberFormat="1" applyFont="1" applyFill="1" applyBorder="1" applyAlignment="1" applyProtection="1">
      <alignment horizontal="center"/>
      <protection hidden="1"/>
    </xf>
    <xf numFmtId="164" fontId="23" fillId="0" borderId="0" xfId="2" applyFont="1" applyFill="1" applyAlignment="1"/>
    <xf numFmtId="0" fontId="23" fillId="0" borderId="0" xfId="29" applyFont="1" applyAlignment="1">
      <alignment horizontal="left"/>
    </xf>
    <xf numFmtId="200" fontId="23" fillId="0" borderId="0" xfId="19" applyNumberFormat="1" applyFont="1"/>
    <xf numFmtId="200" fontId="22" fillId="0" borderId="0" xfId="16" applyNumberFormat="1" applyFont="1" applyAlignment="1" applyProtection="1">
      <alignment horizontal="left"/>
      <protection hidden="1"/>
    </xf>
    <xf numFmtId="0" fontId="64" fillId="0" borderId="0" xfId="29" applyFont="1"/>
    <xf numFmtId="0" fontId="64" fillId="0" borderId="0" xfId="29" applyFont="1" applyAlignment="1">
      <alignment horizontal="left"/>
    </xf>
    <xf numFmtId="200" fontId="22" fillId="0" borderId="0" xfId="16" applyNumberFormat="1" applyFont="1" applyAlignment="1" applyProtection="1">
      <alignment horizontal="left" vertical="center"/>
      <protection hidden="1"/>
    </xf>
    <xf numFmtId="200" fontId="23" fillId="11" borderId="9" xfId="27" applyNumberFormat="1" applyFont="1" applyFill="1" applyBorder="1" applyAlignment="1" applyProtection="1">
      <alignment horizontal="center" vertical="center"/>
      <protection hidden="1"/>
    </xf>
    <xf numFmtId="185" fontId="16" fillId="0" borderId="0" xfId="0" applyNumberFormat="1" applyFont="1" applyAlignment="1">
      <alignment vertical="center"/>
    </xf>
    <xf numFmtId="200" fontId="15" fillId="0" borderId="0" xfId="0" applyNumberFormat="1" applyFont="1" applyAlignment="1">
      <alignment horizontal="center" vertical="center"/>
    </xf>
    <xf numFmtId="193" fontId="18" fillId="0" borderId="0" xfId="19" applyNumberFormat="1" applyFont="1" applyAlignment="1">
      <alignment horizontal="left"/>
    </xf>
    <xf numFmtId="193" fontId="18" fillId="0" borderId="0" xfId="19" applyNumberFormat="1" applyFont="1" applyAlignment="1">
      <alignment horizontal="left" vertical="center"/>
    </xf>
    <xf numFmtId="3" fontId="103" fillId="0" borderId="0" xfId="0" applyNumberFormat="1" applyFont="1"/>
    <xf numFmtId="200" fontId="16" fillId="0" borderId="0" xfId="0" applyNumberFormat="1" applyFont="1" applyAlignment="1">
      <alignment horizontal="center" vertical="center"/>
    </xf>
    <xf numFmtId="0" fontId="102" fillId="0" borderId="0" xfId="0" applyFont="1" applyAlignment="1">
      <alignment vertical="center"/>
    </xf>
    <xf numFmtId="167" fontId="64" fillId="0" borderId="52" xfId="9" applyFont="1" applyBorder="1" applyAlignment="1">
      <alignment horizontal="right" vertical="center"/>
    </xf>
    <xf numFmtId="201" fontId="23" fillId="0" borderId="0" xfId="0" applyNumberFormat="1" applyFont="1" applyAlignment="1">
      <alignment horizontal="center"/>
    </xf>
    <xf numFmtId="180" fontId="22" fillId="0" borderId="0" xfId="0" applyNumberFormat="1" applyFont="1" applyAlignment="1">
      <alignment horizontal="center"/>
    </xf>
    <xf numFmtId="180" fontId="23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176" fontId="23" fillId="0" borderId="1" xfId="0" applyNumberFormat="1" applyFont="1" applyBorder="1" applyAlignment="1">
      <alignment horizontal="center" vertical="center"/>
    </xf>
    <xf numFmtId="2" fontId="16" fillId="0" borderId="0" xfId="0" applyNumberFormat="1" applyFont="1"/>
    <xf numFmtId="2" fontId="22" fillId="0" borderId="0" xfId="0" applyNumberFormat="1" applyFont="1"/>
    <xf numFmtId="167" fontId="22" fillId="0" borderId="0" xfId="9" applyFont="1" applyFill="1" applyAlignment="1"/>
    <xf numFmtId="0" fontId="25" fillId="0" borderId="0" xfId="0" applyFont="1"/>
    <xf numFmtId="2" fontId="23" fillId="0" borderId="0" xfId="0" applyNumberFormat="1" applyFont="1"/>
    <xf numFmtId="2" fontId="23" fillId="11" borderId="9" xfId="27" applyNumberFormat="1" applyFont="1" applyFill="1" applyBorder="1" applyAlignment="1" applyProtection="1">
      <alignment horizontal="center"/>
      <protection hidden="1"/>
    </xf>
    <xf numFmtId="180" fontId="0" fillId="0" borderId="0" xfId="0" applyNumberFormat="1"/>
    <xf numFmtId="180" fontId="15" fillId="0" borderId="0" xfId="0" quotePrefix="1" applyNumberFormat="1" applyFont="1"/>
    <xf numFmtId="200" fontId="15" fillId="0" borderId="0" xfId="0" applyNumberFormat="1" applyFont="1" applyAlignment="1">
      <alignment vertical="center"/>
    </xf>
    <xf numFmtId="0" fontId="73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1" fontId="28" fillId="0" borderId="0" xfId="0" applyNumberFormat="1" applyFont="1"/>
    <xf numFmtId="1" fontId="22" fillId="0" borderId="0" xfId="0" applyNumberFormat="1" applyFont="1"/>
    <xf numFmtId="1" fontId="23" fillId="0" borderId="24" xfId="9" applyNumberFormat="1" applyFont="1" applyFill="1" applyBorder="1" applyAlignment="1">
      <alignment vertical="center"/>
    </xf>
    <xf numFmtId="1" fontId="23" fillId="0" borderId="0" xfId="0" applyNumberFormat="1" applyFont="1"/>
    <xf numFmtId="201" fontId="50" fillId="11" borderId="0" xfId="0" applyNumberFormat="1" applyFont="1" applyFill="1" applyAlignment="1">
      <alignment horizontal="center" vertical="center" wrapText="1"/>
    </xf>
    <xf numFmtId="180" fontId="50" fillId="11" borderId="0" xfId="0" applyNumberFormat="1" applyFont="1" applyFill="1" applyAlignment="1">
      <alignment horizontal="center" vertical="center" wrapText="1"/>
    </xf>
    <xf numFmtId="1" fontId="50" fillId="11" borderId="0" xfId="0" applyNumberFormat="1" applyFont="1" applyFill="1" applyAlignment="1">
      <alignment horizontal="center" vertical="center" wrapText="1"/>
    </xf>
    <xf numFmtId="2" fontId="22" fillId="0" borderId="0" xfId="9" applyNumberFormat="1" applyFont="1" applyFill="1" applyAlignment="1">
      <alignment horizontal="center"/>
    </xf>
    <xf numFmtId="2" fontId="15" fillId="0" borderId="0" xfId="27" applyNumberFormat="1" applyFont="1" applyFill="1" applyAlignment="1">
      <alignment horizontal="center"/>
    </xf>
    <xf numFmtId="2" fontId="50" fillId="11" borderId="0" xfId="9" applyNumberFormat="1" applyFont="1" applyFill="1" applyBorder="1" applyAlignment="1">
      <alignment horizontal="center" vertical="center" wrapText="1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15" fillId="39" borderId="0" xfId="0" applyFont="1" applyFill="1" applyAlignment="1">
      <alignment horizontal="center" vertical="center"/>
    </xf>
    <xf numFmtId="201" fontId="23" fillId="0" borderId="23" xfId="0" applyNumberFormat="1" applyFont="1" applyBorder="1" applyAlignment="1">
      <alignment horizontal="center" vertical="center"/>
    </xf>
    <xf numFmtId="180" fontId="15" fillId="0" borderId="23" xfId="0" applyNumberFormat="1" applyFont="1" applyBorder="1" applyAlignment="1">
      <alignment horizontal="center" vertical="center"/>
    </xf>
    <xf numFmtId="2" fontId="15" fillId="0" borderId="23" xfId="0" applyNumberFormat="1" applyFont="1" applyBorder="1" applyAlignment="1">
      <alignment horizontal="center" vertical="center"/>
    </xf>
    <xf numFmtId="178" fontId="3" fillId="0" borderId="23" xfId="0" applyNumberFormat="1" applyFont="1" applyBorder="1" applyAlignment="1">
      <alignment horizontal="center" vertical="center"/>
    </xf>
    <xf numFmtId="1" fontId="59" fillId="0" borderId="23" xfId="0" applyNumberFormat="1" applyFont="1" applyBorder="1" applyAlignment="1">
      <alignment horizontal="center" vertical="center"/>
    </xf>
    <xf numFmtId="2" fontId="23" fillId="0" borderId="0" xfId="9" applyNumberFormat="1" applyFont="1" applyFill="1" applyBorder="1" applyAlignment="1">
      <alignment horizontal="center" vertical="center"/>
    </xf>
    <xf numFmtId="176" fontId="23" fillId="0" borderId="1" xfId="9" applyNumberFormat="1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167" fontId="23" fillId="0" borderId="0" xfId="9" applyFont="1" applyFill="1" applyBorder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5" fillId="0" borderId="34" xfId="0" applyFont="1" applyBorder="1"/>
    <xf numFmtId="0" fontId="23" fillId="0" borderId="56" xfId="0" applyFont="1" applyBorder="1" applyAlignment="1">
      <alignment vertical="center"/>
    </xf>
    <xf numFmtId="185" fontId="15" fillId="0" borderId="56" xfId="21" applyNumberFormat="1" applyBorder="1"/>
    <xf numFmtId="0" fontId="15" fillId="0" borderId="56" xfId="21" applyBorder="1"/>
    <xf numFmtId="200" fontId="1" fillId="0" borderId="0" xfId="0" applyNumberFormat="1" applyFont="1" applyAlignment="1">
      <alignment horizontal="center" vertical="center"/>
    </xf>
    <xf numFmtId="0" fontId="22" fillId="0" borderId="0" xfId="17" applyFont="1" applyAlignment="1">
      <alignment horizontal="center" vertical="center"/>
    </xf>
    <xf numFmtId="2" fontId="26" fillId="0" borderId="0" xfId="17" applyNumberFormat="1" applyFont="1" applyAlignment="1">
      <alignment vertical="center"/>
    </xf>
    <xf numFmtId="2" fontId="24" fillId="0" borderId="0" xfId="17" applyNumberFormat="1" applyFont="1" applyAlignment="1">
      <alignment vertical="center"/>
    </xf>
    <xf numFmtId="194" fontId="60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2" fillId="0" borderId="0" xfId="17" applyFont="1" applyAlignment="1">
      <alignment vertical="center"/>
    </xf>
    <xf numFmtId="0" fontId="23" fillId="0" borderId="0" xfId="17" applyFont="1" applyAlignment="1">
      <alignment horizontal="left" vertical="center"/>
    </xf>
    <xf numFmtId="15" fontId="18" fillId="0" borderId="0" xfId="0" applyNumberFormat="1" applyFont="1" applyAlignment="1">
      <alignment horizontal="left"/>
    </xf>
    <xf numFmtId="0" fontId="106" fillId="0" borderId="0" xfId="25" applyFont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72" fillId="0" borderId="0" xfId="19" applyNumberFormat="1" applyFont="1"/>
    <xf numFmtId="194" fontId="29" fillId="0" borderId="0" xfId="19" applyNumberFormat="1" applyFont="1" applyAlignment="1">
      <alignment horizontal="center"/>
    </xf>
    <xf numFmtId="2" fontId="23" fillId="0" borderId="0" xfId="9" applyNumberFormat="1" applyFont="1" applyAlignment="1">
      <alignment horizontal="center"/>
    </xf>
    <xf numFmtId="0" fontId="23" fillId="38" borderId="54" xfId="29" applyFont="1" applyFill="1" applyBorder="1" applyAlignment="1">
      <alignment horizontal="center" vertical="center"/>
    </xf>
    <xf numFmtId="0" fontId="23" fillId="38" borderId="50" xfId="0" applyFont="1" applyFill="1" applyBorder="1" applyAlignment="1">
      <alignment horizontal="center" vertical="center"/>
    </xf>
    <xf numFmtId="3" fontId="23" fillId="0" borderId="0" xfId="9" applyNumberFormat="1" applyFont="1" applyAlignment="1">
      <alignment horizontal="center"/>
    </xf>
    <xf numFmtId="3" fontId="23" fillId="0" borderId="0" xfId="9" applyNumberFormat="1" applyFont="1" applyFill="1" applyAlignment="1">
      <alignment horizontal="center"/>
    </xf>
    <xf numFmtId="2" fontId="22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center" vertical="center"/>
    </xf>
    <xf numFmtId="4" fontId="1" fillId="0" borderId="0" xfId="2" applyNumberFormat="1" applyFont="1" applyAlignment="1">
      <alignment horizontal="center" vertical="center"/>
    </xf>
    <xf numFmtId="2" fontId="23" fillId="11" borderId="23" xfId="0" applyNumberFormat="1" applyFont="1" applyFill="1" applyBorder="1" applyAlignment="1">
      <alignment horizontal="center" vertical="center"/>
    </xf>
    <xf numFmtId="0" fontId="15" fillId="0" borderId="63" xfId="0" applyFont="1" applyBorder="1"/>
    <xf numFmtId="0" fontId="15" fillId="0" borderId="64" xfId="0" applyFont="1" applyBorder="1"/>
    <xf numFmtId="0" fontId="15" fillId="0" borderId="65" xfId="0" applyFont="1" applyBorder="1"/>
    <xf numFmtId="0" fontId="15" fillId="0" borderId="66" xfId="0" applyFont="1" applyBorder="1"/>
    <xf numFmtId="0" fontId="15" fillId="0" borderId="67" xfId="0" applyFont="1" applyBorder="1"/>
    <xf numFmtId="0" fontId="15" fillId="0" borderId="68" xfId="0" applyFont="1" applyBorder="1"/>
    <xf numFmtId="0" fontId="15" fillId="0" borderId="69" xfId="0" applyFont="1" applyBorder="1"/>
    <xf numFmtId="0" fontId="15" fillId="0" borderId="70" xfId="0" applyFont="1" applyBorder="1"/>
    <xf numFmtId="193" fontId="15" fillId="0" borderId="66" xfId="0" applyNumberFormat="1" applyFont="1" applyBorder="1"/>
    <xf numFmtId="192" fontId="23" fillId="11" borderId="37" xfId="27" applyNumberFormat="1" applyFont="1" applyFill="1" applyBorder="1" applyAlignment="1" applyProtection="1">
      <alignment horizontal="center" vertical="center"/>
      <protection locked="0"/>
    </xf>
    <xf numFmtId="192" fontId="23" fillId="11" borderId="51" xfId="27" applyNumberFormat="1" applyFont="1" applyFill="1" applyBorder="1" applyAlignment="1" applyProtection="1">
      <alignment vertical="center"/>
      <protection locked="0"/>
    </xf>
    <xf numFmtId="180" fontId="64" fillId="0" borderId="23" xfId="0" applyNumberFormat="1" applyFont="1" applyBorder="1" applyAlignment="1">
      <alignment horizontal="center" vertical="center"/>
    </xf>
    <xf numFmtId="185" fontId="64" fillId="0" borderId="13" xfId="0" applyNumberFormat="1" applyFont="1" applyBorder="1" applyAlignment="1">
      <alignment horizontal="center" vertical="center"/>
    </xf>
    <xf numFmtId="2" fontId="64" fillId="0" borderId="0" xfId="9" applyNumberFormat="1" applyFont="1" applyFill="1" applyBorder="1" applyAlignment="1">
      <alignment horizontal="center" vertical="center"/>
    </xf>
    <xf numFmtId="0" fontId="23" fillId="0" borderId="23" xfId="9" quotePrefix="1" applyNumberFormat="1" applyFont="1" applyFill="1" applyBorder="1" applyAlignment="1">
      <alignment vertical="center"/>
    </xf>
    <xf numFmtId="193" fontId="23" fillId="0" borderId="0" xfId="0" applyNumberFormat="1" applyFont="1" applyAlignment="1">
      <alignment horizontal="center"/>
    </xf>
    <xf numFmtId="193" fontId="50" fillId="11" borderId="0" xfId="0" applyNumberFormat="1" applyFont="1" applyFill="1" applyAlignment="1">
      <alignment vertical="center" wrapText="1"/>
    </xf>
    <xf numFmtId="193" fontId="23" fillId="0" borderId="0" xfId="0" applyNumberFormat="1" applyFont="1"/>
    <xf numFmtId="0" fontId="1" fillId="0" borderId="66" xfId="0" applyFont="1" applyBorder="1" applyAlignment="1">
      <alignment horizontal="left"/>
    </xf>
    <xf numFmtId="0" fontId="1" fillId="0" borderId="0" xfId="0" applyFont="1"/>
    <xf numFmtId="0" fontId="15" fillId="0" borderId="67" xfId="0" applyFont="1" applyBorder="1" applyAlignment="1">
      <alignment horizontal="center"/>
    </xf>
    <xf numFmtId="0" fontId="15" fillId="0" borderId="67" xfId="0" applyFont="1" applyBorder="1" applyAlignment="1">
      <alignment horizontal="center" wrapText="1"/>
    </xf>
    <xf numFmtId="193" fontId="23" fillId="0" borderId="0" xfId="0" applyNumberFormat="1" applyFont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15" fillId="0" borderId="71" xfId="0" applyFont="1" applyBorder="1"/>
    <xf numFmtId="0" fontId="15" fillId="0" borderId="58" xfId="0" applyFont="1" applyBorder="1"/>
    <xf numFmtId="10" fontId="64" fillId="11" borderId="9" xfId="27" applyNumberFormat="1" applyFont="1" applyFill="1" applyBorder="1" applyAlignment="1" applyProtection="1">
      <alignment horizontal="center" vertical="center"/>
      <protection hidden="1"/>
    </xf>
    <xf numFmtId="4" fontId="23" fillId="0" borderId="0" xfId="29" applyNumberFormat="1" applyFont="1" applyAlignment="1">
      <alignment horizontal="center"/>
    </xf>
    <xf numFmtId="200" fontId="22" fillId="0" borderId="0" xfId="29" applyNumberFormat="1" applyFont="1" applyAlignment="1">
      <alignment horizontal="center"/>
    </xf>
    <xf numFmtId="3" fontId="23" fillId="0" borderId="35" xfId="0" applyNumberFormat="1" applyFont="1" applyBorder="1" applyAlignment="1">
      <alignment wrapText="1"/>
    </xf>
    <xf numFmtId="3" fontId="23" fillId="0" borderId="36" xfId="0" applyNumberFormat="1" applyFont="1" applyBorder="1" applyAlignment="1">
      <alignment wrapText="1"/>
    </xf>
    <xf numFmtId="184" fontId="22" fillId="0" borderId="0" xfId="5" applyNumberFormat="1" applyFont="1" applyFill="1" applyAlignment="1">
      <alignment horizontal="right"/>
    </xf>
    <xf numFmtId="3" fontId="23" fillId="0" borderId="55" xfId="9" applyNumberFormat="1" applyFont="1" applyFill="1" applyBorder="1" applyAlignment="1">
      <alignment horizontal="right"/>
    </xf>
    <xf numFmtId="1" fontId="23" fillId="0" borderId="72" xfId="29" applyNumberFormat="1" applyFont="1" applyBorder="1" applyAlignment="1">
      <alignment horizontal="center"/>
    </xf>
    <xf numFmtId="167" fontId="23" fillId="0" borderId="72" xfId="9" applyFont="1" applyFill="1" applyBorder="1" applyAlignment="1">
      <alignment horizontal="left"/>
    </xf>
    <xf numFmtId="3" fontId="23" fillId="0" borderId="72" xfId="9" applyNumberFormat="1" applyFont="1" applyFill="1" applyBorder="1" applyAlignment="1">
      <alignment horizontal="right"/>
    </xf>
    <xf numFmtId="1" fontId="23" fillId="0" borderId="52" xfId="29" applyNumberFormat="1" applyFont="1" applyBorder="1" applyAlignment="1">
      <alignment horizontal="center"/>
    </xf>
    <xf numFmtId="3" fontId="22" fillId="0" borderId="0" xfId="9" applyNumberFormat="1" applyFont="1" applyFill="1" applyAlignment="1">
      <alignment horizontal="right"/>
    </xf>
    <xf numFmtId="4" fontId="15" fillId="0" borderId="0" xfId="0" applyNumberFormat="1" applyFont="1" applyAlignment="1">
      <alignment horizontal="center" vertical="center" wrapText="1"/>
    </xf>
    <xf numFmtId="0" fontId="73" fillId="0" borderId="0" xfId="0" applyFont="1"/>
    <xf numFmtId="0" fontId="72" fillId="0" borderId="0" xfId="19" applyFont="1"/>
    <xf numFmtId="194" fontId="107" fillId="0" borderId="0" xfId="19" applyNumberFormat="1" applyFont="1"/>
    <xf numFmtId="0" fontId="64" fillId="0" borderId="0" xfId="0" applyFont="1" applyAlignment="1">
      <alignment horizontal="left" vertical="center" indent="1"/>
    </xf>
    <xf numFmtId="181" fontId="98" fillId="0" borderId="0" xfId="0" applyNumberFormat="1" applyFont="1" applyAlignment="1">
      <alignment horizontal="center"/>
    </xf>
    <xf numFmtId="178" fontId="98" fillId="0" borderId="0" xfId="0" applyNumberFormat="1" applyFont="1" applyAlignment="1">
      <alignment horizontal="center"/>
    </xf>
    <xf numFmtId="178" fontId="64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vertical="center"/>
    </xf>
    <xf numFmtId="0" fontId="23" fillId="11" borderId="37" xfId="27" applyNumberFormat="1" applyFont="1" applyFill="1" applyBorder="1" applyAlignment="1" applyProtection="1">
      <alignment horizontal="center" vertical="center"/>
      <protection hidden="1"/>
    </xf>
    <xf numFmtId="0" fontId="59" fillId="0" borderId="0" xfId="0" applyFont="1" applyAlignment="1">
      <alignment horizontal="center" vertical="center"/>
    </xf>
    <xf numFmtId="192" fontId="23" fillId="11" borderId="37" xfId="27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>
      <alignment horizontal="right" vertical="center"/>
    </xf>
    <xf numFmtId="0" fontId="108" fillId="0" borderId="0" xfId="25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indent="3"/>
    </xf>
    <xf numFmtId="2" fontId="50" fillId="40" borderId="55" xfId="0" applyNumberFormat="1" applyFont="1" applyFill="1" applyBorder="1" applyAlignment="1">
      <alignment horizontal="left" vertical="center" wrapText="1" indent="1"/>
    </xf>
    <xf numFmtId="49" fontId="50" fillId="40" borderId="72" xfId="16" applyNumberFormat="1" applyFont="1" applyFill="1" applyBorder="1" applyAlignment="1" applyProtection="1">
      <alignment horizontal="center" vertical="center" wrapText="1"/>
      <protection hidden="1"/>
    </xf>
    <xf numFmtId="2" fontId="50" fillId="40" borderId="72" xfId="0" applyNumberFormat="1" applyFont="1" applyFill="1" applyBorder="1" applyAlignment="1">
      <alignment vertical="center" wrapText="1"/>
    </xf>
    <xf numFmtId="2" fontId="50" fillId="40" borderId="72" xfId="0" applyNumberFormat="1" applyFont="1" applyFill="1" applyBorder="1" applyAlignment="1">
      <alignment horizontal="center" vertical="center" wrapText="1"/>
    </xf>
    <xf numFmtId="49" fontId="50" fillId="40" borderId="73" xfId="16" applyNumberFormat="1" applyFont="1" applyFill="1" applyBorder="1" applyAlignment="1" applyProtection="1">
      <alignment horizontal="center" vertical="center" wrapText="1"/>
      <protection hidden="1"/>
    </xf>
    <xf numFmtId="2" fontId="50" fillId="40" borderId="55" xfId="0" applyNumberFormat="1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0" fillId="40" borderId="55" xfId="0" applyFont="1" applyFill="1" applyBorder="1" applyAlignment="1">
      <alignment horizontal="center" vertical="center" wrapText="1"/>
    </xf>
    <xf numFmtId="0" fontId="50" fillId="40" borderId="72" xfId="0" applyFont="1" applyFill="1" applyBorder="1" applyAlignment="1">
      <alignment horizontal="center" vertical="center" wrapText="1"/>
    </xf>
    <xf numFmtId="0" fontId="22" fillId="40" borderId="72" xfId="19" applyFont="1" applyFill="1" applyBorder="1" applyAlignment="1">
      <alignment horizontal="center" vertical="center" wrapText="1"/>
    </xf>
    <xf numFmtId="0" fontId="22" fillId="40" borderId="72" xfId="16" applyFont="1" applyFill="1" applyBorder="1" applyAlignment="1" applyProtection="1">
      <alignment horizontal="center" vertical="center" wrapText="1"/>
      <protection hidden="1"/>
    </xf>
    <xf numFmtId="0" fontId="22" fillId="40" borderId="73" xfId="16" applyFont="1" applyFill="1" applyBorder="1" applyAlignment="1" applyProtection="1">
      <alignment horizontal="center" vertical="center" wrapText="1"/>
      <protection hidden="1"/>
    </xf>
    <xf numFmtId="49" fontId="22" fillId="40" borderId="55" xfId="16" applyNumberFormat="1" applyFont="1" applyFill="1" applyBorder="1" applyAlignment="1" applyProtection="1">
      <alignment horizontal="center" vertical="center" wrapText="1"/>
      <protection hidden="1"/>
    </xf>
    <xf numFmtId="173" fontId="50" fillId="40" borderId="74" xfId="0" applyNumberFormat="1" applyFont="1" applyFill="1" applyBorder="1" applyAlignment="1">
      <alignment horizontal="left" vertical="center" wrapText="1"/>
    </xf>
    <xf numFmtId="173" fontId="50" fillId="40" borderId="75" xfId="0" applyNumberFormat="1" applyFont="1" applyFill="1" applyBorder="1" applyAlignment="1">
      <alignment horizontal="center" vertical="center" wrapText="1"/>
    </xf>
    <xf numFmtId="2" fontId="50" fillId="40" borderId="75" xfId="0" applyNumberFormat="1" applyFont="1" applyFill="1" applyBorder="1" applyAlignment="1">
      <alignment vertical="center" wrapText="1"/>
    </xf>
    <xf numFmtId="2" fontId="50" fillId="40" borderId="75" xfId="9" applyNumberFormat="1" applyFont="1" applyFill="1" applyBorder="1" applyAlignment="1" applyProtection="1">
      <alignment horizontal="left" vertical="center" wrapText="1"/>
    </xf>
    <xf numFmtId="2" fontId="50" fillId="40" borderId="75" xfId="0" applyNumberFormat="1" applyFont="1" applyFill="1" applyBorder="1" applyAlignment="1">
      <alignment horizontal="center" vertical="center" wrapText="1"/>
    </xf>
    <xf numFmtId="176" fontId="50" fillId="40" borderId="75" xfId="0" applyNumberFormat="1" applyFont="1" applyFill="1" applyBorder="1" applyAlignment="1">
      <alignment vertical="center" wrapText="1"/>
    </xf>
    <xf numFmtId="176" fontId="25" fillId="40" borderId="75" xfId="19" applyNumberFormat="1" applyFont="1" applyFill="1" applyBorder="1"/>
    <xf numFmtId="176" fontId="50" fillId="40" borderId="75" xfId="0" applyNumberFormat="1" applyFont="1" applyFill="1" applyBorder="1" applyAlignment="1">
      <alignment horizontal="center" vertical="center" wrapText="1"/>
    </xf>
    <xf numFmtId="3" fontId="50" fillId="40" borderId="75" xfId="0" applyNumberFormat="1" applyFont="1" applyFill="1" applyBorder="1" applyAlignment="1">
      <alignment horizontal="center" vertical="center" wrapText="1"/>
    </xf>
    <xf numFmtId="181" fontId="50" fillId="40" borderId="75" xfId="0" applyNumberFormat="1" applyFont="1" applyFill="1" applyBorder="1" applyAlignment="1">
      <alignment horizontal="center" vertical="center" wrapText="1"/>
    </xf>
    <xf numFmtId="175" fontId="50" fillId="40" borderId="75" xfId="0" applyNumberFormat="1" applyFont="1" applyFill="1" applyBorder="1" applyAlignment="1">
      <alignment horizontal="center" vertical="center" wrapText="1"/>
    </xf>
    <xf numFmtId="175" fontId="50" fillId="40" borderId="76" xfId="0" applyNumberFormat="1" applyFont="1" applyFill="1" applyBorder="1" applyAlignment="1">
      <alignment horizontal="center" vertical="center" wrapText="1"/>
    </xf>
    <xf numFmtId="0" fontId="23" fillId="40" borderId="77" xfId="0" applyFont="1" applyFill="1" applyBorder="1" applyAlignment="1">
      <alignment horizontal="center"/>
    </xf>
    <xf numFmtId="0" fontId="23" fillId="40" borderId="25" xfId="0" applyFont="1" applyFill="1" applyBorder="1" applyAlignment="1">
      <alignment horizontal="center"/>
    </xf>
    <xf numFmtId="0" fontId="23" fillId="40" borderId="25" xfId="10" quotePrefix="1" applyNumberFormat="1" applyFont="1" applyFill="1" applyBorder="1" applyAlignment="1">
      <alignment horizontal="center"/>
    </xf>
    <xf numFmtId="0" fontId="23" fillId="40" borderId="25" xfId="0" applyFont="1" applyFill="1" applyBorder="1" applyAlignment="1">
      <alignment horizontal="left"/>
    </xf>
    <xf numFmtId="3" fontId="22" fillId="40" borderId="25" xfId="0" applyNumberFormat="1" applyFont="1" applyFill="1" applyBorder="1" applyAlignment="1">
      <alignment horizontal="center"/>
    </xf>
    <xf numFmtId="176" fontId="25" fillId="40" borderId="0" xfId="19" applyNumberFormat="1" applyFont="1" applyFill="1"/>
    <xf numFmtId="3" fontId="23" fillId="40" borderId="25" xfId="0" applyNumberFormat="1" applyFont="1" applyFill="1" applyBorder="1" applyAlignment="1">
      <alignment horizontal="right"/>
    </xf>
    <xf numFmtId="3" fontId="23" fillId="40" borderId="25" xfId="0" applyNumberFormat="1" applyFont="1" applyFill="1" applyBorder="1" applyAlignment="1">
      <alignment horizontal="center"/>
    </xf>
    <xf numFmtId="175" fontId="23" fillId="40" borderId="25" xfId="0" applyNumberFormat="1" applyFont="1" applyFill="1" applyBorder="1" applyAlignment="1">
      <alignment horizontal="center"/>
    </xf>
    <xf numFmtId="175" fontId="23" fillId="40" borderId="25" xfId="0" applyNumberFormat="1" applyFont="1" applyFill="1" applyBorder="1" applyAlignment="1">
      <alignment horizontal="left" indent="1"/>
    </xf>
    <xf numFmtId="175" fontId="23" fillId="40" borderId="78" xfId="0" applyNumberFormat="1" applyFont="1" applyFill="1" applyBorder="1" applyAlignment="1">
      <alignment horizontal="left" indent="1"/>
    </xf>
    <xf numFmtId="0" fontId="23" fillId="40" borderId="79" xfId="0" applyFont="1" applyFill="1" applyBorder="1" applyAlignment="1">
      <alignment horizontal="center"/>
    </xf>
    <xf numFmtId="0" fontId="23" fillId="40" borderId="80" xfId="0" applyFont="1" applyFill="1" applyBorder="1" applyAlignment="1">
      <alignment horizontal="center"/>
    </xf>
    <xf numFmtId="0" fontId="23" fillId="40" borderId="80" xfId="10" quotePrefix="1" applyNumberFormat="1" applyFont="1" applyFill="1" applyBorder="1" applyAlignment="1">
      <alignment horizontal="center"/>
    </xf>
    <xf numFmtId="0" fontId="23" fillId="40" borderId="80" xfId="0" applyFont="1" applyFill="1" applyBorder="1" applyAlignment="1">
      <alignment horizontal="left"/>
    </xf>
    <xf numFmtId="3" fontId="22" fillId="40" borderId="80" xfId="0" applyNumberFormat="1" applyFont="1" applyFill="1" applyBorder="1" applyAlignment="1">
      <alignment horizontal="center"/>
    </xf>
    <xf numFmtId="176" fontId="25" fillId="40" borderId="81" xfId="19" applyNumberFormat="1" applyFont="1" applyFill="1" applyBorder="1"/>
    <xf numFmtId="3" fontId="23" fillId="40" borderId="80" xfId="0" applyNumberFormat="1" applyFont="1" applyFill="1" applyBorder="1" applyAlignment="1">
      <alignment horizontal="right"/>
    </xf>
    <xf numFmtId="3" fontId="23" fillId="40" borderId="80" xfId="0" applyNumberFormat="1" applyFont="1" applyFill="1" applyBorder="1" applyAlignment="1">
      <alignment horizontal="center"/>
    </xf>
    <xf numFmtId="175" fontId="23" fillId="40" borderId="80" xfId="0" applyNumberFormat="1" applyFont="1" applyFill="1" applyBorder="1" applyAlignment="1">
      <alignment horizontal="center"/>
    </xf>
    <xf numFmtId="175" fontId="23" fillId="40" borderId="80" xfId="0" applyNumberFormat="1" applyFont="1" applyFill="1" applyBorder="1" applyAlignment="1">
      <alignment horizontal="left" indent="1"/>
    </xf>
    <xf numFmtId="175" fontId="23" fillId="40" borderId="82" xfId="0" applyNumberFormat="1" applyFont="1" applyFill="1" applyBorder="1" applyAlignment="1">
      <alignment horizontal="left" indent="1"/>
    </xf>
    <xf numFmtId="0" fontId="19" fillId="40" borderId="55" xfId="16" applyFont="1" applyFill="1" applyBorder="1" applyAlignment="1" applyProtection="1">
      <alignment horizontal="left" vertical="center"/>
      <protection hidden="1"/>
    </xf>
    <xf numFmtId="0" fontId="23" fillId="40" borderId="72" xfId="0" applyFont="1" applyFill="1" applyBorder="1" applyAlignment="1">
      <alignment vertical="center"/>
    </xf>
    <xf numFmtId="0" fontId="23" fillId="40" borderId="73" xfId="0" applyFont="1" applyFill="1" applyBorder="1" applyAlignment="1">
      <alignment vertical="center"/>
    </xf>
    <xf numFmtId="1" fontId="64" fillId="11" borderId="53" xfId="27" applyNumberFormat="1" applyFont="1" applyFill="1" applyBorder="1" applyAlignment="1" applyProtection="1">
      <alignment horizontal="center" vertical="center"/>
      <protection hidden="1"/>
    </xf>
    <xf numFmtId="1" fontId="64" fillId="11" borderId="86" xfId="27" applyNumberFormat="1" applyFont="1" applyFill="1" applyBorder="1" applyAlignment="1" applyProtection="1">
      <alignment horizontal="center" vertical="center"/>
      <protection hidden="1"/>
    </xf>
    <xf numFmtId="4" fontId="23" fillId="0" borderId="87" xfId="21" applyNumberFormat="1" applyFont="1" applyBorder="1" applyAlignment="1">
      <alignment horizontal="center" vertical="center"/>
    </xf>
    <xf numFmtId="4" fontId="23" fillId="0" borderId="88" xfId="21" applyNumberFormat="1" applyFont="1" applyBorder="1" applyAlignment="1">
      <alignment horizontal="center" vertical="center"/>
    </xf>
    <xf numFmtId="185" fontId="23" fillId="0" borderId="83" xfId="21" applyNumberFormat="1" applyFont="1" applyBorder="1" applyAlignment="1">
      <alignment horizontal="center" vertical="center"/>
    </xf>
    <xf numFmtId="4" fontId="23" fillId="0" borderId="84" xfId="21" applyNumberFormat="1" applyFont="1" applyBorder="1" applyAlignment="1">
      <alignment horizontal="center" vertical="center"/>
    </xf>
    <xf numFmtId="185" fontId="23" fillId="0" borderId="84" xfId="21" applyNumberFormat="1" applyFont="1" applyBorder="1" applyAlignment="1">
      <alignment horizontal="center" vertical="center"/>
    </xf>
    <xf numFmtId="185" fontId="23" fillId="0" borderId="85" xfId="21" applyNumberFormat="1" applyFont="1" applyBorder="1" applyAlignment="1">
      <alignment horizontal="center" vertical="center"/>
    </xf>
    <xf numFmtId="0" fontId="23" fillId="41" borderId="75" xfId="0" applyFont="1" applyFill="1" applyBorder="1" applyAlignment="1">
      <alignment vertical="center"/>
    </xf>
    <xf numFmtId="0" fontId="23" fillId="41" borderId="76" xfId="0" applyFont="1" applyFill="1" applyBorder="1" applyAlignment="1">
      <alignment vertical="center"/>
    </xf>
    <xf numFmtId="0" fontId="26" fillId="41" borderId="89" xfId="17" applyFont="1" applyFill="1" applyBorder="1" applyAlignment="1">
      <alignment vertical="center"/>
    </xf>
    <xf numFmtId="0" fontId="26" fillId="41" borderId="0" xfId="17" applyFont="1" applyFill="1" applyAlignment="1">
      <alignment vertical="center"/>
    </xf>
    <xf numFmtId="0" fontId="23" fillId="41" borderId="0" xfId="0" applyFont="1" applyFill="1" applyAlignment="1">
      <alignment horizontal="center" vertical="center"/>
    </xf>
    <xf numFmtId="0" fontId="22" fillId="41" borderId="0" xfId="17" applyFont="1" applyFill="1" applyAlignment="1">
      <alignment vertical="center"/>
    </xf>
    <xf numFmtId="0" fontId="46" fillId="41" borderId="0" xfId="17" applyFont="1" applyFill="1" applyAlignment="1">
      <alignment vertical="center"/>
    </xf>
    <xf numFmtId="0" fontId="46" fillId="41" borderId="0" xfId="17" applyFont="1" applyFill="1" applyAlignment="1">
      <alignment horizontal="center" vertical="center"/>
    </xf>
    <xf numFmtId="0" fontId="23" fillId="41" borderId="0" xfId="0" applyFont="1" applyFill="1" applyAlignment="1">
      <alignment vertical="center"/>
    </xf>
    <xf numFmtId="0" fontId="23" fillId="41" borderId="90" xfId="0" applyFont="1" applyFill="1" applyBorder="1" applyAlignment="1">
      <alignment vertical="center"/>
    </xf>
    <xf numFmtId="0" fontId="22" fillId="41" borderId="91" xfId="17" applyFont="1" applyFill="1" applyBorder="1" applyAlignment="1">
      <alignment vertical="center"/>
    </xf>
    <xf numFmtId="0" fontId="46" fillId="41" borderId="81" xfId="17" applyFont="1" applyFill="1" applyBorder="1" applyAlignment="1">
      <alignment horizontal="center" vertical="center" wrapText="1"/>
    </xf>
    <xf numFmtId="0" fontId="46" fillId="41" borderId="81" xfId="0" applyFont="1" applyFill="1" applyBorder="1" applyAlignment="1">
      <alignment horizontal="center" vertical="center" wrapText="1"/>
    </xf>
    <xf numFmtId="0" fontId="46" fillId="41" borderId="81" xfId="0" applyFont="1" applyFill="1" applyBorder="1" applyAlignment="1">
      <alignment vertical="center" wrapText="1"/>
    </xf>
    <xf numFmtId="0" fontId="26" fillId="41" borderId="81" xfId="0" applyFont="1" applyFill="1" applyBorder="1" applyAlignment="1">
      <alignment vertical="center" wrapText="1"/>
    </xf>
    <xf numFmtId="0" fontId="46" fillId="41" borderId="92" xfId="0" applyFont="1" applyFill="1" applyBorder="1" applyAlignment="1">
      <alignment vertical="center" wrapText="1"/>
    </xf>
    <xf numFmtId="0" fontId="15" fillId="0" borderId="9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98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16" fillId="0" borderId="66" xfId="0" applyFont="1" applyBorder="1"/>
    <xf numFmtId="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2" fontId="23" fillId="11" borderId="9" xfId="27" applyNumberFormat="1" applyFont="1" applyFill="1" applyBorder="1" applyAlignment="1" applyProtection="1">
      <alignment horizontal="left"/>
      <protection hidden="1"/>
    </xf>
    <xf numFmtId="0" fontId="23" fillId="0" borderId="0" xfId="3328" applyFont="1" applyAlignment="1">
      <alignment vertical="center"/>
    </xf>
    <xf numFmtId="183" fontId="64" fillId="11" borderId="9" xfId="2518" applyNumberFormat="1" applyFont="1" applyFill="1" applyBorder="1" applyAlignment="1" applyProtection="1">
      <alignment horizontal="center" vertical="center"/>
      <protection hidden="1"/>
    </xf>
    <xf numFmtId="0" fontId="23" fillId="0" borderId="0" xfId="18" applyFont="1" applyAlignment="1" applyProtection="1">
      <alignment vertical="center"/>
      <protection hidden="1"/>
    </xf>
    <xf numFmtId="183" fontId="23" fillId="11" borderId="9" xfId="2518" applyNumberFormat="1" applyFont="1" applyFill="1" applyBorder="1" applyAlignment="1" applyProtection="1">
      <alignment horizontal="center" vertical="center"/>
      <protection hidden="1"/>
    </xf>
    <xf numFmtId="0" fontId="22" fillId="0" borderId="0" xfId="18" applyFont="1" applyAlignment="1" applyProtection="1">
      <alignment vertical="center"/>
      <protection hidden="1"/>
    </xf>
    <xf numFmtId="0" fontId="27" fillId="0" borderId="0" xfId="3328" applyFont="1" applyAlignment="1">
      <alignment vertical="center"/>
    </xf>
    <xf numFmtId="0" fontId="74" fillId="0" borderId="0" xfId="3328" applyFont="1" applyAlignment="1">
      <alignment horizontal="right" vertical="center"/>
    </xf>
    <xf numFmtId="0" fontId="74" fillId="0" borderId="0" xfId="3328" applyFont="1" applyAlignment="1">
      <alignment vertical="center"/>
    </xf>
    <xf numFmtId="0" fontId="23" fillId="0" borderId="0" xfId="24" applyFont="1" applyAlignment="1" applyProtection="1">
      <alignment vertical="center"/>
      <protection hidden="1"/>
    </xf>
    <xf numFmtId="202" fontId="44" fillId="0" borderId="0" xfId="19" applyNumberFormat="1" applyFont="1" applyAlignment="1">
      <alignment vertical="center" wrapText="1"/>
    </xf>
    <xf numFmtId="0" fontId="27" fillId="0" borderId="0" xfId="3328" applyFont="1" applyAlignment="1">
      <alignment vertical="center" wrapText="1"/>
    </xf>
    <xf numFmtId="0" fontId="27" fillId="0" borderId="0" xfId="3328" applyFont="1" applyAlignment="1">
      <alignment horizontal="center" vertical="center" wrapText="1"/>
    </xf>
    <xf numFmtId="2" fontId="23" fillId="0" borderId="0" xfId="3328" applyNumberFormat="1" applyFont="1" applyAlignment="1">
      <alignment vertical="center"/>
    </xf>
    <xf numFmtId="0" fontId="22" fillId="0" borderId="0" xfId="24" applyFont="1" applyAlignment="1" applyProtection="1">
      <alignment horizontal="center" vertical="center"/>
      <protection hidden="1"/>
    </xf>
    <xf numFmtId="0" fontId="22" fillId="0" borderId="0" xfId="24" applyFont="1" applyAlignment="1" applyProtection="1">
      <alignment horizontal="right" vertical="center"/>
      <protection hidden="1"/>
    </xf>
    <xf numFmtId="2" fontId="112" fillId="0" borderId="0" xfId="19" applyNumberFormat="1" applyFont="1" applyAlignment="1">
      <alignment horizontal="center" vertical="center"/>
    </xf>
    <xf numFmtId="2" fontId="22" fillId="0" borderId="0" xfId="3328" applyNumberFormat="1" applyFont="1" applyAlignment="1">
      <alignment horizontal="center" vertical="center"/>
    </xf>
    <xf numFmtId="2" fontId="23" fillId="11" borderId="9" xfId="2518" applyNumberFormat="1" applyFont="1" applyFill="1" applyBorder="1" applyAlignment="1" applyProtection="1">
      <alignment horizontal="center" vertical="center"/>
      <protection hidden="1"/>
    </xf>
    <xf numFmtId="202" fontId="18" fillId="0" borderId="0" xfId="19" applyNumberFormat="1" applyFont="1" applyAlignment="1">
      <alignment vertical="center"/>
    </xf>
    <xf numFmtId="4" fontId="22" fillId="0" borderId="0" xfId="3" applyNumberFormat="1" applyFont="1" applyAlignment="1" applyProtection="1">
      <alignment horizontal="center" vertical="center"/>
      <protection hidden="1"/>
    </xf>
    <xf numFmtId="15" fontId="19" fillId="0" borderId="0" xfId="19" applyNumberFormat="1" applyFont="1" applyAlignment="1">
      <alignment horizontal="left" vertical="center"/>
    </xf>
    <xf numFmtId="2" fontId="51" fillId="0" borderId="0" xfId="18" applyNumberFormat="1" applyFont="1" applyAlignment="1" applyProtection="1">
      <alignment vertical="center"/>
      <protection hidden="1"/>
    </xf>
    <xf numFmtId="2" fontId="51" fillId="0" borderId="0" xfId="18" applyNumberFormat="1" applyFont="1" applyAlignment="1" applyProtection="1">
      <alignment vertical="center" wrapText="1"/>
      <protection hidden="1"/>
    </xf>
    <xf numFmtId="0" fontId="22" fillId="0" borderId="0" xfId="24" applyFont="1" applyAlignment="1" applyProtection="1">
      <alignment horizontal="center" vertical="center" wrapText="1"/>
      <protection hidden="1"/>
    </xf>
    <xf numFmtId="0" fontId="44" fillId="0" borderId="0" xfId="0" applyFont="1" applyAlignment="1">
      <alignment horizontal="center" vertical="center" wrapText="1"/>
    </xf>
    <xf numFmtId="0" fontId="23" fillId="11" borderId="9" xfId="2518" applyNumberFormat="1" applyFont="1" applyFill="1" applyBorder="1" applyAlignment="1" applyProtection="1">
      <alignment horizontal="center" vertical="center" wrapText="1"/>
      <protection hidden="1"/>
    </xf>
    <xf numFmtId="0" fontId="113" fillId="0" borderId="0" xfId="3328" applyFont="1" applyAlignment="1">
      <alignment vertical="center" wrapText="1"/>
    </xf>
    <xf numFmtId="0" fontId="94" fillId="0" borderId="0" xfId="24" applyFont="1" applyAlignment="1" applyProtection="1">
      <alignment vertical="center"/>
      <protection hidden="1"/>
    </xf>
    <xf numFmtId="0" fontId="95" fillId="0" borderId="0" xfId="0" applyFont="1" applyAlignment="1">
      <alignment horizontal="center" vertical="center"/>
    </xf>
    <xf numFmtId="0" fontId="96" fillId="0" borderId="0" xfId="3328" applyFont="1" applyAlignment="1">
      <alignment vertical="center"/>
    </xf>
    <xf numFmtId="0" fontId="52" fillId="0" borderId="0" xfId="0" applyFont="1" applyAlignment="1">
      <alignment horizontal="center" vertical="center"/>
    </xf>
    <xf numFmtId="0" fontId="97" fillId="35" borderId="0" xfId="0" applyFont="1" applyFill="1" applyAlignment="1">
      <alignment horizontal="center" vertical="center"/>
    </xf>
    <xf numFmtId="0" fontId="113" fillId="0" borderId="0" xfId="3328" applyFont="1" applyAlignment="1">
      <alignment vertical="center"/>
    </xf>
    <xf numFmtId="2" fontId="23" fillId="0" borderId="0" xfId="18" applyNumberFormat="1" applyFont="1" applyAlignment="1" applyProtection="1">
      <alignment vertical="center"/>
      <protection hidden="1"/>
    </xf>
    <xf numFmtId="2" fontId="16" fillId="0" borderId="0" xfId="24" applyNumberFormat="1" applyFont="1" applyAlignment="1" applyProtection="1">
      <alignment horizontal="right" vertical="center"/>
      <protection hidden="1"/>
    </xf>
    <xf numFmtId="2" fontId="15" fillId="0" borderId="0" xfId="24" applyNumberFormat="1" applyFont="1" applyAlignment="1" applyProtection="1">
      <alignment horizontal="right" vertical="center"/>
      <protection hidden="1"/>
    </xf>
    <xf numFmtId="2" fontId="48" fillId="0" borderId="0" xfId="24" applyNumberFormat="1" applyFont="1" applyAlignment="1" applyProtection="1">
      <alignment horizontal="left" vertical="center"/>
      <protection hidden="1"/>
    </xf>
    <xf numFmtId="2" fontId="22" fillId="0" borderId="0" xfId="18" applyNumberFormat="1" applyFont="1" applyAlignment="1" applyProtection="1">
      <alignment horizontal="center" vertical="center"/>
      <protection hidden="1"/>
    </xf>
    <xf numFmtId="183" fontId="23" fillId="0" borderId="0" xfId="18" applyNumberFormat="1" applyFont="1" applyAlignment="1" applyProtection="1">
      <alignment vertical="center"/>
      <protection hidden="1"/>
    </xf>
    <xf numFmtId="2" fontId="23" fillId="0" borderId="9" xfId="2518" applyNumberFormat="1" applyFont="1" applyBorder="1" applyAlignment="1" applyProtection="1">
      <alignment horizontal="center" vertical="center"/>
      <protection hidden="1"/>
    </xf>
    <xf numFmtId="2" fontId="64" fillId="0" borderId="0" xfId="18" applyNumberFormat="1" applyFont="1" applyAlignment="1" applyProtection="1">
      <alignment vertical="center"/>
      <protection hidden="1"/>
    </xf>
    <xf numFmtId="4" fontId="23" fillId="0" borderId="0" xfId="3" applyNumberFormat="1" applyFont="1" applyAlignment="1" applyProtection="1">
      <alignment horizontal="center" vertical="center"/>
      <protection locked="0"/>
    </xf>
    <xf numFmtId="2" fontId="23" fillId="0" borderId="0" xfId="24" applyNumberFormat="1" applyFont="1" applyAlignment="1" applyProtection="1">
      <alignment horizontal="right" vertical="center"/>
      <protection hidden="1"/>
    </xf>
    <xf numFmtId="0" fontId="23" fillId="0" borderId="0" xfId="24" applyFont="1" applyAlignment="1" applyProtection="1">
      <alignment horizontal="right" vertical="center"/>
      <protection hidden="1"/>
    </xf>
    <xf numFmtId="0" fontId="29" fillId="0" borderId="0" xfId="18" applyFont="1" applyAlignment="1" applyProtection="1">
      <alignment horizontal="left" vertical="center"/>
      <protection hidden="1"/>
    </xf>
    <xf numFmtId="0" fontId="22" fillId="0" borderId="0" xfId="3328" applyFont="1" applyAlignment="1">
      <alignment vertical="center"/>
    </xf>
    <xf numFmtId="10" fontId="23" fillId="0" borderId="9" xfId="2518" applyNumberFormat="1" applyFont="1" applyBorder="1" applyAlignment="1" applyProtection="1">
      <alignment horizontal="center" vertical="center"/>
      <protection hidden="1"/>
    </xf>
    <xf numFmtId="4" fontId="64" fillId="0" borderId="0" xfId="3" applyNumberFormat="1" applyFont="1" applyAlignment="1" applyProtection="1">
      <alignment horizontal="center" vertical="center"/>
      <protection locked="0"/>
    </xf>
    <xf numFmtId="0" fontId="23" fillId="0" borderId="0" xfId="24" applyFont="1" applyAlignment="1" applyProtection="1">
      <alignment horizontal="center" vertical="center"/>
      <protection hidden="1"/>
    </xf>
    <xf numFmtId="183" fontId="23" fillId="0" borderId="0" xfId="18" applyNumberFormat="1" applyFont="1" applyAlignment="1" applyProtection="1">
      <alignment horizontal="center" vertical="center"/>
      <protection hidden="1"/>
    </xf>
    <xf numFmtId="183" fontId="22" fillId="0" borderId="0" xfId="2518" applyNumberFormat="1" applyFont="1" applyAlignment="1" applyProtection="1">
      <alignment horizontal="center" vertical="center"/>
      <protection hidden="1"/>
    </xf>
    <xf numFmtId="0" fontId="29" fillId="0" borderId="0" xfId="24" applyFont="1" applyAlignment="1" applyProtection="1">
      <alignment horizontal="right" vertical="center"/>
      <protection hidden="1"/>
    </xf>
    <xf numFmtId="4" fontId="29" fillId="0" borderId="0" xfId="3" applyNumberFormat="1" applyFont="1" applyAlignment="1" applyProtection="1">
      <alignment horizontal="center" vertical="center"/>
      <protection locked="0"/>
    </xf>
    <xf numFmtId="183" fontId="23" fillId="0" borderId="9" xfId="2518" applyNumberFormat="1" applyFont="1" applyBorder="1" applyAlignment="1" applyProtection="1">
      <alignment horizontal="center" vertical="center"/>
      <protection hidden="1"/>
    </xf>
    <xf numFmtId="2" fontId="51" fillId="0" borderId="0" xfId="18" applyNumberFormat="1" applyFont="1" applyAlignment="1" applyProtection="1">
      <alignment horizontal="center" vertical="center"/>
      <protection hidden="1"/>
    </xf>
    <xf numFmtId="2" fontId="23" fillId="0" borderId="0" xfId="18" applyNumberFormat="1" applyFont="1" applyAlignment="1" applyProtection="1">
      <alignment horizontal="center" vertical="center"/>
      <protection hidden="1"/>
    </xf>
    <xf numFmtId="185" fontId="23" fillId="0" borderId="0" xfId="24" applyNumberFormat="1" applyFont="1" applyAlignment="1" applyProtection="1">
      <alignment horizontal="center" vertical="center"/>
      <protection hidden="1"/>
    </xf>
    <xf numFmtId="0" fontId="63" fillId="0" borderId="0" xfId="3328" applyFont="1" applyAlignment="1">
      <alignment horizontal="right" vertical="center"/>
    </xf>
    <xf numFmtId="192" fontId="23" fillId="11" borderId="9" xfId="2518" applyNumberFormat="1" applyFont="1" applyFill="1" applyBorder="1" applyAlignment="1" applyProtection="1">
      <alignment horizontal="center" vertical="center"/>
      <protection hidden="1"/>
    </xf>
    <xf numFmtId="0" fontId="64" fillId="0" borderId="0" xfId="24" applyFont="1" applyAlignment="1" applyProtection="1">
      <alignment horizontal="left" vertical="center"/>
      <protection hidden="1"/>
    </xf>
    <xf numFmtId="10" fontId="22" fillId="0" borderId="0" xfId="2518" applyNumberFormat="1" applyFont="1" applyAlignment="1" applyProtection="1">
      <alignment horizontal="right" vertical="center"/>
      <protection hidden="1"/>
    </xf>
    <xf numFmtId="183" fontId="22" fillId="0" borderId="0" xfId="2518" applyNumberFormat="1" applyFont="1" applyAlignment="1">
      <alignment vertical="center"/>
    </xf>
    <xf numFmtId="0" fontId="22" fillId="0" borderId="0" xfId="24" applyFont="1" applyAlignment="1" applyProtection="1">
      <alignment vertical="center"/>
      <protection hidden="1"/>
    </xf>
    <xf numFmtId="10" fontId="22" fillId="0" borderId="0" xfId="2518" applyNumberFormat="1" applyFont="1" applyAlignment="1">
      <alignment vertical="center"/>
    </xf>
    <xf numFmtId="0" fontId="48" fillId="0" borderId="0" xfId="24" applyFont="1" applyAlignment="1" applyProtection="1">
      <alignment horizontal="center" vertical="center"/>
      <protection hidden="1"/>
    </xf>
    <xf numFmtId="9" fontId="51" fillId="0" borderId="0" xfId="24" applyNumberFormat="1" applyFont="1" applyAlignment="1" applyProtection="1">
      <alignment vertical="center"/>
      <protection hidden="1"/>
    </xf>
    <xf numFmtId="2" fontId="24" fillId="0" borderId="0" xfId="24" applyNumberFormat="1" applyFont="1" applyAlignment="1" applyProtection="1">
      <alignment horizontal="center" vertical="center"/>
      <protection hidden="1"/>
    </xf>
    <xf numFmtId="10" fontId="15" fillId="0" borderId="0" xfId="2518" applyNumberFormat="1" applyFont="1" applyAlignment="1">
      <alignment horizontal="center" vertical="center"/>
    </xf>
    <xf numFmtId="0" fontId="48" fillId="0" borderId="0" xfId="24" applyFont="1" applyAlignment="1" applyProtection="1">
      <alignment horizontal="left" vertical="center"/>
      <protection hidden="1"/>
    </xf>
    <xf numFmtId="0" fontId="22" fillId="0" borderId="0" xfId="24" applyFont="1" applyAlignment="1" applyProtection="1">
      <alignment horizontal="left" vertical="center"/>
      <protection hidden="1"/>
    </xf>
    <xf numFmtId="0" fontId="23" fillId="0" borderId="0" xfId="24" applyFont="1" applyAlignment="1" applyProtection="1">
      <alignment horizontal="left" vertical="center"/>
      <protection hidden="1"/>
    </xf>
    <xf numFmtId="1" fontId="22" fillId="0" borderId="0" xfId="24" applyNumberFormat="1" applyFont="1" applyAlignment="1" applyProtection="1">
      <alignment horizontal="left" vertical="center"/>
      <protection hidden="1"/>
    </xf>
    <xf numFmtId="1" fontId="23" fillId="0" borderId="0" xfId="24" applyNumberFormat="1" applyFont="1" applyAlignment="1" applyProtection="1">
      <alignment vertical="center"/>
      <protection hidden="1"/>
    </xf>
    <xf numFmtId="180" fontId="23" fillId="0" borderId="0" xfId="3328" applyNumberFormat="1" applyFont="1" applyAlignment="1">
      <alignment vertical="center"/>
    </xf>
    <xf numFmtId="180" fontId="23" fillId="0" borderId="0" xfId="24" applyNumberFormat="1" applyFont="1" applyAlignment="1" applyProtection="1">
      <alignment vertical="center"/>
      <protection hidden="1"/>
    </xf>
    <xf numFmtId="180" fontId="23" fillId="0" borderId="0" xfId="3328" applyNumberFormat="1" applyFont="1" applyAlignment="1">
      <alignment horizontal="center" vertical="center"/>
    </xf>
    <xf numFmtId="180" fontId="22" fillId="0" borderId="0" xfId="24" applyNumberFormat="1" applyFont="1" applyAlignment="1" applyProtection="1">
      <alignment horizontal="left" vertical="center"/>
      <protection hidden="1"/>
    </xf>
    <xf numFmtId="180" fontId="23" fillId="0" borderId="0" xfId="3328" applyNumberFormat="1" applyFont="1" applyAlignment="1">
      <alignment horizontal="left" vertical="center"/>
    </xf>
    <xf numFmtId="0" fontId="64" fillId="0" borderId="0" xfId="0" applyFont="1" applyAlignment="1">
      <alignment horizontal="center" vertical="center"/>
    </xf>
    <xf numFmtId="180" fontId="64" fillId="0" borderId="0" xfId="3328" applyNumberFormat="1" applyFont="1" applyAlignment="1">
      <alignment horizontal="left" vertical="center"/>
    </xf>
    <xf numFmtId="180" fontId="23" fillId="0" borderId="0" xfId="24" applyNumberFormat="1" applyFont="1" applyAlignment="1" applyProtection="1">
      <alignment horizontal="center" vertical="center"/>
      <protection hidden="1"/>
    </xf>
    <xf numFmtId="4" fontId="23" fillId="0" borderId="0" xfId="2518" applyNumberFormat="1" applyFont="1" applyAlignment="1" applyProtection="1">
      <alignment horizontal="center" vertical="center"/>
      <protection hidden="1"/>
    </xf>
    <xf numFmtId="0" fontId="23" fillId="0" borderId="0" xfId="3328" applyFont="1" applyAlignment="1">
      <alignment horizontal="center" vertical="center"/>
    </xf>
    <xf numFmtId="183" fontId="23" fillId="0" borderId="0" xfId="2518" applyNumberFormat="1" applyFont="1" applyAlignment="1" applyProtection="1">
      <alignment horizontal="center" vertical="center"/>
      <protection hidden="1"/>
    </xf>
    <xf numFmtId="0" fontId="23" fillId="0" borderId="0" xfId="3328" applyFont="1" applyAlignment="1">
      <alignment horizontal="left" vertical="center"/>
    </xf>
    <xf numFmtId="4" fontId="22" fillId="0" borderId="0" xfId="4" applyNumberFormat="1" applyFont="1" applyAlignment="1" applyProtection="1">
      <alignment horizontal="center" vertical="center"/>
      <protection hidden="1"/>
    </xf>
    <xf numFmtId="10" fontId="23" fillId="0" borderId="0" xfId="2518" applyNumberFormat="1" applyFont="1" applyAlignment="1" applyProtection="1">
      <alignment vertical="center"/>
      <protection hidden="1"/>
    </xf>
    <xf numFmtId="0" fontId="114" fillId="0" borderId="0" xfId="0" applyFont="1" applyAlignment="1">
      <alignment horizontal="left" vertical="center"/>
    </xf>
    <xf numFmtId="203" fontId="15" fillId="0" borderId="0" xfId="0" applyNumberFormat="1" applyFont="1" applyAlignment="1">
      <alignment horizontal="center" vertical="center"/>
    </xf>
    <xf numFmtId="2" fontId="23" fillId="0" borderId="0" xfId="3328" applyNumberFormat="1" applyFont="1" applyAlignment="1">
      <alignment horizontal="center" vertical="center"/>
    </xf>
    <xf numFmtId="204" fontId="23" fillId="0" borderId="0" xfId="3328" applyNumberFormat="1" applyFont="1" applyAlignment="1">
      <alignment horizontal="center" vertical="center"/>
    </xf>
    <xf numFmtId="0" fontId="23" fillId="0" borderId="0" xfId="3328" applyFont="1" applyAlignment="1">
      <alignment horizontal="right" vertical="center"/>
    </xf>
    <xf numFmtId="0" fontId="74" fillId="0" borderId="0" xfId="3328" applyFont="1" applyAlignment="1">
      <alignment horizontal="left" vertical="center"/>
    </xf>
    <xf numFmtId="0" fontId="27" fillId="0" borderId="0" xfId="3328" applyFont="1" applyAlignment="1">
      <alignment horizontal="center" vertical="center"/>
    </xf>
    <xf numFmtId="175" fontId="1" fillId="0" borderId="1" xfId="0" applyNumberFormat="1" applyFont="1" applyBorder="1" applyAlignment="1">
      <alignment horizontal="left" vertical="center" indent="1"/>
    </xf>
    <xf numFmtId="0" fontId="1" fillId="0" borderId="23" xfId="0" applyFont="1" applyBorder="1" applyAlignment="1">
      <alignment vertical="center"/>
    </xf>
    <xf numFmtId="1" fontId="28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left"/>
    </xf>
    <xf numFmtId="1" fontId="23" fillId="0" borderId="0" xfId="0" applyNumberFormat="1" applyFont="1" applyAlignment="1">
      <alignment horizontal="left"/>
    </xf>
    <xf numFmtId="181" fontId="0" fillId="0" borderId="0" xfId="0" applyNumberFormat="1" applyAlignment="1">
      <alignment horizontal="center"/>
    </xf>
    <xf numFmtId="181" fontId="15" fillId="0" borderId="0" xfId="0" quotePrefix="1" applyNumberFormat="1" applyFont="1" applyAlignment="1">
      <alignment horizontal="center"/>
    </xf>
    <xf numFmtId="0" fontId="23" fillId="0" borderId="93" xfId="0" applyFont="1" applyBorder="1" applyAlignment="1">
      <alignment vertical="center"/>
    </xf>
    <xf numFmtId="0" fontId="117" fillId="41" borderId="81" xfId="17" applyFont="1" applyFill="1" applyBorder="1" applyAlignment="1">
      <alignment horizontal="center" vertical="center" wrapText="1"/>
    </xf>
    <xf numFmtId="0" fontId="117" fillId="41" borderId="81" xfId="0" applyFont="1" applyFill="1" applyBorder="1" applyAlignment="1">
      <alignment horizontal="center" vertical="center" wrapText="1"/>
    </xf>
    <xf numFmtId="191" fontId="1" fillId="0" borderId="84" xfId="21" applyNumberFormat="1" applyFont="1" applyBorder="1" applyAlignment="1">
      <alignment horizontal="center" vertical="center"/>
    </xf>
    <xf numFmtId="180" fontId="1" fillId="0" borderId="84" xfId="0" applyNumberFormat="1" applyFont="1" applyBorder="1" applyAlignment="1">
      <alignment horizontal="center" vertical="center"/>
    </xf>
    <xf numFmtId="180" fontId="1" fillId="0" borderId="85" xfId="0" applyNumberFormat="1" applyFont="1" applyBorder="1" applyAlignment="1">
      <alignment horizontal="center" vertical="center"/>
    </xf>
    <xf numFmtId="191" fontId="1" fillId="0" borderId="35" xfId="21" applyNumberFormat="1" applyFont="1" applyBorder="1" applyAlignment="1">
      <alignment horizontal="center" vertical="center"/>
    </xf>
    <xf numFmtId="180" fontId="1" fillId="0" borderId="35" xfId="0" applyNumberFormat="1" applyFont="1" applyBorder="1" applyAlignment="1">
      <alignment horizontal="center" vertical="center"/>
    </xf>
    <xf numFmtId="180" fontId="1" fillId="0" borderId="36" xfId="0" applyNumberFormat="1" applyFont="1" applyBorder="1" applyAlignment="1">
      <alignment horizontal="center" vertical="center"/>
    </xf>
    <xf numFmtId="49" fontId="118" fillId="11" borderId="0" xfId="2" applyNumberFormat="1" applyFont="1" applyFill="1" applyBorder="1" applyAlignment="1" applyProtection="1">
      <alignment horizontal="center" wrapText="1"/>
      <protection hidden="1"/>
    </xf>
    <xf numFmtId="49" fontId="118" fillId="11" borderId="0" xfId="2" applyNumberFormat="1" applyFont="1" applyFill="1" applyBorder="1" applyAlignment="1" applyProtection="1">
      <protection hidden="1"/>
    </xf>
    <xf numFmtId="192" fontId="1" fillId="11" borderId="37" xfId="27" applyNumberFormat="1" applyFont="1" applyFill="1" applyBorder="1" applyAlignment="1" applyProtection="1">
      <alignment horizontal="center"/>
      <protection hidden="1"/>
    </xf>
    <xf numFmtId="3" fontId="1" fillId="0" borderId="35" xfId="0" applyNumberFormat="1" applyFont="1" applyBorder="1"/>
    <xf numFmtId="3" fontId="1" fillId="0" borderId="0" xfId="2" applyNumberFormat="1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120" fillId="0" borderId="0" xfId="0" applyFont="1" applyAlignment="1">
      <alignment vertical="center"/>
    </xf>
    <xf numFmtId="0" fontId="121" fillId="0" borderId="0" xfId="0" applyFont="1" applyAlignment="1">
      <alignment horizontal="center" vertical="center"/>
    </xf>
    <xf numFmtId="0" fontId="122" fillId="0" borderId="0" xfId="0" applyFont="1" applyAlignment="1">
      <alignment vertical="center"/>
    </xf>
    <xf numFmtId="0" fontId="122" fillId="0" borderId="0" xfId="0" applyFont="1" applyAlignment="1">
      <alignment horizontal="center" vertical="center"/>
    </xf>
    <xf numFmtId="183" fontId="23" fillId="0" borderId="9" xfId="2518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23" fillId="0" borderId="0" xfId="0" applyFont="1" applyAlignment="1">
      <alignment vertical="center"/>
    </xf>
    <xf numFmtId="4" fontId="1" fillId="0" borderId="0" xfId="2" applyNumberFormat="1" applyFont="1" applyFill="1" applyBorder="1" applyAlignment="1">
      <alignment horizontal="center" vertical="center"/>
    </xf>
    <xf numFmtId="200" fontId="1" fillId="0" borderId="0" xfId="0" applyNumberFormat="1" applyFont="1" applyAlignment="1">
      <alignment vertical="center"/>
    </xf>
    <xf numFmtId="185" fontId="1" fillId="0" borderId="0" xfId="0" applyNumberFormat="1" applyFont="1" applyAlignment="1">
      <alignment vertical="center"/>
    </xf>
    <xf numFmtId="185" fontId="124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49" fontId="73" fillId="0" borderId="72" xfId="16" applyNumberFormat="1" applyFont="1" applyBorder="1" applyAlignment="1" applyProtection="1">
      <alignment horizontal="center" vertical="center" wrapText="1"/>
      <protection hidden="1"/>
    </xf>
    <xf numFmtId="0" fontId="73" fillId="40" borderId="75" xfId="0" applyFont="1" applyFill="1" applyBorder="1" applyAlignment="1">
      <alignment vertical="center" wrapText="1"/>
    </xf>
    <xf numFmtId="0" fontId="50" fillId="40" borderId="75" xfId="0" applyFont="1" applyFill="1" applyBorder="1" applyAlignment="1">
      <alignment horizontal="left" vertical="center" wrapText="1"/>
    </xf>
    <xf numFmtId="4" fontId="50" fillId="40" borderId="75" xfId="0" applyNumberFormat="1" applyFont="1" applyFill="1" applyBorder="1" applyAlignment="1">
      <alignment horizontal="center" vertical="center" wrapText="1"/>
    </xf>
    <xf numFmtId="178" fontId="50" fillId="40" borderId="75" xfId="0" applyNumberFormat="1" applyFont="1" applyFill="1" applyBorder="1" applyAlignment="1">
      <alignment horizontal="center" vertical="center" wrapText="1"/>
    </xf>
    <xf numFmtId="201" fontId="50" fillId="40" borderId="75" xfId="0" applyNumberFormat="1" applyFont="1" applyFill="1" applyBorder="1" applyAlignment="1">
      <alignment horizontal="center" vertical="center" wrapText="1"/>
    </xf>
    <xf numFmtId="167" fontId="50" fillId="40" borderId="75" xfId="9" applyFont="1" applyFill="1" applyBorder="1" applyAlignment="1">
      <alignment horizontal="center" vertical="center" wrapText="1"/>
    </xf>
    <xf numFmtId="2" fontId="50" fillId="40" borderId="75" xfId="9" applyNumberFormat="1" applyFont="1" applyFill="1" applyBorder="1" applyAlignment="1">
      <alignment horizontal="center" vertical="center" wrapText="1"/>
    </xf>
    <xf numFmtId="182" fontId="50" fillId="40" borderId="75" xfId="9" applyNumberFormat="1" applyFont="1" applyFill="1" applyBorder="1" applyAlignment="1">
      <alignment horizontal="center" vertical="center" wrapText="1"/>
    </xf>
    <xf numFmtId="1" fontId="50" fillId="40" borderId="75" xfId="0" applyNumberFormat="1" applyFont="1" applyFill="1" applyBorder="1" applyAlignment="1">
      <alignment horizontal="left" vertical="center" wrapText="1"/>
    </xf>
    <xf numFmtId="0" fontId="50" fillId="40" borderId="75" xfId="0" applyFont="1" applyFill="1" applyBorder="1" applyAlignment="1">
      <alignment horizontal="center" vertical="center" wrapText="1"/>
    </xf>
    <xf numFmtId="0" fontId="50" fillId="40" borderId="76" xfId="0" applyFont="1" applyFill="1" applyBorder="1" applyAlignment="1">
      <alignment horizontal="center" vertical="center" wrapText="1"/>
    </xf>
    <xf numFmtId="0" fontId="1" fillId="0" borderId="95" xfId="0" applyFont="1" applyBorder="1" applyAlignment="1">
      <alignment vertical="center"/>
    </xf>
    <xf numFmtId="0" fontId="1" fillId="0" borderId="95" xfId="0" applyFont="1" applyBorder="1" applyAlignment="1">
      <alignment horizontal="center" vertical="center"/>
    </xf>
    <xf numFmtId="201" fontId="1" fillId="0" borderId="95" xfId="0" applyNumberFormat="1" applyFont="1" applyBorder="1" applyAlignment="1">
      <alignment horizontal="center" vertical="center"/>
    </xf>
    <xf numFmtId="0" fontId="1" fillId="0" borderId="95" xfId="9" applyNumberFormat="1" applyFont="1" applyFill="1" applyBorder="1" applyAlignment="1">
      <alignment vertical="center"/>
    </xf>
    <xf numFmtId="4" fontId="1" fillId="0" borderId="95" xfId="0" applyNumberFormat="1" applyFont="1" applyBorder="1" applyAlignment="1">
      <alignment horizontal="center" vertical="center"/>
    </xf>
    <xf numFmtId="178" fontId="1" fillId="0" borderId="95" xfId="0" applyNumberFormat="1" applyFont="1" applyBorder="1" applyAlignment="1">
      <alignment horizontal="center" vertical="center"/>
    </xf>
    <xf numFmtId="1" fontId="1" fillId="0" borderId="95" xfId="0" applyNumberFormat="1" applyFont="1" applyBorder="1" applyAlignment="1">
      <alignment horizontal="center" vertical="center"/>
    </xf>
    <xf numFmtId="2" fontId="23" fillId="43" borderId="95" xfId="0" applyNumberFormat="1" applyFont="1" applyFill="1" applyBorder="1" applyAlignment="1">
      <alignment horizontal="center" vertical="center"/>
    </xf>
    <xf numFmtId="2" fontId="23" fillId="11" borderId="95" xfId="0" applyNumberFormat="1" applyFont="1" applyFill="1" applyBorder="1" applyAlignment="1">
      <alignment horizontal="center" vertical="center"/>
    </xf>
    <xf numFmtId="2" fontId="23" fillId="0" borderId="95" xfId="9" applyNumberFormat="1" applyFont="1" applyFill="1" applyBorder="1" applyAlignment="1">
      <alignment horizontal="center" vertical="center"/>
    </xf>
    <xf numFmtId="176" fontId="23" fillId="0" borderId="95" xfId="9" applyNumberFormat="1" applyFont="1" applyFill="1" applyBorder="1" applyAlignment="1">
      <alignment horizontal="center" vertical="center"/>
    </xf>
    <xf numFmtId="0" fontId="23" fillId="0" borderId="95" xfId="9" applyNumberFormat="1" applyFont="1" applyFill="1" applyBorder="1" applyAlignment="1">
      <alignment horizontal="left" vertical="center"/>
    </xf>
    <xf numFmtId="185" fontId="23" fillId="0" borderId="95" xfId="0" applyNumberFormat="1" applyFont="1" applyBorder="1" applyAlignment="1">
      <alignment horizontal="center" vertical="center"/>
    </xf>
    <xf numFmtId="0" fontId="1" fillId="0" borderId="95" xfId="9" applyNumberFormat="1" applyFont="1" applyFill="1" applyBorder="1" applyAlignment="1">
      <alignment horizontal="left" vertical="center"/>
    </xf>
    <xf numFmtId="180" fontId="1" fillId="0" borderId="95" xfId="0" applyNumberFormat="1" applyFont="1" applyBorder="1" applyAlignment="1">
      <alignment horizontal="left" vertical="center"/>
    </xf>
    <xf numFmtId="181" fontId="1" fillId="0" borderId="95" xfId="0" applyNumberFormat="1" applyFont="1" applyBorder="1" applyAlignment="1">
      <alignment horizontal="center" vertical="center"/>
    </xf>
    <xf numFmtId="178" fontId="1" fillId="12" borderId="95" xfId="0" applyNumberFormat="1" applyFont="1" applyFill="1" applyBorder="1" applyAlignment="1">
      <alignment horizontal="center" vertical="center"/>
    </xf>
    <xf numFmtId="0" fontId="1" fillId="0" borderId="95" xfId="0" applyFont="1" applyBorder="1" applyAlignment="1">
      <alignment horizontal="left" vertical="center"/>
    </xf>
    <xf numFmtId="181" fontId="1" fillId="0" borderId="95" xfId="9" applyNumberFormat="1" applyFont="1" applyFill="1" applyBorder="1" applyAlignment="1">
      <alignment horizontal="center" vertical="center"/>
    </xf>
    <xf numFmtId="0" fontId="23" fillId="0" borderId="95" xfId="9" applyNumberFormat="1" applyFont="1" applyFill="1" applyBorder="1" applyAlignment="1">
      <alignment horizontal="left" vertical="center" indent="1"/>
    </xf>
    <xf numFmtId="2" fontId="1" fillId="43" borderId="95" xfId="0" applyNumberFormat="1" applyFont="1" applyFill="1" applyBorder="1" applyAlignment="1">
      <alignment horizontal="center" vertical="center"/>
    </xf>
    <xf numFmtId="2" fontId="1" fillId="11" borderId="95" xfId="0" applyNumberFormat="1" applyFont="1" applyFill="1" applyBorder="1" applyAlignment="1">
      <alignment horizontal="center" vertical="center"/>
    </xf>
    <xf numFmtId="2" fontId="1" fillId="0" borderId="95" xfId="9" applyNumberFormat="1" applyFont="1" applyFill="1" applyBorder="1" applyAlignment="1">
      <alignment horizontal="center" vertical="center"/>
    </xf>
    <xf numFmtId="176" fontId="1" fillId="0" borderId="95" xfId="9" applyNumberFormat="1" applyFont="1" applyFill="1" applyBorder="1" applyAlignment="1">
      <alignment horizontal="center" vertical="center"/>
    </xf>
    <xf numFmtId="185" fontId="1" fillId="0" borderId="95" xfId="0" applyNumberFormat="1" applyFont="1" applyBorder="1" applyAlignment="1">
      <alignment horizontal="center" vertical="center"/>
    </xf>
    <xf numFmtId="0" fontId="23" fillId="0" borderId="95" xfId="0" applyFont="1" applyBorder="1" applyAlignment="1">
      <alignment horizontal="left" vertical="center"/>
    </xf>
    <xf numFmtId="201" fontId="1" fillId="0" borderId="95" xfId="0" applyNumberFormat="1" applyFont="1" applyBorder="1" applyAlignment="1">
      <alignment horizontal="left" vertical="center"/>
    </xf>
    <xf numFmtId="0" fontId="15" fillId="0" borderId="95" xfId="0" applyFont="1" applyBorder="1" applyAlignment="1">
      <alignment horizontal="center"/>
    </xf>
    <xf numFmtId="0" fontId="15" fillId="0" borderId="95" xfId="0" applyFont="1" applyBorder="1" applyAlignment="1">
      <alignment horizontal="left"/>
    </xf>
    <xf numFmtId="2" fontId="15" fillId="0" borderId="95" xfId="0" applyNumberFormat="1" applyFont="1" applyBorder="1" applyAlignment="1">
      <alignment horizontal="center"/>
    </xf>
    <xf numFmtId="0" fontId="44" fillId="0" borderId="95" xfId="0" applyFont="1" applyBorder="1" applyAlignment="1">
      <alignment horizontal="center"/>
    </xf>
    <xf numFmtId="44" fontId="15" fillId="0" borderId="97" xfId="0" applyNumberFormat="1" applyFont="1" applyBorder="1" applyAlignment="1">
      <alignment vertical="center"/>
    </xf>
    <xf numFmtId="2" fontId="50" fillId="40" borderId="74" xfId="0" applyNumberFormat="1" applyFont="1" applyFill="1" applyBorder="1" applyAlignment="1">
      <alignment horizontal="center" vertical="center" wrapText="1"/>
    </xf>
    <xf numFmtId="2" fontId="50" fillId="40" borderId="96" xfId="0" applyNumberFormat="1" applyFont="1" applyFill="1" applyBorder="1" applyAlignment="1">
      <alignment horizontal="center" vertical="center" wrapText="1"/>
    </xf>
    <xf numFmtId="185" fontId="23" fillId="40" borderId="0" xfId="0" applyNumberFormat="1" applyFont="1" applyFill="1" applyAlignment="1">
      <alignment vertical="center"/>
    </xf>
    <xf numFmtId="4" fontId="15" fillId="40" borderId="0" xfId="0" applyNumberFormat="1" applyFont="1" applyFill="1" applyAlignment="1">
      <alignment vertical="center"/>
    </xf>
    <xf numFmtId="187" fontId="15" fillId="40" borderId="0" xfId="0" applyNumberFormat="1" applyFont="1" applyFill="1" applyAlignment="1">
      <alignment vertical="center"/>
    </xf>
    <xf numFmtId="49" fontId="73" fillId="40" borderId="72" xfId="16" applyNumberFormat="1" applyFont="1" applyFill="1" applyBorder="1" applyAlignment="1" applyProtection="1">
      <alignment horizontal="center" vertical="center" wrapText="1"/>
      <protection hidden="1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1" fontId="1" fillId="0" borderId="1" xfId="9" applyNumberFormat="1" applyFont="1" applyFill="1" applyBorder="1" applyAlignment="1">
      <alignment horizontal="center" vertical="center"/>
    </xf>
    <xf numFmtId="181" fontId="1" fillId="0" borderId="1" xfId="9" applyNumberFormat="1" applyFont="1" applyFill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 vertical="center"/>
    </xf>
    <xf numFmtId="175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" fontId="1" fillId="0" borderId="1" xfId="22" applyNumberFormat="1" applyFont="1" applyBorder="1" applyAlignment="1">
      <alignment horizontal="center" vertical="center"/>
    </xf>
    <xf numFmtId="0" fontId="1" fillId="0" borderId="1" xfId="9" applyNumberFormat="1" applyFont="1" applyFill="1" applyBorder="1" applyAlignment="1">
      <alignment horizontal="left" vertical="center"/>
    </xf>
    <xf numFmtId="0" fontId="1" fillId="0" borderId="1" xfId="9" applyNumberFormat="1" applyFont="1" applyFill="1" applyBorder="1" applyAlignment="1">
      <alignment horizontal="center" vertical="center" wrapText="1"/>
    </xf>
    <xf numFmtId="167" fontId="1" fillId="0" borderId="0" xfId="9" applyFont="1" applyAlignment="1">
      <alignment horizontal="center"/>
    </xf>
    <xf numFmtId="3" fontId="1" fillId="0" borderId="0" xfId="9" applyNumberFormat="1" applyFont="1" applyFill="1" applyAlignment="1">
      <alignment horizontal="right"/>
    </xf>
    <xf numFmtId="3" fontId="1" fillId="0" borderId="0" xfId="9" applyNumberFormat="1" applyFont="1" applyFill="1" applyAlignment="1">
      <alignment horizontal="center"/>
    </xf>
    <xf numFmtId="0" fontId="1" fillId="0" borderId="0" xfId="29" applyFont="1" applyAlignment="1">
      <alignment horizontal="center"/>
    </xf>
    <xf numFmtId="176" fontId="1" fillId="0" borderId="0" xfId="29" applyNumberFormat="1" applyFont="1" applyAlignment="1">
      <alignment horizontal="center"/>
    </xf>
    <xf numFmtId="3" fontId="1" fillId="0" borderId="0" xfId="29" applyNumberFormat="1" applyFont="1" applyAlignment="1">
      <alignment horizontal="center"/>
    </xf>
    <xf numFmtId="167" fontId="1" fillId="0" borderId="0" xfId="9" applyFont="1" applyFill="1" applyAlignment="1">
      <alignment horizontal="right"/>
    </xf>
    <xf numFmtId="167" fontId="1" fillId="0" borderId="0" xfId="9" applyFont="1" applyFill="1" applyAlignment="1">
      <alignment horizontal="center"/>
    </xf>
    <xf numFmtId="0" fontId="1" fillId="0" borderId="0" xfId="29" applyFont="1"/>
    <xf numFmtId="176" fontId="1" fillId="44" borderId="1" xfId="0" applyNumberFormat="1" applyFont="1" applyFill="1" applyBorder="1" applyAlignment="1">
      <alignment horizontal="center" vertical="center"/>
    </xf>
    <xf numFmtId="185" fontId="73" fillId="0" borderId="0" xfId="0" applyNumberFormat="1" applyFont="1" applyAlignment="1">
      <alignment vertical="center"/>
    </xf>
    <xf numFmtId="185" fontId="22" fillId="0" borderId="0" xfId="0" applyNumberFormat="1" applyFont="1" applyAlignment="1">
      <alignment vertical="center"/>
    </xf>
    <xf numFmtId="187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5" fontId="18" fillId="0" borderId="0" xfId="19" applyNumberFormat="1" applyFont="1" applyAlignment="1">
      <alignment horizontal="left"/>
    </xf>
    <xf numFmtId="181" fontId="70" fillId="13" borderId="0" xfId="0" applyNumberFormat="1" applyFont="1" applyFill="1" applyAlignment="1">
      <alignment horizontal="center"/>
    </xf>
    <xf numFmtId="167" fontId="69" fillId="14" borderId="0" xfId="9" applyFont="1" applyFill="1" applyAlignment="1">
      <alignment horizontal="center" vertical="center" wrapText="1"/>
    </xf>
    <xf numFmtId="15" fontId="19" fillId="0" borderId="0" xfId="19" applyNumberFormat="1" applyFont="1" applyAlignment="1">
      <alignment horizontal="left" vertical="center"/>
    </xf>
    <xf numFmtId="0" fontId="47" fillId="42" borderId="0" xfId="0" applyFont="1" applyFill="1" applyAlignment="1">
      <alignment horizontal="center" vertical="center"/>
    </xf>
    <xf numFmtId="15" fontId="19" fillId="0" borderId="0" xfId="19" applyNumberFormat="1" applyFont="1" applyAlignment="1">
      <alignment horizontal="left"/>
    </xf>
    <xf numFmtId="192" fontId="23" fillId="11" borderId="51" xfId="27" applyNumberFormat="1" applyFont="1" applyFill="1" applyBorder="1" applyAlignment="1" applyProtection="1">
      <alignment horizontal="center" vertical="center"/>
      <protection locked="0"/>
    </xf>
    <xf numFmtId="192" fontId="23" fillId="11" borderId="53" xfId="27" applyNumberFormat="1" applyFont="1" applyFill="1" applyBorder="1" applyAlignment="1" applyProtection="1">
      <alignment horizontal="center" vertical="center"/>
      <protection locked="0"/>
    </xf>
    <xf numFmtId="0" fontId="50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48" fillId="11" borderId="0" xfId="0" applyFont="1" applyFill="1" applyAlignment="1">
      <alignment horizontal="left" vertical="center" wrapText="1"/>
    </xf>
    <xf numFmtId="0" fontId="50" fillId="11" borderId="0" xfId="16" applyFont="1" applyFill="1" applyAlignment="1" applyProtection="1">
      <alignment horizontal="left" vertical="center"/>
      <protection hidden="1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48" fillId="41" borderId="74" xfId="16" applyFont="1" applyFill="1" applyBorder="1" applyAlignment="1" applyProtection="1">
      <alignment horizontal="left" vertical="center"/>
      <protection hidden="1"/>
    </xf>
    <xf numFmtId="0" fontId="48" fillId="41" borderId="75" xfId="16" applyFont="1" applyFill="1" applyBorder="1" applyAlignment="1" applyProtection="1">
      <alignment horizontal="left" vertical="center"/>
      <protection hidden="1"/>
    </xf>
    <xf numFmtId="0" fontId="22" fillId="41" borderId="0" xfId="17" applyFont="1" applyFill="1" applyAlignment="1">
      <alignment horizontal="center" vertical="center"/>
    </xf>
  </cellXfs>
  <cellStyles count="3331">
    <cellStyle name="20% - Accent1 2" xfId="2519" xr:uid="{00000000-0005-0000-0000-000000000000}"/>
    <cellStyle name="20% - Accent2 2" xfId="2520" xr:uid="{00000000-0005-0000-0000-000001000000}"/>
    <cellStyle name="20% - Accent3 2" xfId="2521" xr:uid="{00000000-0005-0000-0000-000002000000}"/>
    <cellStyle name="20% - Accent4 2" xfId="2522" xr:uid="{00000000-0005-0000-0000-000003000000}"/>
    <cellStyle name="20% - Accent5 2" xfId="2523" xr:uid="{00000000-0005-0000-0000-000004000000}"/>
    <cellStyle name="20% - Accent6 2" xfId="2524" xr:uid="{00000000-0005-0000-0000-000005000000}"/>
    <cellStyle name="40% - Accent1 2" xfId="2525" xr:uid="{00000000-0005-0000-0000-000006000000}"/>
    <cellStyle name="40% - Accent2 2" xfId="2526" xr:uid="{00000000-0005-0000-0000-000007000000}"/>
    <cellStyle name="40% - Accent3 2" xfId="2527" xr:uid="{00000000-0005-0000-0000-000008000000}"/>
    <cellStyle name="40% - Accent4 2" xfId="2528" xr:uid="{00000000-0005-0000-0000-000009000000}"/>
    <cellStyle name="40% - Accent5 2" xfId="2529" xr:uid="{00000000-0005-0000-0000-00000A000000}"/>
    <cellStyle name="40% - Accent6 2" xfId="2530" xr:uid="{00000000-0005-0000-0000-00000B000000}"/>
    <cellStyle name="60% - Accent1 2" xfId="2531" xr:uid="{00000000-0005-0000-0000-00000C000000}"/>
    <cellStyle name="60% - Accent2 2" xfId="2532" xr:uid="{00000000-0005-0000-0000-00000D000000}"/>
    <cellStyle name="60% - Accent3 2" xfId="2533" xr:uid="{00000000-0005-0000-0000-00000E000000}"/>
    <cellStyle name="60% - Accent4 2" xfId="2534" xr:uid="{00000000-0005-0000-0000-00000F000000}"/>
    <cellStyle name="60% - Accent5 2" xfId="2535" xr:uid="{00000000-0005-0000-0000-000010000000}"/>
    <cellStyle name="60% - Accent6 2" xfId="2536" xr:uid="{00000000-0005-0000-0000-000011000000}"/>
    <cellStyle name="Accent1 2" xfId="2537" xr:uid="{00000000-0005-0000-0000-000012000000}"/>
    <cellStyle name="Accent2 2" xfId="2538" xr:uid="{00000000-0005-0000-0000-000013000000}"/>
    <cellStyle name="Accent3 2" xfId="2539" xr:uid="{00000000-0005-0000-0000-000014000000}"/>
    <cellStyle name="Accent4 2" xfId="2540" xr:uid="{00000000-0005-0000-0000-000015000000}"/>
    <cellStyle name="Accent5 2" xfId="2541" xr:uid="{00000000-0005-0000-0000-000016000000}"/>
    <cellStyle name="Accent6 2" xfId="2542" xr:uid="{00000000-0005-0000-0000-000017000000}"/>
    <cellStyle name="Bad" xfId="2543" xr:uid="{00000000-0005-0000-0000-000018000000}"/>
    <cellStyle name="Berekening" xfId="1" xr:uid="{00000000-0005-0000-0000-000019000000}"/>
    <cellStyle name="Berekening 2" xfId="2544" xr:uid="{00000000-0005-0000-0000-00001A000000}"/>
    <cellStyle name="Calculation" xfId="2545" xr:uid="{00000000-0005-0000-0000-00001B000000}"/>
    <cellStyle name="Check Cell" xfId="2546" xr:uid="{00000000-0005-0000-0000-00001C000000}"/>
    <cellStyle name="Comma [0]" xfId="2547" xr:uid="{00000000-0005-0000-0000-00001D000000}"/>
    <cellStyle name="Comma_AA BCR/ Basis ruimtestaat 13.0" xfId="2548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9" xr:uid="{00000000-0005-0000-0000-000021000000}"/>
    <cellStyle name="Currency [0]" xfId="2550" xr:uid="{00000000-0005-0000-0000-000022000000}"/>
    <cellStyle name="Currency_2.objekten aanbestedi#B9BC8.xls" xfId="2551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euro" xfId="6" xr:uid="{00000000-0005-0000-0000-000027000000}"/>
    <cellStyle name="Euro 2" xfId="2552" xr:uid="{00000000-0005-0000-0000-000028000000}"/>
    <cellStyle name="Euro 3" xfId="2553" xr:uid="{00000000-0005-0000-0000-000029000000}"/>
    <cellStyle name="Euro 4" xfId="2554" xr:uid="{00000000-0005-0000-0000-00002A000000}"/>
    <cellStyle name="Euro_Calculatie Lenger Seafoods Yerseke 090106-1" xfId="2555" xr:uid="{00000000-0005-0000-0000-00002B000000}"/>
    <cellStyle name="Explanatory Text" xfId="2556" xr:uid="{00000000-0005-0000-0000-00002C000000}"/>
    <cellStyle name="Followed Hyperlink_Aantal groepen per school.xls" xfId="2557" xr:uid="{00000000-0005-0000-0000-00002D000000}"/>
    <cellStyle name="Gekoppelde cel" xfId="7" xr:uid="{00000000-0005-0000-0000-00002E000000}"/>
    <cellStyle name="Gekoppelde cel 2" xfId="2558" xr:uid="{00000000-0005-0000-0000-00002F000000}"/>
    <cellStyle name="Gevolgde hyperlink" xfId="183" builtinId="9" hidden="1"/>
    <cellStyle name="Gevolgde hyperlink" xfId="187" builtinId="9" hidden="1"/>
    <cellStyle name="Gevolgde hyperlink" xfId="191" builtinId="9" hidden="1"/>
    <cellStyle name="Gevolgde hyperlink" xfId="195" builtinId="9" hidden="1"/>
    <cellStyle name="Gevolgde hyperlink" xfId="199" builtinId="9" hidden="1"/>
    <cellStyle name="Gevolgde hyperlink" xfId="203" builtinId="9" hidden="1"/>
    <cellStyle name="Gevolgde hyperlink" xfId="207" builtinId="9" hidden="1"/>
    <cellStyle name="Gevolgde hyperlink" xfId="211" builtinId="9" hidden="1"/>
    <cellStyle name="Gevolgde hyperlink" xfId="215" builtinId="9" hidden="1"/>
    <cellStyle name="Gevolgde hyperlink" xfId="219" builtinId="9" hidden="1"/>
    <cellStyle name="Gevolgde hyperlink" xfId="223" builtinId="9" hidden="1"/>
    <cellStyle name="Gevolgde hyperlink" xfId="227" builtinId="9" hidden="1"/>
    <cellStyle name="Gevolgde hyperlink" xfId="231" builtinId="9" hidden="1"/>
    <cellStyle name="Gevolgde hyperlink" xfId="235" builtinId="9" hidden="1"/>
    <cellStyle name="Gevolgde hyperlink" xfId="239" builtinId="9" hidden="1"/>
    <cellStyle name="Gevolgde hyperlink" xfId="243" builtinId="9" hidden="1"/>
    <cellStyle name="Gevolgde hyperlink" xfId="247" builtinId="9" hidden="1"/>
    <cellStyle name="Gevolgde hyperlink" xfId="251" builtinId="9" hidden="1"/>
    <cellStyle name="Gevolgde hyperlink" xfId="255" builtinId="9" hidden="1"/>
    <cellStyle name="Gevolgde hyperlink" xfId="259" builtinId="9" hidden="1"/>
    <cellStyle name="Gevolgde hyperlink" xfId="263" builtinId="9" hidden="1"/>
    <cellStyle name="Gevolgde hyperlink" xfId="267" builtinId="9" hidden="1"/>
    <cellStyle name="Gevolgde hyperlink" xfId="271" builtinId="9" hidden="1"/>
    <cellStyle name="Gevolgde hyperlink" xfId="275" builtinId="9" hidden="1"/>
    <cellStyle name="Gevolgde hyperlink" xfId="279" builtinId="9" hidden="1"/>
    <cellStyle name="Gevolgde hyperlink" xfId="283" builtinId="9" hidden="1"/>
    <cellStyle name="Gevolgde hyperlink" xfId="287" builtinId="9" hidden="1"/>
    <cellStyle name="Gevolgde hyperlink" xfId="291" builtinId="9" hidden="1"/>
    <cellStyle name="Gevolgde hyperlink" xfId="295" builtinId="9" hidden="1"/>
    <cellStyle name="Gevolgde hyperlink" xfId="299" builtinId="9" hidden="1"/>
    <cellStyle name="Gevolgde hyperlink" xfId="303" builtinId="9" hidden="1"/>
    <cellStyle name="Gevolgde hyperlink" xfId="307" builtinId="9" hidden="1"/>
    <cellStyle name="Gevolgde hyperlink" xfId="311" builtinId="9" hidden="1"/>
    <cellStyle name="Gevolgde hyperlink" xfId="315" builtinId="9" hidden="1"/>
    <cellStyle name="Gevolgde hyperlink" xfId="319" builtinId="9" hidden="1"/>
    <cellStyle name="Gevolgde hyperlink" xfId="323" builtinId="9" hidden="1"/>
    <cellStyle name="Gevolgde hyperlink" xfId="327" builtinId="9" hidden="1"/>
    <cellStyle name="Gevolgde hyperlink" xfId="331" builtinId="9" hidden="1"/>
    <cellStyle name="Gevolgde hyperlink" xfId="335" builtinId="9" hidden="1"/>
    <cellStyle name="Gevolgde hyperlink" xfId="339" builtinId="9" hidden="1"/>
    <cellStyle name="Gevolgde hyperlink" xfId="343" builtinId="9" hidden="1"/>
    <cellStyle name="Gevolgde hyperlink" xfId="347" builtinId="9" hidden="1"/>
    <cellStyle name="Gevolgde hyperlink" xfId="351" builtinId="9" hidden="1"/>
    <cellStyle name="Gevolgde hyperlink" xfId="355" builtinId="9" hidden="1"/>
    <cellStyle name="Gevolgde hyperlink" xfId="359" builtinId="9" hidden="1"/>
    <cellStyle name="Gevolgde hyperlink" xfId="363" builtinId="9" hidden="1"/>
    <cellStyle name="Gevolgde hyperlink" xfId="367" builtinId="9" hidden="1"/>
    <cellStyle name="Gevolgde hyperlink" xfId="371" builtinId="9" hidden="1"/>
    <cellStyle name="Gevolgde hyperlink" xfId="375" builtinId="9" hidden="1"/>
    <cellStyle name="Gevolgde hyperlink" xfId="379" builtinId="9" hidden="1"/>
    <cellStyle name="Gevolgde hyperlink" xfId="383" builtinId="9" hidden="1"/>
    <cellStyle name="Gevolgde hyperlink" xfId="387" builtinId="9" hidden="1"/>
    <cellStyle name="Gevolgde hyperlink" xfId="391" builtinId="9" hidden="1"/>
    <cellStyle name="Gevolgde hyperlink" xfId="395" builtinId="9" hidden="1"/>
    <cellStyle name="Gevolgde hyperlink" xfId="399" builtinId="9" hidden="1"/>
    <cellStyle name="Gevolgde hyperlink" xfId="403" builtinId="9" hidden="1"/>
    <cellStyle name="Gevolgde hyperlink" xfId="407" builtinId="9" hidden="1"/>
    <cellStyle name="Gevolgde hyperlink" xfId="411" builtinId="9" hidden="1"/>
    <cellStyle name="Gevolgde hyperlink" xfId="415" builtinId="9" hidden="1"/>
    <cellStyle name="Gevolgde hyperlink" xfId="419" builtinId="9" hidden="1"/>
    <cellStyle name="Gevolgde hyperlink" xfId="423" builtinId="9" hidden="1"/>
    <cellStyle name="Gevolgde hyperlink" xfId="427" builtinId="9" hidden="1"/>
    <cellStyle name="Gevolgde hyperlink" xfId="431" builtinId="9" hidden="1"/>
    <cellStyle name="Gevolgde hyperlink" xfId="435" builtinId="9" hidden="1"/>
    <cellStyle name="Gevolgde hyperlink" xfId="439" builtinId="9" hidden="1"/>
    <cellStyle name="Gevolgde hyperlink" xfId="443" builtinId="9" hidden="1"/>
    <cellStyle name="Gevolgde hyperlink" xfId="447" builtinId="9" hidden="1"/>
    <cellStyle name="Gevolgde hyperlink" xfId="451" builtinId="9" hidden="1"/>
    <cellStyle name="Gevolgde hyperlink" xfId="455" builtinId="9" hidden="1"/>
    <cellStyle name="Gevolgde hyperlink" xfId="459" builtinId="9" hidden="1"/>
    <cellStyle name="Gevolgde hyperlink" xfId="463" builtinId="9" hidden="1"/>
    <cellStyle name="Gevolgde hyperlink" xfId="467" builtinId="9" hidden="1"/>
    <cellStyle name="Gevolgde hyperlink" xfId="471" builtinId="9" hidden="1"/>
    <cellStyle name="Gevolgde hyperlink" xfId="475" builtinId="9" hidden="1"/>
    <cellStyle name="Gevolgde hyperlink" xfId="479" builtinId="9" hidden="1"/>
    <cellStyle name="Gevolgde hyperlink" xfId="483" builtinId="9" hidden="1"/>
    <cellStyle name="Gevolgde hyperlink" xfId="487" builtinId="9" hidden="1"/>
    <cellStyle name="Gevolgde hyperlink" xfId="491" builtinId="9" hidden="1"/>
    <cellStyle name="Gevolgde hyperlink" xfId="495" builtinId="9" hidden="1"/>
    <cellStyle name="Gevolgde hyperlink" xfId="499" builtinId="9" hidden="1"/>
    <cellStyle name="Gevolgde hyperlink" xfId="503" builtinId="9" hidden="1"/>
    <cellStyle name="Gevolgde hyperlink" xfId="507" builtinId="9" hidden="1"/>
    <cellStyle name="Gevolgde hyperlink" xfId="511" builtinId="9" hidden="1"/>
    <cellStyle name="Gevolgde hyperlink" xfId="515" builtinId="9" hidden="1"/>
    <cellStyle name="Gevolgde hyperlink" xfId="519" builtinId="9" hidden="1"/>
    <cellStyle name="Gevolgde hyperlink" xfId="523" builtinId="9" hidden="1"/>
    <cellStyle name="Gevolgde hyperlink" xfId="527" builtinId="9" hidden="1"/>
    <cellStyle name="Gevolgde hyperlink" xfId="531" builtinId="9" hidden="1"/>
    <cellStyle name="Gevolgde hyperlink" xfId="535" builtinId="9" hidden="1"/>
    <cellStyle name="Gevolgde hyperlink" xfId="539" builtinId="9" hidden="1"/>
    <cellStyle name="Gevolgde hyperlink" xfId="543" builtinId="9" hidden="1"/>
    <cellStyle name="Gevolgde hyperlink" xfId="547" builtinId="9" hidden="1"/>
    <cellStyle name="Gevolgde hyperlink" xfId="551" builtinId="9" hidden="1"/>
    <cellStyle name="Gevolgde hyperlink" xfId="555" builtinId="9" hidden="1"/>
    <cellStyle name="Gevolgde hyperlink" xfId="559" builtinId="9" hidden="1"/>
    <cellStyle name="Gevolgde hyperlink" xfId="563" builtinId="9" hidden="1"/>
    <cellStyle name="Gevolgde hyperlink" xfId="567" builtinId="9" hidden="1"/>
    <cellStyle name="Gevolgde hyperlink" xfId="571" builtinId="9" hidden="1"/>
    <cellStyle name="Gevolgde hyperlink" xfId="575" builtinId="9" hidden="1"/>
    <cellStyle name="Gevolgde hyperlink" xfId="579" builtinId="9" hidden="1"/>
    <cellStyle name="Gevolgde hyperlink" xfId="583" builtinId="9" hidden="1"/>
    <cellStyle name="Gevolgde hyperlink" xfId="587" builtinId="9" hidden="1"/>
    <cellStyle name="Gevolgde hyperlink" xfId="591" builtinId="9" hidden="1"/>
    <cellStyle name="Gevolgde hyperlink" xfId="595" builtinId="9" hidden="1"/>
    <cellStyle name="Gevolgde hyperlink" xfId="599" builtinId="9" hidden="1"/>
    <cellStyle name="Gevolgde hyperlink" xfId="603" builtinId="9" hidden="1"/>
    <cellStyle name="Gevolgde hyperlink" xfId="607" builtinId="9" hidden="1"/>
    <cellStyle name="Gevolgde hyperlink" xfId="611" builtinId="9" hidden="1"/>
    <cellStyle name="Gevolgde hyperlink" xfId="615" builtinId="9" hidden="1"/>
    <cellStyle name="Gevolgde hyperlink" xfId="619" builtinId="9" hidden="1"/>
    <cellStyle name="Gevolgde hyperlink" xfId="623" builtinId="9" hidden="1"/>
    <cellStyle name="Gevolgde hyperlink" xfId="627" builtinId="9" hidden="1"/>
    <cellStyle name="Gevolgde hyperlink" xfId="631" builtinId="9" hidden="1"/>
    <cellStyle name="Gevolgde hyperlink" xfId="635" builtinId="9" hidden="1"/>
    <cellStyle name="Gevolgde hyperlink" xfId="639" builtinId="9" hidden="1"/>
    <cellStyle name="Gevolgde hyperlink" xfId="643" builtinId="9" hidden="1"/>
    <cellStyle name="Gevolgde hyperlink" xfId="647" builtinId="9" hidden="1"/>
    <cellStyle name="Gevolgde hyperlink" xfId="651" builtinId="9" hidden="1"/>
    <cellStyle name="Gevolgde hyperlink" xfId="655" builtinId="9" hidden="1"/>
    <cellStyle name="Gevolgde hyperlink" xfId="659" builtinId="9" hidden="1"/>
    <cellStyle name="Gevolgde hyperlink" xfId="663" builtinId="9" hidden="1"/>
    <cellStyle name="Gevolgde hyperlink" xfId="667" builtinId="9" hidden="1"/>
    <cellStyle name="Gevolgde hyperlink" xfId="671" builtinId="9" hidden="1"/>
    <cellStyle name="Gevolgde hyperlink" xfId="675" builtinId="9" hidden="1"/>
    <cellStyle name="Gevolgde hyperlink" xfId="679" builtinId="9" hidden="1"/>
    <cellStyle name="Gevolgde hyperlink" xfId="683" builtinId="9" hidden="1"/>
    <cellStyle name="Gevolgde hyperlink" xfId="687" builtinId="9" hidden="1"/>
    <cellStyle name="Gevolgde hyperlink" xfId="691" builtinId="9" hidden="1"/>
    <cellStyle name="Gevolgde hyperlink" xfId="695" builtinId="9" hidden="1"/>
    <cellStyle name="Gevolgde hyperlink" xfId="699" builtinId="9" hidden="1"/>
    <cellStyle name="Gevolgde hyperlink" xfId="703" builtinId="9" hidden="1"/>
    <cellStyle name="Gevolgde hyperlink" xfId="707" builtinId="9" hidden="1"/>
    <cellStyle name="Gevolgde hyperlink" xfId="711" builtinId="9" hidden="1"/>
    <cellStyle name="Gevolgde hyperlink" xfId="715" builtinId="9" hidden="1"/>
    <cellStyle name="Gevolgde hyperlink" xfId="719" builtinId="9" hidden="1"/>
    <cellStyle name="Gevolgde hyperlink" xfId="723" builtinId="9" hidden="1"/>
    <cellStyle name="Gevolgde hyperlink" xfId="727" builtinId="9" hidden="1"/>
    <cellStyle name="Gevolgde hyperlink" xfId="731" builtinId="9" hidden="1"/>
    <cellStyle name="Gevolgde hyperlink" xfId="735" builtinId="9" hidden="1"/>
    <cellStyle name="Gevolgde hyperlink" xfId="739" builtinId="9" hidden="1"/>
    <cellStyle name="Gevolgde hyperlink" xfId="743" builtinId="9" hidden="1"/>
    <cellStyle name="Gevolgde hyperlink" xfId="747" builtinId="9" hidden="1"/>
    <cellStyle name="Gevolgde hyperlink" xfId="751" builtinId="9" hidden="1"/>
    <cellStyle name="Gevolgde hyperlink" xfId="755" builtinId="9" hidden="1"/>
    <cellStyle name="Gevolgde hyperlink" xfId="759" builtinId="9" hidden="1"/>
    <cellStyle name="Gevolgde hyperlink" xfId="763" builtinId="9" hidden="1"/>
    <cellStyle name="Gevolgde hyperlink" xfId="767" builtinId="9" hidden="1"/>
    <cellStyle name="Gevolgde hyperlink" xfId="771" builtinId="9" hidden="1"/>
    <cellStyle name="Gevolgde hyperlink" xfId="775" builtinId="9" hidden="1"/>
    <cellStyle name="Gevolgde hyperlink" xfId="779" builtinId="9" hidden="1"/>
    <cellStyle name="Gevolgde hyperlink" xfId="783" builtinId="9" hidden="1"/>
    <cellStyle name="Gevolgde hyperlink" xfId="787" builtinId="9" hidden="1"/>
    <cellStyle name="Gevolgde hyperlink" xfId="791" builtinId="9" hidden="1"/>
    <cellStyle name="Gevolgde hyperlink" xfId="795" builtinId="9" hidden="1"/>
    <cellStyle name="Gevolgde hyperlink" xfId="799" builtinId="9" hidden="1"/>
    <cellStyle name="Gevolgde hyperlink" xfId="803" builtinId="9" hidden="1"/>
    <cellStyle name="Gevolgde hyperlink" xfId="807" builtinId="9" hidden="1"/>
    <cellStyle name="Gevolgde hyperlink" xfId="811" builtinId="9" hidden="1"/>
    <cellStyle name="Gevolgde hyperlink" xfId="815" builtinId="9" hidden="1"/>
    <cellStyle name="Gevolgde hyperlink" xfId="819" builtinId="9" hidden="1"/>
    <cellStyle name="Gevolgde hyperlink" xfId="823" builtinId="9" hidden="1"/>
    <cellStyle name="Gevolgde hyperlink" xfId="827" builtinId="9" hidden="1"/>
    <cellStyle name="Gevolgde hyperlink" xfId="831" builtinId="9" hidden="1"/>
    <cellStyle name="Gevolgde hyperlink" xfId="835" builtinId="9" hidden="1"/>
    <cellStyle name="Gevolgde hyperlink" xfId="839" builtinId="9" hidden="1"/>
    <cellStyle name="Gevolgde hyperlink" xfId="843" builtinId="9" hidden="1"/>
    <cellStyle name="Gevolgde hyperlink" xfId="847" builtinId="9" hidden="1"/>
    <cellStyle name="Gevolgde hyperlink" xfId="851" builtinId="9" hidden="1"/>
    <cellStyle name="Gevolgde hyperlink" xfId="855" builtinId="9" hidden="1"/>
    <cellStyle name="Gevolgde hyperlink" xfId="859" builtinId="9" hidden="1"/>
    <cellStyle name="Gevolgde hyperlink" xfId="863" builtinId="9" hidden="1"/>
    <cellStyle name="Gevolgde hyperlink" xfId="867" builtinId="9" hidden="1"/>
    <cellStyle name="Gevolgde hyperlink" xfId="871" builtinId="9" hidden="1"/>
    <cellStyle name="Gevolgde hyperlink" xfId="875" builtinId="9" hidden="1"/>
    <cellStyle name="Gevolgde hyperlink" xfId="879" builtinId="9" hidden="1"/>
    <cellStyle name="Gevolgde hyperlink" xfId="883" builtinId="9" hidden="1"/>
    <cellStyle name="Gevolgde hyperlink" xfId="887" builtinId="9" hidden="1"/>
    <cellStyle name="Gevolgde hyperlink" xfId="891" builtinId="9" hidden="1"/>
    <cellStyle name="Gevolgde hyperlink" xfId="895" builtinId="9" hidden="1"/>
    <cellStyle name="Gevolgde hyperlink" xfId="899" builtinId="9" hidden="1"/>
    <cellStyle name="Gevolgde hyperlink" xfId="903" builtinId="9" hidden="1"/>
    <cellStyle name="Gevolgde hyperlink" xfId="907" builtinId="9" hidden="1"/>
    <cellStyle name="Gevolgde hyperlink" xfId="911" builtinId="9" hidden="1"/>
    <cellStyle name="Gevolgde hyperlink" xfId="915" builtinId="9" hidden="1"/>
    <cellStyle name="Gevolgde hyperlink" xfId="919" builtinId="9" hidden="1"/>
    <cellStyle name="Gevolgde hyperlink" xfId="923" builtinId="9" hidden="1"/>
    <cellStyle name="Gevolgde hyperlink" xfId="927" builtinId="9" hidden="1"/>
    <cellStyle name="Gevolgde hyperlink" xfId="931" builtinId="9" hidden="1"/>
    <cellStyle name="Gevolgde hyperlink" xfId="935" builtinId="9" hidden="1"/>
    <cellStyle name="Gevolgde hyperlink" xfId="939" builtinId="9" hidden="1"/>
    <cellStyle name="Gevolgde hyperlink" xfId="943" builtinId="9" hidden="1"/>
    <cellStyle name="Gevolgde hyperlink" xfId="947" builtinId="9" hidden="1"/>
    <cellStyle name="Gevolgde hyperlink" xfId="951" builtinId="9" hidden="1"/>
    <cellStyle name="Gevolgde hyperlink" xfId="955" builtinId="9" hidden="1"/>
    <cellStyle name="Gevolgde hyperlink" xfId="959" builtinId="9" hidden="1"/>
    <cellStyle name="Gevolgde hyperlink" xfId="963" builtinId="9" hidden="1"/>
    <cellStyle name="Gevolgde hyperlink" xfId="967" builtinId="9" hidden="1"/>
    <cellStyle name="Gevolgde hyperlink" xfId="971" builtinId="9" hidden="1"/>
    <cellStyle name="Gevolgde hyperlink" xfId="975" builtinId="9" hidden="1"/>
    <cellStyle name="Gevolgde hyperlink" xfId="979" builtinId="9" hidden="1"/>
    <cellStyle name="Gevolgde hyperlink" xfId="983" builtinId="9" hidden="1"/>
    <cellStyle name="Gevolgde hyperlink" xfId="987" builtinId="9" hidden="1"/>
    <cellStyle name="Gevolgde hyperlink" xfId="991" builtinId="9" hidden="1"/>
    <cellStyle name="Gevolgde hyperlink" xfId="995" builtinId="9" hidden="1"/>
    <cellStyle name="Gevolgde hyperlink" xfId="999" builtinId="9" hidden="1"/>
    <cellStyle name="Gevolgde hyperlink" xfId="1003" builtinId="9" hidden="1"/>
    <cellStyle name="Gevolgde hyperlink" xfId="1007" builtinId="9" hidden="1"/>
    <cellStyle name="Gevolgde hyperlink" xfId="1011" builtinId="9" hidden="1"/>
    <cellStyle name="Gevolgde hyperlink" xfId="1015" builtinId="9" hidden="1"/>
    <cellStyle name="Gevolgde hyperlink" xfId="1019" builtinId="9" hidden="1"/>
    <cellStyle name="Gevolgde hyperlink" xfId="1023" builtinId="9" hidden="1"/>
    <cellStyle name="Gevolgde hyperlink" xfId="1027" builtinId="9" hidden="1"/>
    <cellStyle name="Gevolgde hyperlink" xfId="1031" builtinId="9" hidden="1"/>
    <cellStyle name="Gevolgde hyperlink" xfId="1035" builtinId="9" hidden="1"/>
    <cellStyle name="Gevolgde hyperlink" xfId="1039" builtinId="9" hidden="1"/>
    <cellStyle name="Gevolgde hyperlink" xfId="1043" builtinId="9" hidden="1"/>
    <cellStyle name="Gevolgde hyperlink" xfId="1047" builtinId="9" hidden="1"/>
    <cellStyle name="Gevolgde hyperlink" xfId="1051" builtinId="9" hidden="1"/>
    <cellStyle name="Gevolgde hyperlink" xfId="1055" builtinId="9" hidden="1"/>
    <cellStyle name="Gevolgde hyperlink" xfId="1059" builtinId="9" hidden="1"/>
    <cellStyle name="Gevolgde hyperlink" xfId="1063" builtinId="9" hidden="1"/>
    <cellStyle name="Gevolgde hyperlink" xfId="1067" builtinId="9" hidden="1"/>
    <cellStyle name="Gevolgde hyperlink" xfId="1071" builtinId="9" hidden="1"/>
    <cellStyle name="Gevolgde hyperlink" xfId="1075" builtinId="9" hidden="1"/>
    <cellStyle name="Gevolgde hyperlink" xfId="1079" builtinId="9" hidden="1"/>
    <cellStyle name="Gevolgde hyperlink" xfId="1083" builtinId="9" hidden="1"/>
    <cellStyle name="Gevolgde hyperlink" xfId="1087" builtinId="9" hidden="1"/>
    <cellStyle name="Gevolgde hyperlink" xfId="1091" builtinId="9" hidden="1"/>
    <cellStyle name="Gevolgde hyperlink" xfId="1095" builtinId="9" hidden="1"/>
    <cellStyle name="Gevolgde hyperlink" xfId="1099" builtinId="9" hidden="1"/>
    <cellStyle name="Gevolgde hyperlink" xfId="1103" builtinId="9" hidden="1"/>
    <cellStyle name="Gevolgde hyperlink" xfId="1107" builtinId="9" hidden="1"/>
    <cellStyle name="Gevolgde hyperlink" xfId="1111" builtinId="9" hidden="1"/>
    <cellStyle name="Gevolgde hyperlink" xfId="1115" builtinId="9" hidden="1"/>
    <cellStyle name="Gevolgde hyperlink" xfId="1119" builtinId="9" hidden="1"/>
    <cellStyle name="Gevolgde hyperlink" xfId="1123" builtinId="9" hidden="1"/>
    <cellStyle name="Gevolgde hyperlink" xfId="1127" builtinId="9" hidden="1"/>
    <cellStyle name="Gevolgde hyperlink" xfId="1131" builtinId="9" hidden="1"/>
    <cellStyle name="Gevolgde hyperlink" xfId="1135" builtinId="9" hidden="1"/>
    <cellStyle name="Gevolgde hyperlink" xfId="1139" builtinId="9" hidden="1"/>
    <cellStyle name="Gevolgde hyperlink" xfId="1143" builtinId="9" hidden="1"/>
    <cellStyle name="Gevolgde hyperlink" xfId="1147" builtinId="9" hidden="1"/>
    <cellStyle name="Gevolgde hyperlink" xfId="1151" builtinId="9" hidden="1"/>
    <cellStyle name="Gevolgde hyperlink" xfId="1155" builtinId="9" hidden="1"/>
    <cellStyle name="Gevolgde hyperlink" xfId="1159" builtinId="9" hidden="1"/>
    <cellStyle name="Gevolgde hyperlink" xfId="1163" builtinId="9" hidden="1"/>
    <cellStyle name="Gevolgde hyperlink" xfId="1167" builtinId="9" hidden="1"/>
    <cellStyle name="Gevolgde hyperlink" xfId="1171" builtinId="9" hidden="1"/>
    <cellStyle name="Gevolgde hyperlink" xfId="1175" builtinId="9" hidden="1"/>
    <cellStyle name="Gevolgde hyperlink" xfId="1179" builtinId="9" hidden="1"/>
    <cellStyle name="Gevolgde hyperlink" xfId="1183" builtinId="9" hidden="1"/>
    <cellStyle name="Gevolgde hyperlink" xfId="1187" builtinId="9" hidden="1"/>
    <cellStyle name="Gevolgde hyperlink" xfId="1191" builtinId="9" hidden="1"/>
    <cellStyle name="Gevolgde hyperlink" xfId="1195" builtinId="9" hidden="1"/>
    <cellStyle name="Gevolgde hyperlink" xfId="1199" builtinId="9" hidden="1"/>
    <cellStyle name="Gevolgde hyperlink" xfId="1203" builtinId="9" hidden="1"/>
    <cellStyle name="Gevolgde hyperlink" xfId="1207" builtinId="9" hidden="1"/>
    <cellStyle name="Gevolgde hyperlink" xfId="1211" builtinId="9" hidden="1"/>
    <cellStyle name="Gevolgde hyperlink" xfId="1215" builtinId="9" hidden="1"/>
    <cellStyle name="Gevolgde hyperlink" xfId="1219" builtinId="9" hidden="1"/>
    <cellStyle name="Gevolgde hyperlink" xfId="1223" builtinId="9" hidden="1"/>
    <cellStyle name="Gevolgde hyperlink" xfId="1227" builtinId="9" hidden="1"/>
    <cellStyle name="Gevolgde hyperlink" xfId="1231" builtinId="9" hidden="1"/>
    <cellStyle name="Gevolgde hyperlink" xfId="1235" builtinId="9" hidden="1"/>
    <cellStyle name="Gevolgde hyperlink" xfId="1239" builtinId="9" hidden="1"/>
    <cellStyle name="Gevolgde hyperlink" xfId="1243" builtinId="9" hidden="1"/>
    <cellStyle name="Gevolgde hyperlink" xfId="1247" builtinId="9" hidden="1"/>
    <cellStyle name="Gevolgde hyperlink" xfId="1251" builtinId="9" hidden="1"/>
    <cellStyle name="Gevolgde hyperlink" xfId="1255" builtinId="9" hidden="1"/>
    <cellStyle name="Gevolgde hyperlink" xfId="1259" builtinId="9" hidden="1"/>
    <cellStyle name="Gevolgde hyperlink" xfId="1263" builtinId="9" hidden="1"/>
    <cellStyle name="Gevolgde hyperlink" xfId="1267" builtinId="9" hidden="1"/>
    <cellStyle name="Gevolgde hyperlink" xfId="1271" builtinId="9" hidden="1"/>
    <cellStyle name="Gevolgde hyperlink" xfId="1275" builtinId="9" hidden="1"/>
    <cellStyle name="Gevolgde hyperlink" xfId="1279" builtinId="9" hidden="1"/>
    <cellStyle name="Gevolgde hyperlink" xfId="1283" builtinId="9" hidden="1"/>
    <cellStyle name="Gevolgde hyperlink" xfId="1287" builtinId="9" hidden="1"/>
    <cellStyle name="Gevolgde hyperlink" xfId="1291" builtinId="9" hidden="1"/>
    <cellStyle name="Gevolgde hyperlink" xfId="1295" builtinId="9" hidden="1"/>
    <cellStyle name="Gevolgde hyperlink" xfId="1299" builtinId="9" hidden="1"/>
    <cellStyle name="Gevolgde hyperlink" xfId="1303" builtinId="9" hidden="1"/>
    <cellStyle name="Gevolgde hyperlink" xfId="1307" builtinId="9" hidden="1"/>
    <cellStyle name="Gevolgde hyperlink" xfId="1311" builtinId="9" hidden="1"/>
    <cellStyle name="Gevolgde hyperlink" xfId="1315" builtinId="9" hidden="1"/>
    <cellStyle name="Gevolgde hyperlink" xfId="1319" builtinId="9" hidden="1"/>
    <cellStyle name="Gevolgde hyperlink" xfId="1323" builtinId="9" hidden="1"/>
    <cellStyle name="Gevolgde hyperlink" xfId="1327" builtinId="9" hidden="1"/>
    <cellStyle name="Gevolgde hyperlink" xfId="1331" builtinId="9" hidden="1"/>
    <cellStyle name="Gevolgde hyperlink" xfId="1335" builtinId="9" hidden="1"/>
    <cellStyle name="Gevolgde hyperlink" xfId="1339" builtinId="9" hidden="1"/>
    <cellStyle name="Gevolgde hyperlink" xfId="1343" builtinId="9" hidden="1"/>
    <cellStyle name="Gevolgde hyperlink" xfId="1347" builtinId="9" hidden="1"/>
    <cellStyle name="Gevolgde hyperlink" xfId="1351" builtinId="9" hidden="1"/>
    <cellStyle name="Gevolgde hyperlink" xfId="1355" builtinId="9" hidden="1"/>
    <cellStyle name="Gevolgde hyperlink" xfId="1359" builtinId="9" hidden="1"/>
    <cellStyle name="Gevolgde hyperlink" xfId="1363" builtinId="9" hidden="1"/>
    <cellStyle name="Gevolgde hyperlink" xfId="1367" builtinId="9" hidden="1"/>
    <cellStyle name="Gevolgde hyperlink" xfId="1371" builtinId="9" hidden="1"/>
    <cellStyle name="Gevolgde hyperlink" xfId="1375" builtinId="9" hidden="1"/>
    <cellStyle name="Gevolgde hyperlink" xfId="1379" builtinId="9" hidden="1"/>
    <cellStyle name="Gevolgde hyperlink" xfId="1383" builtinId="9" hidden="1"/>
    <cellStyle name="Gevolgde hyperlink" xfId="1387" builtinId="9" hidden="1"/>
    <cellStyle name="Gevolgde hyperlink" xfId="1391" builtinId="9" hidden="1"/>
    <cellStyle name="Gevolgde hyperlink" xfId="1395" builtinId="9" hidden="1"/>
    <cellStyle name="Gevolgde hyperlink" xfId="1399" builtinId="9" hidden="1"/>
    <cellStyle name="Gevolgde hyperlink" xfId="1403" builtinId="9" hidden="1"/>
    <cellStyle name="Gevolgde hyperlink" xfId="1407" builtinId="9" hidden="1"/>
    <cellStyle name="Gevolgde hyperlink" xfId="1411" builtinId="9" hidden="1"/>
    <cellStyle name="Gevolgde hyperlink" xfId="1415" builtinId="9" hidden="1"/>
    <cellStyle name="Gevolgde hyperlink" xfId="1419" builtinId="9" hidden="1"/>
    <cellStyle name="Gevolgde hyperlink" xfId="1423" builtinId="9" hidden="1"/>
    <cellStyle name="Gevolgde hyperlink" xfId="1427" builtinId="9" hidden="1"/>
    <cellStyle name="Gevolgde hyperlink" xfId="1431" builtinId="9" hidden="1"/>
    <cellStyle name="Gevolgde hyperlink" xfId="1435" builtinId="9" hidden="1"/>
    <cellStyle name="Gevolgde hyperlink" xfId="1439" builtinId="9" hidden="1"/>
    <cellStyle name="Gevolgde hyperlink" xfId="1443" builtinId="9" hidden="1"/>
    <cellStyle name="Gevolgde hyperlink" xfId="1447" builtinId="9" hidden="1"/>
    <cellStyle name="Gevolgde hyperlink" xfId="1451" builtinId="9" hidden="1"/>
    <cellStyle name="Gevolgde hyperlink" xfId="1455" builtinId="9" hidden="1"/>
    <cellStyle name="Gevolgde hyperlink" xfId="1459" builtinId="9" hidden="1"/>
    <cellStyle name="Gevolgde hyperlink" xfId="1463" builtinId="9" hidden="1"/>
    <cellStyle name="Gevolgde hyperlink" xfId="1467" builtinId="9" hidden="1"/>
    <cellStyle name="Gevolgde hyperlink" xfId="1471" builtinId="9" hidden="1"/>
    <cellStyle name="Gevolgde hyperlink" xfId="1475" builtinId="9" hidden="1"/>
    <cellStyle name="Gevolgde hyperlink" xfId="1479" builtinId="9" hidden="1"/>
    <cellStyle name="Gevolgde hyperlink" xfId="1483" builtinId="9" hidden="1"/>
    <cellStyle name="Gevolgde hyperlink" xfId="1487" builtinId="9" hidden="1"/>
    <cellStyle name="Gevolgde hyperlink" xfId="1491" builtinId="9" hidden="1"/>
    <cellStyle name="Gevolgde hyperlink" xfId="1495" builtinId="9" hidden="1"/>
    <cellStyle name="Gevolgde hyperlink" xfId="1499" builtinId="9" hidden="1"/>
    <cellStyle name="Gevolgde hyperlink" xfId="1503" builtinId="9" hidden="1"/>
    <cellStyle name="Gevolgde hyperlink" xfId="1507" builtinId="9" hidden="1"/>
    <cellStyle name="Gevolgde hyperlink" xfId="1511" builtinId="9" hidden="1"/>
    <cellStyle name="Gevolgde hyperlink" xfId="1515" builtinId="9" hidden="1"/>
    <cellStyle name="Gevolgde hyperlink" xfId="1519" builtinId="9" hidden="1"/>
    <cellStyle name="Gevolgde hyperlink" xfId="1523" builtinId="9" hidden="1"/>
    <cellStyle name="Gevolgde hyperlink" xfId="1527" builtinId="9" hidden="1"/>
    <cellStyle name="Gevolgde hyperlink" xfId="1531" builtinId="9" hidden="1"/>
    <cellStyle name="Gevolgde hyperlink" xfId="1535" builtinId="9" hidden="1"/>
    <cellStyle name="Gevolgde hyperlink" xfId="1539" builtinId="9" hidden="1"/>
    <cellStyle name="Gevolgde hyperlink" xfId="1543" builtinId="9" hidden="1"/>
    <cellStyle name="Gevolgde hyperlink" xfId="1547" builtinId="9" hidden="1"/>
    <cellStyle name="Gevolgde hyperlink" xfId="1551" builtinId="9" hidden="1"/>
    <cellStyle name="Gevolgde hyperlink" xfId="1555" builtinId="9" hidden="1"/>
    <cellStyle name="Gevolgde hyperlink" xfId="1559" builtinId="9" hidden="1"/>
    <cellStyle name="Gevolgde hyperlink" xfId="1563" builtinId="9" hidden="1"/>
    <cellStyle name="Gevolgde hyperlink" xfId="1567" builtinId="9" hidden="1"/>
    <cellStyle name="Gevolgde hyperlink" xfId="1571" builtinId="9" hidden="1"/>
    <cellStyle name="Gevolgde hyperlink" xfId="1575" builtinId="9" hidden="1"/>
    <cellStyle name="Gevolgde hyperlink" xfId="1579" builtinId="9" hidden="1"/>
    <cellStyle name="Gevolgde hyperlink" xfId="1583" builtinId="9" hidden="1"/>
    <cellStyle name="Gevolgde hyperlink" xfId="1587" builtinId="9" hidden="1"/>
    <cellStyle name="Gevolgde hyperlink" xfId="1591" builtinId="9" hidden="1"/>
    <cellStyle name="Gevolgde hyperlink" xfId="1595" builtinId="9" hidden="1"/>
    <cellStyle name="Gevolgde hyperlink" xfId="1599" builtinId="9" hidden="1"/>
    <cellStyle name="Gevolgde hyperlink" xfId="1603" builtinId="9" hidden="1"/>
    <cellStyle name="Gevolgde hyperlink" xfId="1607" builtinId="9" hidden="1"/>
    <cellStyle name="Gevolgde hyperlink" xfId="1611" builtinId="9" hidden="1"/>
    <cellStyle name="Gevolgde hyperlink" xfId="1615" builtinId="9" hidden="1"/>
    <cellStyle name="Gevolgde hyperlink" xfId="1619" builtinId="9" hidden="1"/>
    <cellStyle name="Gevolgde hyperlink" xfId="1623" builtinId="9" hidden="1"/>
    <cellStyle name="Gevolgde hyperlink" xfId="1627" builtinId="9" hidden="1"/>
    <cellStyle name="Gevolgde hyperlink" xfId="1631" builtinId="9" hidden="1"/>
    <cellStyle name="Gevolgde hyperlink" xfId="1635" builtinId="9" hidden="1"/>
    <cellStyle name="Gevolgde hyperlink" xfId="1639" builtinId="9" hidden="1"/>
    <cellStyle name="Gevolgde hyperlink" xfId="1643" builtinId="9" hidden="1"/>
    <cellStyle name="Gevolgde hyperlink" xfId="1647" builtinId="9" hidden="1"/>
    <cellStyle name="Gevolgde hyperlink" xfId="1651" builtinId="9" hidden="1"/>
    <cellStyle name="Gevolgde hyperlink" xfId="1655" builtinId="9" hidden="1"/>
    <cellStyle name="Gevolgde hyperlink" xfId="1659" builtinId="9" hidden="1"/>
    <cellStyle name="Gevolgde hyperlink" xfId="1663" builtinId="9" hidden="1"/>
    <cellStyle name="Gevolgde hyperlink" xfId="1667" builtinId="9" hidden="1"/>
    <cellStyle name="Gevolgde hyperlink" xfId="1671" builtinId="9" hidden="1"/>
    <cellStyle name="Gevolgde hyperlink" xfId="1675" builtinId="9" hidden="1"/>
    <cellStyle name="Gevolgde hyperlink" xfId="1679" builtinId="9" hidden="1"/>
    <cellStyle name="Gevolgde hyperlink" xfId="1683" builtinId="9" hidden="1"/>
    <cellStyle name="Gevolgde hyperlink" xfId="1687" builtinId="9" hidden="1"/>
    <cellStyle name="Gevolgde hyperlink" xfId="1691" builtinId="9" hidden="1"/>
    <cellStyle name="Gevolgde hyperlink" xfId="1695" builtinId="9" hidden="1"/>
    <cellStyle name="Gevolgde hyperlink" xfId="1699" builtinId="9" hidden="1"/>
    <cellStyle name="Gevolgde hyperlink" xfId="1703" builtinId="9" hidden="1"/>
    <cellStyle name="Gevolgde hyperlink" xfId="1707" builtinId="9" hidden="1"/>
    <cellStyle name="Gevolgde hyperlink" xfId="1711" builtinId="9" hidden="1"/>
    <cellStyle name="Gevolgde hyperlink" xfId="1715" builtinId="9" hidden="1"/>
    <cellStyle name="Gevolgde hyperlink" xfId="1719" builtinId="9" hidden="1"/>
    <cellStyle name="Gevolgde hyperlink" xfId="1723" builtinId="9" hidden="1"/>
    <cellStyle name="Gevolgde hyperlink" xfId="1727" builtinId="9" hidden="1"/>
    <cellStyle name="Gevolgde hyperlink" xfId="1731" builtinId="9" hidden="1"/>
    <cellStyle name="Gevolgde hyperlink" xfId="1735" builtinId="9" hidden="1"/>
    <cellStyle name="Gevolgde hyperlink" xfId="1739" builtinId="9" hidden="1"/>
    <cellStyle name="Gevolgde hyperlink" xfId="1743" builtinId="9" hidden="1"/>
    <cellStyle name="Gevolgde hyperlink" xfId="1747" builtinId="9" hidden="1"/>
    <cellStyle name="Gevolgde hyperlink" xfId="1751" builtinId="9" hidden="1"/>
    <cellStyle name="Gevolgde hyperlink" xfId="1755" builtinId="9" hidden="1"/>
    <cellStyle name="Gevolgde hyperlink" xfId="1759" builtinId="9" hidden="1"/>
    <cellStyle name="Gevolgde hyperlink" xfId="1763" builtinId="9" hidden="1"/>
    <cellStyle name="Gevolgde hyperlink" xfId="1767" builtinId="9" hidden="1"/>
    <cellStyle name="Gevolgde hyperlink" xfId="1771" builtinId="9" hidden="1"/>
    <cellStyle name="Gevolgde hyperlink" xfId="1775" builtinId="9" hidden="1"/>
    <cellStyle name="Gevolgde hyperlink" xfId="1779" builtinId="9" hidden="1"/>
    <cellStyle name="Gevolgde hyperlink" xfId="1783" builtinId="9" hidden="1"/>
    <cellStyle name="Gevolgde hyperlink" xfId="1787" builtinId="9" hidden="1"/>
    <cellStyle name="Gevolgde hyperlink" xfId="1791" builtinId="9" hidden="1"/>
    <cellStyle name="Gevolgde hyperlink" xfId="1795" builtinId="9" hidden="1"/>
    <cellStyle name="Gevolgde hyperlink" xfId="1799" builtinId="9" hidden="1"/>
    <cellStyle name="Gevolgde hyperlink" xfId="1803" builtinId="9" hidden="1"/>
    <cellStyle name="Gevolgde hyperlink" xfId="1807" builtinId="9" hidden="1"/>
    <cellStyle name="Gevolgde hyperlink" xfId="1811" builtinId="9" hidden="1"/>
    <cellStyle name="Gevolgde hyperlink" xfId="1815" builtinId="9" hidden="1"/>
    <cellStyle name="Gevolgde hyperlink" xfId="1819" builtinId="9" hidden="1"/>
    <cellStyle name="Gevolgde hyperlink" xfId="1823" builtinId="9" hidden="1"/>
    <cellStyle name="Gevolgde hyperlink" xfId="1827" builtinId="9" hidden="1"/>
    <cellStyle name="Gevolgde hyperlink" xfId="1831" builtinId="9" hidden="1"/>
    <cellStyle name="Gevolgde hyperlink" xfId="1835" builtinId="9" hidden="1"/>
    <cellStyle name="Gevolgde hyperlink" xfId="1839" builtinId="9" hidden="1"/>
    <cellStyle name="Gevolgde hyperlink" xfId="1843" builtinId="9" hidden="1"/>
    <cellStyle name="Gevolgde hyperlink" xfId="1847" builtinId="9" hidden="1"/>
    <cellStyle name="Gevolgde hyperlink" xfId="1851" builtinId="9" hidden="1"/>
    <cellStyle name="Gevolgde hyperlink" xfId="1855" builtinId="9" hidden="1"/>
    <cellStyle name="Gevolgde hyperlink" xfId="1859" builtinId="9" hidden="1"/>
    <cellStyle name="Gevolgde hyperlink" xfId="1863" builtinId="9" hidden="1"/>
    <cellStyle name="Gevolgde hyperlink" xfId="1867" builtinId="9" hidden="1"/>
    <cellStyle name="Gevolgde hyperlink" xfId="1871" builtinId="9" hidden="1"/>
    <cellStyle name="Gevolgde hyperlink" xfId="1875" builtinId="9" hidden="1"/>
    <cellStyle name="Gevolgde hyperlink" xfId="1879" builtinId="9" hidden="1"/>
    <cellStyle name="Gevolgde hyperlink" xfId="1883" builtinId="9" hidden="1"/>
    <cellStyle name="Gevolgde hyperlink" xfId="1887" builtinId="9" hidden="1"/>
    <cellStyle name="Gevolgde hyperlink" xfId="1891" builtinId="9" hidden="1"/>
    <cellStyle name="Gevolgde hyperlink" xfId="1895" builtinId="9" hidden="1"/>
    <cellStyle name="Gevolgde hyperlink" xfId="1899" builtinId="9" hidden="1"/>
    <cellStyle name="Gevolgde hyperlink" xfId="1903" builtinId="9" hidden="1"/>
    <cellStyle name="Gevolgde hyperlink" xfId="1907" builtinId="9" hidden="1"/>
    <cellStyle name="Gevolgde hyperlink" xfId="1911" builtinId="9" hidden="1"/>
    <cellStyle name="Gevolgde hyperlink" xfId="1915" builtinId="9" hidden="1"/>
    <cellStyle name="Gevolgde hyperlink" xfId="1919" builtinId="9" hidden="1"/>
    <cellStyle name="Gevolgde hyperlink" xfId="1923" builtinId="9" hidden="1"/>
    <cellStyle name="Gevolgde hyperlink" xfId="1927" builtinId="9" hidden="1"/>
    <cellStyle name="Gevolgde hyperlink" xfId="1931" builtinId="9" hidden="1"/>
    <cellStyle name="Gevolgde hyperlink" xfId="1935" builtinId="9" hidden="1"/>
    <cellStyle name="Gevolgde hyperlink" xfId="1939" builtinId="9" hidden="1"/>
    <cellStyle name="Gevolgde hyperlink" xfId="1943" builtinId="9" hidden="1"/>
    <cellStyle name="Gevolgde hyperlink" xfId="1947" builtinId="9" hidden="1"/>
    <cellStyle name="Gevolgde hyperlink" xfId="1951" builtinId="9" hidden="1"/>
    <cellStyle name="Gevolgde hyperlink" xfId="1955" builtinId="9" hidden="1"/>
    <cellStyle name="Gevolgde hyperlink" xfId="1959" builtinId="9" hidden="1"/>
    <cellStyle name="Gevolgde hyperlink" xfId="1963" builtinId="9" hidden="1"/>
    <cellStyle name="Gevolgde hyperlink" xfId="1967" builtinId="9" hidden="1"/>
    <cellStyle name="Gevolgde hyperlink" xfId="1971" builtinId="9" hidden="1"/>
    <cellStyle name="Gevolgde hyperlink" xfId="1975" builtinId="9" hidden="1"/>
    <cellStyle name="Gevolgde hyperlink" xfId="1979" builtinId="9" hidden="1"/>
    <cellStyle name="Gevolgde hyperlink" xfId="1983" builtinId="9" hidden="1"/>
    <cellStyle name="Gevolgde hyperlink" xfId="1987" builtinId="9" hidden="1"/>
    <cellStyle name="Gevolgde hyperlink" xfId="1991" builtinId="9" hidden="1"/>
    <cellStyle name="Gevolgde hyperlink" xfId="1995" builtinId="9" hidden="1"/>
    <cellStyle name="Gevolgde hyperlink" xfId="1999" builtinId="9" hidden="1"/>
    <cellStyle name="Gevolgde hyperlink" xfId="2003" builtinId="9" hidden="1"/>
    <cellStyle name="Gevolgde hyperlink" xfId="2007" builtinId="9" hidden="1"/>
    <cellStyle name="Gevolgde hyperlink" xfId="2011" builtinId="9" hidden="1"/>
    <cellStyle name="Gevolgde hyperlink" xfId="2015" builtinId="9" hidden="1"/>
    <cellStyle name="Gevolgde hyperlink" xfId="2019" builtinId="9" hidden="1"/>
    <cellStyle name="Gevolgde hyperlink" xfId="2023" builtinId="9" hidden="1"/>
    <cellStyle name="Gevolgde hyperlink" xfId="2027" builtinId="9" hidden="1"/>
    <cellStyle name="Gevolgde hyperlink" xfId="2031" builtinId="9" hidden="1"/>
    <cellStyle name="Gevolgde hyperlink" xfId="2035" builtinId="9" hidden="1"/>
    <cellStyle name="Gevolgde hyperlink" xfId="2039" builtinId="9" hidden="1"/>
    <cellStyle name="Gevolgde hyperlink" xfId="2043" builtinId="9" hidden="1"/>
    <cellStyle name="Gevolgde hyperlink" xfId="2047" builtinId="9" hidden="1"/>
    <cellStyle name="Gevolgde hyperlink" xfId="2051" builtinId="9" hidden="1"/>
    <cellStyle name="Gevolgde hyperlink" xfId="2055" builtinId="9" hidden="1"/>
    <cellStyle name="Gevolgde hyperlink" xfId="2059" builtinId="9" hidden="1"/>
    <cellStyle name="Gevolgde hyperlink" xfId="2063" builtinId="9" hidden="1"/>
    <cellStyle name="Gevolgde hyperlink" xfId="2067" builtinId="9" hidden="1"/>
    <cellStyle name="Gevolgde hyperlink" xfId="2071" builtinId="9" hidden="1"/>
    <cellStyle name="Gevolgde hyperlink" xfId="2075" builtinId="9" hidden="1"/>
    <cellStyle name="Gevolgde hyperlink" xfId="2079" builtinId="9" hidden="1"/>
    <cellStyle name="Gevolgde hyperlink" xfId="2083" builtinId="9" hidden="1"/>
    <cellStyle name="Gevolgde hyperlink" xfId="2087" builtinId="9" hidden="1"/>
    <cellStyle name="Gevolgde hyperlink" xfId="2091" builtinId="9" hidden="1"/>
    <cellStyle name="Gevolgde hyperlink" xfId="2095" builtinId="9" hidden="1"/>
    <cellStyle name="Gevolgde hyperlink" xfId="2099" builtinId="9" hidden="1"/>
    <cellStyle name="Gevolgde hyperlink" xfId="2103" builtinId="9" hidden="1"/>
    <cellStyle name="Gevolgde hyperlink" xfId="2107" builtinId="9" hidden="1"/>
    <cellStyle name="Gevolgde hyperlink" xfId="2111" builtinId="9" hidden="1"/>
    <cellStyle name="Gevolgde hyperlink" xfId="2115" builtinId="9" hidden="1"/>
    <cellStyle name="Gevolgde hyperlink" xfId="2119" builtinId="9" hidden="1"/>
    <cellStyle name="Gevolgde hyperlink" xfId="2123" builtinId="9" hidden="1"/>
    <cellStyle name="Gevolgde hyperlink" xfId="2127" builtinId="9" hidden="1"/>
    <cellStyle name="Gevolgde hyperlink" xfId="2131" builtinId="9" hidden="1"/>
    <cellStyle name="Gevolgde hyperlink" xfId="2135" builtinId="9" hidden="1"/>
    <cellStyle name="Gevolgde hyperlink" xfId="2139" builtinId="9" hidden="1"/>
    <cellStyle name="Gevolgde hyperlink" xfId="2143" builtinId="9" hidden="1"/>
    <cellStyle name="Gevolgde hyperlink" xfId="2147" builtinId="9" hidden="1"/>
    <cellStyle name="Gevolgde hyperlink" xfId="2151" builtinId="9" hidden="1"/>
    <cellStyle name="Gevolgde hyperlink" xfId="2155" builtinId="9" hidden="1"/>
    <cellStyle name="Gevolgde hyperlink" xfId="2159" builtinId="9" hidden="1"/>
    <cellStyle name="Gevolgde hyperlink" xfId="2163" builtinId="9" hidden="1"/>
    <cellStyle name="Gevolgde hyperlink" xfId="2167" builtinId="9" hidden="1"/>
    <cellStyle name="Gevolgde hyperlink" xfId="2171" builtinId="9" hidden="1"/>
    <cellStyle name="Gevolgde hyperlink" xfId="2175" builtinId="9" hidden="1"/>
    <cellStyle name="Gevolgde hyperlink" xfId="2179" builtinId="9" hidden="1"/>
    <cellStyle name="Gevolgde hyperlink" xfId="2183" builtinId="9" hidden="1"/>
    <cellStyle name="Gevolgde hyperlink" xfId="2187" builtinId="9" hidden="1"/>
    <cellStyle name="Gevolgde hyperlink" xfId="2191" builtinId="9" hidden="1"/>
    <cellStyle name="Gevolgde hyperlink" xfId="2195" builtinId="9" hidden="1"/>
    <cellStyle name="Gevolgde hyperlink" xfId="2199" builtinId="9" hidden="1"/>
    <cellStyle name="Gevolgde hyperlink" xfId="2203" builtinId="9" hidden="1"/>
    <cellStyle name="Gevolgde hyperlink" xfId="2207" builtinId="9" hidden="1"/>
    <cellStyle name="Gevolgde hyperlink" xfId="2211" builtinId="9" hidden="1"/>
    <cellStyle name="Gevolgde hyperlink" xfId="2215" builtinId="9" hidden="1"/>
    <cellStyle name="Gevolgde hyperlink" xfId="2219" builtinId="9" hidden="1"/>
    <cellStyle name="Gevolgde hyperlink" xfId="2223" builtinId="9" hidden="1"/>
    <cellStyle name="Gevolgde hyperlink" xfId="2227" builtinId="9" hidden="1"/>
    <cellStyle name="Gevolgde hyperlink" xfId="2231" builtinId="9" hidden="1"/>
    <cellStyle name="Gevolgde hyperlink" xfId="2235" builtinId="9" hidden="1"/>
    <cellStyle name="Gevolgde hyperlink" xfId="2239" builtinId="9" hidden="1"/>
    <cellStyle name="Gevolgde hyperlink" xfId="2243" builtinId="9" hidden="1"/>
    <cellStyle name="Gevolgde hyperlink" xfId="2247" builtinId="9" hidden="1"/>
    <cellStyle name="Gevolgde hyperlink" xfId="2251" builtinId="9" hidden="1"/>
    <cellStyle name="Gevolgde hyperlink" xfId="2255" builtinId="9" hidden="1"/>
    <cellStyle name="Gevolgde hyperlink" xfId="2259" builtinId="9" hidden="1"/>
    <cellStyle name="Gevolgde hyperlink" xfId="2263" builtinId="9" hidden="1"/>
    <cellStyle name="Gevolgde hyperlink" xfId="2267" builtinId="9" hidden="1"/>
    <cellStyle name="Gevolgde hyperlink" xfId="2271" builtinId="9" hidden="1"/>
    <cellStyle name="Gevolgde hyperlink" xfId="2275" builtinId="9" hidden="1"/>
    <cellStyle name="Gevolgde hyperlink" xfId="2279" builtinId="9" hidden="1"/>
    <cellStyle name="Gevolgde hyperlink" xfId="2283" builtinId="9" hidden="1"/>
    <cellStyle name="Gevolgde hyperlink" xfId="2287" builtinId="9" hidden="1"/>
    <cellStyle name="Gevolgde hyperlink" xfId="2291" builtinId="9" hidden="1"/>
    <cellStyle name="Gevolgde hyperlink" xfId="2295" builtinId="9" hidden="1"/>
    <cellStyle name="Gevolgde hyperlink" xfId="2299" builtinId="9" hidden="1"/>
    <cellStyle name="Gevolgde hyperlink" xfId="2303" builtinId="9" hidden="1"/>
    <cellStyle name="Gevolgde hyperlink" xfId="2307" builtinId="9" hidden="1"/>
    <cellStyle name="Gevolgde hyperlink" xfId="2311" builtinId="9" hidden="1"/>
    <cellStyle name="Gevolgde hyperlink" xfId="2315" builtinId="9" hidden="1"/>
    <cellStyle name="Gevolgde hyperlink" xfId="2319" builtinId="9" hidden="1"/>
    <cellStyle name="Gevolgde hyperlink" xfId="2323" builtinId="9" hidden="1"/>
    <cellStyle name="Gevolgde hyperlink" xfId="2327" builtinId="9" hidden="1"/>
    <cellStyle name="Gevolgde hyperlink" xfId="2331" builtinId="9" hidden="1"/>
    <cellStyle name="Gevolgde hyperlink" xfId="2335" builtinId="9" hidden="1"/>
    <cellStyle name="Gevolgde hyperlink" xfId="2339" builtinId="9" hidden="1"/>
    <cellStyle name="Gevolgde hyperlink" xfId="2343" builtinId="9" hidden="1"/>
    <cellStyle name="Gevolgde hyperlink" xfId="2347" builtinId="9" hidden="1"/>
    <cellStyle name="Gevolgde hyperlink" xfId="2351" builtinId="9" hidden="1"/>
    <cellStyle name="Gevolgde hyperlink" xfId="2355" builtinId="9" hidden="1"/>
    <cellStyle name="Gevolgde hyperlink" xfId="2359" builtinId="9" hidden="1"/>
    <cellStyle name="Gevolgde hyperlink" xfId="2363" builtinId="9" hidden="1"/>
    <cellStyle name="Gevolgde hyperlink" xfId="2367" builtinId="9" hidden="1"/>
    <cellStyle name="Gevolgde hyperlink" xfId="2371" builtinId="9" hidden="1"/>
    <cellStyle name="Gevolgde hyperlink" xfId="2375" builtinId="9" hidden="1"/>
    <cellStyle name="Gevolgde hyperlink" xfId="2379" builtinId="9" hidden="1"/>
    <cellStyle name="Gevolgde hyperlink" xfId="2383" builtinId="9" hidden="1"/>
    <cellStyle name="Gevolgde hyperlink" xfId="2387" builtinId="9" hidden="1"/>
    <cellStyle name="Gevolgde hyperlink" xfId="2391" builtinId="9" hidden="1"/>
    <cellStyle name="Gevolgde hyperlink" xfId="2395" builtinId="9" hidden="1"/>
    <cellStyle name="Gevolgde hyperlink" xfId="2399" builtinId="9" hidden="1"/>
    <cellStyle name="Gevolgde hyperlink" xfId="2403" builtinId="9" hidden="1"/>
    <cellStyle name="Gevolgde hyperlink" xfId="2407" builtinId="9" hidden="1"/>
    <cellStyle name="Gevolgde hyperlink" xfId="2411" builtinId="9" hidden="1"/>
    <cellStyle name="Gevolgde hyperlink" xfId="2415" builtinId="9" hidden="1"/>
    <cellStyle name="Gevolgde hyperlink" xfId="2419" builtinId="9" hidden="1"/>
    <cellStyle name="Gevolgde hyperlink" xfId="2423" builtinId="9" hidden="1"/>
    <cellStyle name="Gevolgde hyperlink" xfId="2427" builtinId="9" hidden="1"/>
    <cellStyle name="Gevolgde hyperlink" xfId="2431" builtinId="9" hidden="1"/>
    <cellStyle name="Gevolgde hyperlink" xfId="2435" builtinId="9" hidden="1"/>
    <cellStyle name="Gevolgde hyperlink" xfId="2439" builtinId="9" hidden="1"/>
    <cellStyle name="Gevolgde hyperlink" xfId="2443" builtinId="9" hidden="1"/>
    <cellStyle name="Gevolgde hyperlink" xfId="2447" builtinId="9" hidden="1"/>
    <cellStyle name="Gevolgde hyperlink" xfId="2451" builtinId="9" hidden="1"/>
    <cellStyle name="Gevolgde hyperlink" xfId="2455" builtinId="9" hidden="1"/>
    <cellStyle name="Gevolgde hyperlink" xfId="2459" builtinId="9" hidden="1"/>
    <cellStyle name="Gevolgde hyperlink" xfId="2463" builtinId="9" hidden="1"/>
    <cellStyle name="Gevolgde hyperlink" xfId="2467" builtinId="9" hidden="1"/>
    <cellStyle name="Gevolgde hyperlink" xfId="2471" builtinId="9" hidden="1"/>
    <cellStyle name="Gevolgde hyperlink" xfId="2475" builtinId="9" hidden="1"/>
    <cellStyle name="Gevolgde hyperlink" xfId="2479" builtinId="9" hidden="1"/>
    <cellStyle name="Gevolgde hyperlink" xfId="2483" builtinId="9" hidden="1"/>
    <cellStyle name="Gevolgde hyperlink" xfId="2487" builtinId="9" hidden="1"/>
    <cellStyle name="Gevolgde hyperlink" xfId="2491" builtinId="9" hidden="1"/>
    <cellStyle name="Gevolgde hyperlink" xfId="2495" builtinId="9" hidden="1"/>
    <cellStyle name="Gevolgde hyperlink" xfId="2499" builtinId="9" hidden="1"/>
    <cellStyle name="Gevolgde hyperlink" xfId="2503" builtinId="9" hidden="1"/>
    <cellStyle name="Gevolgde hyperlink" xfId="2507" builtinId="9" hidden="1"/>
    <cellStyle name="Gevolgde hyperlink" xfId="2511" builtinId="9" hidden="1"/>
    <cellStyle name="Gevolgde hyperlink" xfId="2516" builtinId="9" hidden="1"/>
    <cellStyle name="Gevolgde hyperlink" xfId="2628" builtinId="9" hidden="1"/>
    <cellStyle name="Gevolgde hyperlink" xfId="2632" builtinId="9" hidden="1"/>
    <cellStyle name="Gevolgde hyperlink" xfId="2636" builtinId="9" hidden="1"/>
    <cellStyle name="Gevolgde hyperlink" xfId="2640" builtinId="9" hidden="1"/>
    <cellStyle name="Gevolgde hyperlink" xfId="2644" builtinId="9" hidden="1"/>
    <cellStyle name="Gevolgde hyperlink" xfId="2648" builtinId="9" hidden="1"/>
    <cellStyle name="Gevolgde hyperlink" xfId="2652" builtinId="9" hidden="1"/>
    <cellStyle name="Gevolgde hyperlink" xfId="2656" builtinId="9" hidden="1"/>
    <cellStyle name="Gevolgde hyperlink" xfId="2660" builtinId="9" hidden="1"/>
    <cellStyle name="Gevolgde hyperlink" xfId="2664" builtinId="9" hidden="1"/>
    <cellStyle name="Gevolgde hyperlink" xfId="2668" builtinId="9" hidden="1"/>
    <cellStyle name="Gevolgde hyperlink" xfId="2672" builtinId="9" hidden="1"/>
    <cellStyle name="Gevolgde hyperlink" xfId="2676" builtinId="9" hidden="1"/>
    <cellStyle name="Gevolgde hyperlink" xfId="2680" builtinId="9" hidden="1"/>
    <cellStyle name="Gevolgde hyperlink" xfId="2684" builtinId="9" hidden="1"/>
    <cellStyle name="Gevolgde hyperlink" xfId="2688" builtinId="9" hidden="1"/>
    <cellStyle name="Gevolgde hyperlink" xfId="2692" builtinId="9" hidden="1"/>
    <cellStyle name="Gevolgde hyperlink" xfId="2696" builtinId="9" hidden="1"/>
    <cellStyle name="Gevolgde hyperlink" xfId="2700" builtinId="9" hidden="1"/>
    <cellStyle name="Gevolgde hyperlink" xfId="2704" builtinId="9" hidden="1"/>
    <cellStyle name="Gevolgde hyperlink" xfId="2708" builtinId="9" hidden="1"/>
    <cellStyle name="Gevolgde hyperlink" xfId="2712" builtinId="9" hidden="1"/>
    <cellStyle name="Gevolgde hyperlink" xfId="2716" builtinId="9" hidden="1"/>
    <cellStyle name="Gevolgde hyperlink" xfId="2720" builtinId="9" hidden="1"/>
    <cellStyle name="Gevolgde hyperlink" xfId="2724" builtinId="9" hidden="1"/>
    <cellStyle name="Gevolgde hyperlink" xfId="2728" builtinId="9" hidden="1"/>
    <cellStyle name="Gevolgde hyperlink" xfId="2732" builtinId="9" hidden="1"/>
    <cellStyle name="Gevolgde hyperlink" xfId="2736" builtinId="9" hidden="1"/>
    <cellStyle name="Gevolgde hyperlink" xfId="2740" builtinId="9" hidden="1"/>
    <cellStyle name="Gevolgde hyperlink" xfId="2744" builtinId="9" hidden="1"/>
    <cellStyle name="Gevolgde hyperlink" xfId="2748" builtinId="9" hidden="1"/>
    <cellStyle name="Gevolgde hyperlink" xfId="2752" builtinId="9" hidden="1"/>
    <cellStyle name="Gevolgde hyperlink" xfId="2756" builtinId="9" hidden="1"/>
    <cellStyle name="Gevolgde hyperlink" xfId="2760" builtinId="9" hidden="1"/>
    <cellStyle name="Gevolgde hyperlink" xfId="2764" builtinId="9" hidden="1"/>
    <cellStyle name="Gevolgde hyperlink" xfId="2768" builtinId="9" hidden="1"/>
    <cellStyle name="Gevolgde hyperlink" xfId="2772" builtinId="9" hidden="1"/>
    <cellStyle name="Gevolgde hyperlink" xfId="2776" builtinId="9" hidden="1"/>
    <cellStyle name="Gevolgde hyperlink" xfId="2780" builtinId="9" hidden="1"/>
    <cellStyle name="Gevolgde hyperlink" xfId="2784" builtinId="9" hidden="1"/>
    <cellStyle name="Gevolgde hyperlink" xfId="2788" builtinId="9" hidden="1"/>
    <cellStyle name="Gevolgde hyperlink" xfId="2792" builtinId="9" hidden="1"/>
    <cellStyle name="Gevolgde hyperlink" xfId="2796" builtinId="9" hidden="1"/>
    <cellStyle name="Gevolgde hyperlink" xfId="2800" builtinId="9" hidden="1"/>
    <cellStyle name="Gevolgde hyperlink" xfId="2804" builtinId="9" hidden="1"/>
    <cellStyle name="Gevolgde hyperlink" xfId="2808" builtinId="9" hidden="1"/>
    <cellStyle name="Gevolgde hyperlink" xfId="2812" builtinId="9" hidden="1"/>
    <cellStyle name="Gevolgde hyperlink" xfId="2816" builtinId="9" hidden="1"/>
    <cellStyle name="Gevolgde hyperlink" xfId="2820" builtinId="9" hidden="1"/>
    <cellStyle name="Gevolgde hyperlink" xfId="2824" builtinId="9" hidden="1"/>
    <cellStyle name="Gevolgde hyperlink" xfId="2828" builtinId="9" hidden="1"/>
    <cellStyle name="Gevolgde hyperlink" xfId="2832" builtinId="9" hidden="1"/>
    <cellStyle name="Gevolgde hyperlink" xfId="2836" builtinId="9" hidden="1"/>
    <cellStyle name="Gevolgde hyperlink" xfId="2840" builtinId="9" hidden="1"/>
    <cellStyle name="Gevolgde hyperlink" xfId="2844" builtinId="9" hidden="1"/>
    <cellStyle name="Gevolgde hyperlink" xfId="2848" builtinId="9" hidden="1"/>
    <cellStyle name="Gevolgde hyperlink" xfId="2852" builtinId="9" hidden="1"/>
    <cellStyle name="Gevolgde hyperlink" xfId="2856" builtinId="9" hidden="1"/>
    <cellStyle name="Gevolgde hyperlink" xfId="2860" builtinId="9" hidden="1"/>
    <cellStyle name="Gevolgde hyperlink" xfId="2864" builtinId="9" hidden="1"/>
    <cellStyle name="Gevolgde hyperlink" xfId="2868" builtinId="9" hidden="1"/>
    <cellStyle name="Gevolgde hyperlink" xfId="2872" builtinId="9" hidden="1"/>
    <cellStyle name="Gevolgde hyperlink" xfId="2876" builtinId="9" hidden="1"/>
    <cellStyle name="Gevolgde hyperlink" xfId="2880" builtinId="9" hidden="1"/>
    <cellStyle name="Gevolgde hyperlink" xfId="2884" builtinId="9" hidden="1"/>
    <cellStyle name="Gevolgde hyperlink" xfId="2888" builtinId="9" hidden="1"/>
    <cellStyle name="Gevolgde hyperlink" xfId="2892" builtinId="9" hidden="1"/>
    <cellStyle name="Gevolgde hyperlink" xfId="2896" builtinId="9" hidden="1"/>
    <cellStyle name="Gevolgde hyperlink" xfId="2900" builtinId="9" hidden="1"/>
    <cellStyle name="Gevolgde hyperlink" xfId="2904" builtinId="9" hidden="1"/>
    <cellStyle name="Gevolgde hyperlink" xfId="2908" builtinId="9" hidden="1"/>
    <cellStyle name="Gevolgde hyperlink" xfId="2912" builtinId="9" hidden="1"/>
    <cellStyle name="Gevolgde hyperlink" xfId="2916" builtinId="9" hidden="1"/>
    <cellStyle name="Gevolgde hyperlink" xfId="2920" builtinId="9" hidden="1"/>
    <cellStyle name="Gevolgde hyperlink" xfId="2924" builtinId="9" hidden="1"/>
    <cellStyle name="Gevolgde hyperlink" xfId="2928" builtinId="9" hidden="1"/>
    <cellStyle name="Gevolgde hyperlink" xfId="2932" builtinId="9" hidden="1"/>
    <cellStyle name="Gevolgde hyperlink" xfId="2936" builtinId="9" hidden="1"/>
    <cellStyle name="Gevolgde hyperlink" xfId="2940" builtinId="9" hidden="1"/>
    <cellStyle name="Gevolgde hyperlink" xfId="2944" builtinId="9" hidden="1"/>
    <cellStyle name="Gevolgde hyperlink" xfId="2948" builtinId="9" hidden="1"/>
    <cellStyle name="Gevolgde hyperlink" xfId="2952" builtinId="9" hidden="1"/>
    <cellStyle name="Gevolgde hyperlink" xfId="2956" builtinId="9" hidden="1"/>
    <cellStyle name="Gevolgde hyperlink" xfId="2960" builtinId="9" hidden="1"/>
    <cellStyle name="Gevolgde hyperlink" xfId="2964" builtinId="9" hidden="1"/>
    <cellStyle name="Gevolgde hyperlink" xfId="2968" builtinId="9" hidden="1"/>
    <cellStyle name="Gevolgde hyperlink" xfId="2972" builtinId="9" hidden="1"/>
    <cellStyle name="Gevolgde hyperlink" xfId="2976" builtinId="9" hidden="1"/>
    <cellStyle name="Gevolgde hyperlink" xfId="2980" builtinId="9" hidden="1"/>
    <cellStyle name="Gevolgde hyperlink" xfId="2984" builtinId="9" hidden="1"/>
    <cellStyle name="Gevolgde hyperlink" xfId="2988" builtinId="9" hidden="1"/>
    <cellStyle name="Gevolgde hyperlink" xfId="2992" builtinId="9" hidden="1"/>
    <cellStyle name="Gevolgde hyperlink" xfId="2996" builtinId="9" hidden="1"/>
    <cellStyle name="Gevolgde hyperlink" xfId="3000" builtinId="9" hidden="1"/>
    <cellStyle name="Gevolgde hyperlink" xfId="3004" builtinId="9" hidden="1"/>
    <cellStyle name="Gevolgde hyperlink" xfId="3008" builtinId="9" hidden="1"/>
    <cellStyle name="Gevolgde hyperlink" xfId="3012" builtinId="9" hidden="1"/>
    <cellStyle name="Gevolgde hyperlink" xfId="3016" builtinId="9" hidden="1"/>
    <cellStyle name="Gevolgde hyperlink" xfId="3020" builtinId="9" hidden="1"/>
    <cellStyle name="Gevolgde hyperlink" xfId="3024" builtinId="9" hidden="1"/>
    <cellStyle name="Gevolgde hyperlink" xfId="3028" builtinId="9" hidden="1"/>
    <cellStyle name="Gevolgde hyperlink" xfId="3032" builtinId="9" hidden="1"/>
    <cellStyle name="Gevolgde hyperlink" xfId="3036" builtinId="9" hidden="1"/>
    <cellStyle name="Gevolgde hyperlink" xfId="3040" builtinId="9" hidden="1"/>
    <cellStyle name="Gevolgde hyperlink" xfId="3044" builtinId="9" hidden="1"/>
    <cellStyle name="Gevolgde hyperlink" xfId="3048" builtinId="9" hidden="1"/>
    <cellStyle name="Gevolgde hyperlink" xfId="3052" builtinId="9" hidden="1"/>
    <cellStyle name="Gevolgde hyperlink" xfId="3056" builtinId="9" hidden="1"/>
    <cellStyle name="Gevolgde hyperlink" xfId="3060" builtinId="9" hidden="1"/>
    <cellStyle name="Gevolgde hyperlink" xfId="3064" builtinId="9" hidden="1"/>
    <cellStyle name="Gevolgde hyperlink" xfId="3068" builtinId="9" hidden="1"/>
    <cellStyle name="Gevolgde hyperlink" xfId="3072" builtinId="9" hidden="1"/>
    <cellStyle name="Gevolgde hyperlink" xfId="3076" builtinId="9" hidden="1"/>
    <cellStyle name="Gevolgde hyperlink" xfId="3080" builtinId="9" hidden="1"/>
    <cellStyle name="Gevolgde hyperlink" xfId="3084" builtinId="9" hidden="1"/>
    <cellStyle name="Gevolgde hyperlink" xfId="3088" builtinId="9" hidden="1"/>
    <cellStyle name="Gevolgde hyperlink" xfId="3092" builtinId="9" hidden="1"/>
    <cellStyle name="Gevolgde hyperlink" xfId="3096" builtinId="9" hidden="1"/>
    <cellStyle name="Gevolgde hyperlink" xfId="3100" builtinId="9" hidden="1"/>
    <cellStyle name="Gevolgde hyperlink" xfId="3104" builtinId="9" hidden="1"/>
    <cellStyle name="Gevolgde hyperlink" xfId="3108" builtinId="9" hidden="1"/>
    <cellStyle name="Gevolgde hyperlink" xfId="3112" builtinId="9" hidden="1"/>
    <cellStyle name="Gevolgde hyperlink" xfId="3116" builtinId="9" hidden="1"/>
    <cellStyle name="Gevolgde hyperlink" xfId="3120" builtinId="9" hidden="1"/>
    <cellStyle name="Gevolgde hyperlink" xfId="3124" builtinId="9" hidden="1"/>
    <cellStyle name="Gevolgde hyperlink" xfId="3128" builtinId="9" hidden="1"/>
    <cellStyle name="Gevolgde hyperlink" xfId="3132" builtinId="9" hidden="1"/>
    <cellStyle name="Gevolgde hyperlink" xfId="3136" builtinId="9" hidden="1"/>
    <cellStyle name="Gevolgde hyperlink" xfId="3140" builtinId="9" hidden="1"/>
    <cellStyle name="Gevolgde hyperlink" xfId="3144" builtinId="9" hidden="1"/>
    <cellStyle name="Gevolgde hyperlink" xfId="3148" builtinId="9" hidden="1"/>
    <cellStyle name="Gevolgde hyperlink" xfId="3152" builtinId="9" hidden="1"/>
    <cellStyle name="Gevolgde hyperlink" xfId="3156" builtinId="9" hidden="1"/>
    <cellStyle name="Gevolgde hyperlink" xfId="3160" builtinId="9" hidden="1"/>
    <cellStyle name="Gevolgde hyperlink" xfId="3164" builtinId="9" hidden="1"/>
    <cellStyle name="Gevolgde hyperlink" xfId="3168" builtinId="9" hidden="1"/>
    <cellStyle name="Gevolgde hyperlink" xfId="3172" builtinId="9" hidden="1"/>
    <cellStyle name="Gevolgde hyperlink" xfId="3176" builtinId="9" hidden="1"/>
    <cellStyle name="Gevolgde hyperlink" xfId="3180" builtinId="9" hidden="1"/>
    <cellStyle name="Gevolgde hyperlink" xfId="3184" builtinId="9" hidden="1"/>
    <cellStyle name="Gevolgde hyperlink" xfId="3188" builtinId="9" hidden="1"/>
    <cellStyle name="Gevolgde hyperlink" xfId="3192" builtinId="9" hidden="1"/>
    <cellStyle name="Gevolgde hyperlink" xfId="3196" builtinId="9" hidden="1"/>
    <cellStyle name="Gevolgde hyperlink" xfId="3200" builtinId="9" hidden="1"/>
    <cellStyle name="Gevolgde hyperlink" xfId="3204" builtinId="9" hidden="1"/>
    <cellStyle name="Gevolgde hyperlink" xfId="3208" builtinId="9" hidden="1"/>
    <cellStyle name="Gevolgde hyperlink" xfId="3212" builtinId="9" hidden="1"/>
    <cellStyle name="Gevolgde hyperlink" xfId="3216" builtinId="9" hidden="1"/>
    <cellStyle name="Gevolgde hyperlink" xfId="3220" builtinId="9" hidden="1"/>
    <cellStyle name="Gevolgde hyperlink" xfId="3224" builtinId="9" hidden="1"/>
    <cellStyle name="Gevolgde hyperlink" xfId="3228" builtinId="9" hidden="1"/>
    <cellStyle name="Gevolgde hyperlink" xfId="3232" builtinId="9" hidden="1"/>
    <cellStyle name="Gevolgde hyperlink" xfId="3236" builtinId="9" hidden="1"/>
    <cellStyle name="Gevolgde hyperlink" xfId="3240" builtinId="9" hidden="1"/>
    <cellStyle name="Gevolgde hyperlink" xfId="3244" builtinId="9" hidden="1"/>
    <cellStyle name="Gevolgde hyperlink" xfId="3248" builtinId="9" hidden="1"/>
    <cellStyle name="Gevolgde hyperlink" xfId="3252" builtinId="9" hidden="1"/>
    <cellStyle name="Gevolgde hyperlink" xfId="3256" builtinId="9" hidden="1"/>
    <cellStyle name="Gevolgde hyperlink" xfId="3260" builtinId="9" hidden="1"/>
    <cellStyle name="Gevolgde hyperlink" xfId="3264" builtinId="9" hidden="1"/>
    <cellStyle name="Gevolgde hyperlink" xfId="3268" builtinId="9" hidden="1"/>
    <cellStyle name="Gevolgde hyperlink" xfId="3272" builtinId="9" hidden="1"/>
    <cellStyle name="Gevolgde hyperlink" xfId="3276" builtinId="9" hidden="1"/>
    <cellStyle name="Gevolgde hyperlink" xfId="3280" builtinId="9" hidden="1"/>
    <cellStyle name="Gevolgde hyperlink" xfId="3284" builtinId="9" hidden="1"/>
    <cellStyle name="Gevolgde hyperlink" xfId="3288" builtinId="9" hidden="1"/>
    <cellStyle name="Gevolgde hyperlink" xfId="3292" builtinId="9" hidden="1"/>
    <cellStyle name="Gevolgde hyperlink" xfId="3296" builtinId="9" hidden="1"/>
    <cellStyle name="Gevolgde hyperlink" xfId="3300" builtinId="9" hidden="1"/>
    <cellStyle name="Gevolgde hyperlink" xfId="3304" builtinId="9" hidden="1"/>
    <cellStyle name="Gevolgde hyperlink" xfId="3308" builtinId="9" hidden="1"/>
    <cellStyle name="Gevolgde hyperlink" xfId="3312" builtinId="9" hidden="1"/>
    <cellStyle name="Gevolgde hyperlink" xfId="3316" builtinId="9" hidden="1"/>
    <cellStyle name="Gevolgde hyperlink" xfId="3320" builtinId="9" hidden="1"/>
    <cellStyle name="Gevolgde hyperlink" xfId="3324" builtinId="9" hidden="1"/>
    <cellStyle name="Gevolgde hyperlink" xfId="3326" builtinId="9" hidden="1"/>
    <cellStyle name="Gevolgde hyperlink" xfId="3322" builtinId="9" hidden="1"/>
    <cellStyle name="Gevolgde hyperlink" xfId="3318" builtinId="9" hidden="1"/>
    <cellStyle name="Gevolgde hyperlink" xfId="3314" builtinId="9" hidden="1"/>
    <cellStyle name="Gevolgde hyperlink" xfId="3310" builtinId="9" hidden="1"/>
    <cellStyle name="Gevolgde hyperlink" xfId="3306" builtinId="9" hidden="1"/>
    <cellStyle name="Gevolgde hyperlink" xfId="3302" builtinId="9" hidden="1"/>
    <cellStyle name="Gevolgde hyperlink" xfId="3298" builtinId="9" hidden="1"/>
    <cellStyle name="Gevolgde hyperlink" xfId="3294" builtinId="9" hidden="1"/>
    <cellStyle name="Gevolgde hyperlink" xfId="3290" builtinId="9" hidden="1"/>
    <cellStyle name="Gevolgde hyperlink" xfId="3286" builtinId="9" hidden="1"/>
    <cellStyle name="Gevolgde hyperlink" xfId="3282" builtinId="9" hidden="1"/>
    <cellStyle name="Gevolgde hyperlink" xfId="3278" builtinId="9" hidden="1"/>
    <cellStyle name="Gevolgde hyperlink" xfId="3274" builtinId="9" hidden="1"/>
    <cellStyle name="Gevolgde hyperlink" xfId="3270" builtinId="9" hidden="1"/>
    <cellStyle name="Gevolgde hyperlink" xfId="3266" builtinId="9" hidden="1"/>
    <cellStyle name="Gevolgde hyperlink" xfId="3262" builtinId="9" hidden="1"/>
    <cellStyle name="Gevolgde hyperlink" xfId="3258" builtinId="9" hidden="1"/>
    <cellStyle name="Gevolgde hyperlink" xfId="3254" builtinId="9" hidden="1"/>
    <cellStyle name="Gevolgde hyperlink" xfId="3250" builtinId="9" hidden="1"/>
    <cellStyle name="Gevolgde hyperlink" xfId="3246" builtinId="9" hidden="1"/>
    <cellStyle name="Gevolgde hyperlink" xfId="3242" builtinId="9" hidden="1"/>
    <cellStyle name="Gevolgde hyperlink" xfId="3238" builtinId="9" hidden="1"/>
    <cellStyle name="Gevolgde hyperlink" xfId="3234" builtinId="9" hidden="1"/>
    <cellStyle name="Gevolgde hyperlink" xfId="3230" builtinId="9" hidden="1"/>
    <cellStyle name="Gevolgde hyperlink" xfId="3226" builtinId="9" hidden="1"/>
    <cellStyle name="Gevolgde hyperlink" xfId="3222" builtinId="9" hidden="1"/>
    <cellStyle name="Gevolgde hyperlink" xfId="3218" builtinId="9" hidden="1"/>
    <cellStyle name="Gevolgde hyperlink" xfId="3214" builtinId="9" hidden="1"/>
    <cellStyle name="Gevolgde hyperlink" xfId="3210" builtinId="9" hidden="1"/>
    <cellStyle name="Gevolgde hyperlink" xfId="3206" builtinId="9" hidden="1"/>
    <cellStyle name="Gevolgde hyperlink" xfId="3202" builtinId="9" hidden="1"/>
    <cellStyle name="Gevolgde hyperlink" xfId="3198" builtinId="9" hidden="1"/>
    <cellStyle name="Gevolgde hyperlink" xfId="3194" builtinId="9" hidden="1"/>
    <cellStyle name="Gevolgde hyperlink" xfId="3190" builtinId="9" hidden="1"/>
    <cellStyle name="Gevolgde hyperlink" xfId="3186" builtinId="9" hidden="1"/>
    <cellStyle name="Gevolgde hyperlink" xfId="3182" builtinId="9" hidden="1"/>
    <cellStyle name="Gevolgde hyperlink" xfId="3178" builtinId="9" hidden="1"/>
    <cellStyle name="Gevolgde hyperlink" xfId="3174" builtinId="9" hidden="1"/>
    <cellStyle name="Gevolgde hyperlink" xfId="3170" builtinId="9" hidden="1"/>
    <cellStyle name="Gevolgde hyperlink" xfId="3166" builtinId="9" hidden="1"/>
    <cellStyle name="Gevolgde hyperlink" xfId="3162" builtinId="9" hidden="1"/>
    <cellStyle name="Gevolgde hyperlink" xfId="3158" builtinId="9" hidden="1"/>
    <cellStyle name="Gevolgde hyperlink" xfId="3154" builtinId="9" hidden="1"/>
    <cellStyle name="Gevolgde hyperlink" xfId="3150" builtinId="9" hidden="1"/>
    <cellStyle name="Gevolgde hyperlink" xfId="3146" builtinId="9" hidden="1"/>
    <cellStyle name="Gevolgde hyperlink" xfId="3142" builtinId="9" hidden="1"/>
    <cellStyle name="Gevolgde hyperlink" xfId="3138" builtinId="9" hidden="1"/>
    <cellStyle name="Gevolgde hyperlink" xfId="3134" builtinId="9" hidden="1"/>
    <cellStyle name="Gevolgde hyperlink" xfId="3130" builtinId="9" hidden="1"/>
    <cellStyle name="Gevolgde hyperlink" xfId="3126" builtinId="9" hidden="1"/>
    <cellStyle name="Gevolgde hyperlink" xfId="3122" builtinId="9" hidden="1"/>
    <cellStyle name="Gevolgde hyperlink" xfId="3118" builtinId="9" hidden="1"/>
    <cellStyle name="Gevolgde hyperlink" xfId="3114" builtinId="9" hidden="1"/>
    <cellStyle name="Gevolgde hyperlink" xfId="3110" builtinId="9" hidden="1"/>
    <cellStyle name="Gevolgde hyperlink" xfId="3106" builtinId="9" hidden="1"/>
    <cellStyle name="Gevolgde hyperlink" xfId="3102" builtinId="9" hidden="1"/>
    <cellStyle name="Gevolgde hyperlink" xfId="3098" builtinId="9" hidden="1"/>
    <cellStyle name="Gevolgde hyperlink" xfId="3094" builtinId="9" hidden="1"/>
    <cellStyle name="Gevolgde hyperlink" xfId="3090" builtinId="9" hidden="1"/>
    <cellStyle name="Gevolgde hyperlink" xfId="3086" builtinId="9" hidden="1"/>
    <cellStyle name="Gevolgde hyperlink" xfId="3082" builtinId="9" hidden="1"/>
    <cellStyle name="Gevolgde hyperlink" xfId="3078" builtinId="9" hidden="1"/>
    <cellStyle name="Gevolgde hyperlink" xfId="3074" builtinId="9" hidden="1"/>
    <cellStyle name="Gevolgde hyperlink" xfId="3070" builtinId="9" hidden="1"/>
    <cellStyle name="Gevolgde hyperlink" xfId="3066" builtinId="9" hidden="1"/>
    <cellStyle name="Gevolgde hyperlink" xfId="3062" builtinId="9" hidden="1"/>
    <cellStyle name="Gevolgde hyperlink" xfId="3058" builtinId="9" hidden="1"/>
    <cellStyle name="Gevolgde hyperlink" xfId="3054" builtinId="9" hidden="1"/>
    <cellStyle name="Gevolgde hyperlink" xfId="3050" builtinId="9" hidden="1"/>
    <cellStyle name="Gevolgde hyperlink" xfId="3046" builtinId="9" hidden="1"/>
    <cellStyle name="Gevolgde hyperlink" xfId="3042" builtinId="9" hidden="1"/>
    <cellStyle name="Gevolgde hyperlink" xfId="3038" builtinId="9" hidden="1"/>
    <cellStyle name="Gevolgde hyperlink" xfId="3034" builtinId="9" hidden="1"/>
    <cellStyle name="Gevolgde hyperlink" xfId="3030" builtinId="9" hidden="1"/>
    <cellStyle name="Gevolgde hyperlink" xfId="3026" builtinId="9" hidden="1"/>
    <cellStyle name="Gevolgde hyperlink" xfId="3022" builtinId="9" hidden="1"/>
    <cellStyle name="Gevolgde hyperlink" xfId="3018" builtinId="9" hidden="1"/>
    <cellStyle name="Gevolgde hyperlink" xfId="3014" builtinId="9" hidden="1"/>
    <cellStyle name="Gevolgde hyperlink" xfId="3010" builtinId="9" hidden="1"/>
    <cellStyle name="Gevolgde hyperlink" xfId="3006" builtinId="9" hidden="1"/>
    <cellStyle name="Gevolgde hyperlink" xfId="3002" builtinId="9" hidden="1"/>
    <cellStyle name="Gevolgde hyperlink" xfId="2998" builtinId="9" hidden="1"/>
    <cellStyle name="Gevolgde hyperlink" xfId="2994" builtinId="9" hidden="1"/>
    <cellStyle name="Gevolgde hyperlink" xfId="2990" builtinId="9" hidden="1"/>
    <cellStyle name="Gevolgde hyperlink" xfId="2986" builtinId="9" hidden="1"/>
    <cellStyle name="Gevolgde hyperlink" xfId="2982" builtinId="9" hidden="1"/>
    <cellStyle name="Gevolgde hyperlink" xfId="2978" builtinId="9" hidden="1"/>
    <cellStyle name="Gevolgde hyperlink" xfId="2974" builtinId="9" hidden="1"/>
    <cellStyle name="Gevolgde hyperlink" xfId="2970" builtinId="9" hidden="1"/>
    <cellStyle name="Gevolgde hyperlink" xfId="2966" builtinId="9" hidden="1"/>
    <cellStyle name="Gevolgde hyperlink" xfId="2962" builtinId="9" hidden="1"/>
    <cellStyle name="Gevolgde hyperlink" xfId="2958" builtinId="9" hidden="1"/>
    <cellStyle name="Gevolgde hyperlink" xfId="2954" builtinId="9" hidden="1"/>
    <cellStyle name="Gevolgde hyperlink" xfId="2950" builtinId="9" hidden="1"/>
    <cellStyle name="Gevolgde hyperlink" xfId="2946" builtinId="9" hidden="1"/>
    <cellStyle name="Gevolgde hyperlink" xfId="2942" builtinId="9" hidden="1"/>
    <cellStyle name="Gevolgde hyperlink" xfId="2938" builtinId="9" hidden="1"/>
    <cellStyle name="Gevolgde hyperlink" xfId="2934" builtinId="9" hidden="1"/>
    <cellStyle name="Gevolgde hyperlink" xfId="2930" builtinId="9" hidden="1"/>
    <cellStyle name="Gevolgde hyperlink" xfId="2926" builtinId="9" hidden="1"/>
    <cellStyle name="Gevolgde hyperlink" xfId="2922" builtinId="9" hidden="1"/>
    <cellStyle name="Gevolgde hyperlink" xfId="2918" builtinId="9" hidden="1"/>
    <cellStyle name="Gevolgde hyperlink" xfId="2914" builtinId="9" hidden="1"/>
    <cellStyle name="Gevolgde hyperlink" xfId="2910" builtinId="9" hidden="1"/>
    <cellStyle name="Gevolgde hyperlink" xfId="2906" builtinId="9" hidden="1"/>
    <cellStyle name="Gevolgde hyperlink" xfId="2902" builtinId="9" hidden="1"/>
    <cellStyle name="Gevolgde hyperlink" xfId="2898" builtinId="9" hidden="1"/>
    <cellStyle name="Gevolgde hyperlink" xfId="2894" builtinId="9" hidden="1"/>
    <cellStyle name="Gevolgde hyperlink" xfId="2890" builtinId="9" hidden="1"/>
    <cellStyle name="Gevolgde hyperlink" xfId="2886" builtinId="9" hidden="1"/>
    <cellStyle name="Gevolgde hyperlink" xfId="2882" builtinId="9" hidden="1"/>
    <cellStyle name="Gevolgde hyperlink" xfId="2878" builtinId="9" hidden="1"/>
    <cellStyle name="Gevolgde hyperlink" xfId="2874" builtinId="9" hidden="1"/>
    <cellStyle name="Gevolgde hyperlink" xfId="2870" builtinId="9" hidden="1"/>
    <cellStyle name="Gevolgde hyperlink" xfId="2866" builtinId="9" hidden="1"/>
    <cellStyle name="Gevolgde hyperlink" xfId="2862" builtinId="9" hidden="1"/>
    <cellStyle name="Gevolgde hyperlink" xfId="2858" builtinId="9" hidden="1"/>
    <cellStyle name="Gevolgde hyperlink" xfId="2854" builtinId="9" hidden="1"/>
    <cellStyle name="Gevolgde hyperlink" xfId="2850" builtinId="9" hidden="1"/>
    <cellStyle name="Gevolgde hyperlink" xfId="2846" builtinId="9" hidden="1"/>
    <cellStyle name="Gevolgde hyperlink" xfId="2842" builtinId="9" hidden="1"/>
    <cellStyle name="Gevolgde hyperlink" xfId="2838" builtinId="9" hidden="1"/>
    <cellStyle name="Gevolgde hyperlink" xfId="2834" builtinId="9" hidden="1"/>
    <cellStyle name="Gevolgde hyperlink" xfId="2830" builtinId="9" hidden="1"/>
    <cellStyle name="Gevolgde hyperlink" xfId="2826" builtinId="9" hidden="1"/>
    <cellStyle name="Gevolgde hyperlink" xfId="2822" builtinId="9" hidden="1"/>
    <cellStyle name="Gevolgde hyperlink" xfId="2818" builtinId="9" hidden="1"/>
    <cellStyle name="Gevolgde hyperlink" xfId="2814" builtinId="9" hidden="1"/>
    <cellStyle name="Gevolgde hyperlink" xfId="2810" builtinId="9" hidden="1"/>
    <cellStyle name="Gevolgde hyperlink" xfId="2806" builtinId="9" hidden="1"/>
    <cellStyle name="Gevolgde hyperlink" xfId="2802" builtinId="9" hidden="1"/>
    <cellStyle name="Gevolgde hyperlink" xfId="2798" builtinId="9" hidden="1"/>
    <cellStyle name="Gevolgde hyperlink" xfId="2794" builtinId="9" hidden="1"/>
    <cellStyle name="Gevolgde hyperlink" xfId="2790" builtinId="9" hidden="1"/>
    <cellStyle name="Gevolgde hyperlink" xfId="2786" builtinId="9" hidden="1"/>
    <cellStyle name="Gevolgde hyperlink" xfId="2782" builtinId="9" hidden="1"/>
    <cellStyle name="Gevolgde hyperlink" xfId="2778" builtinId="9" hidden="1"/>
    <cellStyle name="Gevolgde hyperlink" xfId="2774" builtinId="9" hidden="1"/>
    <cellStyle name="Gevolgde hyperlink" xfId="2770" builtinId="9" hidden="1"/>
    <cellStyle name="Gevolgde hyperlink" xfId="2766" builtinId="9" hidden="1"/>
    <cellStyle name="Gevolgde hyperlink" xfId="2762" builtinId="9" hidden="1"/>
    <cellStyle name="Gevolgde hyperlink" xfId="2758" builtinId="9" hidden="1"/>
    <cellStyle name="Gevolgde hyperlink" xfId="2754" builtinId="9" hidden="1"/>
    <cellStyle name="Gevolgde hyperlink" xfId="2750" builtinId="9" hidden="1"/>
    <cellStyle name="Gevolgde hyperlink" xfId="2746" builtinId="9" hidden="1"/>
    <cellStyle name="Gevolgde hyperlink" xfId="2742" builtinId="9" hidden="1"/>
    <cellStyle name="Gevolgde hyperlink" xfId="2738" builtinId="9" hidden="1"/>
    <cellStyle name="Gevolgde hyperlink" xfId="2734" builtinId="9" hidden="1"/>
    <cellStyle name="Gevolgde hyperlink" xfId="2730" builtinId="9" hidden="1"/>
    <cellStyle name="Gevolgde hyperlink" xfId="2726" builtinId="9" hidden="1"/>
    <cellStyle name="Gevolgde hyperlink" xfId="2722" builtinId="9" hidden="1"/>
    <cellStyle name="Gevolgde hyperlink" xfId="2718" builtinId="9" hidden="1"/>
    <cellStyle name="Gevolgde hyperlink" xfId="2714" builtinId="9" hidden="1"/>
    <cellStyle name="Gevolgde hyperlink" xfId="2710" builtinId="9" hidden="1"/>
    <cellStyle name="Gevolgde hyperlink" xfId="2706" builtinId="9" hidden="1"/>
    <cellStyle name="Gevolgde hyperlink" xfId="2702" builtinId="9" hidden="1"/>
    <cellStyle name="Gevolgde hyperlink" xfId="2698" builtinId="9" hidden="1"/>
    <cellStyle name="Gevolgde hyperlink" xfId="2694" builtinId="9" hidden="1"/>
    <cellStyle name="Gevolgde hyperlink" xfId="2690" builtinId="9" hidden="1"/>
    <cellStyle name="Gevolgde hyperlink" xfId="2686" builtinId="9" hidden="1"/>
    <cellStyle name="Gevolgde hyperlink" xfId="2682" builtinId="9" hidden="1"/>
    <cellStyle name="Gevolgde hyperlink" xfId="2678" builtinId="9" hidden="1"/>
    <cellStyle name="Gevolgde hyperlink" xfId="2674" builtinId="9" hidden="1"/>
    <cellStyle name="Gevolgde hyperlink" xfId="2670" builtinId="9" hidden="1"/>
    <cellStyle name="Gevolgde hyperlink" xfId="2666" builtinId="9" hidden="1"/>
    <cellStyle name="Gevolgde hyperlink" xfId="2662" builtinId="9" hidden="1"/>
    <cellStyle name="Gevolgde hyperlink" xfId="2658" builtinId="9" hidden="1"/>
    <cellStyle name="Gevolgde hyperlink" xfId="2654" builtinId="9" hidden="1"/>
    <cellStyle name="Gevolgde hyperlink" xfId="2650" builtinId="9" hidden="1"/>
    <cellStyle name="Gevolgde hyperlink" xfId="2646" builtinId="9" hidden="1"/>
    <cellStyle name="Gevolgde hyperlink" xfId="2642" builtinId="9" hidden="1"/>
    <cellStyle name="Gevolgde hyperlink" xfId="2638" builtinId="9" hidden="1"/>
    <cellStyle name="Gevolgde hyperlink" xfId="2634" builtinId="9" hidden="1"/>
    <cellStyle name="Gevolgde hyperlink" xfId="2630" builtinId="9" hidden="1"/>
    <cellStyle name="Gevolgde hyperlink" xfId="2626" builtinId="9" hidden="1"/>
    <cellStyle name="Gevolgde hyperlink" xfId="2514" builtinId="9" hidden="1"/>
    <cellStyle name="Gevolgde hyperlink" xfId="2509" builtinId="9" hidden="1"/>
    <cellStyle name="Gevolgde hyperlink" xfId="2505" builtinId="9" hidden="1"/>
    <cellStyle name="Gevolgde hyperlink" xfId="2501" builtinId="9" hidden="1"/>
    <cellStyle name="Gevolgde hyperlink" xfId="2497" builtinId="9" hidden="1"/>
    <cellStyle name="Gevolgde hyperlink" xfId="2493" builtinId="9" hidden="1"/>
    <cellStyle name="Gevolgde hyperlink" xfId="2489" builtinId="9" hidden="1"/>
    <cellStyle name="Gevolgde hyperlink" xfId="2485" builtinId="9" hidden="1"/>
    <cellStyle name="Gevolgde hyperlink" xfId="2481" builtinId="9" hidden="1"/>
    <cellStyle name="Gevolgde hyperlink" xfId="2477" builtinId="9" hidden="1"/>
    <cellStyle name="Gevolgde hyperlink" xfId="2473" builtinId="9" hidden="1"/>
    <cellStyle name="Gevolgde hyperlink" xfId="2469" builtinId="9" hidden="1"/>
    <cellStyle name="Gevolgde hyperlink" xfId="2465" builtinId="9" hidden="1"/>
    <cellStyle name="Gevolgde hyperlink" xfId="2461" builtinId="9" hidden="1"/>
    <cellStyle name="Gevolgde hyperlink" xfId="2457" builtinId="9" hidden="1"/>
    <cellStyle name="Gevolgde hyperlink" xfId="2453" builtinId="9" hidden="1"/>
    <cellStyle name="Gevolgde hyperlink" xfId="2449" builtinId="9" hidden="1"/>
    <cellStyle name="Gevolgde hyperlink" xfId="2445" builtinId="9" hidden="1"/>
    <cellStyle name="Gevolgde hyperlink" xfId="2441" builtinId="9" hidden="1"/>
    <cellStyle name="Gevolgde hyperlink" xfId="2437" builtinId="9" hidden="1"/>
    <cellStyle name="Gevolgde hyperlink" xfId="2433" builtinId="9" hidden="1"/>
    <cellStyle name="Gevolgde hyperlink" xfId="2429" builtinId="9" hidden="1"/>
    <cellStyle name="Gevolgde hyperlink" xfId="2425" builtinId="9" hidden="1"/>
    <cellStyle name="Gevolgde hyperlink" xfId="2421" builtinId="9" hidden="1"/>
    <cellStyle name="Gevolgde hyperlink" xfId="2417" builtinId="9" hidden="1"/>
    <cellStyle name="Gevolgde hyperlink" xfId="2413" builtinId="9" hidden="1"/>
    <cellStyle name="Gevolgde hyperlink" xfId="2409" builtinId="9" hidden="1"/>
    <cellStyle name="Gevolgde hyperlink" xfId="2405" builtinId="9" hidden="1"/>
    <cellStyle name="Gevolgde hyperlink" xfId="2401" builtinId="9" hidden="1"/>
    <cellStyle name="Gevolgde hyperlink" xfId="2397" builtinId="9" hidden="1"/>
    <cellStyle name="Gevolgde hyperlink" xfId="2393" builtinId="9" hidden="1"/>
    <cellStyle name="Gevolgde hyperlink" xfId="2389" builtinId="9" hidden="1"/>
    <cellStyle name="Gevolgde hyperlink" xfId="2385" builtinId="9" hidden="1"/>
    <cellStyle name="Gevolgde hyperlink" xfId="2381" builtinId="9" hidden="1"/>
    <cellStyle name="Gevolgde hyperlink" xfId="2377" builtinId="9" hidden="1"/>
    <cellStyle name="Gevolgde hyperlink" xfId="2373" builtinId="9" hidden="1"/>
    <cellStyle name="Gevolgde hyperlink" xfId="2369" builtinId="9" hidden="1"/>
    <cellStyle name="Gevolgde hyperlink" xfId="2365" builtinId="9" hidden="1"/>
    <cellStyle name="Gevolgde hyperlink" xfId="2361" builtinId="9" hidden="1"/>
    <cellStyle name="Gevolgde hyperlink" xfId="2357" builtinId="9" hidden="1"/>
    <cellStyle name="Gevolgde hyperlink" xfId="2353" builtinId="9" hidden="1"/>
    <cellStyle name="Gevolgde hyperlink" xfId="2349" builtinId="9" hidden="1"/>
    <cellStyle name="Gevolgde hyperlink" xfId="2345" builtinId="9" hidden="1"/>
    <cellStyle name="Gevolgde hyperlink" xfId="2341" builtinId="9" hidden="1"/>
    <cellStyle name="Gevolgde hyperlink" xfId="2337" builtinId="9" hidden="1"/>
    <cellStyle name="Gevolgde hyperlink" xfId="2333" builtinId="9" hidden="1"/>
    <cellStyle name="Gevolgde hyperlink" xfId="2329" builtinId="9" hidden="1"/>
    <cellStyle name="Gevolgde hyperlink" xfId="2325" builtinId="9" hidden="1"/>
    <cellStyle name="Gevolgde hyperlink" xfId="2321" builtinId="9" hidden="1"/>
    <cellStyle name="Gevolgde hyperlink" xfId="2317" builtinId="9" hidden="1"/>
    <cellStyle name="Gevolgde hyperlink" xfId="2313" builtinId="9" hidden="1"/>
    <cellStyle name="Gevolgde hyperlink" xfId="2309" builtinId="9" hidden="1"/>
    <cellStyle name="Gevolgde hyperlink" xfId="2305" builtinId="9" hidden="1"/>
    <cellStyle name="Gevolgde hyperlink" xfId="2301" builtinId="9" hidden="1"/>
    <cellStyle name="Gevolgde hyperlink" xfId="2297" builtinId="9" hidden="1"/>
    <cellStyle name="Gevolgde hyperlink" xfId="2293" builtinId="9" hidden="1"/>
    <cellStyle name="Gevolgde hyperlink" xfId="2289" builtinId="9" hidden="1"/>
    <cellStyle name="Gevolgde hyperlink" xfId="2285" builtinId="9" hidden="1"/>
    <cellStyle name="Gevolgde hyperlink" xfId="2281" builtinId="9" hidden="1"/>
    <cellStyle name="Gevolgde hyperlink" xfId="2277" builtinId="9" hidden="1"/>
    <cellStyle name="Gevolgde hyperlink" xfId="2273" builtinId="9" hidden="1"/>
    <cellStyle name="Gevolgde hyperlink" xfId="2269" builtinId="9" hidden="1"/>
    <cellStyle name="Gevolgde hyperlink" xfId="2265" builtinId="9" hidden="1"/>
    <cellStyle name="Gevolgde hyperlink" xfId="2261" builtinId="9" hidden="1"/>
    <cellStyle name="Gevolgde hyperlink" xfId="2257" builtinId="9" hidden="1"/>
    <cellStyle name="Gevolgde hyperlink" xfId="2253" builtinId="9" hidden="1"/>
    <cellStyle name="Gevolgde hyperlink" xfId="2249" builtinId="9" hidden="1"/>
    <cellStyle name="Gevolgde hyperlink" xfId="2245" builtinId="9" hidden="1"/>
    <cellStyle name="Gevolgde hyperlink" xfId="2241" builtinId="9" hidden="1"/>
    <cellStyle name="Gevolgde hyperlink" xfId="2237" builtinId="9" hidden="1"/>
    <cellStyle name="Gevolgde hyperlink" xfId="2233" builtinId="9" hidden="1"/>
    <cellStyle name="Gevolgde hyperlink" xfId="2229" builtinId="9" hidden="1"/>
    <cellStyle name="Gevolgde hyperlink" xfId="2225" builtinId="9" hidden="1"/>
    <cellStyle name="Gevolgde hyperlink" xfId="2221" builtinId="9" hidden="1"/>
    <cellStyle name="Gevolgde hyperlink" xfId="2217" builtinId="9" hidden="1"/>
    <cellStyle name="Gevolgde hyperlink" xfId="2213" builtinId="9" hidden="1"/>
    <cellStyle name="Gevolgde hyperlink" xfId="2209" builtinId="9" hidden="1"/>
    <cellStyle name="Gevolgde hyperlink" xfId="2205" builtinId="9" hidden="1"/>
    <cellStyle name="Gevolgde hyperlink" xfId="2201" builtinId="9" hidden="1"/>
    <cellStyle name="Gevolgde hyperlink" xfId="2197" builtinId="9" hidden="1"/>
    <cellStyle name="Gevolgde hyperlink" xfId="2193" builtinId="9" hidden="1"/>
    <cellStyle name="Gevolgde hyperlink" xfId="2189" builtinId="9" hidden="1"/>
    <cellStyle name="Gevolgde hyperlink" xfId="2185" builtinId="9" hidden="1"/>
    <cellStyle name="Gevolgde hyperlink" xfId="2181" builtinId="9" hidden="1"/>
    <cellStyle name="Gevolgde hyperlink" xfId="2177" builtinId="9" hidden="1"/>
    <cellStyle name="Gevolgde hyperlink" xfId="2173" builtinId="9" hidden="1"/>
    <cellStyle name="Gevolgde hyperlink" xfId="2169" builtinId="9" hidden="1"/>
    <cellStyle name="Gevolgde hyperlink" xfId="2165" builtinId="9" hidden="1"/>
    <cellStyle name="Gevolgde hyperlink" xfId="2161" builtinId="9" hidden="1"/>
    <cellStyle name="Gevolgde hyperlink" xfId="2157" builtinId="9" hidden="1"/>
    <cellStyle name="Gevolgde hyperlink" xfId="2153" builtinId="9" hidden="1"/>
    <cellStyle name="Gevolgde hyperlink" xfId="2149" builtinId="9" hidden="1"/>
    <cellStyle name="Gevolgde hyperlink" xfId="2145" builtinId="9" hidden="1"/>
    <cellStyle name="Gevolgde hyperlink" xfId="2141" builtinId="9" hidden="1"/>
    <cellStyle name="Gevolgde hyperlink" xfId="2137" builtinId="9" hidden="1"/>
    <cellStyle name="Gevolgde hyperlink" xfId="2133" builtinId="9" hidden="1"/>
    <cellStyle name="Gevolgde hyperlink" xfId="2129" builtinId="9" hidden="1"/>
    <cellStyle name="Gevolgde hyperlink" xfId="2125" builtinId="9" hidden="1"/>
    <cellStyle name="Gevolgde hyperlink" xfId="2121" builtinId="9" hidden="1"/>
    <cellStyle name="Gevolgde hyperlink" xfId="2117" builtinId="9" hidden="1"/>
    <cellStyle name="Gevolgde hyperlink" xfId="2113" builtinId="9" hidden="1"/>
    <cellStyle name="Gevolgde hyperlink" xfId="2109" builtinId="9" hidden="1"/>
    <cellStyle name="Gevolgde hyperlink" xfId="2105" builtinId="9" hidden="1"/>
    <cellStyle name="Gevolgde hyperlink" xfId="2101" builtinId="9" hidden="1"/>
    <cellStyle name="Gevolgde hyperlink" xfId="2097" builtinId="9" hidden="1"/>
    <cellStyle name="Gevolgde hyperlink" xfId="2093" builtinId="9" hidden="1"/>
    <cellStyle name="Gevolgde hyperlink" xfId="2089" builtinId="9" hidden="1"/>
    <cellStyle name="Gevolgde hyperlink" xfId="2085" builtinId="9" hidden="1"/>
    <cellStyle name="Gevolgde hyperlink" xfId="2081" builtinId="9" hidden="1"/>
    <cellStyle name="Gevolgde hyperlink" xfId="2077" builtinId="9" hidden="1"/>
    <cellStyle name="Gevolgde hyperlink" xfId="2073" builtinId="9" hidden="1"/>
    <cellStyle name="Gevolgde hyperlink" xfId="2069" builtinId="9" hidden="1"/>
    <cellStyle name="Gevolgde hyperlink" xfId="2065" builtinId="9" hidden="1"/>
    <cellStyle name="Gevolgde hyperlink" xfId="2061" builtinId="9" hidden="1"/>
    <cellStyle name="Gevolgde hyperlink" xfId="2057" builtinId="9" hidden="1"/>
    <cellStyle name="Gevolgde hyperlink" xfId="2053" builtinId="9" hidden="1"/>
    <cellStyle name="Gevolgde hyperlink" xfId="2049" builtinId="9" hidden="1"/>
    <cellStyle name="Gevolgde hyperlink" xfId="2045" builtinId="9" hidden="1"/>
    <cellStyle name="Gevolgde hyperlink" xfId="2041" builtinId="9" hidden="1"/>
    <cellStyle name="Gevolgde hyperlink" xfId="2037" builtinId="9" hidden="1"/>
    <cellStyle name="Gevolgde hyperlink" xfId="2033" builtinId="9" hidden="1"/>
    <cellStyle name="Gevolgde hyperlink" xfId="2029" builtinId="9" hidden="1"/>
    <cellStyle name="Gevolgde hyperlink" xfId="2025" builtinId="9" hidden="1"/>
    <cellStyle name="Gevolgde hyperlink" xfId="2021" builtinId="9" hidden="1"/>
    <cellStyle name="Gevolgde hyperlink" xfId="2017" builtinId="9" hidden="1"/>
    <cellStyle name="Gevolgde hyperlink" xfId="2013" builtinId="9" hidden="1"/>
    <cellStyle name="Gevolgde hyperlink" xfId="2009" builtinId="9" hidden="1"/>
    <cellStyle name="Gevolgde hyperlink" xfId="2005" builtinId="9" hidden="1"/>
    <cellStyle name="Gevolgde hyperlink" xfId="2001" builtinId="9" hidden="1"/>
    <cellStyle name="Gevolgde hyperlink" xfId="1997" builtinId="9" hidden="1"/>
    <cellStyle name="Gevolgde hyperlink" xfId="1993" builtinId="9" hidden="1"/>
    <cellStyle name="Gevolgde hyperlink" xfId="1989" builtinId="9" hidden="1"/>
    <cellStyle name="Gevolgde hyperlink" xfId="1985" builtinId="9" hidden="1"/>
    <cellStyle name="Gevolgde hyperlink" xfId="1981" builtinId="9" hidden="1"/>
    <cellStyle name="Gevolgde hyperlink" xfId="1977" builtinId="9" hidden="1"/>
    <cellStyle name="Gevolgde hyperlink" xfId="1973" builtinId="9" hidden="1"/>
    <cellStyle name="Gevolgde hyperlink" xfId="1969" builtinId="9" hidden="1"/>
    <cellStyle name="Gevolgde hyperlink" xfId="1965" builtinId="9" hidden="1"/>
    <cellStyle name="Gevolgde hyperlink" xfId="1961" builtinId="9" hidden="1"/>
    <cellStyle name="Gevolgde hyperlink" xfId="1957" builtinId="9" hidden="1"/>
    <cellStyle name="Gevolgde hyperlink" xfId="1953" builtinId="9" hidden="1"/>
    <cellStyle name="Gevolgde hyperlink" xfId="1949" builtinId="9" hidden="1"/>
    <cellStyle name="Gevolgde hyperlink" xfId="1945" builtinId="9" hidden="1"/>
    <cellStyle name="Gevolgde hyperlink" xfId="1941" builtinId="9" hidden="1"/>
    <cellStyle name="Gevolgde hyperlink" xfId="1937" builtinId="9" hidden="1"/>
    <cellStyle name="Gevolgde hyperlink" xfId="1933" builtinId="9" hidden="1"/>
    <cellStyle name="Gevolgde hyperlink" xfId="1929" builtinId="9" hidden="1"/>
    <cellStyle name="Gevolgde hyperlink" xfId="1925" builtinId="9" hidden="1"/>
    <cellStyle name="Gevolgde hyperlink" xfId="1921" builtinId="9" hidden="1"/>
    <cellStyle name="Gevolgde hyperlink" xfId="1917" builtinId="9" hidden="1"/>
    <cellStyle name="Gevolgde hyperlink" xfId="1913" builtinId="9" hidden="1"/>
    <cellStyle name="Gevolgde hyperlink" xfId="1909" builtinId="9" hidden="1"/>
    <cellStyle name="Gevolgde hyperlink" xfId="1905" builtinId="9" hidden="1"/>
    <cellStyle name="Gevolgde hyperlink" xfId="1901" builtinId="9" hidden="1"/>
    <cellStyle name="Gevolgde hyperlink" xfId="1897" builtinId="9" hidden="1"/>
    <cellStyle name="Gevolgde hyperlink" xfId="1893" builtinId="9" hidden="1"/>
    <cellStyle name="Gevolgde hyperlink" xfId="1889" builtinId="9" hidden="1"/>
    <cellStyle name="Gevolgde hyperlink" xfId="1885" builtinId="9" hidden="1"/>
    <cellStyle name="Gevolgde hyperlink" xfId="1881" builtinId="9" hidden="1"/>
    <cellStyle name="Gevolgde hyperlink" xfId="1877" builtinId="9" hidden="1"/>
    <cellStyle name="Gevolgde hyperlink" xfId="1873" builtinId="9" hidden="1"/>
    <cellStyle name="Gevolgde hyperlink" xfId="1869" builtinId="9" hidden="1"/>
    <cellStyle name="Gevolgde hyperlink" xfId="1865" builtinId="9" hidden="1"/>
    <cellStyle name="Gevolgde hyperlink" xfId="1861" builtinId="9" hidden="1"/>
    <cellStyle name="Gevolgde hyperlink" xfId="1857" builtinId="9" hidden="1"/>
    <cellStyle name="Gevolgde hyperlink" xfId="1853" builtinId="9" hidden="1"/>
    <cellStyle name="Gevolgde hyperlink" xfId="1849" builtinId="9" hidden="1"/>
    <cellStyle name="Gevolgde hyperlink" xfId="1845" builtinId="9" hidden="1"/>
    <cellStyle name="Gevolgde hyperlink" xfId="1841" builtinId="9" hidden="1"/>
    <cellStyle name="Gevolgde hyperlink" xfId="1837" builtinId="9" hidden="1"/>
    <cellStyle name="Gevolgde hyperlink" xfId="1833" builtinId="9" hidden="1"/>
    <cellStyle name="Gevolgde hyperlink" xfId="1829" builtinId="9" hidden="1"/>
    <cellStyle name="Gevolgde hyperlink" xfId="1825" builtinId="9" hidden="1"/>
    <cellStyle name="Gevolgde hyperlink" xfId="1821" builtinId="9" hidden="1"/>
    <cellStyle name="Gevolgde hyperlink" xfId="1817" builtinId="9" hidden="1"/>
    <cellStyle name="Gevolgde hyperlink" xfId="1813" builtinId="9" hidden="1"/>
    <cellStyle name="Gevolgde hyperlink" xfId="1809" builtinId="9" hidden="1"/>
    <cellStyle name="Gevolgde hyperlink" xfId="1805" builtinId="9" hidden="1"/>
    <cellStyle name="Gevolgde hyperlink" xfId="1801" builtinId="9" hidden="1"/>
    <cellStyle name="Gevolgde hyperlink" xfId="1797" builtinId="9" hidden="1"/>
    <cellStyle name="Gevolgde hyperlink" xfId="1793" builtinId="9" hidden="1"/>
    <cellStyle name="Gevolgde hyperlink" xfId="1789" builtinId="9" hidden="1"/>
    <cellStyle name="Gevolgde hyperlink" xfId="1785" builtinId="9" hidden="1"/>
    <cellStyle name="Gevolgde hyperlink" xfId="1781" builtinId="9" hidden="1"/>
    <cellStyle name="Gevolgde hyperlink" xfId="1777" builtinId="9" hidden="1"/>
    <cellStyle name="Gevolgde hyperlink" xfId="1773" builtinId="9" hidden="1"/>
    <cellStyle name="Gevolgde hyperlink" xfId="1769" builtinId="9" hidden="1"/>
    <cellStyle name="Gevolgde hyperlink" xfId="1765" builtinId="9" hidden="1"/>
    <cellStyle name="Gevolgde hyperlink" xfId="1761" builtinId="9" hidden="1"/>
    <cellStyle name="Gevolgde hyperlink" xfId="1757" builtinId="9" hidden="1"/>
    <cellStyle name="Gevolgde hyperlink" xfId="1753" builtinId="9" hidden="1"/>
    <cellStyle name="Gevolgde hyperlink" xfId="1749" builtinId="9" hidden="1"/>
    <cellStyle name="Gevolgde hyperlink" xfId="1745" builtinId="9" hidden="1"/>
    <cellStyle name="Gevolgde hyperlink" xfId="1741" builtinId="9" hidden="1"/>
    <cellStyle name="Gevolgde hyperlink" xfId="1737" builtinId="9" hidden="1"/>
    <cellStyle name="Gevolgde hyperlink" xfId="1733" builtinId="9" hidden="1"/>
    <cellStyle name="Gevolgde hyperlink" xfId="1729" builtinId="9" hidden="1"/>
    <cellStyle name="Gevolgde hyperlink" xfId="1725" builtinId="9" hidden="1"/>
    <cellStyle name="Gevolgde hyperlink" xfId="1721" builtinId="9" hidden="1"/>
    <cellStyle name="Gevolgde hyperlink" xfId="1717" builtinId="9" hidden="1"/>
    <cellStyle name="Gevolgde hyperlink" xfId="1713" builtinId="9" hidden="1"/>
    <cellStyle name="Gevolgde hyperlink" xfId="1709" builtinId="9" hidden="1"/>
    <cellStyle name="Gevolgde hyperlink" xfId="1705" builtinId="9" hidden="1"/>
    <cellStyle name="Gevolgde hyperlink" xfId="1701" builtinId="9" hidden="1"/>
    <cellStyle name="Gevolgde hyperlink" xfId="1697" builtinId="9" hidden="1"/>
    <cellStyle name="Gevolgde hyperlink" xfId="1693" builtinId="9" hidden="1"/>
    <cellStyle name="Gevolgde hyperlink" xfId="1689" builtinId="9" hidden="1"/>
    <cellStyle name="Gevolgde hyperlink" xfId="1685" builtinId="9" hidden="1"/>
    <cellStyle name="Gevolgde hyperlink" xfId="1681" builtinId="9" hidden="1"/>
    <cellStyle name="Gevolgde hyperlink" xfId="1677" builtinId="9" hidden="1"/>
    <cellStyle name="Gevolgde hyperlink" xfId="1673" builtinId="9" hidden="1"/>
    <cellStyle name="Gevolgde hyperlink" xfId="1669" builtinId="9" hidden="1"/>
    <cellStyle name="Gevolgde hyperlink" xfId="1665" builtinId="9" hidden="1"/>
    <cellStyle name="Gevolgde hyperlink" xfId="1661" builtinId="9" hidden="1"/>
    <cellStyle name="Gevolgde hyperlink" xfId="1657" builtinId="9" hidden="1"/>
    <cellStyle name="Gevolgde hyperlink" xfId="1653" builtinId="9" hidden="1"/>
    <cellStyle name="Gevolgde hyperlink" xfId="1649" builtinId="9" hidden="1"/>
    <cellStyle name="Gevolgde hyperlink" xfId="1645" builtinId="9" hidden="1"/>
    <cellStyle name="Gevolgde hyperlink" xfId="1641" builtinId="9" hidden="1"/>
    <cellStyle name="Gevolgde hyperlink" xfId="1637" builtinId="9" hidden="1"/>
    <cellStyle name="Gevolgde hyperlink" xfId="1633" builtinId="9" hidden="1"/>
    <cellStyle name="Gevolgde hyperlink" xfId="1629" builtinId="9" hidden="1"/>
    <cellStyle name="Gevolgde hyperlink" xfId="1625" builtinId="9" hidden="1"/>
    <cellStyle name="Gevolgde hyperlink" xfId="1621" builtinId="9" hidden="1"/>
    <cellStyle name="Gevolgde hyperlink" xfId="1617" builtinId="9" hidden="1"/>
    <cellStyle name="Gevolgde hyperlink" xfId="1613" builtinId="9" hidden="1"/>
    <cellStyle name="Gevolgde hyperlink" xfId="1609" builtinId="9" hidden="1"/>
    <cellStyle name="Gevolgde hyperlink" xfId="1605" builtinId="9" hidden="1"/>
    <cellStyle name="Gevolgde hyperlink" xfId="1601" builtinId="9" hidden="1"/>
    <cellStyle name="Gevolgde hyperlink" xfId="1597" builtinId="9" hidden="1"/>
    <cellStyle name="Gevolgde hyperlink" xfId="1593" builtinId="9" hidden="1"/>
    <cellStyle name="Gevolgde hyperlink" xfId="1589" builtinId="9" hidden="1"/>
    <cellStyle name="Gevolgde hyperlink" xfId="1585" builtinId="9" hidden="1"/>
    <cellStyle name="Gevolgde hyperlink" xfId="1581" builtinId="9" hidden="1"/>
    <cellStyle name="Gevolgde hyperlink" xfId="1577" builtinId="9" hidden="1"/>
    <cellStyle name="Gevolgde hyperlink" xfId="1573" builtinId="9" hidden="1"/>
    <cellStyle name="Gevolgde hyperlink" xfId="1569" builtinId="9" hidden="1"/>
    <cellStyle name="Gevolgde hyperlink" xfId="1565" builtinId="9" hidden="1"/>
    <cellStyle name="Gevolgde hyperlink" xfId="1561" builtinId="9" hidden="1"/>
    <cellStyle name="Gevolgde hyperlink" xfId="1557" builtinId="9" hidden="1"/>
    <cellStyle name="Gevolgde hyperlink" xfId="1553" builtinId="9" hidden="1"/>
    <cellStyle name="Gevolgde hyperlink" xfId="1549" builtinId="9" hidden="1"/>
    <cellStyle name="Gevolgde hyperlink" xfId="1545" builtinId="9" hidden="1"/>
    <cellStyle name="Gevolgde hyperlink" xfId="1541" builtinId="9" hidden="1"/>
    <cellStyle name="Gevolgde hyperlink" xfId="1537" builtinId="9" hidden="1"/>
    <cellStyle name="Gevolgde hyperlink" xfId="1533" builtinId="9" hidden="1"/>
    <cellStyle name="Gevolgde hyperlink" xfId="1529" builtinId="9" hidden="1"/>
    <cellStyle name="Gevolgde hyperlink" xfId="1525" builtinId="9" hidden="1"/>
    <cellStyle name="Gevolgde hyperlink" xfId="1521" builtinId="9" hidden="1"/>
    <cellStyle name="Gevolgde hyperlink" xfId="1517" builtinId="9" hidden="1"/>
    <cellStyle name="Gevolgde hyperlink" xfId="1513" builtinId="9" hidden="1"/>
    <cellStyle name="Gevolgde hyperlink" xfId="1509" builtinId="9" hidden="1"/>
    <cellStyle name="Gevolgde hyperlink" xfId="1505" builtinId="9" hidden="1"/>
    <cellStyle name="Gevolgde hyperlink" xfId="1501" builtinId="9" hidden="1"/>
    <cellStyle name="Gevolgde hyperlink" xfId="1497" builtinId="9" hidden="1"/>
    <cellStyle name="Gevolgde hyperlink" xfId="1493" builtinId="9" hidden="1"/>
    <cellStyle name="Gevolgde hyperlink" xfId="1489" builtinId="9" hidden="1"/>
    <cellStyle name="Gevolgde hyperlink" xfId="1485" builtinId="9" hidden="1"/>
    <cellStyle name="Gevolgde hyperlink" xfId="1481" builtinId="9" hidden="1"/>
    <cellStyle name="Gevolgde hyperlink" xfId="1477" builtinId="9" hidden="1"/>
    <cellStyle name="Gevolgde hyperlink" xfId="1473" builtinId="9" hidden="1"/>
    <cellStyle name="Gevolgde hyperlink" xfId="1469" builtinId="9" hidden="1"/>
    <cellStyle name="Gevolgde hyperlink" xfId="1465" builtinId="9" hidden="1"/>
    <cellStyle name="Gevolgde hyperlink" xfId="1461" builtinId="9" hidden="1"/>
    <cellStyle name="Gevolgde hyperlink" xfId="1457" builtinId="9" hidden="1"/>
    <cellStyle name="Gevolgde hyperlink" xfId="1453" builtinId="9" hidden="1"/>
    <cellStyle name="Gevolgde hyperlink" xfId="1449" builtinId="9" hidden="1"/>
    <cellStyle name="Gevolgde hyperlink" xfId="1445" builtinId="9" hidden="1"/>
    <cellStyle name="Gevolgde hyperlink" xfId="1441" builtinId="9" hidden="1"/>
    <cellStyle name="Gevolgde hyperlink" xfId="1437" builtinId="9" hidden="1"/>
    <cellStyle name="Gevolgde hyperlink" xfId="1433" builtinId="9" hidden="1"/>
    <cellStyle name="Gevolgde hyperlink" xfId="1429" builtinId="9" hidden="1"/>
    <cellStyle name="Gevolgde hyperlink" xfId="1425" builtinId="9" hidden="1"/>
    <cellStyle name="Gevolgde hyperlink" xfId="1421" builtinId="9" hidden="1"/>
    <cellStyle name="Gevolgde hyperlink" xfId="1417" builtinId="9" hidden="1"/>
    <cellStyle name="Gevolgde hyperlink" xfId="1413" builtinId="9" hidden="1"/>
    <cellStyle name="Gevolgde hyperlink" xfId="1409" builtinId="9" hidden="1"/>
    <cellStyle name="Gevolgde hyperlink" xfId="1405" builtinId="9" hidden="1"/>
    <cellStyle name="Gevolgde hyperlink" xfId="1401" builtinId="9" hidden="1"/>
    <cellStyle name="Gevolgde hyperlink" xfId="1397" builtinId="9" hidden="1"/>
    <cellStyle name="Gevolgde hyperlink" xfId="1393" builtinId="9" hidden="1"/>
    <cellStyle name="Gevolgde hyperlink" xfId="1389" builtinId="9" hidden="1"/>
    <cellStyle name="Gevolgde hyperlink" xfId="1385" builtinId="9" hidden="1"/>
    <cellStyle name="Gevolgde hyperlink" xfId="1381" builtinId="9" hidden="1"/>
    <cellStyle name="Gevolgde hyperlink" xfId="1377" builtinId="9" hidden="1"/>
    <cellStyle name="Gevolgde hyperlink" xfId="1373" builtinId="9" hidden="1"/>
    <cellStyle name="Gevolgde hyperlink" xfId="1369" builtinId="9" hidden="1"/>
    <cellStyle name="Gevolgde hyperlink" xfId="1365" builtinId="9" hidden="1"/>
    <cellStyle name="Gevolgde hyperlink" xfId="1361" builtinId="9" hidden="1"/>
    <cellStyle name="Gevolgde hyperlink" xfId="1357" builtinId="9" hidden="1"/>
    <cellStyle name="Gevolgde hyperlink" xfId="1353" builtinId="9" hidden="1"/>
    <cellStyle name="Gevolgde hyperlink" xfId="1349" builtinId="9" hidden="1"/>
    <cellStyle name="Gevolgde hyperlink" xfId="1345" builtinId="9" hidden="1"/>
    <cellStyle name="Gevolgde hyperlink" xfId="1341" builtinId="9" hidden="1"/>
    <cellStyle name="Gevolgde hyperlink" xfId="1337" builtinId="9" hidden="1"/>
    <cellStyle name="Gevolgde hyperlink" xfId="1333" builtinId="9" hidden="1"/>
    <cellStyle name="Gevolgde hyperlink" xfId="1329" builtinId="9" hidden="1"/>
    <cellStyle name="Gevolgde hyperlink" xfId="1325" builtinId="9" hidden="1"/>
    <cellStyle name="Gevolgde hyperlink" xfId="1321" builtinId="9" hidden="1"/>
    <cellStyle name="Gevolgde hyperlink" xfId="1317" builtinId="9" hidden="1"/>
    <cellStyle name="Gevolgde hyperlink" xfId="1313" builtinId="9" hidden="1"/>
    <cellStyle name="Gevolgde hyperlink" xfId="1309" builtinId="9" hidden="1"/>
    <cellStyle name="Gevolgde hyperlink" xfId="1305" builtinId="9" hidden="1"/>
    <cellStyle name="Gevolgde hyperlink" xfId="1301" builtinId="9" hidden="1"/>
    <cellStyle name="Gevolgde hyperlink" xfId="1297" builtinId="9" hidden="1"/>
    <cellStyle name="Gevolgde hyperlink" xfId="1293" builtinId="9" hidden="1"/>
    <cellStyle name="Gevolgde hyperlink" xfId="1289" builtinId="9" hidden="1"/>
    <cellStyle name="Gevolgde hyperlink" xfId="1285" builtinId="9" hidden="1"/>
    <cellStyle name="Gevolgde hyperlink" xfId="1281" builtinId="9" hidden="1"/>
    <cellStyle name="Gevolgde hyperlink" xfId="1277" builtinId="9" hidden="1"/>
    <cellStyle name="Gevolgde hyperlink" xfId="1273" builtinId="9" hidden="1"/>
    <cellStyle name="Gevolgde hyperlink" xfId="1269" builtinId="9" hidden="1"/>
    <cellStyle name="Gevolgde hyperlink" xfId="1265" builtinId="9" hidden="1"/>
    <cellStyle name="Gevolgde hyperlink" xfId="1261" builtinId="9" hidden="1"/>
    <cellStyle name="Gevolgde hyperlink" xfId="1257" builtinId="9" hidden="1"/>
    <cellStyle name="Gevolgde hyperlink" xfId="1253" builtinId="9" hidden="1"/>
    <cellStyle name="Gevolgde hyperlink" xfId="1249" builtinId="9" hidden="1"/>
    <cellStyle name="Gevolgde hyperlink" xfId="1245" builtinId="9" hidden="1"/>
    <cellStyle name="Gevolgde hyperlink" xfId="1241" builtinId="9" hidden="1"/>
    <cellStyle name="Gevolgde hyperlink" xfId="1237" builtinId="9" hidden="1"/>
    <cellStyle name="Gevolgde hyperlink" xfId="1233" builtinId="9" hidden="1"/>
    <cellStyle name="Gevolgde hyperlink" xfId="1229" builtinId="9" hidden="1"/>
    <cellStyle name="Gevolgde hyperlink" xfId="1225" builtinId="9" hidden="1"/>
    <cellStyle name="Gevolgde hyperlink" xfId="1221" builtinId="9" hidden="1"/>
    <cellStyle name="Gevolgde hyperlink" xfId="1217" builtinId="9" hidden="1"/>
    <cellStyle name="Gevolgde hyperlink" xfId="1213" builtinId="9" hidden="1"/>
    <cellStyle name="Gevolgde hyperlink" xfId="1209" builtinId="9" hidden="1"/>
    <cellStyle name="Gevolgde hyperlink" xfId="1205" builtinId="9" hidden="1"/>
    <cellStyle name="Gevolgde hyperlink" xfId="1201" builtinId="9" hidden="1"/>
    <cellStyle name="Gevolgde hyperlink" xfId="1197" builtinId="9" hidden="1"/>
    <cellStyle name="Gevolgde hyperlink" xfId="1193" builtinId="9" hidden="1"/>
    <cellStyle name="Gevolgde hyperlink" xfId="1189" builtinId="9" hidden="1"/>
    <cellStyle name="Gevolgde hyperlink" xfId="1185" builtinId="9" hidden="1"/>
    <cellStyle name="Gevolgde hyperlink" xfId="1181" builtinId="9" hidden="1"/>
    <cellStyle name="Gevolgde hyperlink" xfId="1177" builtinId="9" hidden="1"/>
    <cellStyle name="Gevolgde hyperlink" xfId="1173" builtinId="9" hidden="1"/>
    <cellStyle name="Gevolgde hyperlink" xfId="1169" builtinId="9" hidden="1"/>
    <cellStyle name="Gevolgde hyperlink" xfId="1165" builtinId="9" hidden="1"/>
    <cellStyle name="Gevolgde hyperlink" xfId="1161" builtinId="9" hidden="1"/>
    <cellStyle name="Gevolgde hyperlink" xfId="1157" builtinId="9" hidden="1"/>
    <cellStyle name="Gevolgde hyperlink" xfId="1153" builtinId="9" hidden="1"/>
    <cellStyle name="Gevolgde hyperlink" xfId="1149" builtinId="9" hidden="1"/>
    <cellStyle name="Gevolgde hyperlink" xfId="1145" builtinId="9" hidden="1"/>
    <cellStyle name="Gevolgde hyperlink" xfId="1141" builtinId="9" hidden="1"/>
    <cellStyle name="Gevolgde hyperlink" xfId="1137" builtinId="9" hidden="1"/>
    <cellStyle name="Gevolgde hyperlink" xfId="1133" builtinId="9" hidden="1"/>
    <cellStyle name="Gevolgde hyperlink" xfId="1129" builtinId="9" hidden="1"/>
    <cellStyle name="Gevolgde hyperlink" xfId="1125" builtinId="9" hidden="1"/>
    <cellStyle name="Gevolgde hyperlink" xfId="1121" builtinId="9" hidden="1"/>
    <cellStyle name="Gevolgde hyperlink" xfId="1117" builtinId="9" hidden="1"/>
    <cellStyle name="Gevolgde hyperlink" xfId="1113" builtinId="9" hidden="1"/>
    <cellStyle name="Gevolgde hyperlink" xfId="1109" builtinId="9" hidden="1"/>
    <cellStyle name="Gevolgde hyperlink" xfId="1105" builtinId="9" hidden="1"/>
    <cellStyle name="Gevolgde hyperlink" xfId="1101" builtinId="9" hidden="1"/>
    <cellStyle name="Gevolgde hyperlink" xfId="1097" builtinId="9" hidden="1"/>
    <cellStyle name="Gevolgde hyperlink" xfId="1093" builtinId="9" hidden="1"/>
    <cellStyle name="Gevolgde hyperlink" xfId="1089" builtinId="9" hidden="1"/>
    <cellStyle name="Gevolgde hyperlink" xfId="1085" builtinId="9" hidden="1"/>
    <cellStyle name="Gevolgde hyperlink" xfId="1081" builtinId="9" hidden="1"/>
    <cellStyle name="Gevolgde hyperlink" xfId="1077" builtinId="9" hidden="1"/>
    <cellStyle name="Gevolgde hyperlink" xfId="1073" builtinId="9" hidden="1"/>
    <cellStyle name="Gevolgde hyperlink" xfId="1069" builtinId="9" hidden="1"/>
    <cellStyle name="Gevolgde hyperlink" xfId="1065" builtinId="9" hidden="1"/>
    <cellStyle name="Gevolgde hyperlink" xfId="1061" builtinId="9" hidden="1"/>
    <cellStyle name="Gevolgde hyperlink" xfId="1057" builtinId="9" hidden="1"/>
    <cellStyle name="Gevolgde hyperlink" xfId="1053" builtinId="9" hidden="1"/>
    <cellStyle name="Gevolgde hyperlink" xfId="1049" builtinId="9" hidden="1"/>
    <cellStyle name="Gevolgde hyperlink" xfId="1045" builtinId="9" hidden="1"/>
    <cellStyle name="Gevolgde hyperlink" xfId="1041" builtinId="9" hidden="1"/>
    <cellStyle name="Gevolgde hyperlink" xfId="1037" builtinId="9" hidden="1"/>
    <cellStyle name="Gevolgde hyperlink" xfId="1033" builtinId="9" hidden="1"/>
    <cellStyle name="Gevolgde hyperlink" xfId="1029" builtinId="9" hidden="1"/>
    <cellStyle name="Gevolgde hyperlink" xfId="1025" builtinId="9" hidden="1"/>
    <cellStyle name="Gevolgde hyperlink" xfId="1021" builtinId="9" hidden="1"/>
    <cellStyle name="Gevolgde hyperlink" xfId="1017" builtinId="9" hidden="1"/>
    <cellStyle name="Gevolgde hyperlink" xfId="1013" builtinId="9" hidden="1"/>
    <cellStyle name="Gevolgde hyperlink" xfId="1009" builtinId="9" hidden="1"/>
    <cellStyle name="Gevolgde hyperlink" xfId="1005" builtinId="9" hidden="1"/>
    <cellStyle name="Gevolgde hyperlink" xfId="1001" builtinId="9" hidden="1"/>
    <cellStyle name="Gevolgde hyperlink" xfId="997" builtinId="9" hidden="1"/>
    <cellStyle name="Gevolgde hyperlink" xfId="993" builtinId="9" hidden="1"/>
    <cellStyle name="Gevolgde hyperlink" xfId="989" builtinId="9" hidden="1"/>
    <cellStyle name="Gevolgde hyperlink" xfId="985" builtinId="9" hidden="1"/>
    <cellStyle name="Gevolgde hyperlink" xfId="981" builtinId="9" hidden="1"/>
    <cellStyle name="Gevolgde hyperlink" xfId="977" builtinId="9" hidden="1"/>
    <cellStyle name="Gevolgde hyperlink" xfId="973" builtinId="9" hidden="1"/>
    <cellStyle name="Gevolgde hyperlink" xfId="969" builtinId="9" hidden="1"/>
    <cellStyle name="Gevolgde hyperlink" xfId="965" builtinId="9" hidden="1"/>
    <cellStyle name="Gevolgde hyperlink" xfId="961" builtinId="9" hidden="1"/>
    <cellStyle name="Gevolgde hyperlink" xfId="957" builtinId="9" hidden="1"/>
    <cellStyle name="Gevolgde hyperlink" xfId="953" builtinId="9" hidden="1"/>
    <cellStyle name="Gevolgde hyperlink" xfId="949" builtinId="9" hidden="1"/>
    <cellStyle name="Gevolgde hyperlink" xfId="945" builtinId="9" hidden="1"/>
    <cellStyle name="Gevolgde hyperlink" xfId="941" builtinId="9" hidden="1"/>
    <cellStyle name="Gevolgde hyperlink" xfId="937" builtinId="9" hidden="1"/>
    <cellStyle name="Gevolgde hyperlink" xfId="933" builtinId="9" hidden="1"/>
    <cellStyle name="Gevolgde hyperlink" xfId="929" builtinId="9" hidden="1"/>
    <cellStyle name="Gevolgde hyperlink" xfId="925" builtinId="9" hidden="1"/>
    <cellStyle name="Gevolgde hyperlink" xfId="921" builtinId="9" hidden="1"/>
    <cellStyle name="Gevolgde hyperlink" xfId="917" builtinId="9" hidden="1"/>
    <cellStyle name="Gevolgde hyperlink" xfId="913" builtinId="9" hidden="1"/>
    <cellStyle name="Gevolgde hyperlink" xfId="909" builtinId="9" hidden="1"/>
    <cellStyle name="Gevolgde hyperlink" xfId="905" builtinId="9" hidden="1"/>
    <cellStyle name="Gevolgde hyperlink" xfId="901" builtinId="9" hidden="1"/>
    <cellStyle name="Gevolgde hyperlink" xfId="897" builtinId="9" hidden="1"/>
    <cellStyle name="Gevolgde hyperlink" xfId="893" builtinId="9" hidden="1"/>
    <cellStyle name="Gevolgde hyperlink" xfId="889" builtinId="9" hidden="1"/>
    <cellStyle name="Gevolgde hyperlink" xfId="885" builtinId="9" hidden="1"/>
    <cellStyle name="Gevolgde hyperlink" xfId="881" builtinId="9" hidden="1"/>
    <cellStyle name="Gevolgde hyperlink" xfId="877" builtinId="9" hidden="1"/>
    <cellStyle name="Gevolgde hyperlink" xfId="873" builtinId="9" hidden="1"/>
    <cellStyle name="Gevolgde hyperlink" xfId="869" builtinId="9" hidden="1"/>
    <cellStyle name="Gevolgde hyperlink" xfId="865" builtinId="9" hidden="1"/>
    <cellStyle name="Gevolgde hyperlink" xfId="861" builtinId="9" hidden="1"/>
    <cellStyle name="Gevolgde hyperlink" xfId="857" builtinId="9" hidden="1"/>
    <cellStyle name="Gevolgde hyperlink" xfId="853" builtinId="9" hidden="1"/>
    <cellStyle name="Gevolgde hyperlink" xfId="849" builtinId="9" hidden="1"/>
    <cellStyle name="Gevolgde hyperlink" xfId="845" builtinId="9" hidden="1"/>
    <cellStyle name="Gevolgde hyperlink" xfId="841" builtinId="9" hidden="1"/>
    <cellStyle name="Gevolgde hyperlink" xfId="837" builtinId="9" hidden="1"/>
    <cellStyle name="Gevolgde hyperlink" xfId="833" builtinId="9" hidden="1"/>
    <cellStyle name="Gevolgde hyperlink" xfId="829" builtinId="9" hidden="1"/>
    <cellStyle name="Gevolgde hyperlink" xfId="825" builtinId="9" hidden="1"/>
    <cellStyle name="Gevolgde hyperlink" xfId="821" builtinId="9" hidden="1"/>
    <cellStyle name="Gevolgde hyperlink" xfId="817" builtinId="9" hidden="1"/>
    <cellStyle name="Gevolgde hyperlink" xfId="813" builtinId="9" hidden="1"/>
    <cellStyle name="Gevolgde hyperlink" xfId="809" builtinId="9" hidden="1"/>
    <cellStyle name="Gevolgde hyperlink" xfId="805" builtinId="9" hidden="1"/>
    <cellStyle name="Gevolgde hyperlink" xfId="801" builtinId="9" hidden="1"/>
    <cellStyle name="Gevolgde hyperlink" xfId="797" builtinId="9" hidden="1"/>
    <cellStyle name="Gevolgde hyperlink" xfId="793" builtinId="9" hidden="1"/>
    <cellStyle name="Gevolgde hyperlink" xfId="789" builtinId="9" hidden="1"/>
    <cellStyle name="Gevolgde hyperlink" xfId="785" builtinId="9" hidden="1"/>
    <cellStyle name="Gevolgde hyperlink" xfId="781" builtinId="9" hidden="1"/>
    <cellStyle name="Gevolgde hyperlink" xfId="777" builtinId="9" hidden="1"/>
    <cellStyle name="Gevolgde hyperlink" xfId="773" builtinId="9" hidden="1"/>
    <cellStyle name="Gevolgde hyperlink" xfId="769" builtinId="9" hidden="1"/>
    <cellStyle name="Gevolgde hyperlink" xfId="765" builtinId="9" hidden="1"/>
    <cellStyle name="Gevolgde hyperlink" xfId="761" builtinId="9" hidden="1"/>
    <cellStyle name="Gevolgde hyperlink" xfId="757" builtinId="9" hidden="1"/>
    <cellStyle name="Gevolgde hyperlink" xfId="753" builtinId="9" hidden="1"/>
    <cellStyle name="Gevolgde hyperlink" xfId="749" builtinId="9" hidden="1"/>
    <cellStyle name="Gevolgde hyperlink" xfId="745" builtinId="9" hidden="1"/>
    <cellStyle name="Gevolgde hyperlink" xfId="741" builtinId="9" hidden="1"/>
    <cellStyle name="Gevolgde hyperlink" xfId="737" builtinId="9" hidden="1"/>
    <cellStyle name="Gevolgde hyperlink" xfId="733" builtinId="9" hidden="1"/>
    <cellStyle name="Gevolgde hyperlink" xfId="729" builtinId="9" hidden="1"/>
    <cellStyle name="Gevolgde hyperlink" xfId="725" builtinId="9" hidden="1"/>
    <cellStyle name="Gevolgde hyperlink" xfId="721" builtinId="9" hidden="1"/>
    <cellStyle name="Gevolgde hyperlink" xfId="717" builtinId="9" hidden="1"/>
    <cellStyle name="Gevolgde hyperlink" xfId="713" builtinId="9" hidden="1"/>
    <cellStyle name="Gevolgde hyperlink" xfId="709" builtinId="9" hidden="1"/>
    <cellStyle name="Gevolgde hyperlink" xfId="705" builtinId="9" hidden="1"/>
    <cellStyle name="Gevolgde hyperlink" xfId="701" builtinId="9" hidden="1"/>
    <cellStyle name="Gevolgde hyperlink" xfId="697" builtinId="9" hidden="1"/>
    <cellStyle name="Gevolgde hyperlink" xfId="693" builtinId="9" hidden="1"/>
    <cellStyle name="Gevolgde hyperlink" xfId="689" builtinId="9" hidden="1"/>
    <cellStyle name="Gevolgde hyperlink" xfId="685" builtinId="9" hidden="1"/>
    <cellStyle name="Gevolgde hyperlink" xfId="681" builtinId="9" hidden="1"/>
    <cellStyle name="Gevolgde hyperlink" xfId="677" builtinId="9" hidden="1"/>
    <cellStyle name="Gevolgde hyperlink" xfId="673" builtinId="9" hidden="1"/>
    <cellStyle name="Gevolgde hyperlink" xfId="669" builtinId="9" hidden="1"/>
    <cellStyle name="Gevolgde hyperlink" xfId="665" builtinId="9" hidden="1"/>
    <cellStyle name="Gevolgde hyperlink" xfId="661" builtinId="9" hidden="1"/>
    <cellStyle name="Gevolgde hyperlink" xfId="657" builtinId="9" hidden="1"/>
    <cellStyle name="Gevolgde hyperlink" xfId="653" builtinId="9" hidden="1"/>
    <cellStyle name="Gevolgde hyperlink" xfId="649" builtinId="9" hidden="1"/>
    <cellStyle name="Gevolgde hyperlink" xfId="645" builtinId="9" hidden="1"/>
    <cellStyle name="Gevolgde hyperlink" xfId="641" builtinId="9" hidden="1"/>
    <cellStyle name="Gevolgde hyperlink" xfId="637" builtinId="9" hidden="1"/>
    <cellStyle name="Gevolgde hyperlink" xfId="633" builtinId="9" hidden="1"/>
    <cellStyle name="Gevolgde hyperlink" xfId="629" builtinId="9" hidden="1"/>
    <cellStyle name="Gevolgde hyperlink" xfId="625" builtinId="9" hidden="1"/>
    <cellStyle name="Gevolgde hyperlink" xfId="621" builtinId="9" hidden="1"/>
    <cellStyle name="Gevolgde hyperlink" xfId="617" builtinId="9" hidden="1"/>
    <cellStyle name="Gevolgde hyperlink" xfId="613" builtinId="9" hidden="1"/>
    <cellStyle name="Gevolgde hyperlink" xfId="609" builtinId="9" hidden="1"/>
    <cellStyle name="Gevolgde hyperlink" xfId="605" builtinId="9" hidden="1"/>
    <cellStyle name="Gevolgde hyperlink" xfId="601" builtinId="9" hidden="1"/>
    <cellStyle name="Gevolgde hyperlink" xfId="597" builtinId="9" hidden="1"/>
    <cellStyle name="Gevolgde hyperlink" xfId="593" builtinId="9" hidden="1"/>
    <cellStyle name="Gevolgde hyperlink" xfId="589" builtinId="9" hidden="1"/>
    <cellStyle name="Gevolgde hyperlink" xfId="585" builtinId="9" hidden="1"/>
    <cellStyle name="Gevolgde hyperlink" xfId="581" builtinId="9" hidden="1"/>
    <cellStyle name="Gevolgde hyperlink" xfId="577" builtinId="9" hidden="1"/>
    <cellStyle name="Gevolgde hyperlink" xfId="573" builtinId="9" hidden="1"/>
    <cellStyle name="Gevolgde hyperlink" xfId="569" builtinId="9" hidden="1"/>
    <cellStyle name="Gevolgde hyperlink" xfId="565" builtinId="9" hidden="1"/>
    <cellStyle name="Gevolgde hyperlink" xfId="561" builtinId="9" hidden="1"/>
    <cellStyle name="Gevolgde hyperlink" xfId="557" builtinId="9" hidden="1"/>
    <cellStyle name="Gevolgde hyperlink" xfId="553" builtinId="9" hidden="1"/>
    <cellStyle name="Gevolgde hyperlink" xfId="549" builtinId="9" hidden="1"/>
    <cellStyle name="Gevolgde hyperlink" xfId="545" builtinId="9" hidden="1"/>
    <cellStyle name="Gevolgde hyperlink" xfId="541" builtinId="9" hidden="1"/>
    <cellStyle name="Gevolgde hyperlink" xfId="537" builtinId="9" hidden="1"/>
    <cellStyle name="Gevolgde hyperlink" xfId="533" builtinId="9" hidden="1"/>
    <cellStyle name="Gevolgde hyperlink" xfId="529" builtinId="9" hidden="1"/>
    <cellStyle name="Gevolgde hyperlink" xfId="525" builtinId="9" hidden="1"/>
    <cellStyle name="Gevolgde hyperlink" xfId="521" builtinId="9" hidden="1"/>
    <cellStyle name="Gevolgde hyperlink" xfId="517" builtinId="9" hidden="1"/>
    <cellStyle name="Gevolgde hyperlink" xfId="513" builtinId="9" hidden="1"/>
    <cellStyle name="Gevolgde hyperlink" xfId="509" builtinId="9" hidden="1"/>
    <cellStyle name="Gevolgde hyperlink" xfId="505" builtinId="9" hidden="1"/>
    <cellStyle name="Gevolgde hyperlink" xfId="501" builtinId="9" hidden="1"/>
    <cellStyle name="Gevolgde hyperlink" xfId="497" builtinId="9" hidden="1"/>
    <cellStyle name="Gevolgde hyperlink" xfId="493" builtinId="9" hidden="1"/>
    <cellStyle name="Gevolgde hyperlink" xfId="489" builtinId="9" hidden="1"/>
    <cellStyle name="Gevolgde hyperlink" xfId="485" builtinId="9" hidden="1"/>
    <cellStyle name="Gevolgde hyperlink" xfId="481" builtinId="9" hidden="1"/>
    <cellStyle name="Gevolgde hyperlink" xfId="477" builtinId="9" hidden="1"/>
    <cellStyle name="Gevolgde hyperlink" xfId="473" builtinId="9" hidden="1"/>
    <cellStyle name="Gevolgde hyperlink" xfId="469" builtinId="9" hidden="1"/>
    <cellStyle name="Gevolgde hyperlink" xfId="465" builtinId="9" hidden="1"/>
    <cellStyle name="Gevolgde hyperlink" xfId="461" builtinId="9" hidden="1"/>
    <cellStyle name="Gevolgde hyperlink" xfId="457" builtinId="9" hidden="1"/>
    <cellStyle name="Gevolgde hyperlink" xfId="453" builtinId="9" hidden="1"/>
    <cellStyle name="Gevolgde hyperlink" xfId="449" builtinId="9" hidden="1"/>
    <cellStyle name="Gevolgde hyperlink" xfId="445" builtinId="9" hidden="1"/>
    <cellStyle name="Gevolgde hyperlink" xfId="441" builtinId="9" hidden="1"/>
    <cellStyle name="Gevolgde hyperlink" xfId="437" builtinId="9" hidden="1"/>
    <cellStyle name="Gevolgde hyperlink" xfId="433" builtinId="9" hidden="1"/>
    <cellStyle name="Gevolgde hyperlink" xfId="429" builtinId="9" hidden="1"/>
    <cellStyle name="Gevolgde hyperlink" xfId="425" builtinId="9" hidden="1"/>
    <cellStyle name="Gevolgde hyperlink" xfId="421" builtinId="9" hidden="1"/>
    <cellStyle name="Gevolgde hyperlink" xfId="417" builtinId="9" hidden="1"/>
    <cellStyle name="Gevolgde hyperlink" xfId="413" builtinId="9" hidden="1"/>
    <cellStyle name="Gevolgde hyperlink" xfId="409" builtinId="9" hidden="1"/>
    <cellStyle name="Gevolgde hyperlink" xfId="405" builtinId="9" hidden="1"/>
    <cellStyle name="Gevolgde hyperlink" xfId="401" builtinId="9" hidden="1"/>
    <cellStyle name="Gevolgde hyperlink" xfId="397" builtinId="9" hidden="1"/>
    <cellStyle name="Gevolgde hyperlink" xfId="393" builtinId="9" hidden="1"/>
    <cellStyle name="Gevolgde hyperlink" xfId="389" builtinId="9" hidden="1"/>
    <cellStyle name="Gevolgde hyperlink" xfId="385" builtinId="9" hidden="1"/>
    <cellStyle name="Gevolgde hyperlink" xfId="381" builtinId="9" hidden="1"/>
    <cellStyle name="Gevolgde hyperlink" xfId="377" builtinId="9" hidden="1"/>
    <cellStyle name="Gevolgde hyperlink" xfId="373" builtinId="9" hidden="1"/>
    <cellStyle name="Gevolgde hyperlink" xfId="369" builtinId="9" hidden="1"/>
    <cellStyle name="Gevolgde hyperlink" xfId="365" builtinId="9" hidden="1"/>
    <cellStyle name="Gevolgde hyperlink" xfId="361" builtinId="9" hidden="1"/>
    <cellStyle name="Gevolgde hyperlink" xfId="357" builtinId="9" hidden="1"/>
    <cellStyle name="Gevolgde hyperlink" xfId="353" builtinId="9" hidden="1"/>
    <cellStyle name="Gevolgde hyperlink" xfId="349" builtinId="9" hidden="1"/>
    <cellStyle name="Gevolgde hyperlink" xfId="345" builtinId="9" hidden="1"/>
    <cellStyle name="Gevolgde hyperlink" xfId="341" builtinId="9" hidden="1"/>
    <cellStyle name="Gevolgde hyperlink" xfId="337" builtinId="9" hidden="1"/>
    <cellStyle name="Gevolgde hyperlink" xfId="333" builtinId="9" hidden="1"/>
    <cellStyle name="Gevolgde hyperlink" xfId="329" builtinId="9" hidden="1"/>
    <cellStyle name="Gevolgde hyperlink" xfId="325" builtinId="9" hidden="1"/>
    <cellStyle name="Gevolgde hyperlink" xfId="321" builtinId="9" hidden="1"/>
    <cellStyle name="Gevolgde hyperlink" xfId="317" builtinId="9" hidden="1"/>
    <cellStyle name="Gevolgde hyperlink" xfId="313" builtinId="9" hidden="1"/>
    <cellStyle name="Gevolgde hyperlink" xfId="309" builtinId="9" hidden="1"/>
    <cellStyle name="Gevolgde hyperlink" xfId="305" builtinId="9" hidden="1"/>
    <cellStyle name="Gevolgde hyperlink" xfId="301" builtinId="9" hidden="1"/>
    <cellStyle name="Gevolgde hyperlink" xfId="297" builtinId="9" hidden="1"/>
    <cellStyle name="Gevolgde hyperlink" xfId="293" builtinId="9" hidden="1"/>
    <cellStyle name="Gevolgde hyperlink" xfId="289" builtinId="9" hidden="1"/>
    <cellStyle name="Gevolgde hyperlink" xfId="285" builtinId="9" hidden="1"/>
    <cellStyle name="Gevolgde hyperlink" xfId="281" builtinId="9" hidden="1"/>
    <cellStyle name="Gevolgde hyperlink" xfId="277" builtinId="9" hidden="1"/>
    <cellStyle name="Gevolgde hyperlink" xfId="273" builtinId="9" hidden="1"/>
    <cellStyle name="Gevolgde hyperlink" xfId="269" builtinId="9" hidden="1"/>
    <cellStyle name="Gevolgde hyperlink" xfId="265" builtinId="9" hidden="1"/>
    <cellStyle name="Gevolgde hyperlink" xfId="261" builtinId="9" hidden="1"/>
    <cellStyle name="Gevolgde hyperlink" xfId="257" builtinId="9" hidden="1"/>
    <cellStyle name="Gevolgde hyperlink" xfId="253" builtinId="9" hidden="1"/>
    <cellStyle name="Gevolgde hyperlink" xfId="249" builtinId="9" hidden="1"/>
    <cellStyle name="Gevolgde hyperlink" xfId="245" builtinId="9" hidden="1"/>
    <cellStyle name="Gevolgde hyperlink" xfId="241" builtinId="9" hidden="1"/>
    <cellStyle name="Gevolgde hyperlink" xfId="237" builtinId="9" hidden="1"/>
    <cellStyle name="Gevolgde hyperlink" xfId="233" builtinId="9" hidden="1"/>
    <cellStyle name="Gevolgde hyperlink" xfId="229" builtinId="9" hidden="1"/>
    <cellStyle name="Gevolgde hyperlink" xfId="225" builtinId="9" hidden="1"/>
    <cellStyle name="Gevolgde hyperlink" xfId="221" builtinId="9" hidden="1"/>
    <cellStyle name="Gevolgde hyperlink" xfId="217" builtinId="9" hidden="1"/>
    <cellStyle name="Gevolgde hyperlink" xfId="213" builtinId="9" hidden="1"/>
    <cellStyle name="Gevolgde hyperlink" xfId="209" builtinId="9" hidden="1"/>
    <cellStyle name="Gevolgde hyperlink" xfId="205" builtinId="9" hidden="1"/>
    <cellStyle name="Gevolgde hyperlink" xfId="201" builtinId="9" hidden="1"/>
    <cellStyle name="Gevolgde hyperlink" xfId="197" builtinId="9" hidden="1"/>
    <cellStyle name="Gevolgde hyperlink" xfId="193" builtinId="9" hidden="1"/>
    <cellStyle name="Gevolgde hyperlink" xfId="189" builtinId="9" hidden="1"/>
    <cellStyle name="Gevolgde hyperlink" xfId="185" builtinId="9" hidden="1"/>
    <cellStyle name="Gevolgde hyperlink" xfId="181" builtinId="9" hidden="1"/>
    <cellStyle name="Gevolgde hyperlink" xfId="83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73" builtinId="9" hidden="1"/>
    <cellStyle name="Gevolgde hyperlink" xfId="165" builtinId="9" hidden="1"/>
    <cellStyle name="Gevolgde hyperlink" xfId="157" builtinId="9" hidden="1"/>
    <cellStyle name="Gevolgde hyperlink" xfId="149" builtinId="9" hidden="1"/>
    <cellStyle name="Gevolgde hyperlink" xfId="141" builtinId="9" hidden="1"/>
    <cellStyle name="Gevolgde hyperlink" xfId="133" builtinId="9" hidden="1"/>
    <cellStyle name="Gevolgde hyperlink" xfId="125" builtinId="9" hidden="1"/>
    <cellStyle name="Gevolgde hyperlink" xfId="117" builtinId="9" hidden="1"/>
    <cellStyle name="Gevolgde hyperlink" xfId="109" builtinId="9" hidden="1"/>
    <cellStyle name="Gevolgde hyperlink" xfId="101" builtinId="9" hidden="1"/>
    <cellStyle name="Gevolgde hyperlink" xfId="93" builtinId="9" hidden="1"/>
    <cellStyle name="Gevolgde hyperlink" xfId="85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9" builtinId="9" hidden="1"/>
    <cellStyle name="Gevolgde hyperlink" xfId="81" builtinId="9" hidden="1"/>
    <cellStyle name="Gevolgde hyperlink" xfId="77" builtinId="9" hidden="1"/>
    <cellStyle name="Gevolgde hyperlink" xfId="61" builtinId="9" hidden="1"/>
    <cellStyle name="Gevolgde hyperlink" xfId="43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45" builtinId="9" hidden="1"/>
    <cellStyle name="Gevolgde hyperlink" xfId="39" builtinId="9" hidden="1"/>
    <cellStyle name="Gevolgde hyperlink" xfId="41" builtinId="9" hidden="1"/>
    <cellStyle name="Gevolgde hyperlink" xfId="37" builtinId="9" hidden="1"/>
    <cellStyle name="Gevolgde hyperlink" xfId="35" builtinId="9" hidden="1"/>
    <cellStyle name="Goed" xfId="8" xr:uid="{00000000-0005-0000-0000-000068060000}"/>
    <cellStyle name="Goed 2" xfId="2559" xr:uid="{00000000-0005-0000-0000-000069060000}"/>
    <cellStyle name="Good" xfId="2560" xr:uid="{00000000-0005-0000-0000-00006A060000}"/>
    <cellStyle name="Heading 1" xfId="2561" xr:uid="{00000000-0005-0000-0000-00006B060000}"/>
    <cellStyle name="Heading 2" xfId="2562" xr:uid="{00000000-0005-0000-0000-00006C060000}"/>
    <cellStyle name="Heading 3" xfId="2563" xr:uid="{00000000-0005-0000-0000-00006D060000}"/>
    <cellStyle name="Heading 4" xfId="2564" xr:uid="{00000000-0005-0000-0000-00006E060000}"/>
    <cellStyle name="Hyperlink" xfId="1148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3" builtinId="8" hidden="1"/>
    <cellStyle name="Hyperlink" xfId="2515" builtinId="8" hidden="1"/>
    <cellStyle name="Hyperlink" xfId="2625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3" builtinId="8" hidden="1"/>
    <cellStyle name="Hyperlink" xfId="3315" builtinId="8" hidden="1"/>
    <cellStyle name="Hyperlink" xfId="3307" builtinId="8" hidden="1"/>
    <cellStyle name="Hyperlink" xfId="3299" builtinId="8" hidden="1"/>
    <cellStyle name="Hyperlink" xfId="3291" builtinId="8" hidden="1"/>
    <cellStyle name="Hyperlink" xfId="3283" builtinId="8" hidden="1"/>
    <cellStyle name="Hyperlink" xfId="3275" builtinId="8" hidden="1"/>
    <cellStyle name="Hyperlink" xfId="3267" builtinId="8" hidden="1"/>
    <cellStyle name="Hyperlink" xfId="3259" builtinId="8" hidden="1"/>
    <cellStyle name="Hyperlink" xfId="3251" builtinId="8" hidden="1"/>
    <cellStyle name="Hyperlink" xfId="3243" builtinId="8" hidden="1"/>
    <cellStyle name="Hyperlink" xfId="3235" builtinId="8" hidden="1"/>
    <cellStyle name="Hyperlink" xfId="3227" builtinId="8" hidden="1"/>
    <cellStyle name="Hyperlink" xfId="3219" builtinId="8" hidden="1"/>
    <cellStyle name="Hyperlink" xfId="3211" builtinId="8" hidden="1"/>
    <cellStyle name="Hyperlink" xfId="3203" builtinId="8" hidden="1"/>
    <cellStyle name="Hyperlink" xfId="3195" builtinId="8" hidden="1"/>
    <cellStyle name="Hyperlink" xfId="3187" builtinId="8" hidden="1"/>
    <cellStyle name="Hyperlink" xfId="3179" builtinId="8" hidden="1"/>
    <cellStyle name="Hyperlink" xfId="3171" builtinId="8" hidden="1"/>
    <cellStyle name="Hyperlink" xfId="3163" builtinId="8" hidden="1"/>
    <cellStyle name="Hyperlink" xfId="3155" builtinId="8" hidden="1"/>
    <cellStyle name="Hyperlink" xfId="3147" builtinId="8" hidden="1"/>
    <cellStyle name="Hyperlink" xfId="3139" builtinId="8" hidden="1"/>
    <cellStyle name="Hyperlink" xfId="3131" builtinId="8" hidden="1"/>
    <cellStyle name="Hyperlink" xfId="3123" builtinId="8" hidden="1"/>
    <cellStyle name="Hyperlink" xfId="3115" builtinId="8" hidden="1"/>
    <cellStyle name="Hyperlink" xfId="3107" builtinId="8" hidden="1"/>
    <cellStyle name="Hyperlink" xfId="3099" builtinId="8" hidden="1"/>
    <cellStyle name="Hyperlink" xfId="3091" builtinId="8" hidden="1"/>
    <cellStyle name="Hyperlink" xfId="3083" builtinId="8" hidden="1"/>
    <cellStyle name="Hyperlink" xfId="3075" builtinId="8" hidden="1"/>
    <cellStyle name="Hyperlink" xfId="3067" builtinId="8" hidden="1"/>
    <cellStyle name="Hyperlink" xfId="3059" builtinId="8" hidden="1"/>
    <cellStyle name="Hyperlink" xfId="3051" builtinId="8" hidden="1"/>
    <cellStyle name="Hyperlink" xfId="3043" builtinId="8" hidden="1"/>
    <cellStyle name="Hyperlink" xfId="3035" builtinId="8" hidden="1"/>
    <cellStyle name="Hyperlink" xfId="3027" builtinId="8" hidden="1"/>
    <cellStyle name="Hyperlink" xfId="3019" builtinId="8" hidden="1"/>
    <cellStyle name="Hyperlink" xfId="3011" builtinId="8" hidden="1"/>
    <cellStyle name="Hyperlink" xfId="3003" builtinId="8" hidden="1"/>
    <cellStyle name="Hyperlink" xfId="2995" builtinId="8" hidden="1"/>
    <cellStyle name="Hyperlink" xfId="2987" builtinId="8" hidden="1"/>
    <cellStyle name="Hyperlink" xfId="2979" builtinId="8" hidden="1"/>
    <cellStyle name="Hyperlink" xfId="2971" builtinId="8" hidden="1"/>
    <cellStyle name="Hyperlink" xfId="2963" builtinId="8" hidden="1"/>
    <cellStyle name="Hyperlink" xfId="2955" builtinId="8" hidden="1"/>
    <cellStyle name="Hyperlink" xfId="2947" builtinId="8" hidden="1"/>
    <cellStyle name="Hyperlink" xfId="2939" builtinId="8" hidden="1"/>
    <cellStyle name="Hyperlink" xfId="2931" builtinId="8" hidden="1"/>
    <cellStyle name="Hyperlink" xfId="2923" builtinId="8" hidden="1"/>
    <cellStyle name="Hyperlink" xfId="2915" builtinId="8" hidden="1"/>
    <cellStyle name="Hyperlink" xfId="2907" builtinId="8" hidden="1"/>
    <cellStyle name="Hyperlink" xfId="2899" builtinId="8" hidden="1"/>
    <cellStyle name="Hyperlink" xfId="2891" builtinId="8" hidden="1"/>
    <cellStyle name="Hyperlink" xfId="2883" builtinId="8" hidden="1"/>
    <cellStyle name="Hyperlink" xfId="2875" builtinId="8" hidden="1"/>
    <cellStyle name="Hyperlink" xfId="2867" builtinId="8" hidden="1"/>
    <cellStyle name="Hyperlink" xfId="2859" builtinId="8" hidden="1"/>
    <cellStyle name="Hyperlink" xfId="2851" builtinId="8" hidden="1"/>
    <cellStyle name="Hyperlink" xfId="2843" builtinId="8" hidden="1"/>
    <cellStyle name="Hyperlink" xfId="2835" builtinId="8" hidden="1"/>
    <cellStyle name="Hyperlink" xfId="2827" builtinId="8" hidden="1"/>
    <cellStyle name="Hyperlink" xfId="2819" builtinId="8" hidden="1"/>
    <cellStyle name="Hyperlink" xfId="2811" builtinId="8" hidden="1"/>
    <cellStyle name="Hyperlink" xfId="2803" builtinId="8" hidden="1"/>
    <cellStyle name="Hyperlink" xfId="2795" builtinId="8" hidden="1"/>
    <cellStyle name="Hyperlink" xfId="2787" builtinId="8" hidden="1"/>
    <cellStyle name="Hyperlink" xfId="2779" builtinId="8" hidden="1"/>
    <cellStyle name="Hyperlink" xfId="2771" builtinId="8" hidden="1"/>
    <cellStyle name="Hyperlink" xfId="2763" builtinId="8" hidden="1"/>
    <cellStyle name="Hyperlink" xfId="2755" builtinId="8" hidden="1"/>
    <cellStyle name="Hyperlink" xfId="2747" builtinId="8" hidden="1"/>
    <cellStyle name="Hyperlink" xfId="2739" builtinId="8" hidden="1"/>
    <cellStyle name="Hyperlink" xfId="2731" builtinId="8" hidden="1"/>
    <cellStyle name="Hyperlink" xfId="2723" builtinId="8" hidden="1"/>
    <cellStyle name="Hyperlink" xfId="2715" builtinId="8" hidden="1"/>
    <cellStyle name="Hyperlink" xfId="2707" builtinId="8" hidden="1"/>
    <cellStyle name="Hyperlink" xfId="2699" builtinId="8" hidden="1"/>
    <cellStyle name="Hyperlink" xfId="2691" builtinId="8" hidden="1"/>
    <cellStyle name="Hyperlink" xfId="2683" builtinId="8" hidden="1"/>
    <cellStyle name="Hyperlink" xfId="2675" builtinId="8" hidden="1"/>
    <cellStyle name="Hyperlink" xfId="2667" builtinId="8" hidden="1"/>
    <cellStyle name="Hyperlink" xfId="2659" builtinId="8" hidden="1"/>
    <cellStyle name="Hyperlink" xfId="2651" builtinId="8" hidden="1"/>
    <cellStyle name="Hyperlink" xfId="2643" builtinId="8" hidden="1"/>
    <cellStyle name="Hyperlink" xfId="2635" builtinId="8" hidden="1"/>
    <cellStyle name="Hyperlink" xfId="2627" builtinId="8" hidden="1"/>
    <cellStyle name="Hyperlink" xfId="2510" builtinId="8" hidden="1"/>
    <cellStyle name="Hyperlink" xfId="2502" builtinId="8" hidden="1"/>
    <cellStyle name="Hyperlink" xfId="2494" builtinId="8" hidden="1"/>
    <cellStyle name="Hyperlink" xfId="2486" builtinId="8" hidden="1"/>
    <cellStyle name="Hyperlink" xfId="2478" builtinId="8" hidden="1"/>
    <cellStyle name="Hyperlink" xfId="2470" builtinId="8" hidden="1"/>
    <cellStyle name="Hyperlink" xfId="2462" builtinId="8" hidden="1"/>
    <cellStyle name="Hyperlink" xfId="2454" builtinId="8" hidden="1"/>
    <cellStyle name="Hyperlink" xfId="2446" builtinId="8" hidden="1"/>
    <cellStyle name="Hyperlink" xfId="2438" builtinId="8" hidden="1"/>
    <cellStyle name="Hyperlink" xfId="2430" builtinId="8" hidden="1"/>
    <cellStyle name="Hyperlink" xfId="2422" builtinId="8" hidden="1"/>
    <cellStyle name="Hyperlink" xfId="2414" builtinId="8" hidden="1"/>
    <cellStyle name="Hyperlink" xfId="2406" builtinId="8" hidden="1"/>
    <cellStyle name="Hyperlink" xfId="2398" builtinId="8" hidden="1"/>
    <cellStyle name="Hyperlink" xfId="2390" builtinId="8" hidden="1"/>
    <cellStyle name="Hyperlink" xfId="2382" builtinId="8" hidden="1"/>
    <cellStyle name="Hyperlink" xfId="2374" builtinId="8" hidden="1"/>
    <cellStyle name="Hyperlink" xfId="2366" builtinId="8" hidden="1"/>
    <cellStyle name="Hyperlink" xfId="2358" builtinId="8" hidden="1"/>
    <cellStyle name="Hyperlink" xfId="2350" builtinId="8" hidden="1"/>
    <cellStyle name="Hyperlink" xfId="2342" builtinId="8" hidden="1"/>
    <cellStyle name="Hyperlink" xfId="2334" builtinId="8" hidden="1"/>
    <cellStyle name="Hyperlink" xfId="2326" builtinId="8" hidden="1"/>
    <cellStyle name="Hyperlink" xfId="2318" builtinId="8" hidden="1"/>
    <cellStyle name="Hyperlink" xfId="2310" builtinId="8" hidden="1"/>
    <cellStyle name="Hyperlink" xfId="2302" builtinId="8" hidden="1"/>
    <cellStyle name="Hyperlink" xfId="2294" builtinId="8" hidden="1"/>
    <cellStyle name="Hyperlink" xfId="2286" builtinId="8" hidden="1"/>
    <cellStyle name="Hyperlink" xfId="2278" builtinId="8" hidden="1"/>
    <cellStyle name="Hyperlink" xfId="2270" builtinId="8" hidden="1"/>
    <cellStyle name="Hyperlink" xfId="2262" builtinId="8" hidden="1"/>
    <cellStyle name="Hyperlink" xfId="2254" builtinId="8" hidden="1"/>
    <cellStyle name="Hyperlink" xfId="2246" builtinId="8" hidden="1"/>
    <cellStyle name="Hyperlink" xfId="2238" builtinId="8" hidden="1"/>
    <cellStyle name="Hyperlink" xfId="2230" builtinId="8" hidden="1"/>
    <cellStyle name="Hyperlink" xfId="2222" builtinId="8" hidden="1"/>
    <cellStyle name="Hyperlink" xfId="2214" builtinId="8" hidden="1"/>
    <cellStyle name="Hyperlink" xfId="2206" builtinId="8" hidden="1"/>
    <cellStyle name="Hyperlink" xfId="2198" builtinId="8" hidden="1"/>
    <cellStyle name="Hyperlink" xfId="2190" builtinId="8" hidden="1"/>
    <cellStyle name="Hyperlink" xfId="2182" builtinId="8" hidden="1"/>
    <cellStyle name="Hyperlink" xfId="2174" builtinId="8" hidden="1"/>
    <cellStyle name="Hyperlink" xfId="2166" builtinId="8" hidden="1"/>
    <cellStyle name="Hyperlink" xfId="2158" builtinId="8" hidden="1"/>
    <cellStyle name="Hyperlink" xfId="2150" builtinId="8" hidden="1"/>
    <cellStyle name="Hyperlink" xfId="2142" builtinId="8" hidden="1"/>
    <cellStyle name="Hyperlink" xfId="2134" builtinId="8" hidden="1"/>
    <cellStyle name="Hyperlink" xfId="2126" builtinId="8" hidden="1"/>
    <cellStyle name="Hyperlink" xfId="2118" builtinId="8" hidden="1"/>
    <cellStyle name="Hyperlink" xfId="2110" builtinId="8" hidden="1"/>
    <cellStyle name="Hyperlink" xfId="2102" builtinId="8" hidden="1"/>
    <cellStyle name="Hyperlink" xfId="2094" builtinId="8" hidden="1"/>
    <cellStyle name="Hyperlink" xfId="2086" builtinId="8" hidden="1"/>
    <cellStyle name="Hyperlink" xfId="2078" builtinId="8" hidden="1"/>
    <cellStyle name="Hyperlink" xfId="2070" builtinId="8" hidden="1"/>
    <cellStyle name="Hyperlink" xfId="2062" builtinId="8" hidden="1"/>
    <cellStyle name="Hyperlink" xfId="2054" builtinId="8" hidden="1"/>
    <cellStyle name="Hyperlink" xfId="2046" builtinId="8" hidden="1"/>
    <cellStyle name="Hyperlink" xfId="2038" builtinId="8" hidden="1"/>
    <cellStyle name="Hyperlink" xfId="2030" builtinId="8" hidden="1"/>
    <cellStyle name="Hyperlink" xfId="2022" builtinId="8" hidden="1"/>
    <cellStyle name="Hyperlink" xfId="2014" builtinId="8" hidden="1"/>
    <cellStyle name="Hyperlink" xfId="2006" builtinId="8" hidden="1"/>
    <cellStyle name="Hyperlink" xfId="1998" builtinId="8" hidden="1"/>
    <cellStyle name="Hyperlink" xfId="1990" builtinId="8" hidden="1"/>
    <cellStyle name="Hyperlink" xfId="1982" builtinId="8" hidden="1"/>
    <cellStyle name="Hyperlink" xfId="1974" builtinId="8" hidden="1"/>
    <cellStyle name="Hyperlink" xfId="1966" builtinId="8" hidden="1"/>
    <cellStyle name="Hyperlink" xfId="1958" builtinId="8" hidden="1"/>
    <cellStyle name="Hyperlink" xfId="1950" builtinId="8" hidden="1"/>
    <cellStyle name="Hyperlink" xfId="1942" builtinId="8" hidden="1"/>
    <cellStyle name="Hyperlink" xfId="1934" builtinId="8" hidden="1"/>
    <cellStyle name="Hyperlink" xfId="1926" builtinId="8" hidden="1"/>
    <cellStyle name="Hyperlink" xfId="1918" builtinId="8" hidden="1"/>
    <cellStyle name="Hyperlink" xfId="1910" builtinId="8" hidden="1"/>
    <cellStyle name="Hyperlink" xfId="1902" builtinId="8" hidden="1"/>
    <cellStyle name="Hyperlink" xfId="1894" builtinId="8" hidden="1"/>
    <cellStyle name="Hyperlink" xfId="1886" builtinId="8" hidden="1"/>
    <cellStyle name="Hyperlink" xfId="1878" builtinId="8" hidden="1"/>
    <cellStyle name="Hyperlink" xfId="1870" builtinId="8" hidden="1"/>
    <cellStyle name="Hyperlink" xfId="1862" builtinId="8" hidden="1"/>
    <cellStyle name="Hyperlink" xfId="1854" builtinId="8" hidden="1"/>
    <cellStyle name="Hyperlink" xfId="1846" builtinId="8" hidden="1"/>
    <cellStyle name="Hyperlink" xfId="1838" builtinId="8" hidden="1"/>
    <cellStyle name="Hyperlink" xfId="1830" builtinId="8" hidden="1"/>
    <cellStyle name="Hyperlink" xfId="1822" builtinId="8" hidden="1"/>
    <cellStyle name="Hyperlink" xfId="1814" builtinId="8" hidden="1"/>
    <cellStyle name="Hyperlink" xfId="1806" builtinId="8" hidden="1"/>
    <cellStyle name="Hyperlink" xfId="1798" builtinId="8" hidden="1"/>
    <cellStyle name="Hyperlink" xfId="1790" builtinId="8" hidden="1"/>
    <cellStyle name="Hyperlink" xfId="1782" builtinId="8" hidden="1"/>
    <cellStyle name="Hyperlink" xfId="1774" builtinId="8" hidden="1"/>
    <cellStyle name="Hyperlink" xfId="1766" builtinId="8" hidden="1"/>
    <cellStyle name="Hyperlink" xfId="1758" builtinId="8" hidden="1"/>
    <cellStyle name="Hyperlink" xfId="1750" builtinId="8" hidden="1"/>
    <cellStyle name="Hyperlink" xfId="1742" builtinId="8" hidden="1"/>
    <cellStyle name="Hyperlink" xfId="1734" builtinId="8" hidden="1"/>
    <cellStyle name="Hyperlink" xfId="1726" builtinId="8" hidden="1"/>
    <cellStyle name="Hyperlink" xfId="1718" builtinId="8" hidden="1"/>
    <cellStyle name="Hyperlink" xfId="1710" builtinId="8" hidden="1"/>
    <cellStyle name="Hyperlink" xfId="1702" builtinId="8" hidden="1"/>
    <cellStyle name="Hyperlink" xfId="1694" builtinId="8" hidden="1"/>
    <cellStyle name="Hyperlink" xfId="1686" builtinId="8" hidden="1"/>
    <cellStyle name="Hyperlink" xfId="1678" builtinId="8" hidden="1"/>
    <cellStyle name="Hyperlink" xfId="1670" builtinId="8" hidden="1"/>
    <cellStyle name="Hyperlink" xfId="1662" builtinId="8" hidden="1"/>
    <cellStyle name="Hyperlink" xfId="1654" builtinId="8" hidden="1"/>
    <cellStyle name="Hyperlink" xfId="1646" builtinId="8" hidden="1"/>
    <cellStyle name="Hyperlink" xfId="1638" builtinId="8" hidden="1"/>
    <cellStyle name="Hyperlink" xfId="1630" builtinId="8" hidden="1"/>
    <cellStyle name="Hyperlink" xfId="1622" builtinId="8" hidden="1"/>
    <cellStyle name="Hyperlink" xfId="1614" builtinId="8" hidden="1"/>
    <cellStyle name="Hyperlink" xfId="1606" builtinId="8" hidden="1"/>
    <cellStyle name="Hyperlink" xfId="1598" builtinId="8" hidden="1"/>
    <cellStyle name="Hyperlink" xfId="1590" builtinId="8" hidden="1"/>
    <cellStyle name="Hyperlink" xfId="1582" builtinId="8" hidden="1"/>
    <cellStyle name="Hyperlink" xfId="1574" builtinId="8" hidden="1"/>
    <cellStyle name="Hyperlink" xfId="1566" builtinId="8" hidden="1"/>
    <cellStyle name="Hyperlink" xfId="1558" builtinId="8" hidden="1"/>
    <cellStyle name="Hyperlink" xfId="1550" builtinId="8" hidden="1"/>
    <cellStyle name="Hyperlink" xfId="1542" builtinId="8" hidden="1"/>
    <cellStyle name="Hyperlink" xfId="1534" builtinId="8" hidden="1"/>
    <cellStyle name="Hyperlink" xfId="1526" builtinId="8" hidden="1"/>
    <cellStyle name="Hyperlink" xfId="1518" builtinId="8" hidden="1"/>
    <cellStyle name="Hyperlink" xfId="1510" builtinId="8" hidden="1"/>
    <cellStyle name="Hyperlink" xfId="1502" builtinId="8" hidden="1"/>
    <cellStyle name="Hyperlink" xfId="1494" builtinId="8" hidden="1"/>
    <cellStyle name="Hyperlink" xfId="1486" builtinId="8" hidden="1"/>
    <cellStyle name="Hyperlink" xfId="1478" builtinId="8" hidden="1"/>
    <cellStyle name="Hyperlink" xfId="1470" builtinId="8" hidden="1"/>
    <cellStyle name="Hyperlink" xfId="1462" builtinId="8" hidden="1"/>
    <cellStyle name="Hyperlink" xfId="1454" builtinId="8" hidden="1"/>
    <cellStyle name="Hyperlink" xfId="1446" builtinId="8" hidden="1"/>
    <cellStyle name="Hyperlink" xfId="1438" builtinId="8" hidden="1"/>
    <cellStyle name="Hyperlink" xfId="1430" builtinId="8" hidden="1"/>
    <cellStyle name="Hyperlink" xfId="1422" builtinId="8" hidden="1"/>
    <cellStyle name="Hyperlink" xfId="1414" builtinId="8" hidden="1"/>
    <cellStyle name="Hyperlink" xfId="1406" builtinId="8" hidden="1"/>
    <cellStyle name="Hyperlink" xfId="1398" builtinId="8" hidden="1"/>
    <cellStyle name="Hyperlink" xfId="1390" builtinId="8" hidden="1"/>
    <cellStyle name="Hyperlink" xfId="1382" builtinId="8" hidden="1"/>
    <cellStyle name="Hyperlink" xfId="1374" builtinId="8" hidden="1"/>
    <cellStyle name="Hyperlink" xfId="1366" builtinId="8" hidden="1"/>
    <cellStyle name="Hyperlink" xfId="1358" builtinId="8" hidden="1"/>
    <cellStyle name="Hyperlink" xfId="1350" builtinId="8" hidden="1"/>
    <cellStyle name="Hyperlink" xfId="1342" builtinId="8" hidden="1"/>
    <cellStyle name="Hyperlink" xfId="1334" builtinId="8" hidden="1"/>
    <cellStyle name="Hyperlink" xfId="1326" builtinId="8" hidden="1"/>
    <cellStyle name="Hyperlink" xfId="1318" builtinId="8" hidden="1"/>
    <cellStyle name="Hyperlink" xfId="1310" builtinId="8" hidden="1"/>
    <cellStyle name="Hyperlink" xfId="1302" builtinId="8" hidden="1"/>
    <cellStyle name="Hyperlink" xfId="1294" builtinId="8" hidden="1"/>
    <cellStyle name="Hyperlink" xfId="1286" builtinId="8" hidden="1"/>
    <cellStyle name="Hyperlink" xfId="1278" builtinId="8" hidden="1"/>
    <cellStyle name="Hyperlink" xfId="1270" builtinId="8" hidden="1"/>
    <cellStyle name="Hyperlink" xfId="1262" builtinId="8" hidden="1"/>
    <cellStyle name="Hyperlink" xfId="1254" builtinId="8" hidden="1"/>
    <cellStyle name="Hyperlink" xfId="1246" builtinId="8" hidden="1"/>
    <cellStyle name="Hyperlink" xfId="1238" builtinId="8" hidden="1"/>
    <cellStyle name="Hyperlink" xfId="1230" builtinId="8" hidden="1"/>
    <cellStyle name="Hyperlink" xfId="1222" builtinId="8" hidden="1"/>
    <cellStyle name="Hyperlink" xfId="1214" builtinId="8" hidden="1"/>
    <cellStyle name="Hyperlink" xfId="1206" builtinId="8" hidden="1"/>
    <cellStyle name="Hyperlink" xfId="1198" builtinId="8" hidden="1"/>
    <cellStyle name="Hyperlink" xfId="1190" builtinId="8" hidden="1"/>
    <cellStyle name="Hyperlink" xfId="1182" builtinId="8" hidden="1"/>
    <cellStyle name="Hyperlink" xfId="1174" builtinId="8" hidden="1"/>
    <cellStyle name="Hyperlink" xfId="1166" builtinId="8" hidden="1"/>
    <cellStyle name="Hyperlink" xfId="1158" builtinId="8" hidden="1"/>
    <cellStyle name="Hyperlink" xfId="115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34" builtinId="8" hidden="1"/>
    <cellStyle name="Hyperlink" xfId="1118" builtinId="8" hidden="1"/>
    <cellStyle name="Hyperlink" xfId="1102" builtinId="8" hidden="1"/>
    <cellStyle name="Hyperlink" xfId="1086" builtinId="8" hidden="1"/>
    <cellStyle name="Hyperlink" xfId="1070" builtinId="8" hidden="1"/>
    <cellStyle name="Hyperlink" xfId="1054" builtinId="8" hidden="1"/>
    <cellStyle name="Hyperlink" xfId="1038" builtinId="8" hidden="1"/>
    <cellStyle name="Hyperlink" xfId="1022" builtinId="8" hidden="1"/>
    <cellStyle name="Hyperlink" xfId="1006" builtinId="8" hidden="1"/>
    <cellStyle name="Hyperlink" xfId="990" builtinId="8" hidden="1"/>
    <cellStyle name="Hyperlink" xfId="974" builtinId="8" hidden="1"/>
    <cellStyle name="Hyperlink" xfId="958" builtinId="8" hidden="1"/>
    <cellStyle name="Hyperlink" xfId="942" builtinId="8" hidden="1"/>
    <cellStyle name="Hyperlink" xfId="926" builtinId="8" hidden="1"/>
    <cellStyle name="Hyperlink" xfId="910" builtinId="8" hidden="1"/>
    <cellStyle name="Hyperlink" xfId="894" builtinId="8" hidden="1"/>
    <cellStyle name="Hyperlink" xfId="878" builtinId="8" hidden="1"/>
    <cellStyle name="Hyperlink" xfId="862" builtinId="8" hidden="1"/>
    <cellStyle name="Hyperlink" xfId="846" builtinId="8" hidden="1"/>
    <cellStyle name="Hyperlink" xfId="830" builtinId="8" hidden="1"/>
    <cellStyle name="Hyperlink" xfId="814" builtinId="8" hidden="1"/>
    <cellStyle name="Hyperlink" xfId="798" builtinId="8" hidden="1"/>
    <cellStyle name="Hyperlink" xfId="782" builtinId="8" hidden="1"/>
    <cellStyle name="Hyperlink" xfId="766" builtinId="8" hidden="1"/>
    <cellStyle name="Hyperlink" xfId="750" builtinId="8" hidden="1"/>
    <cellStyle name="Hyperlink" xfId="734" builtinId="8" hidden="1"/>
    <cellStyle name="Hyperlink" xfId="718" builtinId="8" hidden="1"/>
    <cellStyle name="Hyperlink" xfId="702" builtinId="8" hidden="1"/>
    <cellStyle name="Hyperlink" xfId="686" builtinId="8" hidden="1"/>
    <cellStyle name="Hyperlink" xfId="670" builtinId="8" hidden="1"/>
    <cellStyle name="Hyperlink" xfId="654" builtinId="8" hidden="1"/>
    <cellStyle name="Hyperlink" xfId="638" builtinId="8" hidden="1"/>
    <cellStyle name="Hyperlink" xfId="622" builtinId="8" hidden="1"/>
    <cellStyle name="Hyperlink" xfId="606" builtinId="8" hidden="1"/>
    <cellStyle name="Hyperlink" xfId="590" builtinId="8" hidden="1"/>
    <cellStyle name="Hyperlink" xfId="574" builtinId="8" hidden="1"/>
    <cellStyle name="Hyperlink" xfId="558" builtinId="8" hidden="1"/>
    <cellStyle name="Hyperlink" xfId="542" builtinId="8" hidden="1"/>
    <cellStyle name="Hyperlink" xfId="526" builtinId="8" hidden="1"/>
    <cellStyle name="Hyperlink" xfId="510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494" builtinId="8" hidden="1"/>
    <cellStyle name="Hyperlink" xfId="462" builtinId="8" hidden="1"/>
    <cellStyle name="Hyperlink" xfId="430" builtinId="8" hidden="1"/>
    <cellStyle name="Hyperlink" xfId="398" builtinId="8" hidden="1"/>
    <cellStyle name="Hyperlink" xfId="366" builtinId="8" hidden="1"/>
    <cellStyle name="Hyperlink" xfId="334" builtinId="8" hidden="1"/>
    <cellStyle name="Hyperlink" xfId="302" builtinId="8" hidden="1"/>
    <cellStyle name="Hyperlink" xfId="270" builtinId="8" hidden="1"/>
    <cellStyle name="Hyperlink" xfId="140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06" builtinId="8" hidden="1"/>
    <cellStyle name="Hyperlink" xfId="142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40" builtinId="8" hidden="1"/>
    <cellStyle name="Hyperlink" xfId="42" builtinId="8" hidden="1"/>
    <cellStyle name="Hyperlink" xfId="44" builtinId="8" hidden="1"/>
    <cellStyle name="Hyperlink" xfId="36" builtinId="8" hidden="1"/>
    <cellStyle name="Hyperlink" xfId="38" builtinId="8" hidden="1"/>
    <cellStyle name="Hyperlink" xfId="34" builtinId="8" hidden="1"/>
    <cellStyle name="Hyperlink 2" xfId="2565" xr:uid="{00000000-0005-0000-0000-0000A70C0000}"/>
    <cellStyle name="Input" xfId="2566" xr:uid="{00000000-0005-0000-0000-0000A80C0000}"/>
    <cellStyle name="Invoer 2" xfId="2567" xr:uid="{00000000-0005-0000-0000-0000A90C0000}"/>
    <cellStyle name="Komma" xfId="9" builtinId="3"/>
    <cellStyle name="Komma [0]" xfId="10" builtinId="6"/>
    <cellStyle name="Komma 2" xfId="2568" xr:uid="{00000000-0005-0000-0000-0000AC0C0000}"/>
    <cellStyle name="Komma0" xfId="2569" xr:uid="{00000000-0005-0000-0000-0000AD0C0000}"/>
    <cellStyle name="kop" xfId="11" xr:uid="{00000000-0005-0000-0000-0000AE0C0000}"/>
    <cellStyle name="Kop 1 2" xfId="2570" xr:uid="{00000000-0005-0000-0000-0000AF0C0000}"/>
    <cellStyle name="Kop 2 2" xfId="2571" xr:uid="{00000000-0005-0000-0000-0000B00C0000}"/>
    <cellStyle name="Kop 3 2" xfId="2572" xr:uid="{00000000-0005-0000-0000-0000B10C0000}"/>
    <cellStyle name="Kop 4 2" xfId="2573" xr:uid="{00000000-0005-0000-0000-0000B20C0000}"/>
    <cellStyle name="Koppen_rekenblad" xfId="12" xr:uid="{00000000-0005-0000-0000-0000B30C0000}"/>
    <cellStyle name="koppenrekenblad2" xfId="13" xr:uid="{00000000-0005-0000-0000-0000B40C0000}"/>
    <cellStyle name="Linked Cell" xfId="2574" xr:uid="{00000000-0005-0000-0000-0000B50C0000}"/>
    <cellStyle name="m2" xfId="14" xr:uid="{00000000-0005-0000-0000-0000B60C0000}"/>
    <cellStyle name="Neutraal" xfId="15" xr:uid="{00000000-0005-0000-0000-0000B70C0000}"/>
    <cellStyle name="Neutraal 2" xfId="2575" xr:uid="{00000000-0005-0000-0000-0000B80C0000}"/>
    <cellStyle name="Neutral" xfId="2576" xr:uid="{00000000-0005-0000-0000-0000B90C0000}"/>
    <cellStyle name="Normaal 2" xfId="2512" xr:uid="{00000000-0005-0000-0000-0000BA0C0000}"/>
    <cellStyle name="Normaal 3" xfId="2517" xr:uid="{00000000-0005-0000-0000-0000BB0C0000}"/>
    <cellStyle name="Normaal 4" xfId="2577" xr:uid="{00000000-0005-0000-0000-0000BC0C0000}"/>
    <cellStyle name="Normal_ KLM-CTR(STA)-Recap.xls" xfId="16" xr:uid="{00000000-0005-0000-0000-0000BD0C0000}"/>
    <cellStyle name="Normal_AFRPPRIJS.xls" xfId="17" xr:uid="{00000000-0005-0000-0000-0000BE0C0000}"/>
    <cellStyle name="Normal_ATIR-Calc-Uurtarief 2001" xfId="18" xr:uid="{00000000-0005-0000-0000-0000BF0C0000}"/>
    <cellStyle name="Normal_CALCULATIEBLAD.XLS" xfId="19" xr:uid="{00000000-0005-0000-0000-0000C00C0000}"/>
    <cellStyle name="Normal_GH-Calc_perceel_1_en_2.xls" xfId="20" xr:uid="{00000000-0005-0000-0000-0000C10C0000}"/>
    <cellStyle name="Normal_GH-Calc_perceel_1_en_2.xls 2" xfId="3328" xr:uid="{00000000-0005-0000-0000-0000C20C0000}"/>
    <cellStyle name="Normal_glas locaties.xls" xfId="21" xr:uid="{00000000-0005-0000-0000-0000C30C0000}"/>
    <cellStyle name="Normal_SCH Purmerend-Calc-04.xls" xfId="22" xr:uid="{00000000-0005-0000-0000-0000C50C0000}"/>
    <cellStyle name="Normal_schoonmaaktot.xls" xfId="23" xr:uid="{00000000-0005-0000-0000-0000C60C0000}"/>
    <cellStyle name="Normal_Uurtarieven 2000 LEVERANCIER" xfId="24" xr:uid="{00000000-0005-0000-0000-0000C70C0000}"/>
    <cellStyle name="Normal_Workbook1_AFRPPRIJS.xls" xfId="25" xr:uid="{00000000-0005-0000-0000-0000C80C0000}"/>
    <cellStyle name="Note" xfId="2578" xr:uid="{00000000-0005-0000-0000-0000C90C0000}"/>
    <cellStyle name="Note 2" xfId="2579" xr:uid="{00000000-0005-0000-0000-0000CA0C0000}"/>
    <cellStyle name="Note_1.3-Basis ruimtestaat" xfId="2580" xr:uid="{00000000-0005-0000-0000-0000CB0C0000}"/>
    <cellStyle name="Notitie 2" xfId="2581" xr:uid="{00000000-0005-0000-0000-0000CC0C0000}"/>
    <cellStyle name="Ongedefinieerd" xfId="26" xr:uid="{00000000-0005-0000-0000-0000CD0C0000}"/>
    <cellStyle name="Ongeldig 2" xfId="2582" xr:uid="{00000000-0005-0000-0000-0000CE0C0000}"/>
    <cellStyle name="Output" xfId="2583" xr:uid="{00000000-0005-0000-0000-0000CF0C0000}"/>
    <cellStyle name="Procent" xfId="27" builtinId="5"/>
    <cellStyle name="Procent 2" xfId="2518" xr:uid="{00000000-0005-0000-0000-0000D10C0000}"/>
    <cellStyle name="Procent 2 2" xfId="2584" xr:uid="{00000000-0005-0000-0000-0000D20C0000}"/>
    <cellStyle name="Procent 2 3" xfId="2585" xr:uid="{00000000-0005-0000-0000-0000D30C0000}"/>
    <cellStyle name="Procent 3" xfId="2586" xr:uid="{00000000-0005-0000-0000-0000D40C0000}"/>
    <cellStyle name="Procent 3 2" xfId="2587" xr:uid="{00000000-0005-0000-0000-0000D50C0000}"/>
    <cellStyle name="Procent 4" xfId="2588" xr:uid="{00000000-0005-0000-0000-0000D60C0000}"/>
    <cellStyle name="Procent 4 2" xfId="2589" xr:uid="{00000000-0005-0000-0000-0000D70C0000}"/>
    <cellStyle name="Procent 5" xfId="2590" xr:uid="{00000000-0005-0000-0000-0000D80C0000}"/>
    <cellStyle name="Ruimtestaat_Koppen" xfId="28" xr:uid="{00000000-0005-0000-0000-0000D90C0000}"/>
    <cellStyle name="Standaard" xfId="0" builtinId="0"/>
    <cellStyle name="Standaard 10" xfId="2591" xr:uid="{00000000-0005-0000-0000-0000DB0C0000}"/>
    <cellStyle name="Standaard 11" xfId="2592" xr:uid="{00000000-0005-0000-0000-0000DC0C0000}"/>
    <cellStyle name="Standaard 11 2" xfId="2593" xr:uid="{00000000-0005-0000-0000-0000DD0C0000}"/>
    <cellStyle name="Standaard 12" xfId="2594" xr:uid="{00000000-0005-0000-0000-0000DE0C0000}"/>
    <cellStyle name="Standaard 13" xfId="2595" xr:uid="{00000000-0005-0000-0000-0000DF0C0000}"/>
    <cellStyle name="Standaard 14" xfId="3327" xr:uid="{00000000-0005-0000-0000-0000E00C0000}"/>
    <cellStyle name="Standaard 15" xfId="3330" xr:uid="{00000000-0005-0000-0000-0000E10C0000}"/>
    <cellStyle name="Standaard 16" xfId="3329" xr:uid="{00000000-0005-0000-0000-0000E20C0000}"/>
    <cellStyle name="Standaard 2" xfId="2596" xr:uid="{00000000-0005-0000-0000-0000E30C0000}"/>
    <cellStyle name="Standaard 2 2" xfId="2597" xr:uid="{00000000-0005-0000-0000-0000E40C0000}"/>
    <cellStyle name="Standaard 2_1.3a-Voorbewerking" xfId="2598" xr:uid="{00000000-0005-0000-0000-0000E50C0000}"/>
    <cellStyle name="Standaard 3" xfId="2599" xr:uid="{00000000-0005-0000-0000-0000E60C0000}"/>
    <cellStyle name="Standaard 3 2" xfId="2600" xr:uid="{00000000-0005-0000-0000-0000E70C0000}"/>
    <cellStyle name="Standaard 4" xfId="2601" xr:uid="{00000000-0005-0000-0000-0000E80C0000}"/>
    <cellStyle name="Standaard 4 2" xfId="2602" xr:uid="{00000000-0005-0000-0000-0000E90C0000}"/>
    <cellStyle name="Standaard 5" xfId="2603" xr:uid="{00000000-0005-0000-0000-0000EA0C0000}"/>
    <cellStyle name="Standaard 5 2" xfId="2604" xr:uid="{00000000-0005-0000-0000-0000EB0C0000}"/>
    <cellStyle name="Standaard 6" xfId="2605" xr:uid="{00000000-0005-0000-0000-0000EC0C0000}"/>
    <cellStyle name="Standaard 6 2" xfId="2606" xr:uid="{00000000-0005-0000-0000-0000ED0C0000}"/>
    <cellStyle name="Standaard 7" xfId="2607" xr:uid="{00000000-0005-0000-0000-0000EE0C0000}"/>
    <cellStyle name="Standaard 7 2" xfId="2608" xr:uid="{00000000-0005-0000-0000-0000EF0C0000}"/>
    <cellStyle name="Standaard 8" xfId="2609" xr:uid="{00000000-0005-0000-0000-0000F00C0000}"/>
    <cellStyle name="Standaard 9" xfId="2610" xr:uid="{00000000-0005-0000-0000-0000F10C0000}"/>
    <cellStyle name="Standaard 9 2" xfId="2611" xr:uid="{00000000-0005-0000-0000-0000F20C0000}"/>
    <cellStyle name="Standaard_Blad1" xfId="29" xr:uid="{00000000-0005-0000-0000-0000F30C0000}"/>
    <cellStyle name="Titel" xfId="30" xr:uid="{00000000-0005-0000-0000-0000F40C0000}"/>
    <cellStyle name="Titel 2" xfId="2612" xr:uid="{00000000-0005-0000-0000-0000F50C0000}"/>
    <cellStyle name="Title" xfId="2613" xr:uid="{00000000-0005-0000-0000-0000F60C0000}"/>
    <cellStyle name="Totaal" xfId="31" xr:uid="{00000000-0005-0000-0000-0000F70C0000}"/>
    <cellStyle name="Totaal 2" xfId="2614" xr:uid="{00000000-0005-0000-0000-0000F80C0000}"/>
    <cellStyle name="Total" xfId="2615" xr:uid="{00000000-0005-0000-0000-0000F90C0000}"/>
    <cellStyle name="Uitvoer 2" xfId="2616" xr:uid="{00000000-0005-0000-0000-0000FA0C0000}"/>
    <cellStyle name="Valuta" xfId="32" builtinId="4"/>
    <cellStyle name="Valuta 2" xfId="2617" xr:uid="{00000000-0005-0000-0000-0000FC0C0000}"/>
    <cellStyle name="Valuta 2 2" xfId="2618" xr:uid="{00000000-0005-0000-0000-0000FD0C0000}"/>
    <cellStyle name="Valuta 2 3" xfId="2619" xr:uid="{00000000-0005-0000-0000-0000FE0C0000}"/>
    <cellStyle name="Valuta 3" xfId="2620" xr:uid="{00000000-0005-0000-0000-0000FF0C0000}"/>
    <cellStyle name="Valuta0" xfId="2621" xr:uid="{00000000-0005-0000-0000-0000000D0000}"/>
    <cellStyle name="Verklarende tekst 2" xfId="2622" xr:uid="{00000000-0005-0000-0000-0000010D0000}"/>
    <cellStyle name="Waarschuwingstekst" xfId="33" xr:uid="{00000000-0005-0000-0000-0000020D0000}"/>
    <cellStyle name="Waarschuwingstekst 2" xfId="2623" xr:uid="{00000000-0005-0000-0000-0000030D0000}"/>
    <cellStyle name="Warning Text" xfId="2624" xr:uid="{00000000-0005-0000-0000-0000040D0000}"/>
  </cellStyles>
  <dxfs count="606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rgb="FFDFDCB5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ill>
        <patternFill patternType="solid">
          <fgColor indexed="64"/>
          <bgColor theme="2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ill>
        <patternFill patternType="none">
          <fgColor indexed="64"/>
          <bgColor indexed="65"/>
        </patternFill>
      </fill>
      <border>
        <left style="thin">
          <color rgb="FFFF9933"/>
        </left>
        <right style="thin">
          <color rgb="FFFF9933"/>
        </right>
        <top style="thin">
          <color rgb="FFFF9933"/>
        </top>
        <bottom style="thin">
          <color rgb="FFFF993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8</xdr:row>
      <xdr:rowOff>0</xdr:rowOff>
    </xdr:from>
    <xdr:to>
      <xdr:col>8</xdr:col>
      <xdr:colOff>939800</xdr:colOff>
      <xdr:row>9</xdr:row>
      <xdr:rowOff>76200</xdr:rowOff>
    </xdr:to>
    <xdr:sp macro="" textlink="">
      <xdr:nvSpPr>
        <xdr:cNvPr id="2" name="Pijl link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264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38100</xdr:colOff>
      <xdr:row>8</xdr:row>
      <xdr:rowOff>0</xdr:rowOff>
    </xdr:from>
    <xdr:to>
      <xdr:col>12</xdr:col>
      <xdr:colOff>914400</xdr:colOff>
      <xdr:row>9</xdr:row>
      <xdr:rowOff>76200</xdr:rowOff>
    </xdr:to>
    <xdr:sp macro="" textlink="">
      <xdr:nvSpPr>
        <xdr:cNvPr id="3" name="Pijl link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1582400" y="14732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50800</xdr:colOff>
      <xdr:row>24</xdr:row>
      <xdr:rowOff>0</xdr:rowOff>
    </xdr:from>
    <xdr:to>
      <xdr:col>8</xdr:col>
      <xdr:colOff>927100</xdr:colOff>
      <xdr:row>25</xdr:row>
      <xdr:rowOff>76200</xdr:rowOff>
    </xdr:to>
    <xdr:sp macro="" textlink="">
      <xdr:nvSpPr>
        <xdr:cNvPr id="4" name="Pijl link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251700" y="45339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63500</xdr:colOff>
      <xdr:row>39</xdr:row>
      <xdr:rowOff>0</xdr:rowOff>
    </xdr:from>
    <xdr:to>
      <xdr:col>8</xdr:col>
      <xdr:colOff>939800</xdr:colOff>
      <xdr:row>40</xdr:row>
      <xdr:rowOff>114300</xdr:rowOff>
    </xdr:to>
    <xdr:sp macro="" textlink="">
      <xdr:nvSpPr>
        <xdr:cNvPr id="6" name="Pijl link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64400" y="7277100"/>
          <a:ext cx="1828800" cy="2794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2">
              <a:lumMod val="2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63500" dist="38099" dir="2700000" sx="107000" sy="107000" algn="ctr" rotWithShape="0">
            <a:schemeClr val="bg1">
              <a:lumMod val="75000"/>
              <a:alpha val="43000"/>
            </a:schemeClr>
          </a:outerShdw>
        </a:effec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12700</xdr:rowOff>
    </xdr:from>
    <xdr:to>
      <xdr:col>4</xdr:col>
      <xdr:colOff>736690</xdr:colOff>
      <xdr:row>15</xdr:row>
      <xdr:rowOff>114300</xdr:rowOff>
    </xdr:to>
    <xdr:grpSp>
      <xdr:nvGrpSpPr>
        <xdr:cNvPr id="7" name="Groep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12700"/>
          <a:ext cx="3832315" cy="2949575"/>
          <a:chOff x="0" y="12700"/>
          <a:chExt cx="4546690" cy="2997200"/>
        </a:xfrm>
      </xdr:grpSpPr>
      <xdr:pic>
        <xdr:nvPicPr>
          <xdr:cNvPr id="8" name="Afbeelding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12700"/>
            <a:ext cx="4546690" cy="2997200"/>
          </a:xfrm>
          <a:prstGeom prst="rect">
            <a:avLst/>
          </a:prstGeom>
        </xdr:spPr>
      </xdr:pic>
      <xdr:sp macro="" textlink="">
        <xdr:nvSpPr>
          <xdr:cNvPr id="9" name="Rechthoek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092200" y="1290320"/>
            <a:ext cx="2552700" cy="525780"/>
          </a:xfrm>
          <a:prstGeom prst="rect">
            <a:avLst/>
          </a:prstGeom>
          <a:solidFill>
            <a:srgbClr val="FAFAF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wrap="square"/>
          <a:lstStyle/>
          <a:p>
            <a:endParaRPr lang="nl-NL"/>
          </a:p>
        </xdr:txBody>
      </xdr:sp>
    </xdr:grpSp>
    <xdr:clientData/>
  </xdr:twoCellAnchor>
  <xdr:oneCellAnchor>
    <xdr:from>
      <xdr:col>1</xdr:col>
      <xdr:colOff>508000</xdr:colOff>
      <xdr:row>6</xdr:row>
      <xdr:rowOff>127000</xdr:rowOff>
    </xdr:from>
    <xdr:ext cx="2768306" cy="830997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60500" y="1193800"/>
          <a:ext cx="2768306" cy="8309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>
              <a:latin typeface="Verdana"/>
              <a:cs typeface="Verdana"/>
            </a:rPr>
            <a:t>Handleiding </a:t>
          </a:r>
        </a:p>
        <a:p>
          <a:r>
            <a:rPr lang="nl-NL" sz="2400">
              <a:latin typeface="Verdana"/>
              <a:cs typeface="Verdana"/>
            </a:rPr>
            <a:t>calculatiemodule</a:t>
          </a:r>
        </a:p>
      </xdr:txBody>
    </xdr:sp>
    <xdr:clientData/>
  </xdr:oneCellAnchor>
  <xdr:twoCellAnchor>
    <xdr:from>
      <xdr:col>0</xdr:col>
      <xdr:colOff>622300</xdr:colOff>
      <xdr:row>30</xdr:row>
      <xdr:rowOff>190500</xdr:rowOff>
    </xdr:from>
    <xdr:to>
      <xdr:col>4</xdr:col>
      <xdr:colOff>228600</xdr:colOff>
      <xdr:row>37</xdr:row>
      <xdr:rowOff>50800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22300" y="5943600"/>
          <a:ext cx="2514600" cy="1054100"/>
        </a:xfrm>
        <a:prstGeom prst="rect">
          <a:avLst/>
        </a:prstGeom>
        <a:solidFill>
          <a:schemeClr val="bg1">
            <a:lumMod val="85000"/>
            <a:alpha val="64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Verdana"/>
              <a:cs typeface="Verdana"/>
            </a:rPr>
            <a:t>Gearceerde stappen zijn niet van toepassing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250</xdr:row>
      <xdr:rowOff>0</xdr:rowOff>
    </xdr:from>
    <xdr:to>
      <xdr:col>11</xdr:col>
      <xdr:colOff>0</xdr:colOff>
      <xdr:row>251</xdr:row>
      <xdr:rowOff>0</xdr:rowOff>
    </xdr:to>
    <xdr:sp macro="" textlink="">
      <xdr:nvSpPr>
        <xdr:cNvPr id="31042" name="Rounded Rectangle 4">
          <a:extLst>
            <a:ext uri="{FF2B5EF4-FFF2-40B4-BE49-F238E27FC236}">
              <a16:creationId xmlns:a16="http://schemas.microsoft.com/office/drawing/2014/main" id="{00000000-0008-0000-0300-000042790000}"/>
            </a:ext>
          </a:extLst>
        </xdr:cNvPr>
        <xdr:cNvSpPr>
          <a:spLocks noChangeArrowheads="1"/>
        </xdr:cNvSpPr>
      </xdr:nvSpPr>
      <xdr:spPr bwMode="auto">
        <a:xfrm>
          <a:off x="10833100" y="8191500"/>
          <a:ext cx="3200400" cy="292100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  <xdr:twoCellAnchor>
    <xdr:from>
      <xdr:col>12</xdr:col>
      <xdr:colOff>0</xdr:colOff>
      <xdr:row>250</xdr:row>
      <xdr:rowOff>1</xdr:rowOff>
    </xdr:from>
    <xdr:to>
      <xdr:col>14</xdr:col>
      <xdr:colOff>0</xdr:colOff>
      <xdr:row>250</xdr:row>
      <xdr:rowOff>285103</xdr:rowOff>
    </xdr:to>
    <xdr:sp macro="" textlink="">
      <xdr:nvSpPr>
        <xdr:cNvPr id="31043" name="Rounded Rectangle 5">
          <a:extLst>
            <a:ext uri="{FF2B5EF4-FFF2-40B4-BE49-F238E27FC236}">
              <a16:creationId xmlns:a16="http://schemas.microsoft.com/office/drawing/2014/main" id="{00000000-0008-0000-0300-000043790000}"/>
            </a:ext>
          </a:extLst>
        </xdr:cNvPr>
        <xdr:cNvSpPr>
          <a:spLocks noChangeArrowheads="1"/>
        </xdr:cNvSpPr>
      </xdr:nvSpPr>
      <xdr:spPr bwMode="auto">
        <a:xfrm>
          <a:off x="14941939" y="7749593"/>
          <a:ext cx="2954694" cy="285102"/>
        </a:xfrm>
        <a:prstGeom prst="roundRect">
          <a:avLst>
            <a:gd name="adj" fmla="val 16667"/>
          </a:avLst>
        </a:prstGeom>
        <a:noFill/>
        <a:ln w="9525">
          <a:solidFill>
            <a:srgbClr val="FF993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nl-N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piet\Documents\%20%20ICCA\Dashboard\14.%20CPOW\01.%20Contracten\02.%20Victoria\01.%2001-mei-16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K:\C:\Users\piet\Documents\%20%20ICCA\Dashboard\01.%20SPURD\02.%202018\01.%20SPURD%20gym\01.%20HSO\02.%20Contractmodule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Documents\%20%20ICCA\Projecten%20actief\Dolmans\Vreugedehil%202\Calculatiemodule%20VHil%20productie%20Pieter%20230819PBR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ron.ANCORABV\Documents\SPOOR\ICCA\Victoria%20Calculatiemodel%20P2%20V1%2001%20jul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Library\Containers\com.microsoft.Excel\Data\Library\Application%20Support\Microsoft\Calculatiemodule%20Perceel%203%20Opspoor%20Ancora%2001-jan-20%20V1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T:\C:\Users\ron.ANCORABV\Documents\SPOOR\ICCA\Calculatie%200602-34.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hhnk.nl\data\Users\piet\Documents\%20%20ICCA\Projecten%20actief\Vezet%202013\08.%20Vezet%202020\Incl.%20Ziekte\Calculatiemodule%20Vezet%2001-01-2020%20Low%20Care%20V3%2014-feb-20%20incl%20Jv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len"/>
      <sheetName val="1.5 Opbouw uurtarieven"/>
      <sheetName val="Voorblad"/>
      <sheetName val="Uitleg calculatiemodule"/>
      <sheetName val="1.0-Contractblad Productie"/>
      <sheetName val="1.0a-Contractblad Kantoren"/>
      <sheetName val="1.1-Jaarprijzen"/>
      <sheetName val="Jaarkalender"/>
      <sheetName val="1.3 Ruimtestaat Productie"/>
      <sheetName val="1.3a Ruimtestaat Kantoren"/>
      <sheetName val="1.3b-Mutaties"/>
      <sheetName val="1.6-Machine-investeringskosten"/>
      <sheetName val="1.7-Glasbewassing"/>
      <sheetName val="Programma"/>
    </sheetNames>
    <sheetDataSet>
      <sheetData sheetId="0">
        <row r="11">
          <cell r="B11" t="str">
            <v>PROGRAMMA CODE</v>
          </cell>
        </row>
        <row r="12">
          <cell r="B12" t="str">
            <v>-</v>
          </cell>
        </row>
        <row r="13">
          <cell r="B13" t="str">
            <v>901.010</v>
          </cell>
        </row>
        <row r="14">
          <cell r="B14" t="str">
            <v>901.012</v>
          </cell>
        </row>
        <row r="15">
          <cell r="B15" t="str">
            <v>901.052</v>
          </cell>
        </row>
        <row r="16">
          <cell r="B16" t="str">
            <v>901.099</v>
          </cell>
        </row>
        <row r="17">
          <cell r="B17" t="str">
            <v>901.256</v>
          </cell>
        </row>
        <row r="18">
          <cell r="B18" t="str">
            <v>902.256</v>
          </cell>
        </row>
        <row r="19">
          <cell r="B19" t="str">
            <v>903.010</v>
          </cell>
        </row>
        <row r="20">
          <cell r="B20" t="str">
            <v>903.052</v>
          </cell>
        </row>
        <row r="21">
          <cell r="B21" t="str">
            <v>903.099</v>
          </cell>
        </row>
        <row r="22">
          <cell r="B22" t="str">
            <v>903.256</v>
          </cell>
        </row>
        <row r="23">
          <cell r="B23" t="str">
            <v>904.012</v>
          </cell>
        </row>
        <row r="24">
          <cell r="B24" t="str">
            <v>904.052</v>
          </cell>
        </row>
        <row r="25">
          <cell r="B25" t="str">
            <v>904.099</v>
          </cell>
        </row>
        <row r="26">
          <cell r="B26" t="str">
            <v>904.104</v>
          </cell>
        </row>
        <row r="27">
          <cell r="B27" t="str">
            <v>904.010</v>
          </cell>
        </row>
        <row r="28">
          <cell r="B28" t="str">
            <v>904.156</v>
          </cell>
        </row>
        <row r="29">
          <cell r="B29" t="str">
            <v>904.256</v>
          </cell>
        </row>
        <row r="30">
          <cell r="B30" t="str">
            <v>906.012</v>
          </cell>
        </row>
        <row r="31">
          <cell r="B31" t="str">
            <v>906.052</v>
          </cell>
        </row>
        <row r="32">
          <cell r="B32" t="str">
            <v>906.104</v>
          </cell>
        </row>
        <row r="33">
          <cell r="B33" t="str">
            <v>906.256</v>
          </cell>
        </row>
        <row r="34">
          <cell r="B34" t="str">
            <v>907.004</v>
          </cell>
        </row>
        <row r="35">
          <cell r="B35" t="str">
            <v>907.012</v>
          </cell>
        </row>
        <row r="36">
          <cell r="B36" t="str">
            <v>907.052</v>
          </cell>
        </row>
        <row r="37">
          <cell r="B37" t="str">
            <v>907.256</v>
          </cell>
        </row>
        <row r="38">
          <cell r="B38" t="str">
            <v>911.256</v>
          </cell>
        </row>
        <row r="39">
          <cell r="B39" t="str">
            <v>915.012</v>
          </cell>
        </row>
        <row r="40">
          <cell r="B40" t="str">
            <v>915.052</v>
          </cell>
        </row>
        <row r="41">
          <cell r="B41" t="str">
            <v>915.099</v>
          </cell>
        </row>
        <row r="42">
          <cell r="B42" t="str">
            <v>915.010</v>
          </cell>
        </row>
        <row r="43">
          <cell r="B43" t="str">
            <v>915.156</v>
          </cell>
        </row>
        <row r="44">
          <cell r="B44" t="str">
            <v>915.256</v>
          </cell>
        </row>
        <row r="45">
          <cell r="B45" t="str">
            <v>916.052</v>
          </cell>
        </row>
        <row r="46">
          <cell r="B46" t="str">
            <v>916.156</v>
          </cell>
        </row>
        <row r="47">
          <cell r="B47" t="str">
            <v>917.256</v>
          </cell>
        </row>
        <row r="48">
          <cell r="B48" t="str">
            <v>918.012</v>
          </cell>
        </row>
        <row r="49">
          <cell r="B49" t="str">
            <v>918.052</v>
          </cell>
        </row>
        <row r="50">
          <cell r="B50" t="str">
            <v>919.256</v>
          </cell>
        </row>
        <row r="51">
          <cell r="B51" t="str">
            <v>920.256</v>
          </cell>
        </row>
        <row r="52">
          <cell r="B52" t="str">
            <v>Nvt</v>
          </cell>
        </row>
      </sheetData>
      <sheetData sheetId="1">
        <row r="18">
          <cell r="I18" t="str">
            <v>Lngr 1 : Vakvolwassen 3 jaar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5 Opbouw uurtarieven"/>
      <sheetName val="1.3-Basis ruimtestaa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Toelichting Calculatiemodel"/>
      <sheetName val="Voorblad"/>
      <sheetName val="1.0-Contractblad"/>
      <sheetName val="1.1a-Jaarprijzen"/>
      <sheetName val="Blad1"/>
      <sheetName val="1.3-Basis ruimtestaat"/>
      <sheetName val="1.3a-Mutaties"/>
      <sheetName val="1.3b Verrekening mutaties"/>
      <sheetName val="1.3a-Basis Mutatie"/>
      <sheetName val="1.5-Opbouw uurtarieven"/>
      <sheetName val="1.6-Machine-investeringskosten"/>
      <sheetName val="1.8-Afroepprijs"/>
      <sheetName val="1.9-Glasbewassing"/>
    </sheetNames>
    <sheetDataSet>
      <sheetData sheetId="0">
        <row r="16">
          <cell r="C16">
            <v>0</v>
          </cell>
        </row>
        <row r="17">
          <cell r="C17">
            <v>1040</v>
          </cell>
          <cell r="E17">
            <v>40</v>
          </cell>
          <cell r="F17" t="str">
            <v>administratieve -, personeels- en vergaderruimte</v>
          </cell>
          <cell r="G17" t="str">
            <v>40 keer per jaar</v>
          </cell>
          <cell r="H17">
            <v>0.122</v>
          </cell>
          <cell r="I17">
            <v>0.122</v>
          </cell>
          <cell r="J17">
            <v>0.13200000000000001</v>
          </cell>
          <cell r="K17">
            <v>0.107</v>
          </cell>
          <cell r="L17">
            <v>0.12075</v>
          </cell>
          <cell r="M17">
            <v>5.3999999999999999E-2</v>
          </cell>
          <cell r="N17">
            <v>5.3999999999999999E-2</v>
          </cell>
          <cell r="O17">
            <v>3.5999999999999997E-2</v>
          </cell>
          <cell r="P17">
            <v>2.4E-2</v>
          </cell>
          <cell r="Q17">
            <v>4.1999999999999996E-2</v>
          </cell>
          <cell r="R17">
            <v>245.77572964669739</v>
          </cell>
          <cell r="S17">
            <v>0</v>
          </cell>
          <cell r="U17" t="str">
            <v/>
          </cell>
          <cell r="W17" t="str">
            <v>V</v>
          </cell>
        </row>
        <row r="18">
          <cell r="C18" t="str">
            <v>01.040vl</v>
          </cell>
          <cell r="E18">
            <v>40</v>
          </cell>
          <cell r="F18" t="str">
            <v>administratieve -, personeels- en vergaderruimte</v>
          </cell>
          <cell r="G18" t="str">
            <v>40 keer per jaar</v>
          </cell>
          <cell r="H18">
            <v>0.122</v>
          </cell>
          <cell r="I18">
            <v>0.122</v>
          </cell>
          <cell r="J18">
            <v>0.13200000000000001</v>
          </cell>
          <cell r="K18">
            <v>0.107</v>
          </cell>
          <cell r="L18">
            <v>0.12075</v>
          </cell>
          <cell r="M18">
            <v>5.3999999999999999E-2</v>
          </cell>
          <cell r="N18">
            <v>5.3999999999999999E-2</v>
          </cell>
          <cell r="O18">
            <v>3.5999999999999997E-2</v>
          </cell>
          <cell r="P18">
            <v>2.4E-2</v>
          </cell>
          <cell r="Q18">
            <v>4.1999999999999996E-2</v>
          </cell>
          <cell r="R18">
            <v>245.77572964669739</v>
          </cell>
          <cell r="S18">
            <v>0</v>
          </cell>
          <cell r="U18" t="str">
            <v/>
          </cell>
          <cell r="W18" t="str">
            <v>V</v>
          </cell>
        </row>
        <row r="19">
          <cell r="C19">
            <v>1080</v>
          </cell>
          <cell r="E19">
            <v>80</v>
          </cell>
          <cell r="F19" t="str">
            <v>administratieve -, personeels- en vergaderruimte</v>
          </cell>
          <cell r="G19" t="str">
            <v>80 keer per jaar</v>
          </cell>
          <cell r="H19">
            <v>0.22</v>
          </cell>
          <cell r="I19">
            <v>0.22</v>
          </cell>
          <cell r="J19">
            <v>0.23799999999999999</v>
          </cell>
          <cell r="K19">
            <v>0.19400000000000001</v>
          </cell>
          <cell r="L19">
            <v>0.21799999999999997</v>
          </cell>
          <cell r="M19">
            <v>5.3999999999999999E-2</v>
          </cell>
          <cell r="N19">
            <v>5.3999999999999999E-2</v>
          </cell>
          <cell r="O19">
            <v>3.5999999999999997E-2</v>
          </cell>
          <cell r="P19">
            <v>2.4E-2</v>
          </cell>
          <cell r="Q19">
            <v>4.1999999999999996E-2</v>
          </cell>
          <cell r="R19">
            <v>307.69230769230774</v>
          </cell>
          <cell r="S19">
            <v>0</v>
          </cell>
          <cell r="U19" t="str">
            <v/>
          </cell>
          <cell r="W19" t="str">
            <v>V</v>
          </cell>
        </row>
        <row r="20">
          <cell r="C20">
            <v>1098</v>
          </cell>
          <cell r="E20">
            <v>98</v>
          </cell>
          <cell r="F20" t="str">
            <v>administratieve -, personeels- en vergaderruimte</v>
          </cell>
          <cell r="G20" t="str">
            <v>98 keer per jaar 49 weken</v>
          </cell>
          <cell r="H20">
            <v>0.26900000000000002</v>
          </cell>
          <cell r="I20">
            <v>0.26900000000000002</v>
          </cell>
          <cell r="J20">
            <v>0.29199999999999998</v>
          </cell>
          <cell r="K20">
            <v>0.23699999999999999</v>
          </cell>
          <cell r="L20">
            <v>0.26675000000000004</v>
          </cell>
          <cell r="M20">
            <v>5.3999999999999999E-2</v>
          </cell>
          <cell r="N20">
            <v>5.3999999999999999E-2</v>
          </cell>
          <cell r="O20">
            <v>3.5999999999999997E-2</v>
          </cell>
          <cell r="P20">
            <v>2.4E-2</v>
          </cell>
          <cell r="Q20">
            <v>4.1999999999999996E-2</v>
          </cell>
          <cell r="R20">
            <v>317.40890688259105</v>
          </cell>
          <cell r="S20">
            <v>0</v>
          </cell>
          <cell r="U20" t="str">
            <v/>
          </cell>
          <cell r="W20" t="str">
            <v>V</v>
          </cell>
        </row>
        <row r="21">
          <cell r="C21">
            <v>1200</v>
          </cell>
          <cell r="E21">
            <v>200</v>
          </cell>
          <cell r="F21" t="str">
            <v>administratieve -, personeels- en vergaderruimte</v>
          </cell>
          <cell r="G21" t="str">
            <v>200 keer per jaar</v>
          </cell>
          <cell r="H21">
            <v>0.45</v>
          </cell>
          <cell r="I21">
            <v>0.45</v>
          </cell>
          <cell r="J21">
            <v>0.48799999999999999</v>
          </cell>
          <cell r="K21">
            <v>0.39700000000000002</v>
          </cell>
          <cell r="L21">
            <v>0.44624999999999998</v>
          </cell>
          <cell r="M21">
            <v>5.3999999999999999E-2</v>
          </cell>
          <cell r="N21">
            <v>5.3999999999999999E-2</v>
          </cell>
          <cell r="O21">
            <v>3.5999999999999997E-2</v>
          </cell>
          <cell r="P21">
            <v>2.4E-2</v>
          </cell>
          <cell r="Q21">
            <v>4.1999999999999996E-2</v>
          </cell>
          <cell r="R21">
            <v>409.62621607782899</v>
          </cell>
          <cell r="S21">
            <v>1142.5169999999998</v>
          </cell>
          <cell r="U21">
            <v>6.6922538525128639E-2</v>
          </cell>
          <cell r="W21" t="str">
            <v>V</v>
          </cell>
        </row>
        <row r="22">
          <cell r="C22">
            <v>1251</v>
          </cell>
          <cell r="E22">
            <v>251</v>
          </cell>
          <cell r="F22" t="str">
            <v>administratieve -, personeels- en vergaderruimte</v>
          </cell>
          <cell r="G22" t="str">
            <v>251 keer per jaar</v>
          </cell>
          <cell r="H22">
            <v>0.56499999999999995</v>
          </cell>
          <cell r="I22">
            <v>0.56499999999999995</v>
          </cell>
          <cell r="J22">
            <v>0.61199999999999999</v>
          </cell>
          <cell r="K22">
            <v>0.498</v>
          </cell>
          <cell r="L22">
            <v>0.56000000000000005</v>
          </cell>
          <cell r="M22">
            <v>5.3999999999999999E-2</v>
          </cell>
          <cell r="N22">
            <v>5.3999999999999999E-2</v>
          </cell>
          <cell r="O22">
            <v>3.5999999999999997E-2</v>
          </cell>
          <cell r="P22">
            <v>2.4E-2</v>
          </cell>
          <cell r="Q22">
            <v>4.1999999999999996E-2</v>
          </cell>
          <cell r="R22">
            <v>416.94352159468434</v>
          </cell>
          <cell r="S22">
            <v>9.6999999999999993</v>
          </cell>
          <cell r="U22">
            <v>5.6817414856299541E-4</v>
          </cell>
          <cell r="W22" t="str">
            <v>V</v>
          </cell>
        </row>
        <row r="23">
          <cell r="C23">
            <v>2040</v>
          </cell>
          <cell r="E23">
            <v>40</v>
          </cell>
          <cell r="F23" t="str">
            <v>aula, gemeenschappelijke ruimte, bibliotheek</v>
          </cell>
          <cell r="G23" t="str">
            <v>40 keer per jaar</v>
          </cell>
          <cell r="H23">
            <v>0.10299999999999999</v>
          </cell>
          <cell r="I23">
            <v>0.10299999999999999</v>
          </cell>
          <cell r="J23">
            <v>0.112</v>
          </cell>
          <cell r="K23">
            <v>9.1999999999999998E-2</v>
          </cell>
          <cell r="L23">
            <v>0.10250000000000001</v>
          </cell>
          <cell r="M23">
            <v>0.107</v>
          </cell>
          <cell r="N23">
            <v>0.107</v>
          </cell>
          <cell r="O23">
            <v>0.107</v>
          </cell>
          <cell r="P23">
            <v>0.107</v>
          </cell>
          <cell r="Q23">
            <v>0.107</v>
          </cell>
          <cell r="R23">
            <v>190.93078758949878</v>
          </cell>
          <cell r="S23">
            <v>0</v>
          </cell>
          <cell r="U23" t="str">
            <v/>
          </cell>
          <cell r="W23" t="str">
            <v>V</v>
          </cell>
        </row>
        <row r="24">
          <cell r="C24">
            <v>2051</v>
          </cell>
          <cell r="E24">
            <v>51</v>
          </cell>
          <cell r="F24" t="str">
            <v>aula, gemeenschappelijke ruimte, bibliotheek</v>
          </cell>
          <cell r="G24" t="str">
            <v>51 keer per jaar</v>
          </cell>
          <cell r="H24">
            <v>0.13100000000000001</v>
          </cell>
          <cell r="I24">
            <v>0.13100000000000001</v>
          </cell>
          <cell r="J24">
            <v>0.14299999999999999</v>
          </cell>
          <cell r="K24">
            <v>0.11700000000000001</v>
          </cell>
          <cell r="L24">
            <v>0.1305</v>
          </cell>
          <cell r="M24">
            <v>0.107</v>
          </cell>
          <cell r="N24">
            <v>0.107</v>
          </cell>
          <cell r="O24">
            <v>0.107</v>
          </cell>
          <cell r="P24">
            <v>0.107</v>
          </cell>
          <cell r="Q24">
            <v>0.107</v>
          </cell>
          <cell r="R24">
            <v>214.73684210526318</v>
          </cell>
          <cell r="S24">
            <v>0</v>
          </cell>
          <cell r="U24" t="str">
            <v/>
          </cell>
          <cell r="W24" t="str">
            <v>V</v>
          </cell>
        </row>
        <row r="25">
          <cell r="C25">
            <v>2080</v>
          </cell>
          <cell r="E25">
            <v>80</v>
          </cell>
          <cell r="F25" t="str">
            <v>aula, gemeenschappelijke ruimte, bibliotheek</v>
          </cell>
          <cell r="G25" t="str">
            <v>80 keer per jaar</v>
          </cell>
          <cell r="H25">
            <v>0.186</v>
          </cell>
          <cell r="I25">
            <v>0.186</v>
          </cell>
          <cell r="J25">
            <v>0.20300000000000001</v>
          </cell>
          <cell r="K25">
            <v>0.16500000000000001</v>
          </cell>
          <cell r="L25">
            <v>0.185</v>
          </cell>
          <cell r="M25">
            <v>0.107</v>
          </cell>
          <cell r="N25">
            <v>0.107</v>
          </cell>
          <cell r="O25">
            <v>0.107</v>
          </cell>
          <cell r="P25">
            <v>0.107</v>
          </cell>
          <cell r="Q25">
            <v>0.107</v>
          </cell>
          <cell r="R25">
            <v>273.97260273972603</v>
          </cell>
          <cell r="S25">
            <v>0</v>
          </cell>
          <cell r="U25" t="str">
            <v/>
          </cell>
          <cell r="W25" t="str">
            <v>V</v>
          </cell>
        </row>
        <row r="26">
          <cell r="C26">
            <v>2200</v>
          </cell>
          <cell r="E26">
            <v>200</v>
          </cell>
          <cell r="F26" t="str">
            <v>aula, gemeenschappelijke ruimte, bibliotheek</v>
          </cell>
          <cell r="G26" t="str">
            <v>200 keer per jaar</v>
          </cell>
          <cell r="H26">
            <v>0.38100000000000001</v>
          </cell>
          <cell r="I26">
            <v>0.38100000000000001</v>
          </cell>
          <cell r="J26">
            <v>0.41499999999999998</v>
          </cell>
          <cell r="K26">
            <v>0.33900000000000002</v>
          </cell>
          <cell r="L26">
            <v>0.379</v>
          </cell>
          <cell r="M26">
            <v>0.107</v>
          </cell>
          <cell r="N26">
            <v>0.107</v>
          </cell>
          <cell r="O26">
            <v>0.107</v>
          </cell>
          <cell r="P26">
            <v>0.107</v>
          </cell>
          <cell r="Q26">
            <v>0.107</v>
          </cell>
          <cell r="R26">
            <v>411.52263374485597</v>
          </cell>
          <cell r="S26">
            <v>1874.1360000000002</v>
          </cell>
          <cell r="U26">
            <v>0.10977686866920186</v>
          </cell>
          <cell r="W26" t="str">
            <v>V</v>
          </cell>
        </row>
        <row r="27">
          <cell r="C27">
            <v>2240</v>
          </cell>
          <cell r="E27">
            <v>240</v>
          </cell>
          <cell r="F27" t="str">
            <v>aula, gemeenschappelijke ruimte, bibliotheek</v>
          </cell>
          <cell r="G27" t="str">
            <v>240 keer per jaar vakanties m.u.v. woensdag</v>
          </cell>
          <cell r="H27">
            <v>0.45700000000000002</v>
          </cell>
          <cell r="I27">
            <v>0.45700000000000002</v>
          </cell>
          <cell r="J27">
            <v>0.498</v>
          </cell>
          <cell r="K27">
            <v>0.40699999999999997</v>
          </cell>
          <cell r="L27">
            <v>0.45474999999999999</v>
          </cell>
          <cell r="M27">
            <v>0.107</v>
          </cell>
          <cell r="N27">
            <v>0.107</v>
          </cell>
          <cell r="O27">
            <v>0.107</v>
          </cell>
          <cell r="P27">
            <v>0.107</v>
          </cell>
          <cell r="Q27">
            <v>0.107</v>
          </cell>
          <cell r="R27">
            <v>427.23631508678238</v>
          </cell>
          <cell r="S27">
            <v>89.2</v>
          </cell>
          <cell r="U27">
            <v>5.2248591805999171E-3</v>
          </cell>
          <cell r="W27" t="str">
            <v>V</v>
          </cell>
        </row>
        <row r="28">
          <cell r="C28">
            <v>2210</v>
          </cell>
          <cell r="E28">
            <v>210</v>
          </cell>
          <cell r="F28" t="str">
            <v>aula, gemeenschappelijke ruimte, bibliotheek</v>
          </cell>
          <cell r="G28" t="str">
            <v>210 keer per jaar +  5 dagen Herfst en 5 dagen voorjaarvakantie</v>
          </cell>
          <cell r="H28">
            <v>0.62</v>
          </cell>
          <cell r="I28">
            <v>0.62</v>
          </cell>
          <cell r="J28">
            <v>0.65800000000000003</v>
          </cell>
          <cell r="K28">
            <v>0.57399999999999995</v>
          </cell>
          <cell r="L28">
            <v>0.61799999999999999</v>
          </cell>
          <cell r="M28">
            <v>0.107</v>
          </cell>
          <cell r="N28">
            <v>0.107</v>
          </cell>
          <cell r="O28">
            <v>0.107</v>
          </cell>
          <cell r="P28">
            <v>0.107</v>
          </cell>
          <cell r="Q28">
            <v>0.107</v>
          </cell>
          <cell r="R28">
            <v>289.65517241379314</v>
          </cell>
          <cell r="S28">
            <v>78.53</v>
          </cell>
          <cell r="U28">
            <v>4.5998676171806223E-3</v>
          </cell>
          <cell r="W28" t="str">
            <v>V</v>
          </cell>
        </row>
        <row r="29">
          <cell r="C29">
            <v>2251</v>
          </cell>
          <cell r="E29">
            <v>251</v>
          </cell>
          <cell r="F29" t="str">
            <v>aula, gemeenschappelijke ruimte, bibliotheek</v>
          </cell>
          <cell r="G29" t="str">
            <v>251 keer per jaar</v>
          </cell>
          <cell r="H29">
            <v>0.47799999999999998</v>
          </cell>
          <cell r="I29">
            <v>0.47799999999999998</v>
          </cell>
          <cell r="J29">
            <v>0.52100000000000002</v>
          </cell>
          <cell r="K29">
            <v>0.42499999999999999</v>
          </cell>
          <cell r="L29">
            <v>0.47549999999999998</v>
          </cell>
          <cell r="M29">
            <v>0.107</v>
          </cell>
          <cell r="N29">
            <v>0.107</v>
          </cell>
          <cell r="O29">
            <v>0.107</v>
          </cell>
          <cell r="P29">
            <v>0.107</v>
          </cell>
          <cell r="Q29">
            <v>0.107</v>
          </cell>
          <cell r="R29">
            <v>430.90128755364805</v>
          </cell>
          <cell r="S29">
            <v>189.5</v>
          </cell>
          <cell r="U29">
            <v>1.1099897026050272E-2</v>
          </cell>
          <cell r="W29" t="str">
            <v>V</v>
          </cell>
        </row>
        <row r="30">
          <cell r="C30">
            <v>3040</v>
          </cell>
          <cell r="E30">
            <v>40</v>
          </cell>
          <cell r="F30" t="str">
            <v>entree, gang, hal, repro, kopieer</v>
          </cell>
          <cell r="G30" t="str">
            <v>40 keer per jaar</v>
          </cell>
          <cell r="H30">
            <v>0.122</v>
          </cell>
          <cell r="I30">
            <v>0.122</v>
          </cell>
          <cell r="J30">
            <v>0.14499999999999999</v>
          </cell>
          <cell r="K30">
            <v>0.153</v>
          </cell>
          <cell r="L30">
            <v>0.13550000000000001</v>
          </cell>
          <cell r="M30">
            <v>0.107</v>
          </cell>
          <cell r="N30">
            <v>0.107</v>
          </cell>
          <cell r="O30">
            <v>0.122</v>
          </cell>
          <cell r="P30">
            <v>0.107</v>
          </cell>
          <cell r="Q30">
            <v>0.11074999999999999</v>
          </cell>
          <cell r="R30">
            <v>162.43654822335026</v>
          </cell>
          <cell r="S30">
            <v>0</v>
          </cell>
          <cell r="U30" t="str">
            <v/>
          </cell>
          <cell r="W30" t="str">
            <v>V</v>
          </cell>
        </row>
        <row r="31">
          <cell r="C31">
            <v>3080</v>
          </cell>
          <cell r="E31">
            <v>80</v>
          </cell>
          <cell r="F31" t="str">
            <v>entree, gang, hal, repro, kopieer</v>
          </cell>
          <cell r="G31" t="str">
            <v>80 keer per jaar</v>
          </cell>
          <cell r="H31">
            <v>0.22</v>
          </cell>
          <cell r="I31">
            <v>0.22</v>
          </cell>
          <cell r="J31">
            <v>0.26100000000000001</v>
          </cell>
          <cell r="K31">
            <v>0.27700000000000002</v>
          </cell>
          <cell r="L31">
            <v>0.24450000000000002</v>
          </cell>
          <cell r="M31">
            <v>0.107</v>
          </cell>
          <cell r="N31">
            <v>0.107</v>
          </cell>
          <cell r="O31">
            <v>0.122</v>
          </cell>
          <cell r="P31">
            <v>0.107</v>
          </cell>
          <cell r="Q31">
            <v>0.11074999999999999</v>
          </cell>
          <cell r="R31">
            <v>225.19352568613652</v>
          </cell>
          <cell r="S31">
            <v>40</v>
          </cell>
          <cell r="U31">
            <v>2.3429861796412182E-3</v>
          </cell>
          <cell r="W31" t="str">
            <v>V</v>
          </cell>
        </row>
        <row r="32">
          <cell r="C32">
            <v>3098</v>
          </cell>
          <cell r="E32">
            <v>98</v>
          </cell>
          <cell r="F32" t="str">
            <v>entree, gang, hal, repro, kopieer</v>
          </cell>
          <cell r="G32" t="str">
            <v>98 keer per jaar 49 weken</v>
          </cell>
          <cell r="H32">
            <v>0.27</v>
          </cell>
          <cell r="I32">
            <v>0.27</v>
          </cell>
          <cell r="J32">
            <v>0.32</v>
          </cell>
          <cell r="K32">
            <v>0.33900000000000002</v>
          </cell>
          <cell r="L32">
            <v>0.29975000000000002</v>
          </cell>
          <cell r="M32">
            <v>0.107</v>
          </cell>
          <cell r="N32">
            <v>0.107</v>
          </cell>
          <cell r="O32">
            <v>0.122</v>
          </cell>
          <cell r="P32">
            <v>0.107</v>
          </cell>
          <cell r="Q32">
            <v>0.11074999999999999</v>
          </cell>
          <cell r="R32">
            <v>238.73325213154692</v>
          </cell>
          <cell r="S32">
            <v>0</v>
          </cell>
          <cell r="U32" t="str">
            <v/>
          </cell>
          <cell r="W32" t="str">
            <v>V</v>
          </cell>
        </row>
        <row r="33">
          <cell r="C33">
            <v>3120</v>
          </cell>
          <cell r="E33">
            <v>120</v>
          </cell>
          <cell r="F33" t="str">
            <v>entree, gang, hal, repro, kopieer</v>
          </cell>
          <cell r="G33" t="str">
            <v>120 keer per jaar</v>
          </cell>
          <cell r="H33">
            <v>0.311</v>
          </cell>
          <cell r="I33">
            <v>0.311</v>
          </cell>
          <cell r="J33">
            <v>0.37</v>
          </cell>
          <cell r="K33">
            <v>0.39200000000000002</v>
          </cell>
          <cell r="L33">
            <v>0.34599999999999997</v>
          </cell>
          <cell r="M33">
            <v>0.107</v>
          </cell>
          <cell r="N33">
            <v>0.107</v>
          </cell>
          <cell r="O33">
            <v>0.122</v>
          </cell>
          <cell r="P33">
            <v>0.107</v>
          </cell>
          <cell r="Q33">
            <v>0.11074999999999999</v>
          </cell>
          <cell r="R33">
            <v>262.72577996715927</v>
          </cell>
          <cell r="S33">
            <v>0</v>
          </cell>
          <cell r="U33" t="str">
            <v/>
          </cell>
          <cell r="W33" t="str">
            <v>V</v>
          </cell>
        </row>
        <row r="34">
          <cell r="C34">
            <v>3200</v>
          </cell>
          <cell r="E34">
            <v>200</v>
          </cell>
          <cell r="F34" t="str">
            <v>entree, gang, hal, repro, kopieer</v>
          </cell>
          <cell r="G34" t="str">
            <v>200 keer per jaar</v>
          </cell>
          <cell r="H34">
            <v>0.45</v>
          </cell>
          <cell r="I34">
            <v>0.45</v>
          </cell>
          <cell r="J34">
            <v>0.53600000000000003</v>
          </cell>
          <cell r="K34">
            <v>0.56799999999999995</v>
          </cell>
          <cell r="L34">
            <v>0.501</v>
          </cell>
          <cell r="M34">
            <v>0.107</v>
          </cell>
          <cell r="N34">
            <v>0.107</v>
          </cell>
          <cell r="O34">
            <v>0.122</v>
          </cell>
          <cell r="P34">
            <v>0.107</v>
          </cell>
          <cell r="Q34">
            <v>0.11074999999999999</v>
          </cell>
          <cell r="R34">
            <v>326.93093583980385</v>
          </cell>
          <cell r="S34">
            <v>2461.962</v>
          </cell>
          <cell r="U34">
            <v>0.14420857352004632</v>
          </cell>
          <cell r="W34" t="str">
            <v>V</v>
          </cell>
        </row>
        <row r="35">
          <cell r="C35">
            <v>3210</v>
          </cell>
          <cell r="E35">
            <v>210</v>
          </cell>
          <cell r="F35" t="str">
            <v>entree, gang, hal, repro, kopieer</v>
          </cell>
          <cell r="G35" t="str">
            <v>210 keer per jaar +  5 dagen Herfst en 5 dagen voorjaarvakantie</v>
          </cell>
          <cell r="H35">
            <v>0.7</v>
          </cell>
          <cell r="I35">
            <v>0.7</v>
          </cell>
          <cell r="J35">
            <v>0.79100000000000004</v>
          </cell>
          <cell r="K35">
            <v>0.82599999999999996</v>
          </cell>
          <cell r="L35">
            <v>0.75424999999999998</v>
          </cell>
          <cell r="M35">
            <v>0.107</v>
          </cell>
          <cell r="N35">
            <v>0.107</v>
          </cell>
          <cell r="O35">
            <v>0.122</v>
          </cell>
          <cell r="P35">
            <v>0.107</v>
          </cell>
          <cell r="Q35">
            <v>0.11074999999999999</v>
          </cell>
          <cell r="R35" t="str">
            <v xml:space="preserve">           </v>
          </cell>
          <cell r="S35">
            <v>224.03000000000003</v>
          </cell>
          <cell r="U35">
            <v>1.3122479845625555E-2</v>
          </cell>
          <cell r="W35" t="str">
            <v>V</v>
          </cell>
        </row>
        <row r="36">
          <cell r="C36">
            <v>3233</v>
          </cell>
          <cell r="E36">
            <v>233</v>
          </cell>
          <cell r="F36" t="str">
            <v>entree, gang, hal, repro, kopieer</v>
          </cell>
          <cell r="G36" t="str">
            <v>233 keer per jaar</v>
          </cell>
          <cell r="H36">
            <v>0.52400000000000002</v>
          </cell>
          <cell r="I36">
            <v>0.52400000000000002</v>
          </cell>
          <cell r="J36">
            <v>0.624</v>
          </cell>
          <cell r="K36">
            <v>0.66200000000000003</v>
          </cell>
          <cell r="L36">
            <v>0.58350000000000002</v>
          </cell>
          <cell r="M36">
            <v>0.107</v>
          </cell>
          <cell r="N36">
            <v>0.107</v>
          </cell>
          <cell r="O36">
            <v>0.122</v>
          </cell>
          <cell r="P36">
            <v>0.107</v>
          </cell>
          <cell r="Q36">
            <v>0.11074999999999999</v>
          </cell>
          <cell r="R36">
            <v>335.61397191213536</v>
          </cell>
          <cell r="S36">
            <v>0</v>
          </cell>
          <cell r="U36" t="str">
            <v/>
          </cell>
          <cell r="W36" t="str">
            <v>V</v>
          </cell>
        </row>
        <row r="37">
          <cell r="C37">
            <v>3251</v>
          </cell>
          <cell r="E37">
            <v>251</v>
          </cell>
          <cell r="F37" t="str">
            <v>entree, gang, hal, repro, kopieer</v>
          </cell>
          <cell r="G37" t="str">
            <v>251 keer per jaar</v>
          </cell>
          <cell r="H37">
            <v>0.56399999999999995</v>
          </cell>
          <cell r="I37">
            <v>0.56399999999999995</v>
          </cell>
          <cell r="J37">
            <v>0.67300000000000004</v>
          </cell>
          <cell r="K37">
            <v>0.71299999999999997</v>
          </cell>
          <cell r="L37">
            <v>0.62849999999999995</v>
          </cell>
          <cell r="M37">
            <v>0.107</v>
          </cell>
          <cell r="N37">
            <v>0.107</v>
          </cell>
          <cell r="O37">
            <v>0.122</v>
          </cell>
          <cell r="P37">
            <v>0.107</v>
          </cell>
          <cell r="Q37">
            <v>0.11074999999999999</v>
          </cell>
          <cell r="R37">
            <v>339.53331078796077</v>
          </cell>
          <cell r="S37">
            <v>85.01</v>
          </cell>
          <cell r="U37">
            <v>4.9794313782824994E-3</v>
          </cell>
          <cell r="W37" t="str">
            <v>V</v>
          </cell>
        </row>
        <row r="38">
          <cell r="C38">
            <v>4080</v>
          </cell>
          <cell r="E38">
            <v>80</v>
          </cell>
          <cell r="F38" t="str">
            <v>sanitaire ruimte (toilet-/doucheruimte)</v>
          </cell>
          <cell r="G38" t="str">
            <v>80 keer per jaar</v>
          </cell>
          <cell r="H38">
            <v>1.1859999999999999</v>
          </cell>
          <cell r="I38">
            <v>1.1859999999999999</v>
          </cell>
          <cell r="J38">
            <v>1.208</v>
          </cell>
          <cell r="K38">
            <v>1.0680000000000001</v>
          </cell>
          <cell r="L38">
            <v>1.1619999999999999</v>
          </cell>
          <cell r="M38">
            <v>0.56899999999999995</v>
          </cell>
          <cell r="N38">
            <v>0.56899999999999995</v>
          </cell>
          <cell r="O38">
            <v>0.58399999999999996</v>
          </cell>
          <cell r="P38">
            <v>0.47499999999999998</v>
          </cell>
          <cell r="Q38">
            <v>0.54925000000000002</v>
          </cell>
          <cell r="R38">
            <v>46.749452154857565</v>
          </cell>
          <cell r="S38">
            <v>15</v>
          </cell>
          <cell r="U38">
            <v>8.7861981736545686E-4</v>
          </cell>
          <cell r="W38" t="str">
            <v>S</v>
          </cell>
        </row>
        <row r="39">
          <cell r="C39">
            <v>4120</v>
          </cell>
          <cell r="E39">
            <v>120</v>
          </cell>
          <cell r="F39" t="str">
            <v>sanitaire ruimte (toilet-/doucheruimte)</v>
          </cell>
          <cell r="G39" t="str">
            <v>120 keer per jaar</v>
          </cell>
          <cell r="H39">
            <v>1.677</v>
          </cell>
          <cell r="I39">
            <v>1.677</v>
          </cell>
          <cell r="J39">
            <v>1.708</v>
          </cell>
          <cell r="K39">
            <v>1.51</v>
          </cell>
          <cell r="L39">
            <v>1.643</v>
          </cell>
          <cell r="M39">
            <v>0.56899999999999995</v>
          </cell>
          <cell r="N39">
            <v>0.56899999999999995</v>
          </cell>
          <cell r="O39">
            <v>0.58399999999999996</v>
          </cell>
          <cell r="P39">
            <v>0.47499999999999998</v>
          </cell>
          <cell r="Q39">
            <v>0.54925000000000002</v>
          </cell>
          <cell r="R39">
            <v>54.738282586383853</v>
          </cell>
          <cell r="S39">
            <v>0</v>
          </cell>
          <cell r="U39" t="str">
            <v/>
          </cell>
          <cell r="W39" t="str">
            <v>S</v>
          </cell>
        </row>
        <row r="40">
          <cell r="C40">
            <v>4201</v>
          </cell>
          <cell r="E40">
            <v>201</v>
          </cell>
          <cell r="F40" t="str">
            <v>sanitaire ruimte (toilet-/doucheruimte)</v>
          </cell>
          <cell r="G40" t="str">
            <v>201 keer per jaar 52 weken m.u.v. woensdag</v>
          </cell>
          <cell r="H40">
            <v>2.4430000000000001</v>
          </cell>
          <cell r="I40">
            <v>2.4430000000000001</v>
          </cell>
          <cell r="J40">
            <v>2.4870000000000001</v>
          </cell>
          <cell r="K40">
            <v>2.1989999999999998</v>
          </cell>
          <cell r="L40">
            <v>2.3929999999999998</v>
          </cell>
          <cell r="M40">
            <v>0.56899999999999995</v>
          </cell>
          <cell r="N40">
            <v>0.56899999999999995</v>
          </cell>
          <cell r="O40">
            <v>0.58399999999999996</v>
          </cell>
          <cell r="P40">
            <v>0.47499999999999998</v>
          </cell>
          <cell r="Q40">
            <v>0.54925000000000002</v>
          </cell>
          <cell r="R40">
            <v>68.315065001274547</v>
          </cell>
          <cell r="S40">
            <v>14.4</v>
          </cell>
          <cell r="U40">
            <v>8.4347502467083861E-4</v>
          </cell>
          <cell r="W40" t="str">
            <v>S</v>
          </cell>
        </row>
        <row r="41">
          <cell r="C41">
            <v>4200</v>
          </cell>
          <cell r="E41">
            <v>200</v>
          </cell>
          <cell r="F41" t="str">
            <v>sanitaire ruimte (toilet-/doucheruimte)</v>
          </cell>
          <cell r="G41" t="str">
            <v>200 keer per jaar</v>
          </cell>
          <cell r="H41">
            <v>2.431</v>
          </cell>
          <cell r="I41">
            <v>2.431</v>
          </cell>
          <cell r="J41">
            <v>2.4750000000000001</v>
          </cell>
          <cell r="K41">
            <v>2.1880000000000002</v>
          </cell>
          <cell r="L41">
            <v>2.3812500000000001</v>
          </cell>
          <cell r="M41">
            <v>0.56899999999999995</v>
          </cell>
          <cell r="N41">
            <v>0.56899999999999995</v>
          </cell>
          <cell r="O41">
            <v>0.58399999999999996</v>
          </cell>
          <cell r="P41">
            <v>0.47499999999999998</v>
          </cell>
          <cell r="Q41">
            <v>0.54925000000000002</v>
          </cell>
          <cell r="R41">
            <v>68.247739293635888</v>
          </cell>
          <cell r="S41">
            <v>470.33000000000004</v>
          </cell>
          <cell r="U41">
            <v>2.7549417246766357E-2</v>
          </cell>
          <cell r="W41" t="str">
            <v>S</v>
          </cell>
        </row>
        <row r="42">
          <cell r="C42">
            <v>4210</v>
          </cell>
          <cell r="E42">
            <v>210</v>
          </cell>
          <cell r="F42" t="str">
            <v>sanitaire ruimte (toilet-/doucheruimte)</v>
          </cell>
          <cell r="G42" t="str">
            <v>210 keer per jaar +  5 dagen Herfst en 5 dagen voorjaarvakantie</v>
          </cell>
          <cell r="H42">
            <v>3.18</v>
          </cell>
          <cell r="I42">
            <v>3.18</v>
          </cell>
          <cell r="J42">
            <v>2.93</v>
          </cell>
          <cell r="K42">
            <v>2.6120000000000001</v>
          </cell>
          <cell r="L42">
            <v>2.9755000000000003</v>
          </cell>
          <cell r="M42">
            <v>0.56899999999999995</v>
          </cell>
          <cell r="N42">
            <v>0.56899999999999995</v>
          </cell>
          <cell r="O42">
            <v>0.58399999999999996</v>
          </cell>
          <cell r="P42">
            <v>0.47499999999999998</v>
          </cell>
          <cell r="Q42">
            <v>0.54925000000000002</v>
          </cell>
          <cell r="R42">
            <v>59.57869352436343</v>
          </cell>
          <cell r="S42">
            <v>49.980000000000004</v>
          </cell>
          <cell r="U42">
            <v>2.9275612314617026E-3</v>
          </cell>
          <cell r="W42" t="str">
            <v>S</v>
          </cell>
        </row>
        <row r="43">
          <cell r="C43">
            <v>4233</v>
          </cell>
          <cell r="E43">
            <v>233</v>
          </cell>
          <cell r="F43" t="str">
            <v>sanitaire ruimte (toilet-/doucheruimte)</v>
          </cell>
          <cell r="G43" t="str">
            <v>233 keer per jaar</v>
          </cell>
          <cell r="H43">
            <v>2.8319999999999999</v>
          </cell>
          <cell r="I43">
            <v>2.8319999999999999</v>
          </cell>
          <cell r="J43">
            <v>2.88</v>
          </cell>
          <cell r="K43">
            <v>2.5489999999999999</v>
          </cell>
          <cell r="L43">
            <v>2.77325</v>
          </cell>
          <cell r="M43">
            <v>0.56899999999999995</v>
          </cell>
          <cell r="N43">
            <v>0.56899999999999995</v>
          </cell>
          <cell r="O43">
            <v>0.58399999999999996</v>
          </cell>
          <cell r="P43">
            <v>0.47499999999999998</v>
          </cell>
          <cell r="Q43">
            <v>0.54925000000000002</v>
          </cell>
          <cell r="R43">
            <v>70.127915726109862</v>
          </cell>
          <cell r="S43">
            <v>0</v>
          </cell>
          <cell r="U43" t="str">
            <v/>
          </cell>
          <cell r="W43" t="str">
            <v>S</v>
          </cell>
        </row>
        <row r="44">
          <cell r="C44">
            <v>4251</v>
          </cell>
          <cell r="E44">
            <v>251</v>
          </cell>
          <cell r="F44" t="str">
            <v>sanitaire ruimte (toilet-/doucheruimte)</v>
          </cell>
          <cell r="G44" t="str">
            <v>251 keer per jaar</v>
          </cell>
          <cell r="H44">
            <v>3.0510000000000002</v>
          </cell>
          <cell r="I44">
            <v>3.0510000000000002</v>
          </cell>
          <cell r="J44">
            <v>3.1059999999999999</v>
          </cell>
          <cell r="K44">
            <v>2.746</v>
          </cell>
          <cell r="L44">
            <v>2.9885000000000002</v>
          </cell>
          <cell r="M44">
            <v>0.56899999999999995</v>
          </cell>
          <cell r="N44">
            <v>0.56899999999999995</v>
          </cell>
          <cell r="O44">
            <v>0.58399999999999996</v>
          </cell>
          <cell r="P44">
            <v>0.47499999999999998</v>
          </cell>
          <cell r="Q44">
            <v>0.54925000000000002</v>
          </cell>
          <cell r="R44">
            <v>70.949049537135181</v>
          </cell>
          <cell r="S44">
            <v>70.940000000000012</v>
          </cell>
          <cell r="U44">
            <v>4.1552859895937011E-3</v>
          </cell>
          <cell r="W44" t="str">
            <v>S</v>
          </cell>
        </row>
        <row r="45">
          <cell r="C45">
            <v>5040</v>
          </cell>
          <cell r="E45">
            <v>40</v>
          </cell>
          <cell r="F45" t="str">
            <v>keuken</v>
          </cell>
          <cell r="G45" t="str">
            <v>40 keer per jaar</v>
          </cell>
          <cell r="H45">
            <v>0.219</v>
          </cell>
          <cell r="I45">
            <v>0.219</v>
          </cell>
          <cell r="J45">
            <v>0.219</v>
          </cell>
          <cell r="K45">
            <v>0.219</v>
          </cell>
          <cell r="L45">
            <v>0.219</v>
          </cell>
          <cell r="M45">
            <v>0.22600000000000001</v>
          </cell>
          <cell r="N45">
            <v>0.22600000000000001</v>
          </cell>
          <cell r="O45">
            <v>0.22600000000000001</v>
          </cell>
          <cell r="P45">
            <v>0.22600000000000001</v>
          </cell>
          <cell r="Q45">
            <v>0.22600000000000001</v>
          </cell>
          <cell r="R45">
            <v>89.887640449438194</v>
          </cell>
          <cell r="S45">
            <v>0</v>
          </cell>
          <cell r="U45" t="str">
            <v/>
          </cell>
          <cell r="W45" t="str">
            <v>V</v>
          </cell>
        </row>
        <row r="46">
          <cell r="C46">
            <v>5200</v>
          </cell>
          <cell r="E46">
            <v>200</v>
          </cell>
          <cell r="F46" t="str">
            <v>pantry, keuken</v>
          </cell>
          <cell r="G46" t="str">
            <v>200 keer per jaar</v>
          </cell>
          <cell r="H46">
            <v>0.81</v>
          </cell>
          <cell r="I46">
            <v>0.81</v>
          </cell>
          <cell r="J46">
            <v>0.95599999999999996</v>
          </cell>
          <cell r="K46">
            <v>1.01</v>
          </cell>
          <cell r="L46">
            <v>0.89650000000000007</v>
          </cell>
          <cell r="M46">
            <v>0.22600000000000001</v>
          </cell>
          <cell r="N46">
            <v>0.22600000000000001</v>
          </cell>
          <cell r="O46">
            <v>0.25700000000000001</v>
          </cell>
          <cell r="P46">
            <v>0.06</v>
          </cell>
          <cell r="Q46">
            <v>0.19225000000000003</v>
          </cell>
          <cell r="R46">
            <v>183.69690011481055</v>
          </cell>
          <cell r="S46">
            <v>46.692</v>
          </cell>
          <cell r="U46">
            <v>2.7349677674951942E-3</v>
          </cell>
          <cell r="W46" t="str">
            <v>V</v>
          </cell>
        </row>
        <row r="47">
          <cell r="C47">
            <v>5240</v>
          </cell>
          <cell r="E47">
            <v>240</v>
          </cell>
          <cell r="F47" t="str">
            <v>pantry, keuken</v>
          </cell>
          <cell r="G47" t="str">
            <v>240 keer per jaar vakanties m.u.v. woensdag</v>
          </cell>
          <cell r="H47">
            <v>0.97199999999999998</v>
          </cell>
          <cell r="I47">
            <v>0.97199999999999998</v>
          </cell>
          <cell r="J47">
            <v>1.147</v>
          </cell>
          <cell r="K47">
            <v>1.212</v>
          </cell>
          <cell r="L47">
            <v>1.07575</v>
          </cell>
          <cell r="M47">
            <v>0.22600000000000001</v>
          </cell>
          <cell r="N47">
            <v>0.22600000000000001</v>
          </cell>
          <cell r="O47">
            <v>0.25700000000000001</v>
          </cell>
          <cell r="P47">
            <v>0.06</v>
          </cell>
          <cell r="Q47">
            <v>0.19225000000000003</v>
          </cell>
          <cell r="R47">
            <v>189.2744479495268</v>
          </cell>
          <cell r="S47">
            <v>12.7</v>
          </cell>
          <cell r="U47">
            <v>7.4389811203608679E-4</v>
          </cell>
          <cell r="W47" t="str">
            <v>V</v>
          </cell>
        </row>
        <row r="48">
          <cell r="C48">
            <v>5251</v>
          </cell>
          <cell r="E48">
            <v>251</v>
          </cell>
          <cell r="F48" t="str">
            <v>pantry, keuken</v>
          </cell>
          <cell r="G48" t="str">
            <v>251 keer per jaar</v>
          </cell>
          <cell r="H48">
            <v>1.0169999999999999</v>
          </cell>
          <cell r="I48">
            <v>1.0169999999999999</v>
          </cell>
          <cell r="J48">
            <v>1.2</v>
          </cell>
          <cell r="K48">
            <v>1.268</v>
          </cell>
          <cell r="L48">
            <v>1.1254999999999999</v>
          </cell>
          <cell r="M48">
            <v>0.22600000000000001</v>
          </cell>
          <cell r="N48">
            <v>0.22600000000000001</v>
          </cell>
          <cell r="O48">
            <v>0.25700000000000001</v>
          </cell>
          <cell r="P48">
            <v>0.06</v>
          </cell>
          <cell r="Q48">
            <v>0.19225000000000003</v>
          </cell>
          <cell r="R48">
            <v>190.47619047619048</v>
          </cell>
          <cell r="S48">
            <v>13.54</v>
          </cell>
          <cell r="U48">
            <v>7.9310082180855234E-4</v>
          </cell>
          <cell r="W48" t="str">
            <v>V</v>
          </cell>
        </row>
        <row r="49">
          <cell r="C49">
            <v>6040</v>
          </cell>
          <cell r="E49">
            <v>40</v>
          </cell>
          <cell r="F49" t="str">
            <v>speellokaal (peuterspeelzaal incl speelhuisje)</v>
          </cell>
          <cell r="G49" t="str">
            <v>40 keer per jaar</v>
          </cell>
          <cell r="H49">
            <v>0.11</v>
          </cell>
          <cell r="I49">
            <v>0.11</v>
          </cell>
          <cell r="J49">
            <v>0.11</v>
          </cell>
          <cell r="K49">
            <v>0.11</v>
          </cell>
          <cell r="L49">
            <v>0.11</v>
          </cell>
          <cell r="M49">
            <v>9.4E-2</v>
          </cell>
          <cell r="N49">
            <v>9.4E-2</v>
          </cell>
          <cell r="O49">
            <v>9.4E-2</v>
          </cell>
          <cell r="P49">
            <v>9.4E-2</v>
          </cell>
          <cell r="Q49">
            <v>9.4E-2</v>
          </cell>
          <cell r="R49">
            <v>196.07843137254901</v>
          </cell>
          <cell r="S49">
            <v>0</v>
          </cell>
          <cell r="U49" t="str">
            <v/>
          </cell>
          <cell r="W49" t="str">
            <v>L</v>
          </cell>
        </row>
        <row r="50">
          <cell r="C50">
            <v>6200</v>
          </cell>
          <cell r="E50">
            <v>200</v>
          </cell>
          <cell r="F50" t="str">
            <v>speellokaal (peuterspeelzaal incl speelhuisje)</v>
          </cell>
          <cell r="G50" t="str">
            <v>200 keer per jaar</v>
          </cell>
          <cell r="H50">
            <v>0.40200000000000002</v>
          </cell>
          <cell r="I50">
            <v>0.40200000000000002</v>
          </cell>
          <cell r="J50">
            <v>0.40200000000000002</v>
          </cell>
          <cell r="K50">
            <v>0.40200000000000002</v>
          </cell>
          <cell r="L50">
            <v>0.40200000000000002</v>
          </cell>
          <cell r="M50">
            <v>9.4E-2</v>
          </cell>
          <cell r="N50">
            <v>9.4E-2</v>
          </cell>
          <cell r="O50">
            <v>9.4E-2</v>
          </cell>
          <cell r="P50">
            <v>9.4E-2</v>
          </cell>
          <cell r="Q50">
            <v>9.4E-2</v>
          </cell>
          <cell r="R50">
            <v>403.22580645161293</v>
          </cell>
          <cell r="S50">
            <v>0</v>
          </cell>
          <cell r="U50" t="str">
            <v/>
          </cell>
          <cell r="W50" t="str">
            <v>L</v>
          </cell>
        </row>
        <row r="51">
          <cell r="C51">
            <v>7012</v>
          </cell>
          <cell r="E51">
            <v>12</v>
          </cell>
          <cell r="F51" t="str">
            <v>leslokaal</v>
          </cell>
          <cell r="G51" t="str">
            <v>12 keer per jaar</v>
          </cell>
          <cell r="H51">
            <v>0.05</v>
          </cell>
          <cell r="I51">
            <v>0.05</v>
          </cell>
          <cell r="J51">
            <v>0.05</v>
          </cell>
          <cell r="K51">
            <v>0.05</v>
          </cell>
          <cell r="L51">
            <v>0.05</v>
          </cell>
          <cell r="M51">
            <v>0.14799999999999999</v>
          </cell>
          <cell r="N51">
            <v>0.14799999999999999</v>
          </cell>
          <cell r="O51">
            <v>0.1</v>
          </cell>
          <cell r="P51">
            <v>7.0000000000000007E-2</v>
          </cell>
          <cell r="Q51">
            <v>0.11650000000000001</v>
          </cell>
          <cell r="R51">
            <v>72.072072072072075</v>
          </cell>
          <cell r="S51">
            <v>0</v>
          </cell>
          <cell r="U51" t="str">
            <v/>
          </cell>
        </row>
        <row r="52">
          <cell r="C52">
            <v>7040</v>
          </cell>
          <cell r="E52">
            <v>40</v>
          </cell>
          <cell r="F52" t="str">
            <v>leslokaal</v>
          </cell>
          <cell r="G52" t="str">
            <v>40 keer per jaar</v>
          </cell>
          <cell r="H52">
            <v>0.1404</v>
          </cell>
          <cell r="I52">
            <v>0.1404</v>
          </cell>
          <cell r="J52">
            <v>0.15</v>
          </cell>
          <cell r="K52">
            <v>0.129</v>
          </cell>
          <cell r="L52">
            <v>0.13994999999999999</v>
          </cell>
          <cell r="M52">
            <v>0.14799999999999999</v>
          </cell>
          <cell r="N52">
            <v>0.14799999999999999</v>
          </cell>
          <cell r="O52">
            <v>0.1</v>
          </cell>
          <cell r="P52">
            <v>7.0000000000000007E-2</v>
          </cell>
          <cell r="Q52">
            <v>0.11650000000000001</v>
          </cell>
          <cell r="R52">
            <v>155.97582374731917</v>
          </cell>
          <cell r="S52">
            <v>158.55000000000001</v>
          </cell>
          <cell r="U52">
            <v>9.2870114695528787E-3</v>
          </cell>
          <cell r="W52" t="str">
            <v>L</v>
          </cell>
        </row>
        <row r="53">
          <cell r="C53">
            <v>7051</v>
          </cell>
          <cell r="E53">
            <v>51</v>
          </cell>
          <cell r="F53" t="str">
            <v>leslokaal</v>
          </cell>
          <cell r="G53" t="str">
            <v>51 keer per jaar</v>
          </cell>
          <cell r="H53">
            <v>0.19</v>
          </cell>
          <cell r="I53">
            <v>0.1404</v>
          </cell>
          <cell r="J53">
            <v>0.191</v>
          </cell>
          <cell r="K53">
            <v>0.16500000000000001</v>
          </cell>
          <cell r="L53">
            <v>0.17160000000000003</v>
          </cell>
          <cell r="M53">
            <v>0.14799999999999999</v>
          </cell>
          <cell r="N53">
            <v>0.14799999999999999</v>
          </cell>
          <cell r="O53">
            <v>0.1</v>
          </cell>
          <cell r="P53">
            <v>7.0000000000000007E-2</v>
          </cell>
          <cell r="Q53">
            <v>0.11650000000000001</v>
          </cell>
          <cell r="R53">
            <v>177.02186740715027</v>
          </cell>
          <cell r="S53">
            <v>48.7</v>
          </cell>
          <cell r="U53">
            <v>2.8525856737131833E-3</v>
          </cell>
          <cell r="W53" t="str">
            <v>L</v>
          </cell>
        </row>
        <row r="54">
          <cell r="C54">
            <v>7080</v>
          </cell>
          <cell r="E54">
            <v>80</v>
          </cell>
          <cell r="F54" t="str">
            <v>leslokaal</v>
          </cell>
          <cell r="G54" t="str">
            <v>80 keer per jaar</v>
          </cell>
          <cell r="H54">
            <v>0.25380000000000003</v>
          </cell>
          <cell r="I54">
            <v>0.25380000000000003</v>
          </cell>
          <cell r="J54">
            <v>0.27</v>
          </cell>
          <cell r="K54">
            <v>0.23300000000000001</v>
          </cell>
          <cell r="L54">
            <v>0.25265000000000004</v>
          </cell>
          <cell r="M54">
            <v>0.14799999999999999</v>
          </cell>
          <cell r="N54">
            <v>0.14799999999999999</v>
          </cell>
          <cell r="O54">
            <v>0.1</v>
          </cell>
          <cell r="P54">
            <v>7.0000000000000007E-2</v>
          </cell>
          <cell r="Q54">
            <v>0.11650000000000001</v>
          </cell>
          <cell r="R54">
            <v>216.71407287010697</v>
          </cell>
          <cell r="S54">
            <v>147</v>
          </cell>
          <cell r="U54">
            <v>8.6104742101814763E-3</v>
          </cell>
          <cell r="W54" t="str">
            <v>L</v>
          </cell>
        </row>
        <row r="55">
          <cell r="C55">
            <v>7100</v>
          </cell>
          <cell r="E55">
            <v>100</v>
          </cell>
          <cell r="F55" t="str">
            <v>leslokaal</v>
          </cell>
          <cell r="G55" t="str">
            <v>100 keer per jaar (om de dag)</v>
          </cell>
          <cell r="H55">
            <v>0.318</v>
          </cell>
          <cell r="I55">
            <v>0.318</v>
          </cell>
          <cell r="J55">
            <v>0.33800000000000002</v>
          </cell>
          <cell r="K55">
            <v>0.29099999999999998</v>
          </cell>
          <cell r="L55">
            <v>0.31624999999999998</v>
          </cell>
          <cell r="M55">
            <v>0.14799999999999999</v>
          </cell>
          <cell r="N55">
            <v>0.14799999999999999</v>
          </cell>
          <cell r="O55">
            <v>0.1</v>
          </cell>
          <cell r="P55">
            <v>7.0000000000000007E-2</v>
          </cell>
          <cell r="Q55">
            <v>0.11650000000000001</v>
          </cell>
          <cell r="R55">
            <v>231.08030040439056</v>
          </cell>
          <cell r="S55">
            <v>110.25</v>
          </cell>
          <cell r="U55">
            <v>6.4578556576361081E-3</v>
          </cell>
          <cell r="W55" t="str">
            <v>L</v>
          </cell>
        </row>
        <row r="56">
          <cell r="C56">
            <v>7120</v>
          </cell>
          <cell r="E56">
            <v>120</v>
          </cell>
          <cell r="F56" t="str">
            <v>leslokaal</v>
          </cell>
          <cell r="G56" t="str">
            <v>120 keer per jaar</v>
          </cell>
          <cell r="H56">
            <v>0.35880000000000001</v>
          </cell>
          <cell r="I56">
            <v>0.35880000000000001</v>
          </cell>
          <cell r="J56">
            <v>0.38200000000000001</v>
          </cell>
          <cell r="K56">
            <v>0.33</v>
          </cell>
          <cell r="L56">
            <v>0.35740000000000005</v>
          </cell>
          <cell r="M56">
            <v>0.14799999999999999</v>
          </cell>
          <cell r="N56">
            <v>0.14799999999999999</v>
          </cell>
          <cell r="O56">
            <v>0.1</v>
          </cell>
          <cell r="P56">
            <v>7.0000000000000007E-2</v>
          </cell>
          <cell r="Q56">
            <v>0.11650000000000001</v>
          </cell>
          <cell r="R56">
            <v>253.21797847647181</v>
          </cell>
          <cell r="S56">
            <v>114</v>
          </cell>
          <cell r="U56">
            <v>6.6775106119774724E-3</v>
          </cell>
          <cell r="W56" t="str">
            <v>L</v>
          </cell>
        </row>
        <row r="57">
          <cell r="C57">
            <v>7160</v>
          </cell>
          <cell r="E57">
            <v>160</v>
          </cell>
          <cell r="F57" t="str">
            <v>leslokaal</v>
          </cell>
          <cell r="G57" t="str">
            <v>160 keer per jaar</v>
          </cell>
          <cell r="H57">
            <v>0.44900000000000001</v>
          </cell>
          <cell r="I57">
            <v>0.44900000000000001</v>
          </cell>
          <cell r="J57">
            <v>0.47899999999999998</v>
          </cell>
          <cell r="K57">
            <v>0.41299999999999998</v>
          </cell>
          <cell r="L57">
            <v>0.44750000000000001</v>
          </cell>
          <cell r="M57">
            <v>0.14799999999999999</v>
          </cell>
          <cell r="N57">
            <v>0.14799999999999999</v>
          </cell>
          <cell r="O57">
            <v>0.1</v>
          </cell>
          <cell r="P57">
            <v>7.0000000000000007E-2</v>
          </cell>
          <cell r="Q57">
            <v>0.11650000000000001</v>
          </cell>
          <cell r="R57">
            <v>283.6879432624113</v>
          </cell>
          <cell r="S57">
            <v>0</v>
          </cell>
          <cell r="U57" t="str">
            <v/>
          </cell>
          <cell r="W57" t="str">
            <v>L</v>
          </cell>
        </row>
        <row r="58">
          <cell r="C58">
            <v>7200</v>
          </cell>
          <cell r="E58">
            <v>200</v>
          </cell>
          <cell r="F58" t="str">
            <v>leslokaal</v>
          </cell>
          <cell r="G58" t="str">
            <v>200 keer per jaar</v>
          </cell>
          <cell r="H58">
            <v>0.52</v>
          </cell>
          <cell r="I58">
            <v>0.52</v>
          </cell>
          <cell r="J58">
            <v>0.55400000000000005</v>
          </cell>
          <cell r="K58">
            <v>0.47799999999999998</v>
          </cell>
          <cell r="L58">
            <v>0.51800000000000002</v>
          </cell>
          <cell r="M58">
            <v>0.14799999999999999</v>
          </cell>
          <cell r="N58">
            <v>0.14799999999999999</v>
          </cell>
          <cell r="O58">
            <v>0.1</v>
          </cell>
          <cell r="P58">
            <v>7.0000000000000007E-2</v>
          </cell>
          <cell r="Q58">
            <v>0.11650000000000001</v>
          </cell>
          <cell r="R58">
            <v>315.20882584712371</v>
          </cell>
          <cell r="S58">
            <v>6433.523000000001</v>
          </cell>
          <cell r="U58">
            <v>0.37684138688509777</v>
          </cell>
          <cell r="W58" t="str">
            <v>L</v>
          </cell>
        </row>
        <row r="59">
          <cell r="C59">
            <v>7201</v>
          </cell>
          <cell r="E59">
            <v>201</v>
          </cell>
          <cell r="F59" t="str">
            <v>leslokaal</v>
          </cell>
          <cell r="G59" t="str">
            <v>201 keer per jaar 52 weken m.u.v. woensdag</v>
          </cell>
          <cell r="H59">
            <v>0.52300000000000002</v>
          </cell>
          <cell r="I59">
            <v>0.52300000000000002</v>
          </cell>
          <cell r="J59">
            <v>0.55700000000000005</v>
          </cell>
          <cell r="K59">
            <v>0.48</v>
          </cell>
          <cell r="L59">
            <v>0.52075000000000005</v>
          </cell>
          <cell r="M59">
            <v>0.14799999999999999</v>
          </cell>
          <cell r="N59">
            <v>0.14799999999999999</v>
          </cell>
          <cell r="O59">
            <v>0.1</v>
          </cell>
          <cell r="P59">
            <v>7.0000000000000007E-2</v>
          </cell>
          <cell r="Q59">
            <v>0.11650000000000001</v>
          </cell>
          <cell r="R59">
            <v>315.41781090623772</v>
          </cell>
          <cell r="S59">
            <v>219.99999999999997</v>
          </cell>
          <cell r="U59">
            <v>1.2886423988026698E-2</v>
          </cell>
          <cell r="W59" t="str">
            <v>L</v>
          </cell>
        </row>
        <row r="60">
          <cell r="C60">
            <v>7204</v>
          </cell>
          <cell r="E60">
            <v>204</v>
          </cell>
          <cell r="F60" t="str">
            <v>leslokaal</v>
          </cell>
          <cell r="G60" t="str">
            <v>204 keer per jaar</v>
          </cell>
          <cell r="H60">
            <v>0.53</v>
          </cell>
          <cell r="I60">
            <v>0.53</v>
          </cell>
          <cell r="J60">
            <v>0.56699999999999995</v>
          </cell>
          <cell r="K60">
            <v>0.48799999999999999</v>
          </cell>
          <cell r="L60">
            <v>0.52875000000000005</v>
          </cell>
          <cell r="M60">
            <v>0.14799999999999999</v>
          </cell>
          <cell r="N60">
            <v>0.14799999999999999</v>
          </cell>
          <cell r="O60">
            <v>0.1</v>
          </cell>
          <cell r="P60">
            <v>7.0000000000000007E-2</v>
          </cell>
          <cell r="Q60">
            <v>0.11650000000000001</v>
          </cell>
          <cell r="R60">
            <v>316.15652847733429</v>
          </cell>
          <cell r="S60">
            <v>0</v>
          </cell>
          <cell r="U60" t="str">
            <v/>
          </cell>
          <cell r="W60" t="str">
            <v>L</v>
          </cell>
        </row>
        <row r="61">
          <cell r="C61">
            <v>7210</v>
          </cell>
          <cell r="E61">
            <v>210</v>
          </cell>
          <cell r="F61" t="str">
            <v>leslokaal</v>
          </cell>
          <cell r="G61" t="str">
            <v>210 keer per jaar +  5 dagen Herfst en 5 dagen voorjaarvakantie</v>
          </cell>
          <cell r="H61">
            <v>0.77300000000000002</v>
          </cell>
          <cell r="I61">
            <v>0.77300000000000002</v>
          </cell>
          <cell r="J61">
            <v>0.81100000000000005</v>
          </cell>
          <cell r="K61">
            <v>0.72699999999999998</v>
          </cell>
          <cell r="L61">
            <v>0.77100000000000002</v>
          </cell>
          <cell r="M61">
            <v>0.14799999999999999</v>
          </cell>
          <cell r="N61">
            <v>0.14799999999999999</v>
          </cell>
          <cell r="O61">
            <v>0.1</v>
          </cell>
          <cell r="P61">
            <v>7.0000000000000007E-2</v>
          </cell>
          <cell r="Q61">
            <v>0.11650000000000001</v>
          </cell>
          <cell r="R61">
            <v>236.61971830985914</v>
          </cell>
          <cell r="S61">
            <v>237.16</v>
          </cell>
          <cell r="U61">
            <v>1.3891565059092783E-2</v>
          </cell>
          <cell r="W61" t="str">
            <v>L</v>
          </cell>
        </row>
        <row r="62">
          <cell r="C62">
            <v>7222</v>
          </cell>
          <cell r="E62">
            <v>222</v>
          </cell>
          <cell r="F62" t="str">
            <v>leslokaal</v>
          </cell>
          <cell r="G62" t="str">
            <v>222 keer per jaar</v>
          </cell>
          <cell r="H62">
            <v>0.57699999999999996</v>
          </cell>
          <cell r="I62">
            <v>0.57699999999999996</v>
          </cell>
          <cell r="J62">
            <v>0.61499999999999999</v>
          </cell>
          <cell r="K62">
            <v>0.53100000000000003</v>
          </cell>
          <cell r="L62">
            <v>0.57499999999999996</v>
          </cell>
          <cell r="M62">
            <v>0.14799999999999999</v>
          </cell>
          <cell r="N62">
            <v>0.14799999999999999</v>
          </cell>
          <cell r="O62">
            <v>0.1</v>
          </cell>
          <cell r="P62">
            <v>7.0000000000000007E-2</v>
          </cell>
          <cell r="Q62">
            <v>0.11650000000000001</v>
          </cell>
          <cell r="R62">
            <v>321.04121475054228</v>
          </cell>
          <cell r="S62">
            <v>0</v>
          </cell>
          <cell r="U62" t="str">
            <v/>
          </cell>
          <cell r="W62" t="str">
            <v>L</v>
          </cell>
        </row>
        <row r="63">
          <cell r="C63">
            <v>7233</v>
          </cell>
          <cell r="E63">
            <v>233</v>
          </cell>
          <cell r="F63" t="str">
            <v>leslokaal</v>
          </cell>
          <cell r="G63" t="str">
            <v>233 keer per jaar</v>
          </cell>
          <cell r="H63">
            <v>0.52300000000000002</v>
          </cell>
          <cell r="I63">
            <v>0.52300000000000002</v>
          </cell>
          <cell r="J63">
            <v>0.64500000000000002</v>
          </cell>
          <cell r="K63">
            <v>0.55700000000000005</v>
          </cell>
          <cell r="L63">
            <v>0.56200000000000006</v>
          </cell>
          <cell r="M63">
            <v>0.14799999999999999</v>
          </cell>
          <cell r="N63">
            <v>0.14799999999999999</v>
          </cell>
          <cell r="O63">
            <v>0.1</v>
          </cell>
          <cell r="P63">
            <v>7.0000000000000007E-2</v>
          </cell>
          <cell r="Q63">
            <v>0.11650000000000001</v>
          </cell>
          <cell r="R63">
            <v>343.40456890198965</v>
          </cell>
          <cell r="S63">
            <v>0</v>
          </cell>
          <cell r="U63" t="str">
            <v/>
          </cell>
          <cell r="W63" t="str">
            <v>L</v>
          </cell>
        </row>
        <row r="64">
          <cell r="C64">
            <v>7251</v>
          </cell>
          <cell r="E64">
            <v>251</v>
          </cell>
          <cell r="F64" t="str">
            <v>leslokaal</v>
          </cell>
          <cell r="G64" t="str">
            <v>251 keer per jaar</v>
          </cell>
          <cell r="H64">
            <v>0.65300000000000002</v>
          </cell>
          <cell r="I64">
            <v>0.65300000000000002</v>
          </cell>
          <cell r="J64">
            <v>0.69499999999999995</v>
          </cell>
          <cell r="K64">
            <v>0.6</v>
          </cell>
          <cell r="L64">
            <v>0.65024999999999999</v>
          </cell>
          <cell r="M64">
            <v>0.14799999999999999</v>
          </cell>
          <cell r="N64">
            <v>0.14799999999999999</v>
          </cell>
          <cell r="O64">
            <v>0.1</v>
          </cell>
          <cell r="P64">
            <v>7.0000000000000007E-2</v>
          </cell>
          <cell r="Q64">
            <v>0.11650000000000001</v>
          </cell>
          <cell r="R64">
            <v>327.35572220410825</v>
          </cell>
          <cell r="S64">
            <v>539.41000000000008</v>
          </cell>
          <cell r="U64">
            <v>3.1595754379006746E-2</v>
          </cell>
          <cell r="W64" t="str">
            <v>L</v>
          </cell>
        </row>
        <row r="65">
          <cell r="C65">
            <v>8005</v>
          </cell>
          <cell r="E65">
            <v>5</v>
          </cell>
          <cell r="F65" t="str">
            <v>speellokaal (berging)</v>
          </cell>
          <cell r="G65" t="str">
            <v>5 keer per jaar</v>
          </cell>
          <cell r="H65">
            <v>1.6E-2</v>
          </cell>
          <cell r="I65">
            <v>1.6E-2</v>
          </cell>
          <cell r="J65">
            <v>1.6E-2</v>
          </cell>
          <cell r="K65">
            <v>1.6E-2</v>
          </cell>
          <cell r="L65">
            <v>1.6E-2</v>
          </cell>
          <cell r="M65">
            <v>8.5000000000000006E-2</v>
          </cell>
          <cell r="N65">
            <v>8.5000000000000006E-2</v>
          </cell>
          <cell r="O65">
            <v>8.5000000000000006E-2</v>
          </cell>
          <cell r="P65">
            <v>8.5000000000000006E-2</v>
          </cell>
          <cell r="Q65">
            <v>8.5000000000000006E-2</v>
          </cell>
          <cell r="R65">
            <v>49.504950495049499</v>
          </cell>
          <cell r="S65">
            <v>14.8</v>
          </cell>
          <cell r="U65">
            <v>8.6690488646725078E-4</v>
          </cell>
        </row>
        <row r="66">
          <cell r="C66">
            <v>8020</v>
          </cell>
          <cell r="E66">
            <v>20</v>
          </cell>
          <cell r="F66" t="str">
            <v>speellokaal (peuterspeelzaal)</v>
          </cell>
          <cell r="G66" t="str">
            <v>20 keer per jaar</v>
          </cell>
          <cell r="H66">
            <v>5.3999999999999999E-2</v>
          </cell>
          <cell r="I66">
            <v>5.3999999999999999E-2</v>
          </cell>
          <cell r="J66">
            <v>4.7E-2</v>
          </cell>
          <cell r="K66">
            <v>5.0999999999999997E-2</v>
          </cell>
          <cell r="L66">
            <v>5.1499999999999997E-2</v>
          </cell>
          <cell r="M66">
            <v>8.5000000000000006E-2</v>
          </cell>
          <cell r="N66">
            <v>8.5000000000000006E-2</v>
          </cell>
          <cell r="O66">
            <v>0.05</v>
          </cell>
          <cell r="P66">
            <v>0.12</v>
          </cell>
          <cell r="Q66">
            <v>8.5000000000000006E-2</v>
          </cell>
          <cell r="R66">
            <v>146.52014652014651</v>
          </cell>
          <cell r="S66">
            <v>84.15</v>
          </cell>
          <cell r="U66">
            <v>4.9290571754202137E-3</v>
          </cell>
        </row>
        <row r="67">
          <cell r="C67">
            <v>8040</v>
          </cell>
          <cell r="E67">
            <v>40</v>
          </cell>
          <cell r="F67" t="str">
            <v>speellokaal (peuterspeelzaal)</v>
          </cell>
          <cell r="G67" t="str">
            <v>40 keer per jaar</v>
          </cell>
          <cell r="H67">
            <v>9.9000000000000005E-2</v>
          </cell>
          <cell r="I67">
            <v>9.9000000000000005E-2</v>
          </cell>
          <cell r="J67">
            <v>8.5999999999999993E-2</v>
          </cell>
          <cell r="K67">
            <v>9.1999999999999998E-2</v>
          </cell>
          <cell r="L67">
            <v>9.4E-2</v>
          </cell>
          <cell r="M67">
            <v>8.5000000000000006E-2</v>
          </cell>
          <cell r="N67">
            <v>8.5000000000000006E-2</v>
          </cell>
          <cell r="O67">
            <v>0.05</v>
          </cell>
          <cell r="P67">
            <v>0.12</v>
          </cell>
          <cell r="Q67">
            <v>8.5000000000000006E-2</v>
          </cell>
          <cell r="R67">
            <v>223.46368715083798</v>
          </cell>
          <cell r="S67">
            <v>0</v>
          </cell>
          <cell r="U67" t="str">
            <v/>
          </cell>
          <cell r="W67" t="str">
            <v>L</v>
          </cell>
        </row>
        <row r="68">
          <cell r="C68">
            <v>8080</v>
          </cell>
          <cell r="E68">
            <v>80</v>
          </cell>
          <cell r="F68" t="str">
            <v>speellokaal (peuterspeelzaal)</v>
          </cell>
          <cell r="G68" t="str">
            <v>80 keer per jaar</v>
          </cell>
          <cell r="H68">
            <v>0.17799999999999999</v>
          </cell>
          <cell r="I68">
            <v>0.17799999999999999</v>
          </cell>
          <cell r="J68">
            <v>0.156</v>
          </cell>
          <cell r="K68">
            <v>0.16700000000000001</v>
          </cell>
          <cell r="L68">
            <v>0.16975000000000001</v>
          </cell>
          <cell r="M68">
            <v>8.5000000000000006E-2</v>
          </cell>
          <cell r="N68">
            <v>8.5000000000000006E-2</v>
          </cell>
          <cell r="O68">
            <v>0.05</v>
          </cell>
          <cell r="P68">
            <v>0.12</v>
          </cell>
          <cell r="Q68">
            <v>8.5000000000000006E-2</v>
          </cell>
          <cell r="R68">
            <v>314.03336604514226</v>
          </cell>
          <cell r="S68">
            <v>81.099999999999994</v>
          </cell>
          <cell r="U68">
            <v>4.7504044792225694E-3</v>
          </cell>
          <cell r="W68" t="str">
            <v>L</v>
          </cell>
        </row>
        <row r="69">
          <cell r="C69">
            <v>8147</v>
          </cell>
          <cell r="E69">
            <v>147</v>
          </cell>
          <cell r="F69" t="str">
            <v>speellokaal (peuterspeelzaal)</v>
          </cell>
          <cell r="G69" t="str">
            <v>147 keer per jaar 49 weken</v>
          </cell>
          <cell r="H69">
            <v>0.29499999999999998</v>
          </cell>
          <cell r="I69">
            <v>0.29499999999999998</v>
          </cell>
          <cell r="J69">
            <v>0.254</v>
          </cell>
          <cell r="K69">
            <v>0.27100000000000002</v>
          </cell>
          <cell r="L69">
            <v>0.27875</v>
          </cell>
          <cell r="M69">
            <v>8.5000000000000006E-2</v>
          </cell>
          <cell r="N69">
            <v>8.5000000000000006E-2</v>
          </cell>
          <cell r="O69">
            <v>0.05</v>
          </cell>
          <cell r="P69">
            <v>0.12</v>
          </cell>
          <cell r="Q69">
            <v>8.5000000000000006E-2</v>
          </cell>
          <cell r="R69">
            <v>404.12371134020617</v>
          </cell>
          <cell r="S69">
            <v>0</v>
          </cell>
          <cell r="U69" t="str">
            <v/>
          </cell>
          <cell r="W69" t="str">
            <v>L</v>
          </cell>
        </row>
        <row r="70">
          <cell r="C70">
            <v>8160</v>
          </cell>
          <cell r="E70">
            <v>160</v>
          </cell>
          <cell r="F70" t="str">
            <v>speellokaal (peuterspeelzaal)</v>
          </cell>
          <cell r="G70" t="str">
            <v>160 keer per jaar</v>
          </cell>
          <cell r="H70">
            <v>0.315</v>
          </cell>
          <cell r="I70">
            <v>0.315</v>
          </cell>
          <cell r="J70">
            <v>0.27600000000000002</v>
          </cell>
          <cell r="K70">
            <v>0.29499999999999998</v>
          </cell>
          <cell r="L70">
            <v>0.30025000000000002</v>
          </cell>
          <cell r="M70">
            <v>8.5000000000000006E-2</v>
          </cell>
          <cell r="N70">
            <v>8.5000000000000006E-2</v>
          </cell>
          <cell r="O70">
            <v>0.05</v>
          </cell>
          <cell r="P70">
            <v>0.12</v>
          </cell>
          <cell r="Q70">
            <v>8.5000000000000006E-2</v>
          </cell>
          <cell r="R70">
            <v>415.3147306943543</v>
          </cell>
          <cell r="S70">
            <v>0</v>
          </cell>
          <cell r="U70" t="str">
            <v/>
          </cell>
          <cell r="W70" t="str">
            <v>L</v>
          </cell>
        </row>
        <row r="71">
          <cell r="C71">
            <v>8196</v>
          </cell>
          <cell r="E71">
            <v>196</v>
          </cell>
          <cell r="F71" t="str">
            <v>speellokaal (peuterspeelzaal)</v>
          </cell>
          <cell r="G71" t="str">
            <v>196 keer per jaar 49 weken</v>
          </cell>
          <cell r="H71">
            <v>0.35799999999999998</v>
          </cell>
          <cell r="I71">
            <v>0.35799999999999998</v>
          </cell>
          <cell r="J71">
            <v>0.313</v>
          </cell>
          <cell r="K71">
            <v>0.33400000000000002</v>
          </cell>
          <cell r="L71">
            <v>0.34075</v>
          </cell>
          <cell r="M71">
            <v>8.5000000000000006E-2</v>
          </cell>
          <cell r="N71">
            <v>8.5000000000000006E-2</v>
          </cell>
          <cell r="O71">
            <v>0.05</v>
          </cell>
          <cell r="P71">
            <v>0.12</v>
          </cell>
          <cell r="Q71">
            <v>8.5000000000000006E-2</v>
          </cell>
          <cell r="R71">
            <v>460.36406341749853</v>
          </cell>
          <cell r="S71">
            <v>0</v>
          </cell>
          <cell r="U71" t="str">
            <v/>
          </cell>
          <cell r="W71" t="str">
            <v>L</v>
          </cell>
        </row>
        <row r="72">
          <cell r="C72">
            <v>8200</v>
          </cell>
          <cell r="E72">
            <v>200</v>
          </cell>
          <cell r="F72" t="str">
            <v>speellokaal (peuterspeelzaal)</v>
          </cell>
          <cell r="G72" t="str">
            <v>200 keer per jaar</v>
          </cell>
          <cell r="H72">
            <v>0.36499999999999999</v>
          </cell>
          <cell r="I72">
            <v>0.36499999999999999</v>
          </cell>
          <cell r="J72">
            <v>0.31900000000000001</v>
          </cell>
          <cell r="K72">
            <v>0.34100000000000003</v>
          </cell>
          <cell r="L72">
            <v>0.34749999999999998</v>
          </cell>
          <cell r="M72">
            <v>8.5000000000000006E-2</v>
          </cell>
          <cell r="N72">
            <v>8.5000000000000006E-2</v>
          </cell>
          <cell r="O72">
            <v>0.05</v>
          </cell>
          <cell r="P72">
            <v>0.12</v>
          </cell>
          <cell r="Q72">
            <v>8.5000000000000006E-2</v>
          </cell>
          <cell r="R72">
            <v>462.42774566473992</v>
          </cell>
          <cell r="S72">
            <v>342.6</v>
          </cell>
          <cell r="U72">
            <v>2.0067676628627035E-2</v>
          </cell>
          <cell r="W72" t="str">
            <v>L</v>
          </cell>
        </row>
        <row r="73">
          <cell r="C73">
            <v>8210</v>
          </cell>
          <cell r="E73">
            <v>210</v>
          </cell>
          <cell r="F73" t="str">
            <v>speellokaal (peuterspeelzaal)</v>
          </cell>
          <cell r="G73" t="str">
            <v>210 keer per jaar +  5 dagen Herfst en 5 dagen voorjaarvakantie</v>
          </cell>
          <cell r="H73">
            <v>0.60199999999999998</v>
          </cell>
          <cell r="I73">
            <v>0.60199999999999998</v>
          </cell>
          <cell r="J73">
            <v>0.55200000000000005</v>
          </cell>
          <cell r="K73">
            <v>0.57599999999999996</v>
          </cell>
          <cell r="L73">
            <v>0.58299999999999996</v>
          </cell>
          <cell r="M73">
            <v>8.5000000000000006E-2</v>
          </cell>
          <cell r="N73">
            <v>8.5000000000000006E-2</v>
          </cell>
          <cell r="O73">
            <v>0.05</v>
          </cell>
          <cell r="P73">
            <v>0.12</v>
          </cell>
          <cell r="Q73">
            <v>8.5000000000000006E-2</v>
          </cell>
          <cell r="R73">
            <v>314.37125748502996</v>
          </cell>
          <cell r="S73">
            <v>84.5</v>
          </cell>
          <cell r="U73">
            <v>4.9495583044920737E-3</v>
          </cell>
          <cell r="W73" t="str">
            <v>L</v>
          </cell>
        </row>
        <row r="74">
          <cell r="C74">
            <v>8251</v>
          </cell>
          <cell r="E74">
            <v>251</v>
          </cell>
          <cell r="F74" t="str">
            <v>speellokaal (peuterspeelzaal)</v>
          </cell>
          <cell r="G74" t="str">
            <v>251 keer per jaar</v>
          </cell>
          <cell r="H74">
            <v>0.45800000000000002</v>
          </cell>
          <cell r="I74">
            <v>0.45800000000000002</v>
          </cell>
          <cell r="J74">
            <v>0.4</v>
          </cell>
          <cell r="K74">
            <v>0.42799999999999999</v>
          </cell>
          <cell r="L74">
            <v>0.436</v>
          </cell>
          <cell r="M74">
            <v>8.5000000000000006E-2</v>
          </cell>
          <cell r="N74">
            <v>8.5000000000000006E-2</v>
          </cell>
          <cell r="O74">
            <v>0.05</v>
          </cell>
          <cell r="P74">
            <v>0.12</v>
          </cell>
          <cell r="Q74">
            <v>8.5000000000000006E-2</v>
          </cell>
          <cell r="R74">
            <v>481.76583493282146</v>
          </cell>
          <cell r="S74">
            <v>161.42000000000002</v>
          </cell>
          <cell r="U74">
            <v>9.455120727942138E-3</v>
          </cell>
          <cell r="W74" t="str">
            <v>L</v>
          </cell>
        </row>
        <row r="75">
          <cell r="C75">
            <v>9040</v>
          </cell>
          <cell r="E75">
            <v>40</v>
          </cell>
          <cell r="F75" t="str">
            <v>trappenhuis</v>
          </cell>
          <cell r="G75" t="str">
            <v>40 keer per jaar</v>
          </cell>
          <cell r="H75">
            <v>0.317</v>
          </cell>
          <cell r="I75">
            <v>0.317</v>
          </cell>
          <cell r="J75">
            <v>3.4000000000000002E-2</v>
          </cell>
          <cell r="K75">
            <v>0.28799999999999998</v>
          </cell>
          <cell r="L75">
            <v>0.23899999999999999</v>
          </cell>
          <cell r="M75">
            <v>0.159</v>
          </cell>
          <cell r="N75">
            <v>0.159</v>
          </cell>
          <cell r="O75">
            <v>0.13900000000000001</v>
          </cell>
          <cell r="P75">
            <v>0.125</v>
          </cell>
          <cell r="Q75">
            <v>0.14550000000000002</v>
          </cell>
          <cell r="R75">
            <v>104.03120936280884</v>
          </cell>
          <cell r="S75">
            <v>0</v>
          </cell>
          <cell r="U75" t="str">
            <v/>
          </cell>
          <cell r="W75" t="str">
            <v>V</v>
          </cell>
        </row>
        <row r="76">
          <cell r="C76">
            <v>9080</v>
          </cell>
          <cell r="E76">
            <v>80</v>
          </cell>
          <cell r="F76" t="str">
            <v>trappenhuis</v>
          </cell>
          <cell r="G76" t="str">
            <v>80 keer per jaar</v>
          </cell>
          <cell r="H76">
            <v>0.57199999999999995</v>
          </cell>
          <cell r="I76">
            <v>0.57199999999999995</v>
          </cell>
          <cell r="J76">
            <v>0.61299999999999999</v>
          </cell>
          <cell r="K76">
            <v>0.52100000000000002</v>
          </cell>
          <cell r="L76">
            <v>0.56950000000000001</v>
          </cell>
          <cell r="M76">
            <v>0.159</v>
          </cell>
          <cell r="N76">
            <v>0.159</v>
          </cell>
          <cell r="O76">
            <v>0.13900000000000001</v>
          </cell>
          <cell r="P76">
            <v>0.125</v>
          </cell>
          <cell r="Q76">
            <v>0.14550000000000002</v>
          </cell>
          <cell r="R76">
            <v>111.88811188811188</v>
          </cell>
          <cell r="S76">
            <v>8</v>
          </cell>
          <cell r="U76">
            <v>4.6859723592824364E-4</v>
          </cell>
          <cell r="W76" t="str">
            <v>V</v>
          </cell>
        </row>
        <row r="77">
          <cell r="C77">
            <v>9200</v>
          </cell>
          <cell r="E77">
            <v>200</v>
          </cell>
          <cell r="F77" t="str">
            <v>trappenhuis</v>
          </cell>
          <cell r="G77" t="str">
            <v>200 keer per jaar</v>
          </cell>
          <cell r="H77">
            <v>1.173</v>
          </cell>
          <cell r="I77">
            <v>1.173</v>
          </cell>
          <cell r="J77">
            <v>1.256</v>
          </cell>
          <cell r="K77">
            <v>1.0680000000000001</v>
          </cell>
          <cell r="L77">
            <v>1.1675</v>
          </cell>
          <cell r="M77">
            <v>0.159</v>
          </cell>
          <cell r="N77">
            <v>0.159</v>
          </cell>
          <cell r="O77">
            <v>0.13900000000000001</v>
          </cell>
          <cell r="P77">
            <v>0.125</v>
          </cell>
          <cell r="Q77">
            <v>0.14550000000000002</v>
          </cell>
          <cell r="R77">
            <v>152.32292460015233</v>
          </cell>
          <cell r="S77">
            <v>0</v>
          </cell>
          <cell r="U77" t="str">
            <v/>
          </cell>
          <cell r="W77" t="str">
            <v>V</v>
          </cell>
        </row>
        <row r="78">
          <cell r="C78">
            <v>9251</v>
          </cell>
          <cell r="E78">
            <v>251</v>
          </cell>
          <cell r="F78" t="str">
            <v>trappenhuis</v>
          </cell>
          <cell r="G78" t="str">
            <v>251 keer per jaar</v>
          </cell>
          <cell r="H78">
            <v>1.472</v>
          </cell>
          <cell r="I78">
            <v>1.472</v>
          </cell>
          <cell r="J78">
            <v>1.5760000000000001</v>
          </cell>
          <cell r="K78">
            <v>1.34</v>
          </cell>
          <cell r="L78">
            <v>1.4649999999999999</v>
          </cell>
          <cell r="M78">
            <v>0.159</v>
          </cell>
          <cell r="N78">
            <v>0.159</v>
          </cell>
          <cell r="O78">
            <v>0.13900000000000001</v>
          </cell>
          <cell r="P78">
            <v>0.125</v>
          </cell>
          <cell r="Q78">
            <v>0.14550000000000002</v>
          </cell>
          <cell r="R78">
            <v>155.85221980751322</v>
          </cell>
          <cell r="S78">
            <v>0</v>
          </cell>
          <cell r="U78" t="str">
            <v/>
          </cell>
          <cell r="W78" t="str">
            <v>V</v>
          </cell>
        </row>
        <row r="79">
          <cell r="C79">
            <v>10200</v>
          </cell>
          <cell r="E79">
            <v>200</v>
          </cell>
          <cell r="F79" t="str">
            <v>kleedruimten</v>
          </cell>
          <cell r="G79" t="str">
            <v>200 keer per jaar</v>
          </cell>
          <cell r="H79">
            <v>1.173</v>
          </cell>
          <cell r="I79">
            <v>1.173</v>
          </cell>
          <cell r="J79">
            <v>1.2190000000000001</v>
          </cell>
          <cell r="K79">
            <v>0.92</v>
          </cell>
          <cell r="L79">
            <v>1.1212500000000001</v>
          </cell>
          <cell r="M79">
            <v>0.159</v>
          </cell>
          <cell r="N79">
            <v>0.159</v>
          </cell>
          <cell r="O79">
            <v>0.159</v>
          </cell>
          <cell r="P79">
            <v>0.14499999999999999</v>
          </cell>
          <cell r="Q79">
            <v>0.1555</v>
          </cell>
          <cell r="R79">
            <v>156.64773839827686</v>
          </cell>
          <cell r="S79">
            <v>0</v>
          </cell>
          <cell r="U79" t="str">
            <v/>
          </cell>
          <cell r="W79" t="str">
            <v>V</v>
          </cell>
        </row>
        <row r="80">
          <cell r="C80">
            <v>10251</v>
          </cell>
          <cell r="E80">
            <v>251</v>
          </cell>
          <cell r="F80" t="str">
            <v>kleedruimten</v>
          </cell>
          <cell r="G80" t="str">
            <v>251 keer per jaar</v>
          </cell>
          <cell r="H80">
            <v>1.472</v>
          </cell>
          <cell r="I80">
            <v>1.472</v>
          </cell>
          <cell r="J80">
            <v>1.53</v>
          </cell>
          <cell r="K80">
            <v>1.155</v>
          </cell>
          <cell r="L80">
            <v>1.4072500000000001</v>
          </cell>
          <cell r="M80">
            <v>0.159</v>
          </cell>
          <cell r="N80">
            <v>0.159</v>
          </cell>
          <cell r="O80">
            <v>0.159</v>
          </cell>
          <cell r="P80">
            <v>0.14499999999999999</v>
          </cell>
          <cell r="Q80">
            <v>0.1555</v>
          </cell>
          <cell r="R80">
            <v>160.61430171172611</v>
          </cell>
          <cell r="S80">
            <v>63.1</v>
          </cell>
          <cell r="U80">
            <v>3.6960606983840218E-3</v>
          </cell>
          <cell r="W80" t="str">
            <v>V</v>
          </cell>
        </row>
        <row r="81">
          <cell r="C81">
            <v>11040</v>
          </cell>
          <cell r="E81">
            <v>40</v>
          </cell>
          <cell r="F81" t="str">
            <v>gymzaal (toestelberging)</v>
          </cell>
          <cell r="G81" t="str">
            <v>40 keer per jaar</v>
          </cell>
          <cell r="H81">
            <v>9.9000000000000005E-2</v>
          </cell>
          <cell r="I81">
            <v>9.9000000000000005E-2</v>
          </cell>
          <cell r="J81">
            <v>9.9000000000000005E-2</v>
          </cell>
          <cell r="K81">
            <v>9.9000000000000005E-2</v>
          </cell>
          <cell r="L81">
            <v>9.9000000000000005E-2</v>
          </cell>
          <cell r="M81">
            <v>8.5000000000000006E-2</v>
          </cell>
          <cell r="N81">
            <v>8.5000000000000006E-2</v>
          </cell>
          <cell r="O81">
            <v>8.5000000000000006E-2</v>
          </cell>
          <cell r="P81">
            <v>8.5000000000000006E-2</v>
          </cell>
          <cell r="Q81">
            <v>8.5000000000000006E-2</v>
          </cell>
          <cell r="R81">
            <v>217.39130434782609</v>
          </cell>
          <cell r="S81">
            <v>83</v>
          </cell>
          <cell r="U81">
            <v>4.8616963227555276E-3</v>
          </cell>
          <cell r="W81" t="str">
            <v>Sp</v>
          </cell>
        </row>
        <row r="82">
          <cell r="C82">
            <v>11051</v>
          </cell>
          <cell r="E82">
            <v>51</v>
          </cell>
          <cell r="F82" t="str">
            <v>gymzaal (toestelberging)</v>
          </cell>
          <cell r="G82" t="str">
            <v>51 keer per jaar</v>
          </cell>
          <cell r="H82">
            <v>0.126</v>
          </cell>
          <cell r="I82">
            <v>0.126</v>
          </cell>
          <cell r="J82">
            <v>0.126</v>
          </cell>
          <cell r="K82">
            <v>0.126</v>
          </cell>
          <cell r="L82">
            <v>0.126</v>
          </cell>
          <cell r="M82">
            <v>8.5000000000000006E-2</v>
          </cell>
          <cell r="N82">
            <v>8.5000000000000006E-2</v>
          </cell>
          <cell r="O82">
            <v>8.5000000000000006E-2</v>
          </cell>
          <cell r="P82">
            <v>8.5000000000000006E-2</v>
          </cell>
          <cell r="Q82">
            <v>8.5000000000000006E-2</v>
          </cell>
          <cell r="R82">
            <v>241.70616113744074</v>
          </cell>
          <cell r="S82">
            <v>0</v>
          </cell>
          <cell r="U82" t="str">
            <v/>
          </cell>
          <cell r="W82" t="str">
            <v>Sp</v>
          </cell>
        </row>
        <row r="83">
          <cell r="C83">
            <v>11120</v>
          </cell>
          <cell r="E83">
            <v>120</v>
          </cell>
          <cell r="F83" t="str">
            <v>gymzaal</v>
          </cell>
          <cell r="G83" t="str">
            <v>120 keer per jaar</v>
          </cell>
          <cell r="H83">
            <v>0.252</v>
          </cell>
          <cell r="I83">
            <v>0.252</v>
          </cell>
          <cell r="J83">
            <v>0.22</v>
          </cell>
          <cell r="K83">
            <v>0.23499999999999999</v>
          </cell>
          <cell r="L83">
            <v>0.23974999999999999</v>
          </cell>
          <cell r="M83">
            <v>8.5000000000000006E-2</v>
          </cell>
          <cell r="N83">
            <v>8.5000000000000006E-2</v>
          </cell>
          <cell r="O83">
            <v>8.5000000000000006E-2</v>
          </cell>
          <cell r="P83">
            <v>8.5000000000000006E-2</v>
          </cell>
          <cell r="Q83">
            <v>8.5000000000000006E-2</v>
          </cell>
          <cell r="R83">
            <v>369.5150115473441</v>
          </cell>
          <cell r="S83">
            <v>0</v>
          </cell>
          <cell r="U83" t="str">
            <v/>
          </cell>
          <cell r="W83" t="str">
            <v>Sp</v>
          </cell>
        </row>
        <row r="84">
          <cell r="C84">
            <v>11200</v>
          </cell>
          <cell r="E84">
            <v>200</v>
          </cell>
          <cell r="F84" t="str">
            <v>gymzaal</v>
          </cell>
          <cell r="G84" t="str">
            <v>200 keer per jaar</v>
          </cell>
          <cell r="H84">
            <v>0.36499999999999999</v>
          </cell>
          <cell r="I84">
            <v>0.36499999999999999</v>
          </cell>
          <cell r="J84">
            <v>0.31900000000000001</v>
          </cell>
          <cell r="K84">
            <v>0.34100000000000003</v>
          </cell>
          <cell r="L84">
            <v>0.34749999999999998</v>
          </cell>
          <cell r="M84">
            <v>8.5000000000000006E-2</v>
          </cell>
          <cell r="N84">
            <v>8.5000000000000006E-2</v>
          </cell>
          <cell r="O84">
            <v>8.5000000000000006E-2</v>
          </cell>
          <cell r="P84">
            <v>8.5000000000000006E-2</v>
          </cell>
          <cell r="Q84">
            <v>8.5000000000000006E-2</v>
          </cell>
          <cell r="R84">
            <v>462.42774566473992</v>
          </cell>
          <cell r="S84">
            <v>319.54000000000002</v>
          </cell>
          <cell r="U84">
            <v>1.8716945096063874E-2</v>
          </cell>
          <cell r="W84" t="str">
            <v>Sp</v>
          </cell>
        </row>
        <row r="85">
          <cell r="C85">
            <v>12200</v>
          </cell>
          <cell r="E85">
            <v>200</v>
          </cell>
          <cell r="F85" t="str">
            <v>buitenbordes</v>
          </cell>
          <cell r="G85" t="str">
            <v>200 keer per jaar</v>
          </cell>
          <cell r="H85">
            <v>0.185</v>
          </cell>
          <cell r="I85">
            <v>0.185</v>
          </cell>
          <cell r="J85">
            <v>0.185</v>
          </cell>
          <cell r="K85">
            <v>0.185</v>
          </cell>
          <cell r="L85">
            <v>0.185</v>
          </cell>
          <cell r="M85">
            <v>0.185</v>
          </cell>
          <cell r="N85">
            <v>0.185</v>
          </cell>
          <cell r="O85">
            <v>0.185</v>
          </cell>
          <cell r="P85">
            <v>0.185</v>
          </cell>
          <cell r="Q85">
            <v>0.185</v>
          </cell>
          <cell r="R85">
            <v>540.54054054054052</v>
          </cell>
          <cell r="S85">
            <v>0</v>
          </cell>
          <cell r="U85" t="str">
            <v/>
          </cell>
          <cell r="W85" t="str">
            <v>V</v>
          </cell>
        </row>
        <row r="86">
          <cell r="C86">
            <v>14200</v>
          </cell>
          <cell r="E86">
            <v>200</v>
          </cell>
          <cell r="F86" t="str">
            <v>lift</v>
          </cell>
          <cell r="G86" t="str">
            <v>200 keer per jaar</v>
          </cell>
          <cell r="H86">
            <v>1.345</v>
          </cell>
          <cell r="I86">
            <v>1.345</v>
          </cell>
          <cell r="J86">
            <v>1.345</v>
          </cell>
          <cell r="K86">
            <v>1.345</v>
          </cell>
          <cell r="L86">
            <v>1.345</v>
          </cell>
          <cell r="M86">
            <v>0.32</v>
          </cell>
          <cell r="N86">
            <v>0.32</v>
          </cell>
          <cell r="O86">
            <v>0.32</v>
          </cell>
          <cell r="P86">
            <v>0.32</v>
          </cell>
          <cell r="Q86">
            <v>0.32</v>
          </cell>
          <cell r="R86">
            <v>120.12012012012012</v>
          </cell>
          <cell r="S86">
            <v>1.9800000000000002</v>
          </cell>
          <cell r="U86">
            <v>1.1597781589224032E-4</v>
          </cell>
          <cell r="W86" t="str">
            <v>V</v>
          </cell>
        </row>
        <row r="87">
          <cell r="C87">
            <v>15200</v>
          </cell>
          <cell r="E87">
            <v>200</v>
          </cell>
          <cell r="F87" t="str">
            <v>verblijfsruimte</v>
          </cell>
          <cell r="G87" t="str">
            <v>200 keer per jaar</v>
          </cell>
          <cell r="H87">
            <v>0.38100000000000001</v>
          </cell>
          <cell r="I87">
            <v>0.38100000000000001</v>
          </cell>
          <cell r="J87">
            <v>0.41299999999999998</v>
          </cell>
          <cell r="K87">
            <v>0.33600000000000002</v>
          </cell>
          <cell r="L87">
            <v>0.37775000000000003</v>
          </cell>
          <cell r="M87">
            <v>0.107</v>
          </cell>
          <cell r="N87">
            <v>0.107</v>
          </cell>
          <cell r="O87">
            <v>0.107</v>
          </cell>
          <cell r="P87">
            <v>0.107</v>
          </cell>
          <cell r="Q87">
            <v>0.107</v>
          </cell>
          <cell r="R87">
            <v>412.58380608561112</v>
          </cell>
          <cell r="S87">
            <v>0</v>
          </cell>
          <cell r="U87" t="str">
            <v/>
          </cell>
          <cell r="W87" t="str">
            <v>V</v>
          </cell>
        </row>
        <row r="88">
          <cell r="C88">
            <v>15251</v>
          </cell>
          <cell r="E88">
            <v>251</v>
          </cell>
          <cell r="F88" t="str">
            <v>verblijfsruimte</v>
          </cell>
          <cell r="G88" t="str">
            <v>251 keer per jaar</v>
          </cell>
          <cell r="H88">
            <v>0.47799999999999998</v>
          </cell>
          <cell r="I88">
            <v>0.47799999999999998</v>
          </cell>
          <cell r="J88">
            <v>0.51800000000000002</v>
          </cell>
          <cell r="K88">
            <v>0.42199999999999999</v>
          </cell>
          <cell r="L88">
            <v>0.47399999999999998</v>
          </cell>
          <cell r="M88">
            <v>0.107</v>
          </cell>
          <cell r="N88">
            <v>0.107</v>
          </cell>
          <cell r="O88">
            <v>0.107</v>
          </cell>
          <cell r="P88">
            <v>0.107</v>
          </cell>
          <cell r="Q88">
            <v>0.107</v>
          </cell>
          <cell r="R88">
            <v>432.013769363167</v>
          </cell>
          <cell r="S88">
            <v>16.5</v>
          </cell>
          <cell r="U88">
            <v>9.664817991020025E-4</v>
          </cell>
          <cell r="W88" t="str">
            <v>V</v>
          </cell>
        </row>
        <row r="89">
          <cell r="C89" t="str">
            <v>Periodiek</v>
          </cell>
          <cell r="E89">
            <v>1</v>
          </cell>
          <cell r="F89" t="str">
            <v>Periodiek</v>
          </cell>
          <cell r="G89" t="str">
            <v>1 keer per jaar</v>
          </cell>
          <cell r="H89">
            <v>0</v>
          </cell>
          <cell r="I89">
            <v>0</v>
          </cell>
          <cell r="J89">
            <v>0</v>
          </cell>
          <cell r="K89">
            <v>4.2862E-4</v>
          </cell>
          <cell r="L89">
            <v>0</v>
          </cell>
          <cell r="M89">
            <v>0.14799999999999999</v>
          </cell>
          <cell r="N89">
            <v>0.14799999999999999</v>
          </cell>
          <cell r="Q89">
            <v>0.14799999999999999</v>
          </cell>
          <cell r="R89">
            <v>6.756756756756757</v>
          </cell>
          <cell r="S89">
            <v>54.207000000000001</v>
          </cell>
          <cell r="U89" t="str">
            <v/>
          </cell>
        </row>
        <row r="90">
          <cell r="C90" t="str">
            <v>op afroep</v>
          </cell>
          <cell r="F90" t="str">
            <v>op afroep</v>
          </cell>
          <cell r="L90">
            <v>0</v>
          </cell>
          <cell r="Q90">
            <v>0</v>
          </cell>
          <cell r="R90">
            <v>0</v>
          </cell>
          <cell r="S90">
            <v>0</v>
          </cell>
          <cell r="U90" t="str">
            <v/>
          </cell>
          <cell r="W90" t="str">
            <v>V</v>
          </cell>
        </row>
        <row r="91">
          <cell r="C91" t="str">
            <v>nvt</v>
          </cell>
          <cell r="F91" t="str">
            <v>niet van toepassing</v>
          </cell>
          <cell r="L91">
            <v>0</v>
          </cell>
          <cell r="Q91">
            <v>0</v>
          </cell>
          <cell r="R91">
            <v>0</v>
          </cell>
          <cell r="S91">
            <v>0</v>
          </cell>
          <cell r="T91">
            <v>860.57344999999987</v>
          </cell>
          <cell r="U91">
            <v>5.0407792497904065E-2</v>
          </cell>
        </row>
        <row r="92">
          <cell r="C92" t="str">
            <v>Vervallen</v>
          </cell>
          <cell r="F92" t="str">
            <v>Vervallen (mutatie)</v>
          </cell>
          <cell r="L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/>
          </cell>
        </row>
        <row r="93">
          <cell r="C93" t="str">
            <v>tijdlk nvt</v>
          </cell>
          <cell r="F93" t="str">
            <v>Tijdelijk vervallen</v>
          </cell>
          <cell r="L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/>
          </cell>
        </row>
        <row r="95">
          <cell r="G95" t="str">
            <v>Vloerafwerking</v>
          </cell>
          <cell r="H95" t="str">
            <v>Code</v>
          </cell>
        </row>
        <row r="96">
          <cell r="G96" t="str">
            <v>op afroep</v>
          </cell>
          <cell r="H96">
            <v>0</v>
          </cell>
        </row>
        <row r="97">
          <cell r="G97" t="str">
            <v>Gietvloer</v>
          </cell>
          <cell r="H97">
            <v>7</v>
          </cell>
        </row>
        <row r="98">
          <cell r="G98" t="str">
            <v>Tegel</v>
          </cell>
          <cell r="H98">
            <v>8</v>
          </cell>
        </row>
        <row r="99">
          <cell r="G99" t="str">
            <v>Glas</v>
          </cell>
          <cell r="H99">
            <v>8</v>
          </cell>
        </row>
        <row r="100">
          <cell r="G100" t="str">
            <v>Lino</v>
          </cell>
          <cell r="H100">
            <v>6</v>
          </cell>
        </row>
        <row r="101">
          <cell r="G101" t="str">
            <v>Hout-Gietvloer</v>
          </cell>
          <cell r="H101">
            <v>7</v>
          </cell>
        </row>
        <row r="102">
          <cell r="G102" t="str">
            <v>Beton</v>
          </cell>
          <cell r="H102">
            <v>8</v>
          </cell>
        </row>
        <row r="103">
          <cell r="G103" t="str">
            <v>beton-hout</v>
          </cell>
          <cell r="H103">
            <v>8</v>
          </cell>
        </row>
        <row r="104">
          <cell r="G104" t="str">
            <v>Tapijt</v>
          </cell>
          <cell r="H104">
            <v>9</v>
          </cell>
        </row>
        <row r="105">
          <cell r="G105" t="str">
            <v>Mat</v>
          </cell>
          <cell r="H105">
            <v>9</v>
          </cell>
        </row>
        <row r="106">
          <cell r="G106" t="str">
            <v>Bamboe</v>
          </cell>
          <cell r="H106">
            <v>7</v>
          </cell>
        </row>
        <row r="107">
          <cell r="G107" t="str">
            <v>geen</v>
          </cell>
          <cell r="H107">
            <v>7</v>
          </cell>
        </row>
        <row r="108">
          <cell r="G108" t="str">
            <v>Hout</v>
          </cell>
          <cell r="H108">
            <v>7</v>
          </cell>
        </row>
        <row r="109">
          <cell r="G109" t="str">
            <v>Hout-Lino</v>
          </cell>
          <cell r="H109">
            <v>6</v>
          </cell>
        </row>
        <row r="110">
          <cell r="G110" t="str">
            <v>hout-pvc</v>
          </cell>
          <cell r="H110">
            <v>6</v>
          </cell>
        </row>
        <row r="111">
          <cell r="G111" t="str">
            <v>Hout-Natuursteen</v>
          </cell>
          <cell r="H111">
            <v>8</v>
          </cell>
        </row>
        <row r="112">
          <cell r="G112" t="str">
            <v>inloop/coral</v>
          </cell>
          <cell r="H112">
            <v>9</v>
          </cell>
        </row>
        <row r="113">
          <cell r="G113" t="str">
            <v>Staal/coral</v>
          </cell>
          <cell r="H113">
            <v>9</v>
          </cell>
        </row>
        <row r="114">
          <cell r="G114" t="str">
            <v>Hout-Tapijt</v>
          </cell>
          <cell r="H114">
            <v>7</v>
          </cell>
        </row>
        <row r="115">
          <cell r="G115" t="str">
            <v>Lino-RVS</v>
          </cell>
          <cell r="H115">
            <v>6</v>
          </cell>
        </row>
        <row r="116">
          <cell r="G116" t="str">
            <v>Lino-beton</v>
          </cell>
          <cell r="H116">
            <v>8</v>
          </cell>
        </row>
        <row r="117">
          <cell r="G117" t="str">
            <v>Natuursteen</v>
          </cell>
          <cell r="H117">
            <v>8</v>
          </cell>
        </row>
        <row r="118">
          <cell r="G118" t="str">
            <v>Nvt</v>
          </cell>
          <cell r="H118">
            <v>5</v>
          </cell>
        </row>
        <row r="119">
          <cell r="G119" t="str">
            <v>PVC/Noppen</v>
          </cell>
          <cell r="H119">
            <v>7</v>
          </cell>
        </row>
        <row r="120">
          <cell r="G120" t="str">
            <v>RVS</v>
          </cell>
          <cell r="H120">
            <v>7</v>
          </cell>
        </row>
        <row r="121">
          <cell r="G121" t="str">
            <v>staal</v>
          </cell>
          <cell r="H121">
            <v>6</v>
          </cell>
        </row>
        <row r="122">
          <cell r="G122" t="str">
            <v>Sportvloer</v>
          </cell>
          <cell r="H122">
            <v>7</v>
          </cell>
        </row>
        <row r="123">
          <cell r="G123" t="str">
            <v>computervloer</v>
          </cell>
          <cell r="H123">
            <v>7</v>
          </cell>
        </row>
        <row r="124">
          <cell r="G124" t="str">
            <v>sure step</v>
          </cell>
          <cell r="H124">
            <v>8</v>
          </cell>
        </row>
        <row r="125">
          <cell r="G125" t="str">
            <v>Leisteen</v>
          </cell>
          <cell r="H125">
            <v>8</v>
          </cell>
        </row>
        <row r="126">
          <cell r="G126" t="str">
            <v>pvc</v>
          </cell>
          <cell r="H126">
            <v>7</v>
          </cell>
        </row>
        <row r="127">
          <cell r="G127" t="str">
            <v>tapijttegel</v>
          </cell>
          <cell r="H127">
            <v>9</v>
          </cell>
        </row>
        <row r="128">
          <cell r="G128" t="str">
            <v>Gietvloer-Beton</v>
          </cell>
          <cell r="H128">
            <v>7</v>
          </cell>
        </row>
        <row r="129">
          <cell r="G129" t="str">
            <v>Lino-RVS-Glas</v>
          </cell>
          <cell r="H129">
            <v>6</v>
          </cell>
        </row>
        <row r="130">
          <cell r="G130" t="str">
            <v>Steen</v>
          </cell>
          <cell r="H130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Kengetal"/>
      <sheetName val="1.3-Basis ruimtestaat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2-Tijdseenheid Productie"/>
      <sheetName val="1.5 Opbouw uurtariev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Aangrenzing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3:P159"/>
  <sheetViews>
    <sheetView showGridLines="0" showRowColHeaders="0" tabSelected="1" topLeftCell="A37" zoomScaleNormal="100" workbookViewId="0">
      <selection activeCell="N58" sqref="N58"/>
    </sheetView>
  </sheetViews>
  <sheetFormatPr defaultColWidth="10.85546875" defaultRowHeight="12.75"/>
  <cols>
    <col min="1" max="1" width="10.85546875" style="1"/>
    <col min="2" max="2" width="14" style="1" customWidth="1"/>
    <col min="3" max="5" width="10.85546875" style="1"/>
    <col min="6" max="6" width="18.85546875" style="123" customWidth="1"/>
    <col min="7" max="7" width="23.140625" customWidth="1"/>
    <col min="10" max="10" width="23.140625" style="1" customWidth="1"/>
    <col min="11" max="11" width="15.140625" style="1" customWidth="1"/>
    <col min="12" max="13" width="10.85546875" style="1"/>
    <col min="14" max="14" width="13.85546875" style="1" customWidth="1"/>
    <col min="15" max="15" width="32.85546875" style="1" customWidth="1"/>
    <col min="16" max="16384" width="10.85546875" style="1"/>
  </cols>
  <sheetData>
    <row r="3" spans="6:15">
      <c r="F3" s="231" t="s">
        <v>0</v>
      </c>
      <c r="J3" s="231" t="s">
        <v>1</v>
      </c>
      <c r="K3"/>
      <c r="N3" s="231" t="s">
        <v>2</v>
      </c>
      <c r="O3"/>
    </row>
    <row r="4" spans="6:15" ht="12.95" customHeight="1">
      <c r="J4" s="123"/>
      <c r="K4"/>
      <c r="N4" s="232"/>
      <c r="O4"/>
    </row>
    <row r="5" spans="6:15" ht="15.95" customHeight="1">
      <c r="F5" s="739" t="s">
        <v>3</v>
      </c>
      <c r="G5" s="740"/>
      <c r="J5" s="739" t="s">
        <v>4</v>
      </c>
      <c r="K5" s="740"/>
      <c r="N5" s="739" t="s">
        <v>5</v>
      </c>
      <c r="O5" s="740"/>
    </row>
    <row r="6" spans="6:15" ht="15.95" customHeight="1">
      <c r="F6" s="741"/>
      <c r="G6" s="742"/>
      <c r="J6" s="741"/>
      <c r="K6" s="742"/>
      <c r="N6" s="741"/>
      <c r="O6" s="742"/>
    </row>
    <row r="7" spans="6:15" ht="15.95" customHeight="1">
      <c r="F7" s="741"/>
      <c r="G7" s="742"/>
      <c r="J7" s="741"/>
      <c r="K7" s="742"/>
      <c r="N7" s="741"/>
      <c r="O7" s="742"/>
    </row>
    <row r="8" spans="6:15" ht="15.95" customHeight="1">
      <c r="F8" s="741"/>
      <c r="G8" s="742"/>
      <c r="J8" s="741"/>
      <c r="K8" s="742"/>
      <c r="N8" s="741"/>
      <c r="O8" s="742"/>
    </row>
    <row r="9" spans="6:15" ht="15.95" customHeight="1">
      <c r="F9" s="741"/>
      <c r="G9" s="742"/>
      <c r="J9" s="741"/>
      <c r="K9" s="742"/>
      <c r="N9" s="741"/>
      <c r="O9" s="742"/>
    </row>
    <row r="10" spans="6:15" ht="15.95" customHeight="1">
      <c r="F10" s="741"/>
      <c r="G10" s="742"/>
      <c r="J10" s="741"/>
      <c r="K10" s="742"/>
      <c r="N10" s="741"/>
      <c r="O10" s="742"/>
    </row>
    <row r="11" spans="6:15" ht="15.95" customHeight="1">
      <c r="F11" s="741"/>
      <c r="G11" s="742"/>
      <c r="J11" s="741"/>
      <c r="K11" s="742"/>
      <c r="N11" s="741"/>
      <c r="O11" s="742"/>
    </row>
    <row r="12" spans="6:15" ht="15.95" customHeight="1">
      <c r="F12" s="741"/>
      <c r="G12" s="742"/>
      <c r="J12" s="741"/>
      <c r="K12" s="742"/>
      <c r="N12" s="741"/>
      <c r="O12" s="742"/>
    </row>
    <row r="13" spans="6:15" ht="15.95" customHeight="1">
      <c r="F13" s="741"/>
      <c r="G13" s="742"/>
      <c r="J13" s="741"/>
      <c r="K13" s="742"/>
      <c r="N13" s="741"/>
      <c r="O13" s="742"/>
    </row>
    <row r="14" spans="6:15" ht="15.95" customHeight="1">
      <c r="F14" s="741"/>
      <c r="G14" s="742"/>
      <c r="J14" s="741"/>
      <c r="K14" s="742"/>
      <c r="N14" s="741"/>
      <c r="O14" s="742"/>
    </row>
    <row r="15" spans="6:15" ht="15.95" customHeight="1">
      <c r="F15" s="743"/>
      <c r="G15" s="744"/>
      <c r="J15" s="743"/>
      <c r="K15" s="744"/>
      <c r="N15" s="743"/>
      <c r="O15" s="744"/>
    </row>
    <row r="19" spans="2:15">
      <c r="B19" s="1" t="s">
        <v>6</v>
      </c>
      <c r="F19" s="231" t="s">
        <v>7</v>
      </c>
      <c r="J19" s="231" t="s">
        <v>8</v>
      </c>
      <c r="K19"/>
      <c r="N19" s="231"/>
    </row>
    <row r="20" spans="2:15">
      <c r="B20" s="1" t="s">
        <v>9</v>
      </c>
      <c r="F20" s="232"/>
      <c r="J20" s="232"/>
      <c r="K20"/>
    </row>
    <row r="21" spans="2:15" ht="15.95" customHeight="1">
      <c r="F21" s="739" t="s">
        <v>10</v>
      </c>
      <c r="G21" s="740"/>
      <c r="J21" s="739" t="s">
        <v>11</v>
      </c>
      <c r="K21" s="740"/>
      <c r="N21" s="739"/>
      <c r="O21" s="740"/>
    </row>
    <row r="22" spans="2:15" ht="15.95" customHeight="1">
      <c r="B22" s="1" t="s">
        <v>12</v>
      </c>
      <c r="F22" s="741"/>
      <c r="G22" s="742"/>
      <c r="J22" s="741"/>
      <c r="K22" s="742"/>
      <c r="N22" s="741"/>
      <c r="O22" s="742"/>
    </row>
    <row r="23" spans="2:15" ht="15.95" customHeight="1">
      <c r="B23" s="1" t="s">
        <v>13</v>
      </c>
      <c r="F23" s="741"/>
      <c r="G23" s="742"/>
      <c r="J23" s="741"/>
      <c r="K23" s="742"/>
      <c r="N23" s="741"/>
      <c r="O23" s="742"/>
    </row>
    <row r="24" spans="2:15" ht="15.95" customHeight="1">
      <c r="B24" s="1" t="s">
        <v>14</v>
      </c>
      <c r="F24" s="741"/>
      <c r="G24" s="742"/>
      <c r="J24" s="741"/>
      <c r="K24" s="742"/>
      <c r="N24" s="741"/>
      <c r="O24" s="742"/>
    </row>
    <row r="25" spans="2:15" ht="15.95" customHeight="1">
      <c r="F25" s="741"/>
      <c r="G25" s="742"/>
      <c r="J25" s="741"/>
      <c r="K25" s="742"/>
      <c r="N25" s="741"/>
      <c r="O25" s="742"/>
    </row>
    <row r="26" spans="2:15" ht="15.95" customHeight="1">
      <c r="B26" s="158" t="s">
        <v>15</v>
      </c>
      <c r="C26" s="97"/>
      <c r="F26" s="741"/>
      <c r="G26" s="742"/>
      <c r="J26" s="741"/>
      <c r="K26" s="742"/>
      <c r="N26" s="741"/>
      <c r="O26" s="742"/>
    </row>
    <row r="27" spans="2:15" ht="15.95" customHeight="1">
      <c r="B27" s="158"/>
      <c r="C27" s="125" t="s">
        <v>16</v>
      </c>
      <c r="F27" s="741"/>
      <c r="G27" s="742"/>
      <c r="J27" s="741"/>
      <c r="K27" s="742"/>
      <c r="N27" s="741"/>
      <c r="O27" s="742"/>
    </row>
    <row r="28" spans="2:15" ht="15.95" customHeight="1">
      <c r="F28" s="741"/>
      <c r="G28" s="742"/>
      <c r="J28" s="741"/>
      <c r="K28" s="742"/>
      <c r="N28" s="741"/>
      <c r="O28" s="742"/>
    </row>
    <row r="29" spans="2:15" ht="15.95" customHeight="1">
      <c r="F29" s="741"/>
      <c r="G29" s="742"/>
      <c r="J29" s="741"/>
      <c r="K29" s="742"/>
      <c r="N29" s="741"/>
      <c r="O29" s="742"/>
    </row>
    <row r="30" spans="2:15" ht="15.95" customHeight="1">
      <c r="F30" s="741"/>
      <c r="G30" s="742"/>
      <c r="J30" s="741"/>
      <c r="K30" s="742"/>
      <c r="N30" s="741"/>
      <c r="O30" s="742"/>
    </row>
    <row r="31" spans="2:15" ht="15.95" customHeight="1">
      <c r="F31" s="743"/>
      <c r="G31" s="744"/>
      <c r="J31" s="743"/>
      <c r="K31" s="744"/>
      <c r="N31" s="743"/>
      <c r="O31" s="744"/>
    </row>
    <row r="34" spans="2:16">
      <c r="F34" s="231" t="s">
        <v>17</v>
      </c>
      <c r="J34" s="231" t="s">
        <v>18</v>
      </c>
    </row>
    <row r="35" spans="2:16">
      <c r="M35" s="745"/>
      <c r="N35" s="745"/>
      <c r="O35" s="745"/>
      <c r="P35" s="745"/>
    </row>
    <row r="36" spans="2:16" ht="12.95" customHeight="1">
      <c r="F36" s="739" t="s">
        <v>19</v>
      </c>
      <c r="G36" s="740"/>
      <c r="J36" s="739" t="s">
        <v>20</v>
      </c>
      <c r="K36" s="740"/>
      <c r="M36" s="745"/>
      <c r="N36" s="745"/>
      <c r="O36" s="745"/>
      <c r="P36" s="745"/>
    </row>
    <row r="37" spans="2:16">
      <c r="F37" s="741"/>
      <c r="G37" s="742"/>
      <c r="J37" s="741"/>
      <c r="K37" s="742"/>
      <c r="M37" s="745"/>
      <c r="N37" s="745"/>
      <c r="O37" s="745"/>
      <c r="P37" s="745"/>
    </row>
    <row r="38" spans="2:16">
      <c r="F38" s="741"/>
      <c r="G38" s="742"/>
      <c r="J38" s="741"/>
      <c r="K38" s="742"/>
      <c r="M38" s="745"/>
      <c r="N38" s="745"/>
      <c r="O38" s="745"/>
      <c r="P38" s="745"/>
    </row>
    <row r="39" spans="2:16">
      <c r="B39" s="738" t="s">
        <v>21</v>
      </c>
      <c r="C39" s="738"/>
      <c r="D39" s="738"/>
      <c r="F39" s="741"/>
      <c r="G39" s="742"/>
      <c r="J39" s="741"/>
      <c r="K39" s="742"/>
      <c r="M39" s="745"/>
      <c r="N39" s="745"/>
      <c r="O39" s="745"/>
      <c r="P39" s="745"/>
    </row>
    <row r="40" spans="2:16">
      <c r="B40" s="738"/>
      <c r="C40" s="738"/>
      <c r="D40" s="738"/>
      <c r="F40" s="741"/>
      <c r="G40" s="742"/>
      <c r="J40" s="741"/>
      <c r="K40" s="742"/>
      <c r="M40" s="745"/>
      <c r="N40" s="745"/>
      <c r="O40" s="745"/>
      <c r="P40" s="745"/>
    </row>
    <row r="41" spans="2:16">
      <c r="B41" s="738"/>
      <c r="C41" s="738"/>
      <c r="D41" s="738"/>
      <c r="F41" s="741"/>
      <c r="G41" s="742"/>
      <c r="J41" s="741"/>
      <c r="K41" s="742"/>
      <c r="M41" s="745"/>
      <c r="N41" s="745"/>
      <c r="O41" s="745"/>
      <c r="P41" s="745"/>
    </row>
    <row r="42" spans="2:16">
      <c r="B42" s="738"/>
      <c r="C42" s="738"/>
      <c r="D42" s="738"/>
      <c r="F42" s="741"/>
      <c r="G42" s="742"/>
      <c r="J42" s="741"/>
      <c r="K42" s="742"/>
      <c r="M42" s="745"/>
      <c r="N42" s="745"/>
      <c r="O42" s="745"/>
      <c r="P42" s="745"/>
    </row>
    <row r="43" spans="2:16">
      <c r="B43" s="738"/>
      <c r="C43" s="738"/>
      <c r="D43" s="738"/>
      <c r="F43" s="741"/>
      <c r="G43" s="742"/>
      <c r="J43" s="741"/>
      <c r="K43" s="742"/>
    </row>
    <row r="44" spans="2:16">
      <c r="B44" s="738"/>
      <c r="C44" s="738"/>
      <c r="D44" s="738"/>
      <c r="F44" s="741"/>
      <c r="G44" s="742"/>
      <c r="J44" s="741"/>
      <c r="K44" s="742"/>
    </row>
    <row r="45" spans="2:16">
      <c r="B45" s="738"/>
      <c r="C45" s="738"/>
      <c r="D45" s="738"/>
      <c r="F45" s="741"/>
      <c r="G45" s="742"/>
      <c r="J45" s="741"/>
      <c r="K45" s="742"/>
    </row>
    <row r="46" spans="2:16">
      <c r="B46" s="738"/>
      <c r="C46" s="738"/>
      <c r="D46" s="738"/>
      <c r="F46" s="743"/>
      <c r="G46" s="744"/>
      <c r="J46" s="743"/>
      <c r="K46" s="744"/>
    </row>
    <row r="47" spans="2:16">
      <c r="B47" s="738"/>
      <c r="C47" s="738"/>
      <c r="D47" s="738"/>
    </row>
    <row r="48" spans="2:16">
      <c r="B48" s="738"/>
      <c r="C48" s="738"/>
      <c r="D48" s="738"/>
    </row>
    <row r="49" spans="2:13">
      <c r="B49" s="738"/>
      <c r="C49" s="738"/>
      <c r="D49" s="738"/>
    </row>
    <row r="50" spans="2:13" ht="15">
      <c r="B50" s="738"/>
      <c r="C50" s="738"/>
      <c r="D50" s="738"/>
      <c r="F50" s="231" t="s">
        <v>22</v>
      </c>
      <c r="J50" s="231" t="s">
        <v>23</v>
      </c>
      <c r="M50" s="233" t="s">
        <v>24</v>
      </c>
    </row>
    <row r="51" spans="2:13" ht="15">
      <c r="B51" s="738"/>
      <c r="C51" s="738"/>
      <c r="D51" s="738"/>
      <c r="F51" s="232"/>
      <c r="M51" s="234" t="s">
        <v>25</v>
      </c>
    </row>
    <row r="52" spans="2:13" ht="15">
      <c r="F52" s="739" t="s">
        <v>26</v>
      </c>
      <c r="G52" s="740"/>
      <c r="J52" s="739" t="s">
        <v>27</v>
      </c>
      <c r="K52" s="740"/>
      <c r="M52" s="234"/>
    </row>
    <row r="53" spans="2:13" ht="15">
      <c r="F53" s="741"/>
      <c r="G53" s="742"/>
      <c r="J53" s="741"/>
      <c r="K53" s="742"/>
      <c r="M53" s="234" t="s">
        <v>28</v>
      </c>
    </row>
    <row r="54" spans="2:13" ht="15">
      <c r="F54" s="741"/>
      <c r="G54" s="742"/>
      <c r="J54" s="741"/>
      <c r="K54" s="742"/>
      <c r="M54" s="234" t="s">
        <v>29</v>
      </c>
    </row>
    <row r="55" spans="2:13" ht="15">
      <c r="F55" s="741"/>
      <c r="G55" s="742"/>
      <c r="J55" s="741"/>
      <c r="K55" s="742"/>
      <c r="M55" s="234"/>
    </row>
    <row r="56" spans="2:13" ht="15">
      <c r="F56" s="741"/>
      <c r="G56" s="742"/>
      <c r="J56" s="741"/>
      <c r="K56" s="742"/>
      <c r="M56" s="234"/>
    </row>
    <row r="57" spans="2:13">
      <c r="F57" s="741"/>
      <c r="G57" s="742"/>
      <c r="J57" s="741"/>
      <c r="K57" s="742"/>
    </row>
    <row r="58" spans="2:13" ht="15">
      <c r="F58" s="741"/>
      <c r="G58" s="742"/>
      <c r="J58" s="741"/>
      <c r="K58" s="742"/>
      <c r="M58" s="234"/>
    </row>
    <row r="59" spans="2:13">
      <c r="F59" s="741"/>
      <c r="G59" s="742"/>
      <c r="J59" s="741"/>
      <c r="K59" s="742"/>
    </row>
    <row r="60" spans="2:13">
      <c r="F60" s="741"/>
      <c r="G60" s="742"/>
      <c r="J60" s="741"/>
      <c r="K60" s="742"/>
      <c r="M60" s="232"/>
    </row>
    <row r="61" spans="2:13">
      <c r="F61" s="741"/>
      <c r="G61" s="742"/>
      <c r="J61" s="741"/>
      <c r="K61" s="742"/>
    </row>
    <row r="62" spans="2:13">
      <c r="F62" s="743"/>
      <c r="G62" s="744"/>
      <c r="J62" s="743"/>
      <c r="K62" s="744"/>
    </row>
    <row r="63" spans="2:13" ht="12.95" customHeight="1">
      <c r="F63" s="232"/>
    </row>
    <row r="64" spans="2:13">
      <c r="F64" s="232"/>
    </row>
    <row r="65" spans="6:6">
      <c r="F65" s="232"/>
    </row>
    <row r="66" spans="6:6">
      <c r="F66" s="232"/>
    </row>
    <row r="67" spans="6:6">
      <c r="F67" s="232"/>
    </row>
    <row r="68" spans="6:6">
      <c r="F68" s="232"/>
    </row>
    <row r="77" spans="6:6">
      <c r="F77" s="232"/>
    </row>
    <row r="78" spans="6:6">
      <c r="F78" s="232"/>
    </row>
    <row r="79" spans="6:6">
      <c r="F79" s="232"/>
    </row>
    <row r="80" spans="6:6">
      <c r="F80" s="232"/>
    </row>
    <row r="81" spans="6:6">
      <c r="F81" s="232"/>
    </row>
    <row r="82" spans="6:6">
      <c r="F82" s="232"/>
    </row>
    <row r="83" spans="6:6">
      <c r="F83" s="232"/>
    </row>
    <row r="84" spans="6:6">
      <c r="F84" s="232"/>
    </row>
    <row r="85" spans="6:6">
      <c r="F85" s="232"/>
    </row>
    <row r="86" spans="6:6">
      <c r="F86" s="232"/>
    </row>
    <row r="87" spans="6:6">
      <c r="F87" s="232"/>
    </row>
    <row r="88" spans="6:6">
      <c r="F88" s="232"/>
    </row>
    <row r="89" spans="6:6">
      <c r="F89" s="232"/>
    </row>
    <row r="90" spans="6:6">
      <c r="F90" s="232"/>
    </row>
    <row r="91" spans="6:6">
      <c r="F91" s="232"/>
    </row>
    <row r="92" spans="6:6">
      <c r="F92" s="232"/>
    </row>
    <row r="93" spans="6:6">
      <c r="F93" s="232"/>
    </row>
    <row r="94" spans="6:6">
      <c r="F94" s="232"/>
    </row>
    <row r="95" spans="6:6">
      <c r="F95" s="232"/>
    </row>
    <row r="96" spans="6:6">
      <c r="F96" s="232"/>
    </row>
    <row r="97" spans="6:6" ht="12.95" customHeight="1">
      <c r="F97" s="232"/>
    </row>
    <row r="98" spans="6:6">
      <c r="F98" s="232"/>
    </row>
    <row r="99" spans="6:6">
      <c r="F99" s="232"/>
    </row>
    <row r="100" spans="6:6">
      <c r="F100" s="232"/>
    </row>
    <row r="101" spans="6:6">
      <c r="F101" s="232"/>
    </row>
    <row r="102" spans="6:6">
      <c r="F102" s="232"/>
    </row>
    <row r="103" spans="6:6">
      <c r="F103" s="232"/>
    </row>
    <row r="104" spans="6:6">
      <c r="F104" s="232"/>
    </row>
    <row r="105" spans="6:6">
      <c r="F105" s="232"/>
    </row>
    <row r="106" spans="6:6">
      <c r="F106" s="232"/>
    </row>
    <row r="107" spans="6:6">
      <c r="F107" s="232"/>
    </row>
    <row r="108" spans="6:6">
      <c r="F108" s="232"/>
    </row>
    <row r="109" spans="6:6">
      <c r="F109" s="232"/>
    </row>
    <row r="110" spans="6:6">
      <c r="F110" s="232"/>
    </row>
    <row r="111" spans="6:6">
      <c r="F111" s="232"/>
    </row>
    <row r="112" spans="6:6">
      <c r="F112" s="232"/>
    </row>
    <row r="113" spans="6:6">
      <c r="F113" s="232"/>
    </row>
    <row r="114" spans="6:6">
      <c r="F114" s="232"/>
    </row>
    <row r="115" spans="6:6">
      <c r="F115" s="232"/>
    </row>
    <row r="116" spans="6:6">
      <c r="F116" s="232"/>
    </row>
    <row r="117" spans="6:6">
      <c r="F117" s="232"/>
    </row>
    <row r="118" spans="6:6">
      <c r="F118" s="232"/>
    </row>
    <row r="119" spans="6:6">
      <c r="F119" s="232"/>
    </row>
    <row r="120" spans="6:6">
      <c r="F120" s="232"/>
    </row>
    <row r="121" spans="6:6">
      <c r="F121" s="232"/>
    </row>
    <row r="122" spans="6:6">
      <c r="F122" s="232"/>
    </row>
    <row r="123" spans="6:6">
      <c r="F123" s="232"/>
    </row>
    <row r="152" spans="6:6">
      <c r="F152" s="232"/>
    </row>
    <row r="153" spans="6:6">
      <c r="F153" s="232"/>
    </row>
    <row r="154" spans="6:6">
      <c r="F154" s="232"/>
    </row>
    <row r="155" spans="6:6">
      <c r="F155" s="232"/>
    </row>
    <row r="156" spans="6:6">
      <c r="F156" s="232"/>
    </row>
    <row r="157" spans="6:6">
      <c r="F157" s="232"/>
    </row>
    <row r="158" spans="6:6">
      <c r="F158" s="232"/>
    </row>
    <row r="159" spans="6:6">
      <c r="F159" s="232"/>
    </row>
  </sheetData>
  <mergeCells count="12">
    <mergeCell ref="N5:O15"/>
    <mergeCell ref="F21:G31"/>
    <mergeCell ref="J21:K31"/>
    <mergeCell ref="N21:O31"/>
    <mergeCell ref="F36:G46"/>
    <mergeCell ref="J36:K46"/>
    <mergeCell ref="M35:P42"/>
    <mergeCell ref="B39:D51"/>
    <mergeCell ref="F52:G62"/>
    <mergeCell ref="J52:K62"/>
    <mergeCell ref="F5:G15"/>
    <mergeCell ref="J5:K15"/>
  </mergeCells>
  <conditionalFormatting sqref="B27">
    <cfRule type="cellIs" dxfId="605" priority="2" operator="greaterThan">
      <formula>0</formula>
    </cfRule>
  </conditionalFormatting>
  <conditionalFormatting sqref="B26">
    <cfRule type="cellIs" dxfId="604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B26" xr:uid="{00000000-0002-0000-0000-000000000000}"/>
  </dataValidations>
  <pageMargins left="0.75" right="0.75" top="1" bottom="1" header="0.5" footer="0.5"/>
  <pageSetup paperSize="9" scale="94" orientation="portrait" horizontalDpi="4294967292" verticalDpi="4294967292" r:id="rId1"/>
  <rowBreaks count="2" manualBreakCount="2">
    <brk id="45" min="5" max="7" man="1"/>
    <brk id="93" min="5" max="7" man="1"/>
  </rowBreaks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I955"/>
  <sheetViews>
    <sheetView showGridLines="0" showRowColHeaders="0" showZeros="0" showOutlineSymbols="0" zoomScaleNormal="100" zoomScaleSheetLayoutView="75" workbookViewId="0">
      <selection activeCell="E45" sqref="E45"/>
    </sheetView>
  </sheetViews>
  <sheetFormatPr defaultColWidth="10.85546875" defaultRowHeight="12.75" zeroHeight="1"/>
  <cols>
    <col min="1" max="1" width="5" style="28" customWidth="1"/>
    <col min="2" max="2" width="41.140625" style="58" customWidth="1"/>
    <col min="3" max="3" width="19.85546875" style="58" customWidth="1"/>
    <col min="4" max="4" width="17.140625" style="58" customWidth="1"/>
    <col min="5" max="5" width="16.140625" style="59" customWidth="1"/>
    <col min="6" max="6" width="20.140625" style="56" customWidth="1"/>
    <col min="7" max="7" width="21" style="56" customWidth="1"/>
    <col min="8" max="8" width="21.85546875" style="56" customWidth="1"/>
    <col min="9" max="9" width="10.85546875" style="28" customWidth="1"/>
    <col min="10" max="16384" width="10.85546875" style="28"/>
  </cols>
  <sheetData>
    <row r="1" spans="2:9" ht="21.95" customHeight="1">
      <c r="B1" s="28"/>
      <c r="C1" s="28"/>
      <c r="G1" s="158" t="s">
        <v>15</v>
      </c>
    </row>
    <row r="2" spans="2:9">
      <c r="B2" s="374"/>
      <c r="G2" s="158">
        <v>0</v>
      </c>
      <c r="H2" s="125" t="s">
        <v>16</v>
      </c>
    </row>
    <row r="3" spans="2:9" ht="15">
      <c r="B3" s="251" t="s">
        <v>40</v>
      </c>
      <c r="C3" s="60" t="s">
        <v>991</v>
      </c>
      <c r="G3" s="97"/>
    </row>
    <row r="4" spans="2:9" ht="15">
      <c r="B4" s="251" t="s">
        <v>42</v>
      </c>
      <c r="C4" s="252" t="str">
        <f>Voorblad!$E$16</f>
        <v>HHNK bedrijfsgebouwen van werven en RWZI's</v>
      </c>
      <c r="D4" s="375"/>
      <c r="E4" s="56"/>
    </row>
    <row r="5" spans="2:9" ht="15">
      <c r="B5" s="251" t="s">
        <v>43</v>
      </c>
      <c r="C5" s="252" t="str">
        <f>'1.0-Contractblad'!$D$4</f>
        <v>Heerhugowaard</v>
      </c>
      <c r="D5" s="376"/>
      <c r="E5" s="56"/>
    </row>
    <row r="6" spans="2:9" ht="15">
      <c r="B6" s="251" t="s">
        <v>37</v>
      </c>
      <c r="C6" s="323" t="str">
        <f>Voorblad!$E$25</f>
        <v>V1 15-06-2023</v>
      </c>
      <c r="D6" s="376"/>
      <c r="E6" s="56"/>
    </row>
    <row r="7" spans="2:9" ht="15">
      <c r="B7" s="251" t="s">
        <v>45</v>
      </c>
      <c r="C7" s="252" t="str">
        <f>Voorblad!$E$19</f>
        <v>Naam inschrijver</v>
      </c>
      <c r="D7" s="376"/>
      <c r="E7" s="377"/>
    </row>
    <row r="8" spans="2:9" ht="15">
      <c r="B8" s="251" t="s">
        <v>36</v>
      </c>
      <c r="C8" s="264">
        <f>Voorblad!$E$22</f>
        <v>45261</v>
      </c>
      <c r="D8" s="376"/>
      <c r="E8" s="56"/>
    </row>
    <row r="9" spans="2:9" ht="15">
      <c r="B9" s="60" t="s">
        <v>992</v>
      </c>
      <c r="C9" s="54" t="s">
        <v>993</v>
      </c>
      <c r="D9" s="376"/>
      <c r="E9" s="56"/>
    </row>
    <row r="10" spans="2:9" ht="15">
      <c r="D10" s="376"/>
      <c r="E10" s="57"/>
    </row>
    <row r="11" spans="2:9" ht="15">
      <c r="D11" s="376"/>
      <c r="E11" s="57"/>
    </row>
    <row r="12" spans="2:9" ht="15">
      <c r="D12" s="376"/>
      <c r="E12" s="57"/>
    </row>
    <row r="13" spans="2:9">
      <c r="B13" s="61"/>
      <c r="C13" s="62"/>
      <c r="D13" s="62"/>
      <c r="E13" s="63"/>
      <c r="F13" s="221"/>
      <c r="G13" s="221"/>
      <c r="H13" s="221"/>
    </row>
    <row r="14" spans="2:9" ht="15.95" customHeight="1">
      <c r="B14" s="448"/>
      <c r="C14" s="62"/>
      <c r="D14" s="62"/>
      <c r="E14" s="63"/>
      <c r="F14" s="221"/>
      <c r="G14" s="221"/>
      <c r="H14" s="221"/>
    </row>
    <row r="15" spans="2:9" ht="13.5" thickBot="1">
      <c r="B15" s="61"/>
      <c r="C15" s="62"/>
      <c r="D15" s="62"/>
      <c r="E15" s="63"/>
    </row>
    <row r="16" spans="2:9" ht="23.1" customHeight="1" thickBot="1">
      <c r="B16" s="499" t="s">
        <v>994</v>
      </c>
      <c r="C16" s="500"/>
      <c r="D16" s="500"/>
      <c r="E16" s="500"/>
      <c r="F16" s="500"/>
      <c r="G16" s="500"/>
      <c r="H16" s="501"/>
      <c r="I16" s="56"/>
    </row>
    <row r="17" spans="2:8">
      <c r="B17" s="61"/>
      <c r="C17" s="62"/>
      <c r="D17" s="62"/>
      <c r="E17" s="63"/>
    </row>
    <row r="18" spans="2:8" ht="15">
      <c r="B18" s="449" t="s">
        <v>995</v>
      </c>
      <c r="C18" s="28"/>
      <c r="D18" s="28"/>
      <c r="E18" s="28"/>
      <c r="F18" s="28"/>
      <c r="G18" s="28"/>
      <c r="H18" s="28"/>
    </row>
    <row r="19" spans="2:8" ht="45" customHeight="1">
      <c r="B19" s="755" t="s">
        <v>996</v>
      </c>
      <c r="C19" s="755"/>
      <c r="D19" s="755"/>
      <c r="E19" s="103" t="s">
        <v>997</v>
      </c>
      <c r="F19" s="103" t="s">
        <v>998</v>
      </c>
      <c r="G19" s="103" t="s">
        <v>999</v>
      </c>
      <c r="H19" s="103" t="s">
        <v>1000</v>
      </c>
    </row>
    <row r="20" spans="2:8">
      <c r="B20" s="380" t="s">
        <v>157</v>
      </c>
      <c r="C20" s="380"/>
      <c r="D20" s="115"/>
      <c r="E20" s="444">
        <v>1</v>
      </c>
      <c r="F20" s="445">
        <v>12</v>
      </c>
      <c r="G20" s="446"/>
      <c r="H20" s="446">
        <f>G20*F20*E20</f>
        <v>0</v>
      </c>
    </row>
    <row r="21" spans="2:8">
      <c r="B21" s="380" t="s">
        <v>133</v>
      </c>
      <c r="C21" s="380"/>
      <c r="D21" s="115"/>
      <c r="E21" s="444">
        <v>1</v>
      </c>
      <c r="F21" s="445">
        <v>2</v>
      </c>
      <c r="G21" s="446"/>
      <c r="H21" s="446">
        <f t="shared" ref="H21:H33" si="0">G21*F21*E21</f>
        <v>0</v>
      </c>
    </row>
    <row r="22" spans="2:8">
      <c r="B22" s="380" t="s">
        <v>142</v>
      </c>
      <c r="C22" s="380"/>
      <c r="D22" s="115"/>
      <c r="E22" s="444">
        <v>1</v>
      </c>
      <c r="F22" s="445">
        <v>4</v>
      </c>
      <c r="G22" s="446"/>
      <c r="H22" s="446">
        <f t="shared" si="0"/>
        <v>0</v>
      </c>
    </row>
    <row r="23" spans="2:8">
      <c r="B23" s="380" t="s">
        <v>121</v>
      </c>
      <c r="C23" s="380"/>
      <c r="D23" s="115"/>
      <c r="E23" s="444">
        <v>1</v>
      </c>
      <c r="F23" s="445">
        <v>12</v>
      </c>
      <c r="G23" s="446"/>
      <c r="H23" s="446">
        <f t="shared" si="0"/>
        <v>0</v>
      </c>
    </row>
    <row r="24" spans="2:8">
      <c r="B24" s="380" t="s">
        <v>154</v>
      </c>
      <c r="C24" s="380"/>
      <c r="D24" s="115"/>
      <c r="E24" s="444">
        <v>1</v>
      </c>
      <c r="F24" s="445">
        <v>2</v>
      </c>
      <c r="G24" s="446"/>
      <c r="H24" s="446">
        <f t="shared" si="0"/>
        <v>0</v>
      </c>
    </row>
    <row r="25" spans="2:8">
      <c r="B25" s="380" t="s">
        <v>92</v>
      </c>
      <c r="C25" s="380"/>
      <c r="D25" s="115"/>
      <c r="E25" s="444">
        <v>1</v>
      </c>
      <c r="F25" s="445">
        <v>2</v>
      </c>
      <c r="G25" s="446"/>
      <c r="H25" s="446">
        <f t="shared" si="0"/>
        <v>0</v>
      </c>
    </row>
    <row r="26" spans="2:8">
      <c r="B26" s="380" t="s">
        <v>109</v>
      </c>
      <c r="C26" s="380"/>
      <c r="D26" s="115"/>
      <c r="E26" s="444">
        <v>1</v>
      </c>
      <c r="F26" s="445">
        <v>2</v>
      </c>
      <c r="G26" s="446"/>
      <c r="H26" s="446">
        <f t="shared" si="0"/>
        <v>0</v>
      </c>
    </row>
    <row r="27" spans="2:8">
      <c r="B27" s="380" t="s">
        <v>115</v>
      </c>
      <c r="C27" s="380"/>
      <c r="D27" s="115"/>
      <c r="E27" s="444">
        <v>1</v>
      </c>
      <c r="F27" s="445">
        <v>4</v>
      </c>
      <c r="G27" s="446"/>
      <c r="H27" s="446">
        <f t="shared" si="0"/>
        <v>0</v>
      </c>
    </row>
    <row r="28" spans="2:8">
      <c r="B28" s="380" t="s">
        <v>107</v>
      </c>
      <c r="C28" s="380"/>
      <c r="D28" s="115"/>
      <c r="E28" s="444">
        <v>1</v>
      </c>
      <c r="F28" s="445">
        <v>2</v>
      </c>
      <c r="G28" s="446"/>
      <c r="H28" s="446">
        <f t="shared" si="0"/>
        <v>0</v>
      </c>
    </row>
    <row r="29" spans="2:8">
      <c r="B29" s="380" t="s">
        <v>98</v>
      </c>
      <c r="C29" s="380"/>
      <c r="D29" s="115"/>
      <c r="E29" s="444">
        <v>1</v>
      </c>
      <c r="F29" s="445">
        <v>4</v>
      </c>
      <c r="G29" s="446"/>
      <c r="H29" s="446">
        <f t="shared" si="0"/>
        <v>0</v>
      </c>
    </row>
    <row r="30" spans="2:8">
      <c r="B30" s="380" t="s">
        <v>124</v>
      </c>
      <c r="C30" s="380"/>
      <c r="D30" s="115"/>
      <c r="E30" s="444">
        <v>1</v>
      </c>
      <c r="F30" s="445">
        <v>4</v>
      </c>
      <c r="G30" s="446"/>
      <c r="H30" s="446">
        <f t="shared" si="0"/>
        <v>0</v>
      </c>
    </row>
    <row r="31" spans="2:8">
      <c r="B31" s="380" t="s">
        <v>118</v>
      </c>
      <c r="C31" s="380"/>
      <c r="D31" s="115"/>
      <c r="E31" s="444">
        <v>1</v>
      </c>
      <c r="F31" s="445">
        <v>12</v>
      </c>
      <c r="G31" s="446"/>
      <c r="H31" s="446">
        <f t="shared" si="0"/>
        <v>0</v>
      </c>
    </row>
    <row r="32" spans="2:8">
      <c r="B32" s="380" t="s">
        <v>95</v>
      </c>
      <c r="C32" s="380"/>
      <c r="D32" s="115"/>
      <c r="E32" s="444">
        <v>1</v>
      </c>
      <c r="F32" s="445">
        <v>4</v>
      </c>
      <c r="G32" s="446"/>
      <c r="H32" s="446">
        <f t="shared" si="0"/>
        <v>0</v>
      </c>
    </row>
    <row r="33" spans="2:9">
      <c r="B33" s="380" t="s">
        <v>112</v>
      </c>
      <c r="C33" s="380"/>
      <c r="D33" s="115"/>
      <c r="E33" s="444">
        <v>1</v>
      </c>
      <c r="F33" s="445">
        <v>4</v>
      </c>
      <c r="G33" s="446"/>
      <c r="H33" s="446">
        <f t="shared" si="0"/>
        <v>0</v>
      </c>
    </row>
    <row r="34" spans="2:9" ht="29.25">
      <c r="B34" s="380"/>
      <c r="C34" s="28"/>
      <c r="D34" s="378"/>
      <c r="E34" s="28"/>
      <c r="F34" s="450" t="s">
        <v>1001</v>
      </c>
      <c r="G34" s="28"/>
      <c r="H34" s="28"/>
    </row>
    <row r="35" spans="2:9" ht="13.5" thickBot="1">
      <c r="B35" s="380"/>
      <c r="C35" s="28"/>
      <c r="D35" s="378"/>
      <c r="E35" s="28"/>
      <c r="F35" s="28"/>
      <c r="G35" s="447"/>
      <c r="H35" s="447"/>
    </row>
    <row r="36" spans="2:9" ht="23.1" customHeight="1" thickBot="1">
      <c r="B36" s="499" t="s">
        <v>1002</v>
      </c>
      <c r="C36" s="500"/>
      <c r="D36" s="500"/>
      <c r="E36" s="500"/>
      <c r="F36" s="500"/>
      <c r="G36" s="500"/>
      <c r="H36" s="501"/>
      <c r="I36" s="56"/>
    </row>
    <row r="37" spans="2:9">
      <c r="B37" s="61"/>
      <c r="C37" s="62"/>
      <c r="D37" s="62"/>
      <c r="E37" s="63"/>
    </row>
    <row r="38" spans="2:9" ht="45" customHeight="1">
      <c r="B38" s="755" t="s">
        <v>1003</v>
      </c>
      <c r="C38" s="755"/>
      <c r="D38" s="755"/>
      <c r="E38" s="103" t="s">
        <v>997</v>
      </c>
      <c r="F38" s="103" t="s">
        <v>998</v>
      </c>
      <c r="G38" s="103" t="s">
        <v>999</v>
      </c>
      <c r="H38" s="103" t="s">
        <v>1000</v>
      </c>
    </row>
    <row r="39" spans="2:9">
      <c r="B39" s="380" t="s">
        <v>95</v>
      </c>
      <c r="C39" s="368"/>
      <c r="D39" s="379"/>
      <c r="E39" s="444">
        <v>1</v>
      </c>
      <c r="F39" s="445">
        <v>2</v>
      </c>
      <c r="G39" s="446"/>
      <c r="H39" s="446">
        <f t="shared" ref="H39:H43" si="1">G39*F39*E39</f>
        <v>0</v>
      </c>
    </row>
    <row r="40" spans="2:9">
      <c r="B40" s="380" t="s">
        <v>112</v>
      </c>
      <c r="C40" s="379"/>
      <c r="D40" s="379"/>
      <c r="E40" s="444">
        <v>1</v>
      </c>
      <c r="F40" s="445">
        <v>2</v>
      </c>
      <c r="G40" s="446"/>
      <c r="H40" s="446">
        <f t="shared" si="1"/>
        <v>0</v>
      </c>
    </row>
    <row r="41" spans="2:9">
      <c r="B41" s="28" t="s">
        <v>118</v>
      </c>
      <c r="C41" s="379"/>
      <c r="D41" s="379"/>
      <c r="E41" s="444">
        <v>1</v>
      </c>
      <c r="F41" s="445">
        <v>2</v>
      </c>
      <c r="G41" s="446"/>
      <c r="H41" s="446">
        <f t="shared" si="1"/>
        <v>0</v>
      </c>
    </row>
    <row r="42" spans="2:9">
      <c r="B42" s="28" t="s">
        <v>124</v>
      </c>
      <c r="C42" s="379"/>
      <c r="D42" s="379"/>
      <c r="E42" s="444">
        <v>1</v>
      </c>
      <c r="F42" s="445">
        <v>2</v>
      </c>
      <c r="G42" s="446"/>
      <c r="H42" s="446">
        <f t="shared" si="1"/>
        <v>0</v>
      </c>
    </row>
    <row r="43" spans="2:9">
      <c r="B43" s="28" t="s">
        <v>130</v>
      </c>
      <c r="C43" s="379"/>
      <c r="D43" s="379"/>
      <c r="E43" s="444">
        <v>1</v>
      </c>
      <c r="F43" s="445">
        <v>2</v>
      </c>
      <c r="G43" s="446"/>
      <c r="H43" s="446">
        <f t="shared" si="1"/>
        <v>0</v>
      </c>
    </row>
    <row r="44" spans="2:9">
      <c r="B44" s="28" t="s">
        <v>151</v>
      </c>
      <c r="C44" s="379"/>
      <c r="D44" s="379"/>
      <c r="E44" s="444">
        <v>1</v>
      </c>
      <c r="F44" s="445">
        <v>2</v>
      </c>
      <c r="G44" s="446"/>
      <c r="H44" s="446">
        <f>G44*F44*E44</f>
        <v>0</v>
      </c>
    </row>
    <row r="45" spans="2:9" ht="29.25">
      <c r="B45" s="28"/>
      <c r="C45" s="28"/>
      <c r="D45" s="28"/>
      <c r="E45" s="28"/>
      <c r="F45" s="450" t="s">
        <v>1001</v>
      </c>
      <c r="G45" s="28"/>
      <c r="H45" s="28"/>
    </row>
    <row r="46" spans="2:9">
      <c r="B46" s="28"/>
      <c r="C46" s="28"/>
      <c r="D46" s="28"/>
      <c r="E46" s="28"/>
      <c r="F46" s="28"/>
      <c r="G46" s="28"/>
      <c r="H46" s="28"/>
    </row>
    <row r="47" spans="2:9">
      <c r="B47" s="28"/>
      <c r="C47" s="28"/>
      <c r="D47" s="28"/>
      <c r="E47" s="28"/>
      <c r="F47" s="28"/>
      <c r="G47" s="28"/>
      <c r="H47" s="28"/>
    </row>
    <row r="48" spans="2:9">
      <c r="B48" s="28"/>
      <c r="C48" s="28"/>
      <c r="D48" s="28"/>
      <c r="E48" s="28"/>
      <c r="F48" s="28"/>
      <c r="G48" s="28"/>
      <c r="H48" s="28"/>
    </row>
    <row r="49" spans="2:8">
      <c r="B49" s="382"/>
      <c r="C49" s="65"/>
      <c r="D49" s="65"/>
      <c r="E49" s="65"/>
      <c r="F49" s="65"/>
      <c r="G49" s="65"/>
      <c r="H49" s="65"/>
    </row>
    <row r="50" spans="2:8">
      <c r="B50" s="382"/>
      <c r="C50" s="65"/>
      <c r="D50" s="65"/>
      <c r="E50" s="65"/>
      <c r="F50" s="65"/>
      <c r="G50" s="65"/>
      <c r="H50" s="65"/>
    </row>
    <row r="51" spans="2:8" ht="18.75" customHeight="1">
      <c r="B51" s="757" t="s">
        <v>1004</v>
      </c>
      <c r="C51" s="757"/>
      <c r="D51" s="757"/>
      <c r="E51" s="757"/>
      <c r="F51" s="757"/>
      <c r="G51" s="757"/>
      <c r="H51" s="757"/>
    </row>
    <row r="52" spans="2:8">
      <c r="B52" s="382"/>
      <c r="C52" s="65"/>
      <c r="D52" s="65"/>
      <c r="E52" s="65"/>
      <c r="F52" s="65"/>
      <c r="G52" s="65"/>
      <c r="H52" s="65"/>
    </row>
    <row r="53" spans="2:8">
      <c r="B53" s="382"/>
      <c r="C53" s="65"/>
      <c r="D53" s="65"/>
      <c r="E53" s="754" t="s">
        <v>1005</v>
      </c>
      <c r="F53" s="754"/>
      <c r="G53" s="754"/>
      <c r="H53" s="754"/>
    </row>
    <row r="54" spans="2:8">
      <c r="B54" s="65"/>
      <c r="C54" s="65"/>
      <c r="D54" s="65"/>
      <c r="E54" s="381" t="s">
        <v>1006</v>
      </c>
      <c r="F54" s="381" t="s">
        <v>1007</v>
      </c>
      <c r="G54" s="221" t="s">
        <v>1008</v>
      </c>
      <c r="H54" s="221" t="s">
        <v>1009</v>
      </c>
    </row>
    <row r="55" spans="2:8">
      <c r="B55" s="65" t="s">
        <v>1010</v>
      </c>
      <c r="C55" s="65"/>
      <c r="D55" s="65"/>
      <c r="E55" s="752"/>
      <c r="F55" s="752"/>
      <c r="G55" s="752"/>
      <c r="H55" s="752"/>
    </row>
    <row r="56" spans="2:8">
      <c r="B56" s="382" t="s">
        <v>1011</v>
      </c>
      <c r="C56" s="65"/>
      <c r="D56" s="65"/>
      <c r="E56" s="753"/>
      <c r="F56" s="753"/>
      <c r="G56" s="753"/>
      <c r="H56" s="753"/>
    </row>
    <row r="57" spans="2:8">
      <c r="B57" s="65"/>
      <c r="C57" s="65"/>
      <c r="D57" s="65"/>
      <c r="E57" s="64"/>
    </row>
    <row r="58" spans="2:8">
      <c r="B58" s="65"/>
      <c r="C58" s="65"/>
      <c r="D58" s="65"/>
      <c r="E58" s="64"/>
    </row>
    <row r="59" spans="2:8" ht="18.75" customHeight="1">
      <c r="B59" s="757" t="s">
        <v>1012</v>
      </c>
      <c r="C59" s="757"/>
      <c r="D59" s="757"/>
      <c r="E59" s="757"/>
      <c r="F59" s="757"/>
      <c r="G59" s="757"/>
      <c r="H59" s="757"/>
    </row>
    <row r="60" spans="2:8">
      <c r="B60" s="65"/>
      <c r="C60" s="65"/>
      <c r="D60" s="65"/>
      <c r="E60" s="64"/>
    </row>
    <row r="61" spans="2:8">
      <c r="B61" s="65"/>
      <c r="C61" s="65"/>
      <c r="D61" s="65"/>
      <c r="E61" s="754" t="s">
        <v>1005</v>
      </c>
      <c r="F61" s="754"/>
      <c r="G61" s="754"/>
      <c r="H61" s="754"/>
    </row>
    <row r="62" spans="2:8">
      <c r="B62" s="65"/>
      <c r="C62" s="65"/>
      <c r="D62" s="65"/>
      <c r="E62" s="381" t="s">
        <v>1006</v>
      </c>
      <c r="F62" s="381" t="s">
        <v>1007</v>
      </c>
      <c r="G62" s="221" t="s">
        <v>1008</v>
      </c>
      <c r="H62" s="221" t="s">
        <v>1009</v>
      </c>
    </row>
    <row r="63" spans="2:8">
      <c r="B63" s="65" t="s">
        <v>1013</v>
      </c>
      <c r="C63" s="65"/>
      <c r="D63" s="65"/>
      <c r="E63" s="752"/>
      <c r="F63" s="752"/>
      <c r="G63" s="752"/>
      <c r="H63" s="752"/>
    </row>
    <row r="64" spans="2:8">
      <c r="B64" s="65" t="s">
        <v>1014</v>
      </c>
      <c r="C64" s="65"/>
      <c r="D64" s="65"/>
      <c r="E64" s="753"/>
      <c r="F64" s="753"/>
      <c r="G64" s="753"/>
      <c r="H64" s="753"/>
    </row>
    <row r="65" spans="2:8">
      <c r="B65" s="28"/>
      <c r="C65" s="65"/>
      <c r="D65" s="65"/>
      <c r="E65" s="64"/>
    </row>
    <row r="66" spans="2:8">
      <c r="B66" s="65" t="s">
        <v>1013</v>
      </c>
      <c r="C66" s="65"/>
      <c r="D66" s="65"/>
      <c r="E66" s="752"/>
      <c r="F66" s="752"/>
      <c r="G66" s="752"/>
      <c r="H66" s="752"/>
    </row>
    <row r="67" spans="2:8">
      <c r="B67" s="65" t="s">
        <v>1015</v>
      </c>
      <c r="C67" s="65"/>
      <c r="D67" s="65"/>
      <c r="E67" s="753"/>
      <c r="F67" s="753"/>
      <c r="G67" s="753"/>
      <c r="H67" s="753"/>
    </row>
    <row r="68" spans="2:8">
      <c r="B68" s="28"/>
      <c r="C68" s="65"/>
      <c r="D68" s="65"/>
      <c r="E68" s="64"/>
    </row>
    <row r="69" spans="2:8">
      <c r="B69" s="65" t="s">
        <v>1013</v>
      </c>
      <c r="C69" s="65"/>
      <c r="D69" s="65"/>
      <c r="E69" s="752"/>
      <c r="F69" s="752"/>
      <c r="G69" s="752"/>
      <c r="H69" s="752"/>
    </row>
    <row r="70" spans="2:8">
      <c r="B70" s="65" t="s">
        <v>1016</v>
      </c>
      <c r="C70" s="65"/>
      <c r="D70" s="65"/>
      <c r="E70" s="753"/>
      <c r="F70" s="753"/>
      <c r="G70" s="753"/>
      <c r="H70" s="753"/>
    </row>
    <row r="71" spans="2:8">
      <c r="B71" s="28"/>
      <c r="C71" s="65"/>
      <c r="D71" s="65"/>
      <c r="E71" s="64"/>
    </row>
    <row r="72" spans="2:8">
      <c r="B72" s="65" t="s">
        <v>1013</v>
      </c>
      <c r="C72" s="65"/>
      <c r="D72" s="65"/>
      <c r="E72" s="752"/>
      <c r="F72" s="752"/>
      <c r="G72" s="752"/>
      <c r="H72" s="752"/>
    </row>
    <row r="73" spans="2:8">
      <c r="B73" s="65" t="s">
        <v>1017</v>
      </c>
      <c r="C73" s="65"/>
      <c r="D73" s="65"/>
      <c r="E73" s="753"/>
      <c r="F73" s="753"/>
      <c r="G73" s="753"/>
      <c r="H73" s="753"/>
    </row>
    <row r="74" spans="2:8">
      <c r="B74" s="65"/>
      <c r="C74" s="65"/>
      <c r="D74" s="65"/>
      <c r="E74" s="64"/>
    </row>
    <row r="75" spans="2:8">
      <c r="B75" s="65"/>
      <c r="C75" s="65"/>
      <c r="D75" s="65"/>
      <c r="E75" s="64"/>
    </row>
    <row r="76" spans="2:8" ht="21" customHeight="1">
      <c r="B76" s="757" t="s">
        <v>1018</v>
      </c>
      <c r="C76" s="757"/>
      <c r="D76" s="757"/>
      <c r="E76" s="757"/>
      <c r="F76" s="757"/>
      <c r="G76" s="757"/>
      <c r="H76" s="757"/>
    </row>
    <row r="77" spans="2:8" ht="21" customHeight="1">
      <c r="B77" s="169"/>
      <c r="C77" s="229"/>
      <c r="D77" s="229"/>
      <c r="E77" s="28"/>
      <c r="F77" s="28"/>
      <c r="G77" s="28"/>
      <c r="H77" s="28"/>
    </row>
    <row r="78" spans="2:8">
      <c r="B78" s="28"/>
      <c r="C78" s="28"/>
      <c r="D78" s="28"/>
      <c r="E78" s="28"/>
      <c r="F78" s="28"/>
      <c r="G78" s="28"/>
      <c r="H78" s="28"/>
    </row>
    <row r="79" spans="2:8">
      <c r="B79" s="28"/>
      <c r="C79" s="229"/>
      <c r="D79" s="229"/>
      <c r="E79" s="754" t="s">
        <v>1019</v>
      </c>
      <c r="F79" s="754"/>
      <c r="G79" s="754"/>
      <c r="H79" s="754"/>
    </row>
    <row r="80" spans="2:8">
      <c r="B80" s="169" t="s">
        <v>1020</v>
      </c>
      <c r="C80" s="169"/>
      <c r="D80" s="169"/>
      <c r="E80" s="343" t="s">
        <v>1021</v>
      </c>
      <c r="F80" s="343" t="s">
        <v>1022</v>
      </c>
      <c r="G80" s="343" t="s">
        <v>1023</v>
      </c>
      <c r="H80" s="343" t="s">
        <v>1024</v>
      </c>
    </row>
    <row r="81" spans="2:8">
      <c r="B81" s="28" t="s">
        <v>1025</v>
      </c>
      <c r="C81" s="28"/>
      <c r="D81" s="28"/>
      <c r="E81" s="752"/>
      <c r="F81" s="752"/>
      <c r="G81" s="752"/>
      <c r="H81" s="752"/>
    </row>
    <row r="82" spans="2:8">
      <c r="B82" s="379" t="s">
        <v>1026</v>
      </c>
      <c r="C82" s="28"/>
      <c r="D82" s="28"/>
      <c r="E82" s="753"/>
      <c r="F82" s="753"/>
      <c r="G82" s="753"/>
      <c r="H82" s="753"/>
    </row>
    <row r="83" spans="2:8">
      <c r="B83" s="28"/>
      <c r="C83" s="28"/>
      <c r="D83" s="28"/>
      <c r="E83" s="28"/>
      <c r="F83" s="28"/>
      <c r="G83" s="28"/>
      <c r="H83" s="28"/>
    </row>
    <row r="84" spans="2:8">
      <c r="B84" s="28" t="s">
        <v>1027</v>
      </c>
      <c r="C84" s="28"/>
      <c r="D84" s="28"/>
      <c r="E84" s="752"/>
      <c r="F84" s="752"/>
      <c r="G84" s="752"/>
      <c r="H84" s="752"/>
    </row>
    <row r="85" spans="2:8">
      <c r="B85" s="379" t="s">
        <v>1026</v>
      </c>
      <c r="C85" s="28"/>
      <c r="D85" s="28"/>
      <c r="E85" s="753"/>
      <c r="F85" s="753"/>
      <c r="G85" s="753"/>
      <c r="H85" s="753"/>
    </row>
    <row r="86" spans="2:8">
      <c r="B86" s="28"/>
      <c r="C86" s="28"/>
      <c r="D86" s="28"/>
      <c r="E86" s="28"/>
      <c r="F86" s="28"/>
      <c r="G86" s="28"/>
      <c r="H86" s="28"/>
    </row>
    <row r="87" spans="2:8">
      <c r="B87" s="28"/>
      <c r="C87" s="28"/>
      <c r="D87" s="28"/>
      <c r="E87" s="28"/>
      <c r="F87" s="28"/>
      <c r="G87" s="28"/>
      <c r="H87" s="28"/>
    </row>
    <row r="88" spans="2:8">
      <c r="B88" s="28"/>
      <c r="C88" s="28"/>
      <c r="D88" s="28"/>
      <c r="E88" s="28"/>
      <c r="F88" s="28"/>
      <c r="G88" s="28"/>
      <c r="H88" s="28"/>
    </row>
    <row r="89" spans="2:8">
      <c r="B89" s="28"/>
      <c r="C89" s="28"/>
      <c r="D89" s="28"/>
      <c r="E89" s="754" t="s">
        <v>1019</v>
      </c>
      <c r="F89" s="754"/>
      <c r="G89" s="754"/>
      <c r="H89" s="754"/>
    </row>
    <row r="90" spans="2:8">
      <c r="B90" s="169" t="s">
        <v>1028</v>
      </c>
      <c r="C90" s="65"/>
      <c r="D90" s="65"/>
      <c r="E90" s="343" t="s">
        <v>1021</v>
      </c>
      <c r="F90" s="343" t="s">
        <v>1022</v>
      </c>
      <c r="G90" s="343" t="s">
        <v>1023</v>
      </c>
      <c r="H90" s="343" t="s">
        <v>1024</v>
      </c>
    </row>
    <row r="91" spans="2:8">
      <c r="B91" s="65" t="s">
        <v>1029</v>
      </c>
      <c r="C91" s="28"/>
      <c r="D91" s="65"/>
      <c r="E91" s="752"/>
      <c r="F91" s="752"/>
      <c r="G91" s="752"/>
      <c r="H91" s="752"/>
    </row>
    <row r="92" spans="2:8">
      <c r="B92" s="382" t="s">
        <v>1030</v>
      </c>
      <c r="C92" s="65"/>
      <c r="D92" s="65"/>
      <c r="E92" s="753"/>
      <c r="F92" s="753"/>
      <c r="G92" s="753"/>
      <c r="H92" s="753"/>
    </row>
    <row r="93" spans="2:8">
      <c r="B93" s="65"/>
      <c r="C93" s="65"/>
      <c r="D93" s="65"/>
      <c r="E93" s="64"/>
    </row>
    <row r="94" spans="2:8" ht="21" customHeight="1">
      <c r="B94" s="28"/>
      <c r="C94" s="28"/>
      <c r="D94" s="28"/>
      <c r="E94" s="28"/>
      <c r="F94" s="28"/>
      <c r="G94" s="221" t="s">
        <v>1031</v>
      </c>
      <c r="H94" s="221" t="s">
        <v>1031</v>
      </c>
    </row>
    <row r="95" spans="2:8" ht="21" customHeight="1">
      <c r="B95" s="378" t="s">
        <v>1032</v>
      </c>
      <c r="C95" s="378" t="s">
        <v>1033</v>
      </c>
      <c r="D95" s="28"/>
      <c r="E95" s="28"/>
      <c r="F95" s="28"/>
      <c r="G95" s="221" t="s">
        <v>1034</v>
      </c>
      <c r="H95" s="221" t="s">
        <v>1035</v>
      </c>
    </row>
    <row r="96" spans="2:8" ht="21" customHeight="1">
      <c r="B96" s="28" t="s">
        <v>1036</v>
      </c>
      <c r="C96" s="28" t="s">
        <v>1037</v>
      </c>
      <c r="D96" s="28"/>
      <c r="E96" s="28"/>
      <c r="F96" s="28"/>
      <c r="G96" s="407"/>
      <c r="H96" s="28"/>
    </row>
    <row r="97" spans="2:8" ht="21" customHeight="1">
      <c r="B97" s="28" t="s">
        <v>1038</v>
      </c>
      <c r="C97" s="28" t="s">
        <v>1039</v>
      </c>
      <c r="D97" s="28"/>
      <c r="E97" s="28"/>
      <c r="F97" s="28"/>
      <c r="G97" s="407"/>
      <c r="H97" s="28"/>
    </row>
    <row r="98" spans="2:8" ht="21" customHeight="1">
      <c r="B98" s="28" t="s">
        <v>1040</v>
      </c>
      <c r="C98" s="28" t="s">
        <v>1041</v>
      </c>
      <c r="D98" s="28"/>
      <c r="E98" s="28"/>
      <c r="F98" s="28"/>
      <c r="G98" s="28"/>
      <c r="H98" s="407"/>
    </row>
    <row r="99" spans="2:8" ht="21" customHeight="1">
      <c r="B99" s="28" t="s">
        <v>1042</v>
      </c>
      <c r="C99" s="28" t="s">
        <v>1041</v>
      </c>
      <c r="D99" s="28"/>
      <c r="E99" s="28"/>
      <c r="F99" s="28"/>
      <c r="G99" s="28"/>
      <c r="H99" s="407"/>
    </row>
    <row r="100" spans="2:8" ht="21" customHeight="1">
      <c r="B100" s="28"/>
      <c r="C100" s="28"/>
      <c r="D100" s="28"/>
      <c r="E100" s="28"/>
      <c r="F100" s="28"/>
      <c r="G100" s="28"/>
      <c r="H100" s="28"/>
    </row>
    <row r="101" spans="2:8" ht="21" customHeight="1">
      <c r="B101" s="28"/>
      <c r="C101" s="28"/>
      <c r="D101" s="28"/>
      <c r="E101" s="28"/>
      <c r="F101" s="28"/>
      <c r="G101" s="28"/>
      <c r="H101" s="28"/>
    </row>
    <row r="102" spans="2:8">
      <c r="B102" s="28"/>
      <c r="C102" s="28"/>
      <c r="D102" s="28"/>
      <c r="E102" s="28"/>
      <c r="F102" s="28"/>
      <c r="G102" s="28"/>
      <c r="H102" s="28"/>
    </row>
    <row r="103" spans="2:8" ht="15">
      <c r="B103" s="756" t="s">
        <v>1043</v>
      </c>
      <c r="C103" s="756"/>
      <c r="D103" s="756"/>
      <c r="E103" s="756"/>
      <c r="F103" s="756"/>
      <c r="G103" s="756"/>
      <c r="H103" s="756"/>
    </row>
    <row r="104" spans="2:8" ht="32.1" customHeight="1">
      <c r="B104" s="28"/>
      <c r="C104" s="28"/>
      <c r="D104" s="28"/>
      <c r="E104" s="28"/>
      <c r="F104" s="28"/>
      <c r="G104" s="28"/>
      <c r="H104" s="28"/>
    </row>
    <row r="105" spans="2:8" ht="12.75" customHeight="1">
      <c r="B105" s="755" t="s">
        <v>1044</v>
      </c>
      <c r="C105" s="755"/>
      <c r="D105" s="755"/>
      <c r="E105" s="755"/>
      <c r="F105" s="755"/>
      <c r="G105" s="755"/>
      <c r="H105" s="755"/>
    </row>
    <row r="106" spans="2:8">
      <c r="B106" s="755"/>
      <c r="C106" s="755"/>
      <c r="D106" s="755"/>
      <c r="E106" s="755"/>
      <c r="F106" s="755"/>
      <c r="G106" s="755"/>
      <c r="H106" s="755"/>
    </row>
    <row r="107" spans="2:8">
      <c r="B107" s="755"/>
      <c r="C107" s="755"/>
      <c r="D107" s="755"/>
      <c r="E107" s="755"/>
      <c r="F107" s="755"/>
      <c r="G107" s="755"/>
      <c r="H107" s="755"/>
    </row>
    <row r="108" spans="2:8">
      <c r="B108" s="378"/>
      <c r="C108" s="378"/>
      <c r="D108" s="378"/>
      <c r="E108" s="378"/>
      <c r="F108" s="378"/>
      <c r="G108" s="378"/>
      <c r="H108" s="378"/>
    </row>
    <row r="109" spans="2:8">
      <c r="B109" s="378" t="s">
        <v>1045</v>
      </c>
      <c r="C109" s="28"/>
      <c r="D109" s="378" t="s">
        <v>1046</v>
      </c>
      <c r="E109" s="378"/>
      <c r="F109" s="378"/>
      <c r="G109" s="378"/>
      <c r="H109" s="378"/>
    </row>
    <row r="110" spans="2:8" ht="20.100000000000001" customHeight="1">
      <c r="B110" s="379" t="s">
        <v>1047</v>
      </c>
      <c r="C110" s="28"/>
      <c r="D110" s="28" t="s">
        <v>1048</v>
      </c>
      <c r="E110" s="28"/>
      <c r="F110" s="380"/>
      <c r="G110" s="380"/>
      <c r="H110" s="406"/>
    </row>
    <row r="111" spans="2:8" ht="20.100000000000001" customHeight="1">
      <c r="B111" s="28" t="s">
        <v>1049</v>
      </c>
      <c r="C111" s="28"/>
      <c r="D111" s="28" t="s">
        <v>1050</v>
      </c>
      <c r="E111" s="28"/>
      <c r="F111" s="380"/>
      <c r="G111" s="380"/>
      <c r="H111" s="406"/>
    </row>
    <row r="112" spans="2:8" ht="20.100000000000001" customHeight="1">
      <c r="B112" s="28" t="s">
        <v>1047</v>
      </c>
      <c r="C112" s="28"/>
      <c r="D112" s="28" t="s">
        <v>1051</v>
      </c>
      <c r="E112" s="28"/>
      <c r="F112" s="380"/>
      <c r="G112" s="380"/>
      <c r="H112" s="406"/>
    </row>
    <row r="113" spans="1:8" ht="20.100000000000001" customHeight="1">
      <c r="B113" s="379" t="s">
        <v>1049</v>
      </c>
      <c r="C113" s="28"/>
      <c r="D113" s="379" t="s">
        <v>1051</v>
      </c>
      <c r="E113" s="28"/>
      <c r="F113" s="368"/>
      <c r="G113" s="380"/>
      <c r="H113" s="406"/>
    </row>
    <row r="114" spans="1:8" ht="20.100000000000001" customHeight="1">
      <c r="B114" s="28" t="s">
        <v>1047</v>
      </c>
      <c r="C114" s="28"/>
      <c r="D114" s="28" t="s">
        <v>1052</v>
      </c>
      <c r="E114" s="28"/>
      <c r="F114" s="380"/>
      <c r="G114" s="368"/>
      <c r="H114" s="406"/>
    </row>
    <row r="115" spans="1:8" ht="20.100000000000001" customHeight="1">
      <c r="B115" s="379" t="s">
        <v>1049</v>
      </c>
      <c r="C115" s="28"/>
      <c r="D115" s="379" t="s">
        <v>1052</v>
      </c>
      <c r="E115" s="28"/>
      <c r="F115" s="368"/>
      <c r="G115" s="380"/>
      <c r="H115" s="406"/>
    </row>
    <row r="116" spans="1:8">
      <c r="B116" s="28"/>
      <c r="C116" s="28"/>
      <c r="D116" s="28"/>
      <c r="E116" s="28"/>
      <c r="F116" s="28"/>
      <c r="G116" s="368"/>
      <c r="H116" s="368"/>
    </row>
    <row r="117" spans="1:8" ht="12.75" customHeight="1">
      <c r="B117" s="55" t="s">
        <v>24</v>
      </c>
      <c r="E117" s="64"/>
      <c r="G117" s="28"/>
      <c r="H117" s="28"/>
    </row>
    <row r="118" spans="1:8" ht="12.75" customHeight="1">
      <c r="B118" s="65" t="s">
        <v>1053</v>
      </c>
      <c r="E118" s="64"/>
    </row>
    <row r="119" spans="1:8" ht="12.75" customHeight="1">
      <c r="B119" s="65" t="s">
        <v>1054</v>
      </c>
      <c r="E119" s="64"/>
    </row>
    <row r="120" spans="1:8" ht="12.75" customHeight="1"/>
    <row r="121" spans="1:8"/>
    <row r="122" spans="1:8"/>
    <row r="123" spans="1:8"/>
    <row r="124" spans="1:8"/>
    <row r="125" spans="1:8">
      <c r="A125" s="528"/>
      <c r="B125" s="159"/>
      <c r="C125" s="159"/>
      <c r="D125" s="159"/>
    </row>
    <row r="126" spans="1:8">
      <c r="A126" s="528"/>
      <c r="B126" s="2"/>
      <c r="C126" s="159"/>
      <c r="D126" s="159"/>
    </row>
    <row r="127" spans="1:8">
      <c r="A127" s="528"/>
      <c r="B127" s="2"/>
      <c r="C127" s="2"/>
      <c r="D127" s="2"/>
    </row>
    <row r="128" spans="1:8">
      <c r="A128" s="528"/>
      <c r="B128" s="2"/>
      <c r="C128" s="159"/>
      <c r="D128" s="2"/>
    </row>
    <row r="129" spans="1:4">
      <c r="A129" s="528"/>
      <c r="B129" s="2"/>
      <c r="C129" s="159"/>
      <c r="D129" s="159"/>
    </row>
    <row r="130" spans="1:4">
      <c r="A130" s="528"/>
      <c r="B130" s="2"/>
      <c r="C130" s="2"/>
      <c r="D130" s="2"/>
    </row>
    <row r="131" spans="1:4">
      <c r="A131" s="528"/>
      <c r="B131" s="2"/>
      <c r="C131" s="159"/>
      <c r="D131" s="159"/>
    </row>
    <row r="132" spans="1:4"/>
    <row r="133" spans="1:4"/>
    <row r="134" spans="1:4"/>
    <row r="135" spans="1:4"/>
    <row r="136" spans="1:4"/>
    <row r="137" spans="1:4"/>
    <row r="138" spans="1:4"/>
    <row r="139" spans="1:4"/>
    <row r="140" spans="1:4"/>
    <row r="141" spans="1:4"/>
    <row r="142" spans="1:4"/>
    <row r="143" spans="1:4"/>
    <row r="144" spans="1: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</sheetData>
  <mergeCells count="43">
    <mergeCell ref="B19:D19"/>
    <mergeCell ref="E53:H53"/>
    <mergeCell ref="B59:H59"/>
    <mergeCell ref="B51:H51"/>
    <mergeCell ref="E55:E56"/>
    <mergeCell ref="B38:D38"/>
    <mergeCell ref="B105:H107"/>
    <mergeCell ref="E79:H79"/>
    <mergeCell ref="B103:H103"/>
    <mergeCell ref="B76:H76"/>
    <mergeCell ref="F55:F56"/>
    <mergeCell ref="G55:G56"/>
    <mergeCell ref="H55:H56"/>
    <mergeCell ref="H63:H64"/>
    <mergeCell ref="G72:G73"/>
    <mergeCell ref="H72:H73"/>
    <mergeCell ref="E61:H61"/>
    <mergeCell ref="E66:E67"/>
    <mergeCell ref="F66:F67"/>
    <mergeCell ref="G66:G67"/>
    <mergeCell ref="H66:H67"/>
    <mergeCell ref="E69:E70"/>
    <mergeCell ref="F69:F70"/>
    <mergeCell ref="G69:G70"/>
    <mergeCell ref="H69:H70"/>
    <mergeCell ref="E63:E64"/>
    <mergeCell ref="F63:F64"/>
    <mergeCell ref="G63:G64"/>
    <mergeCell ref="H91:H92"/>
    <mergeCell ref="E81:E82"/>
    <mergeCell ref="F81:F82"/>
    <mergeCell ref="G81:G82"/>
    <mergeCell ref="H81:H82"/>
    <mergeCell ref="E84:E85"/>
    <mergeCell ref="F84:F85"/>
    <mergeCell ref="G84:G85"/>
    <mergeCell ref="H84:H85"/>
    <mergeCell ref="E89:H89"/>
    <mergeCell ref="E72:E73"/>
    <mergeCell ref="F72:F73"/>
    <mergeCell ref="E91:E92"/>
    <mergeCell ref="F91:F92"/>
    <mergeCell ref="G91:G92"/>
  </mergeCells>
  <phoneticPr fontId="14"/>
  <conditionalFormatting sqref="G2">
    <cfRule type="cellIs" dxfId="55" priority="363" operator="greaterThan">
      <formula>0</formula>
    </cfRule>
  </conditionalFormatting>
  <conditionalFormatting sqref="G1">
    <cfRule type="cellIs" dxfId="54" priority="364" operator="greaterThan">
      <formula>0</formula>
    </cfRule>
  </conditionalFormatting>
  <conditionalFormatting sqref="F55">
    <cfRule type="cellIs" dxfId="53" priority="111" operator="greaterThan">
      <formula>0</formula>
    </cfRule>
  </conditionalFormatting>
  <conditionalFormatting sqref="H55">
    <cfRule type="cellIs" dxfId="52" priority="109" operator="greaterThan">
      <formula>0</formula>
    </cfRule>
  </conditionalFormatting>
  <conditionalFormatting sqref="E55">
    <cfRule type="cellIs" dxfId="51" priority="112" operator="greaterThan">
      <formula>0</formula>
    </cfRule>
  </conditionalFormatting>
  <conditionalFormatting sqref="G55">
    <cfRule type="cellIs" dxfId="50" priority="110" operator="greaterThan">
      <formula>0</formula>
    </cfRule>
  </conditionalFormatting>
  <conditionalFormatting sqref="E63">
    <cfRule type="cellIs" dxfId="49" priority="108" operator="greaterThan">
      <formula>0</formula>
    </cfRule>
  </conditionalFormatting>
  <conditionalFormatting sqref="F63">
    <cfRule type="cellIs" dxfId="48" priority="107" operator="greaterThan">
      <formula>0</formula>
    </cfRule>
  </conditionalFormatting>
  <conditionalFormatting sqref="G63">
    <cfRule type="cellIs" dxfId="47" priority="106" operator="greaterThan">
      <formula>0</formula>
    </cfRule>
  </conditionalFormatting>
  <conditionalFormatting sqref="H63">
    <cfRule type="cellIs" dxfId="46" priority="105" operator="greaterThan">
      <formula>0</formula>
    </cfRule>
  </conditionalFormatting>
  <conditionalFormatting sqref="E66">
    <cfRule type="cellIs" dxfId="45" priority="104" operator="greaterThan">
      <formula>0</formula>
    </cfRule>
  </conditionalFormatting>
  <conditionalFormatting sqref="F66">
    <cfRule type="cellIs" dxfId="44" priority="103" operator="greaterThan">
      <formula>0</formula>
    </cfRule>
  </conditionalFormatting>
  <conditionalFormatting sqref="G66">
    <cfRule type="cellIs" dxfId="43" priority="102" operator="greaterThan">
      <formula>0</formula>
    </cfRule>
  </conditionalFormatting>
  <conditionalFormatting sqref="H66">
    <cfRule type="cellIs" dxfId="42" priority="101" operator="greaterThan">
      <formula>0</formula>
    </cfRule>
  </conditionalFormatting>
  <conditionalFormatting sqref="F69">
    <cfRule type="cellIs" dxfId="41" priority="99" operator="greaterThan">
      <formula>0</formula>
    </cfRule>
  </conditionalFormatting>
  <conditionalFormatting sqref="H69">
    <cfRule type="cellIs" dxfId="40" priority="97" operator="greaterThan">
      <formula>0</formula>
    </cfRule>
  </conditionalFormatting>
  <conditionalFormatting sqref="E69">
    <cfRule type="cellIs" dxfId="39" priority="100" operator="greaterThan">
      <formula>0</formula>
    </cfRule>
  </conditionalFormatting>
  <conditionalFormatting sqref="G69">
    <cfRule type="cellIs" dxfId="38" priority="98" operator="greaterThan">
      <formula>0</formula>
    </cfRule>
  </conditionalFormatting>
  <conditionalFormatting sqref="F72">
    <cfRule type="cellIs" dxfId="37" priority="95" operator="greaterThan">
      <formula>0</formula>
    </cfRule>
  </conditionalFormatting>
  <conditionalFormatting sqref="H72">
    <cfRule type="cellIs" dxfId="36" priority="93" operator="greaterThan">
      <formula>0</formula>
    </cfRule>
  </conditionalFormatting>
  <conditionalFormatting sqref="E72">
    <cfRule type="cellIs" dxfId="35" priority="96" operator="greaterThan">
      <formula>0</formula>
    </cfRule>
  </conditionalFormatting>
  <conditionalFormatting sqref="G72">
    <cfRule type="cellIs" dxfId="34" priority="94" operator="greaterThan">
      <formula>0</formula>
    </cfRule>
  </conditionalFormatting>
  <conditionalFormatting sqref="E81">
    <cfRule type="cellIs" dxfId="33" priority="92" operator="greaterThan">
      <formula>0</formula>
    </cfRule>
  </conditionalFormatting>
  <conditionalFormatting sqref="F81">
    <cfRule type="cellIs" dxfId="32" priority="91" operator="greaterThan">
      <formula>0</formula>
    </cfRule>
  </conditionalFormatting>
  <conditionalFormatting sqref="G81">
    <cfRule type="cellIs" dxfId="31" priority="90" operator="greaterThan">
      <formula>0</formula>
    </cfRule>
  </conditionalFormatting>
  <conditionalFormatting sqref="H81">
    <cfRule type="cellIs" dxfId="30" priority="89" operator="greaterThan">
      <formula>0</formula>
    </cfRule>
  </conditionalFormatting>
  <conditionalFormatting sqref="E84">
    <cfRule type="cellIs" dxfId="29" priority="88" operator="greaterThan">
      <formula>0</formula>
    </cfRule>
  </conditionalFormatting>
  <conditionalFormatting sqref="F84">
    <cfRule type="cellIs" dxfId="28" priority="87" operator="greaterThan">
      <formula>0</formula>
    </cfRule>
  </conditionalFormatting>
  <conditionalFormatting sqref="G84">
    <cfRule type="cellIs" dxfId="27" priority="86" operator="greaterThan">
      <formula>0</formula>
    </cfRule>
  </conditionalFormatting>
  <conditionalFormatting sqref="H84">
    <cfRule type="cellIs" dxfId="26" priority="85" operator="greaterThan">
      <formula>0</formula>
    </cfRule>
  </conditionalFormatting>
  <conditionalFormatting sqref="G91">
    <cfRule type="cellIs" dxfId="25" priority="82" operator="greaterThan">
      <formula>0</formula>
    </cfRule>
  </conditionalFormatting>
  <conditionalFormatting sqref="H91">
    <cfRule type="cellIs" dxfId="24" priority="81" operator="greaterThan">
      <formula>0</formula>
    </cfRule>
  </conditionalFormatting>
  <conditionalFormatting sqref="E91">
    <cfRule type="cellIs" dxfId="23" priority="84" operator="greaterThan">
      <formula>0</formula>
    </cfRule>
  </conditionalFormatting>
  <conditionalFormatting sqref="F91">
    <cfRule type="cellIs" dxfId="22" priority="83" operator="greaterThan">
      <formula>0</formula>
    </cfRule>
  </conditionalFormatting>
  <conditionalFormatting sqref="G96">
    <cfRule type="cellIs" dxfId="21" priority="80" operator="greaterThan">
      <formula>0</formula>
    </cfRule>
  </conditionalFormatting>
  <conditionalFormatting sqref="G97">
    <cfRule type="cellIs" dxfId="20" priority="79" operator="greaterThan">
      <formula>0</formula>
    </cfRule>
  </conditionalFormatting>
  <conditionalFormatting sqref="H99">
    <cfRule type="cellIs" dxfId="19" priority="77" operator="greaterThan">
      <formula>0</formula>
    </cfRule>
  </conditionalFormatting>
  <conditionalFormatting sqref="H98">
    <cfRule type="cellIs" dxfId="18" priority="78" operator="greaterThan">
      <formula>0</formula>
    </cfRule>
  </conditionalFormatting>
  <conditionalFormatting sqref="H110:H115">
    <cfRule type="cellIs" dxfId="17" priority="76" operator="greaterThan">
      <formula>0</formula>
    </cfRule>
  </conditionalFormatting>
  <conditionalFormatting sqref="E20:E33">
    <cfRule type="cellIs" dxfId="16" priority="61" operator="greaterThan">
      <formula>0</formula>
    </cfRule>
  </conditionalFormatting>
  <conditionalFormatting sqref="H20:H33">
    <cfRule type="cellIs" dxfId="15" priority="60" operator="greaterThan">
      <formula>0</formula>
    </cfRule>
  </conditionalFormatting>
  <conditionalFormatting sqref="G20:G33">
    <cfRule type="cellIs" dxfId="14" priority="56" operator="greaterThan">
      <formula>0</formula>
    </cfRule>
  </conditionalFormatting>
  <conditionalFormatting sqref="H39:H44">
    <cfRule type="cellIs" dxfId="13" priority="2" operator="greaterThan">
      <formula>0</formula>
    </cfRule>
  </conditionalFormatting>
  <conditionalFormatting sqref="E39:E44">
    <cfRule type="cellIs" dxfId="12" priority="3" operator="greaterThan">
      <formula>0</formula>
    </cfRule>
  </conditionalFormatting>
  <conditionalFormatting sqref="G39:G44">
    <cfRule type="cellIs" dxfId="11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G1" xr:uid="{00000000-0002-0000-0B00-000000000000}"/>
  </dataValidations>
  <printOptions horizontalCentered="1"/>
  <pageMargins left="0.28999999999999998" right="0.09" top="1.38" bottom="0.79" header="0.39" footer="0.2"/>
  <pageSetup paperSize="9" scale="55" orientation="portrait" copies="3" r:id="rId1"/>
  <headerFooter>
    <oddHeader>&amp;L&amp;C&amp;R</oddHeader>
    <oddFooter>&amp;L&amp;"Verdana,Standaard"&amp;K000000&amp;F-&amp;A&amp;R&amp;"Verdana,Standaard"&amp;K000000printversie &amp;D</oddFooter>
  </headerFooter>
  <rowBreaks count="1" manualBreakCount="1">
    <brk id="58" max="16383" man="1"/>
  </rowBreaks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>
    <pageSetUpPr fitToPage="1"/>
  </sheetPr>
  <dimension ref="A1:Z281"/>
  <sheetViews>
    <sheetView showZeros="0" showOutlineSymbols="0" topLeftCell="A15" zoomScaleNormal="100" zoomScaleSheetLayoutView="75" workbookViewId="0">
      <selection activeCell="J28" sqref="J28"/>
    </sheetView>
  </sheetViews>
  <sheetFormatPr defaultColWidth="0" defaultRowHeight="12.75"/>
  <cols>
    <col min="1" max="1" width="7.140625" style="28" customWidth="1"/>
    <col min="2" max="2" width="41.140625" style="58" customWidth="1"/>
    <col min="3" max="3" width="17.140625" style="59" customWidth="1"/>
    <col min="4" max="4" width="12.85546875" style="59" customWidth="1"/>
    <col min="5" max="5" width="13.140625" style="56" bestFit="1" customWidth="1"/>
    <col min="6" max="6" width="12.140625" style="56" customWidth="1"/>
    <col min="7" max="7" width="13.140625" style="56" bestFit="1" customWidth="1"/>
    <col min="8" max="8" width="14.140625" style="56" customWidth="1"/>
    <col min="9" max="9" width="11.85546875" style="28" bestFit="1" customWidth="1"/>
    <col min="10" max="10" width="19.140625" style="28" customWidth="1"/>
    <col min="11" max="11" width="13.140625" style="28" customWidth="1"/>
    <col min="12" max="12" width="11.85546875" style="28" hidden="1" customWidth="1"/>
    <col min="13" max="13" width="12.85546875" style="28" hidden="1" customWidth="1"/>
    <col min="14" max="14" width="9.42578125" style="28" hidden="1" customWidth="1"/>
    <col min="15" max="15" width="12.42578125" style="28" hidden="1" customWidth="1"/>
    <col min="16" max="18" width="14.85546875" style="28" customWidth="1"/>
    <col min="19" max="19" width="25.140625" style="28" hidden="1" customWidth="1"/>
    <col min="20" max="20" width="14" style="28" hidden="1" customWidth="1"/>
    <col min="21" max="21" width="9.42578125" style="28" hidden="1" customWidth="1"/>
    <col min="22" max="22" width="10" style="28" hidden="1" customWidth="1"/>
    <col min="23" max="23" width="17" style="28" customWidth="1"/>
    <col min="24" max="24" width="26.140625" style="28" customWidth="1"/>
    <col min="25" max="25" width="43.42578125" style="28" bestFit="1" customWidth="1"/>
    <col min="26" max="16384" width="10.85546875" style="28" hidden="1"/>
  </cols>
  <sheetData>
    <row r="1" spans="1:26" ht="27" customHeight="1">
      <c r="B1" s="28"/>
    </row>
    <row r="2" spans="1:26" ht="15">
      <c r="B2" s="177" t="s">
        <v>40</v>
      </c>
      <c r="C2" s="60" t="s">
        <v>33</v>
      </c>
      <c r="E2" s="59"/>
    </row>
    <row r="3" spans="1:26" ht="15">
      <c r="B3" s="177" t="s">
        <v>42</v>
      </c>
      <c r="C3" s="178" t="str">
        <f>Voorblad!$E$16</f>
        <v>HHNK bedrijfsgebouwen van werven en RWZI's</v>
      </c>
      <c r="D3" s="101"/>
    </row>
    <row r="4" spans="1:26" ht="15">
      <c r="B4" s="177" t="s">
        <v>43</v>
      </c>
      <c r="C4" s="178" t="str">
        <f>'1.0-Contractblad'!$D$4</f>
        <v>Heerhugowaard</v>
      </c>
      <c r="D4" s="57"/>
    </row>
    <row r="5" spans="1:26" ht="15">
      <c r="B5" s="177" t="s">
        <v>37</v>
      </c>
      <c r="C5" s="178" t="str">
        <f>Voorblad!$E$25</f>
        <v>V1 15-06-2023</v>
      </c>
      <c r="D5" s="57"/>
    </row>
    <row r="6" spans="1:26" ht="15">
      <c r="B6" s="177" t="s">
        <v>45</v>
      </c>
      <c r="C6" s="178" t="str">
        <f>Voorblad!$E$19</f>
        <v>Naam inschrijver</v>
      </c>
      <c r="D6" s="124">
        <f>'1.5-Afroepprijs'!E7</f>
        <v>0</v>
      </c>
    </row>
    <row r="7" spans="1:26" ht="15">
      <c r="B7" s="177" t="s">
        <v>36</v>
      </c>
      <c r="C7" s="179">
        <f>Voorblad!$E$22</f>
        <v>45261</v>
      </c>
      <c r="D7" s="57"/>
    </row>
    <row r="8" spans="1:26" ht="15">
      <c r="B8" s="60" t="s">
        <v>992</v>
      </c>
      <c r="C8" s="54" t="s">
        <v>993</v>
      </c>
      <c r="D8" s="57"/>
    </row>
    <row r="9" spans="1:26" ht="15">
      <c r="B9" s="60"/>
      <c r="C9" s="57"/>
      <c r="D9" s="57"/>
    </row>
    <row r="10" spans="1:26" ht="15.95" customHeight="1">
      <c r="B10" s="61"/>
      <c r="C10" s="158" t="s">
        <v>15</v>
      </c>
      <c r="D10" s="97"/>
    </row>
    <row r="11" spans="1:26" ht="18">
      <c r="B11" s="384"/>
      <c r="C11" s="158">
        <v>0</v>
      </c>
      <c r="D11" s="125" t="s">
        <v>16</v>
      </c>
    </row>
    <row r="12" spans="1:26" ht="13.5" thickBot="1">
      <c r="B12" s="61"/>
      <c r="C12" s="63"/>
      <c r="D12" s="63"/>
    </row>
    <row r="13" spans="1:26" ht="18.75" customHeight="1">
      <c r="B13" s="767" t="s">
        <v>1055</v>
      </c>
      <c r="C13" s="768"/>
      <c r="D13" s="768"/>
      <c r="E13" s="768"/>
      <c r="F13" s="768"/>
      <c r="G13" s="768"/>
      <c r="H13" s="768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1"/>
    </row>
    <row r="14" spans="1:26">
      <c r="B14" s="512"/>
      <c r="C14" s="513"/>
      <c r="D14" s="769" t="s">
        <v>1056</v>
      </c>
      <c r="E14" s="769"/>
      <c r="F14" s="769"/>
      <c r="G14" s="769"/>
      <c r="H14" s="769"/>
      <c r="I14" s="514"/>
      <c r="J14" s="515" t="s">
        <v>1057</v>
      </c>
      <c r="K14" s="516"/>
      <c r="L14" s="516"/>
      <c r="M14" s="516"/>
      <c r="N14" s="517"/>
      <c r="O14" s="516"/>
      <c r="P14" s="518"/>
      <c r="Q14" s="518"/>
      <c r="R14" s="518"/>
      <c r="S14" s="518"/>
      <c r="T14" s="518"/>
      <c r="U14" s="518"/>
      <c r="V14" s="518"/>
      <c r="W14" s="518"/>
      <c r="X14" s="519"/>
    </row>
    <row r="15" spans="1:26" ht="60.95" customHeight="1" thickBot="1">
      <c r="B15" s="520" t="s">
        <v>1058</v>
      </c>
      <c r="C15" s="636" t="s">
        <v>1059</v>
      </c>
      <c r="D15" s="637" t="s">
        <v>1060</v>
      </c>
      <c r="E15" s="636" t="s">
        <v>1059</v>
      </c>
      <c r="F15" s="637" t="s">
        <v>1061</v>
      </c>
      <c r="G15" s="637" t="s">
        <v>1059</v>
      </c>
      <c r="H15" s="637" t="s">
        <v>1062</v>
      </c>
      <c r="I15" s="522" t="s">
        <v>1063</v>
      </c>
      <c r="J15" s="521" t="s">
        <v>1064</v>
      </c>
      <c r="K15" s="522" t="s">
        <v>1065</v>
      </c>
      <c r="L15" s="522" t="s">
        <v>1066</v>
      </c>
      <c r="M15" s="522" t="s">
        <v>1067</v>
      </c>
      <c r="N15" s="522" t="s">
        <v>1068</v>
      </c>
      <c r="O15" s="523" t="s">
        <v>1069</v>
      </c>
      <c r="P15" s="522" t="s">
        <v>1070</v>
      </c>
      <c r="Q15" s="522" t="s">
        <v>1071</v>
      </c>
      <c r="R15" s="522" t="s">
        <v>1072</v>
      </c>
      <c r="S15" s="524"/>
      <c r="T15" s="524" t="s">
        <v>1073</v>
      </c>
      <c r="U15" s="524" t="s">
        <v>1074</v>
      </c>
      <c r="V15" s="524" t="s">
        <v>1075</v>
      </c>
      <c r="W15" s="523" t="s">
        <v>1076</v>
      </c>
      <c r="X15" s="525" t="s">
        <v>172</v>
      </c>
      <c r="Y15" s="106"/>
      <c r="Z15" s="106"/>
    </row>
    <row r="16" spans="1:26" ht="15.95" hidden="1" customHeight="1">
      <c r="A16" s="356"/>
      <c r="B16" s="526"/>
      <c r="C16" s="638"/>
      <c r="D16" s="639"/>
      <c r="E16" s="638"/>
      <c r="F16" s="639"/>
      <c r="G16" s="638"/>
      <c r="H16" s="640"/>
      <c r="I16" s="502"/>
      <c r="J16" s="503"/>
      <c r="K16" s="503"/>
      <c r="L16" s="504"/>
      <c r="M16" s="504"/>
      <c r="N16" s="505"/>
      <c r="O16" s="506"/>
      <c r="P16" s="507"/>
      <c r="Q16" s="507"/>
      <c r="R16" s="507"/>
      <c r="S16" s="507"/>
      <c r="T16" s="508"/>
      <c r="U16" s="508"/>
      <c r="V16" s="508"/>
      <c r="W16" s="508"/>
      <c r="X16" s="509"/>
      <c r="Z16" s="106"/>
    </row>
    <row r="17" spans="1:26" ht="15.95" hidden="1" customHeight="1">
      <c r="A17" s="356"/>
      <c r="B17" s="526"/>
      <c r="C17" s="641"/>
      <c r="D17" s="642"/>
      <c r="E17" s="641"/>
      <c r="F17" s="642"/>
      <c r="G17" s="641"/>
      <c r="H17" s="643"/>
      <c r="I17" s="502"/>
      <c r="J17" s="503"/>
      <c r="K17" s="503"/>
      <c r="L17" s="107"/>
      <c r="M17" s="107"/>
      <c r="N17" s="222"/>
      <c r="O17" s="506"/>
      <c r="P17" s="223"/>
      <c r="Q17" s="223"/>
      <c r="R17" s="223"/>
      <c r="S17" s="223"/>
      <c r="T17" s="224"/>
      <c r="U17" s="224"/>
      <c r="V17" s="224"/>
      <c r="W17" s="508"/>
      <c r="X17" s="225"/>
      <c r="Z17" s="106"/>
    </row>
    <row r="18" spans="1:26" ht="15.95" hidden="1" customHeight="1">
      <c r="A18" s="356"/>
      <c r="B18" s="526"/>
      <c r="C18" s="641"/>
      <c r="D18" s="642"/>
      <c r="E18" s="641"/>
      <c r="F18" s="642"/>
      <c r="G18" s="641"/>
      <c r="H18" s="643"/>
      <c r="I18" s="502"/>
      <c r="J18" s="503"/>
      <c r="K18" s="503"/>
      <c r="L18" s="107"/>
      <c r="M18" s="107"/>
      <c r="N18" s="222"/>
      <c r="O18" s="506"/>
      <c r="P18" s="223"/>
      <c r="Q18" s="223"/>
      <c r="R18" s="223"/>
      <c r="S18" s="223"/>
      <c r="T18" s="224"/>
      <c r="U18" s="224"/>
      <c r="V18" s="224"/>
      <c r="W18" s="508"/>
      <c r="X18" s="225"/>
      <c r="Z18" s="106"/>
    </row>
    <row r="19" spans="1:26" ht="15.95" customHeight="1">
      <c r="A19" s="649">
        <f>VLOOKUP(B19,'1.1 Jaarprijzen'!$B$10:$G$132,6,FALSE)</f>
        <v>0</v>
      </c>
      <c r="B19" s="635" t="s">
        <v>130</v>
      </c>
      <c r="C19" s="641">
        <v>6</v>
      </c>
      <c r="D19" s="642">
        <v>21.46</v>
      </c>
      <c r="E19" s="641">
        <v>6</v>
      </c>
      <c r="F19" s="642">
        <v>21.46</v>
      </c>
      <c r="G19" s="641">
        <v>6</v>
      </c>
      <c r="H19" s="643">
        <v>3.26</v>
      </c>
      <c r="I19" s="502"/>
      <c r="J19" s="502"/>
      <c r="K19" s="502"/>
      <c r="L19" s="107">
        <f>IF(I19=0,0,D19/I19)*C19</f>
        <v>0</v>
      </c>
      <c r="M19" s="107">
        <f>IF(J19=0,0,F19/J19)*E19</f>
        <v>0</v>
      </c>
      <c r="N19" s="222">
        <f>IF(K19=0,0,H19/K19)*G19</f>
        <v>0</v>
      </c>
      <c r="O19" s="506">
        <f>'1.0-Contractblad'!$K$104</f>
        <v>0</v>
      </c>
      <c r="P19" s="223">
        <f>IF(I19=0,0,L19*O19)</f>
        <v>0</v>
      </c>
      <c r="Q19" s="223">
        <f>IF(J19=0,0,M19*O19)</f>
        <v>0</v>
      </c>
      <c r="R19" s="223">
        <f>IF(K19=0,0,N19*O19)</f>
        <v>0</v>
      </c>
      <c r="S19" s="223"/>
      <c r="T19" s="224">
        <f>IF(D19=0,0,P19/C19/D19)</f>
        <v>0</v>
      </c>
      <c r="U19" s="224">
        <f>IF(F19=0,0,Q19/E19/F19)</f>
        <v>0</v>
      </c>
      <c r="V19" s="224">
        <f>IF(H19=0,0,R19/G19/H19)</f>
        <v>0</v>
      </c>
      <c r="W19" s="508">
        <f>C137*D137</f>
        <v>0</v>
      </c>
      <c r="X19" s="225">
        <f>IF(I19=0,0,P19+Q19+R19)</f>
        <v>0</v>
      </c>
      <c r="Z19" s="106"/>
    </row>
    <row r="20" spans="1:26" ht="15.95" customHeight="1">
      <c r="A20" s="649">
        <f>VLOOKUP(B20,'1.1 Jaarprijzen'!$B$10:$G$132,6,FALSE)</f>
        <v>0</v>
      </c>
      <c r="B20" s="635" t="s">
        <v>151</v>
      </c>
      <c r="C20" s="641">
        <v>6</v>
      </c>
      <c r="D20" s="642">
        <v>55.26</v>
      </c>
      <c r="E20" s="641">
        <v>4</v>
      </c>
      <c r="F20" s="642">
        <v>38.89</v>
      </c>
      <c r="G20" s="641">
        <v>4</v>
      </c>
      <c r="H20" s="643">
        <v>13.42</v>
      </c>
      <c r="I20" s="502"/>
      <c r="J20" s="502"/>
      <c r="K20" s="502"/>
      <c r="L20" s="107">
        <f t="shared" ref="L20:L40" si="0">IF(I20=0,0,D20/I20)*C20</f>
        <v>0</v>
      </c>
      <c r="M20" s="107">
        <f t="shared" ref="M20:M40" si="1">IF(J20=0,0,F20/J20)*E20</f>
        <v>0</v>
      </c>
      <c r="N20" s="222">
        <f t="shared" ref="N20:N40" si="2">IF(K20=0,0,H20/K20)*G20</f>
        <v>0</v>
      </c>
      <c r="O20" s="506">
        <f>'1.0-Contractblad'!$K$104</f>
        <v>0</v>
      </c>
      <c r="P20" s="223">
        <f t="shared" ref="P20:P40" si="3">IF(I20=0,0,L20*O20)</f>
        <v>0</v>
      </c>
      <c r="Q20" s="223">
        <f t="shared" ref="Q20:Q40" si="4">IF(J20=0,0,M20*O20)</f>
        <v>0</v>
      </c>
      <c r="R20" s="223">
        <f t="shared" ref="R20:R40" si="5">IF(K20=0,0,N20*O20)</f>
        <v>0</v>
      </c>
      <c r="S20" s="223"/>
      <c r="T20" s="224">
        <f t="shared" ref="T20:T40" si="6">IF(D20=0,0,P20/C20/D20)</f>
        <v>0</v>
      </c>
      <c r="U20" s="224">
        <f t="shared" ref="U20:U40" si="7">IF(F20=0,0,Q20/E20/F20)</f>
        <v>0</v>
      </c>
      <c r="V20" s="224">
        <f t="shared" ref="V20:V40" si="8">IF(H20=0,0,R20/G20/H20)</f>
        <v>0</v>
      </c>
      <c r="W20" s="508">
        <f>C138*D138</f>
        <v>0</v>
      </c>
      <c r="X20" s="225">
        <f t="shared" ref="X20:X40" si="9">IF(I20=0,0,P20+Q20+R20)</f>
        <v>0</v>
      </c>
      <c r="Z20" s="106"/>
    </row>
    <row r="21" spans="1:26" ht="15.95" customHeight="1">
      <c r="A21" s="649">
        <f>VLOOKUP(B21,'1.1 Jaarprijzen'!$B$10:$G$132,6,FALSE)</f>
        <v>0</v>
      </c>
      <c r="B21" s="635" t="s">
        <v>148</v>
      </c>
      <c r="C21" s="641">
        <v>6</v>
      </c>
      <c r="D21" s="642">
        <v>103.94</v>
      </c>
      <c r="E21" s="641">
        <v>3</v>
      </c>
      <c r="F21" s="642">
        <v>88</v>
      </c>
      <c r="G21" s="641">
        <v>3</v>
      </c>
      <c r="H21" s="643">
        <v>11.5</v>
      </c>
      <c r="I21" s="502"/>
      <c r="J21" s="502"/>
      <c r="K21" s="502"/>
      <c r="L21" s="107">
        <f>IF(I21=0,0,D21/I21)*C21</f>
        <v>0</v>
      </c>
      <c r="M21" s="107">
        <f>IF(J21=0,0,F21/J21)*E21</f>
        <v>0</v>
      </c>
      <c r="N21" s="222">
        <f>IF(K21=0,0,H21/K21)*G21</f>
        <v>0</v>
      </c>
      <c r="O21" s="506">
        <f>'1.0-Contractblad'!$K$104</f>
        <v>0</v>
      </c>
      <c r="P21" s="223">
        <f>IF(I21=0,0,L21*O21)</f>
        <v>0</v>
      </c>
      <c r="Q21" s="223">
        <f>IF(J21=0,0,M21*O21)</f>
        <v>0</v>
      </c>
      <c r="R21" s="223">
        <f>IF(K21=0,0,N21*O21)</f>
        <v>0</v>
      </c>
      <c r="S21" s="223"/>
      <c r="T21" s="224">
        <f>IF(D21=0,0,P21/C21/D21)</f>
        <v>0</v>
      </c>
      <c r="U21" s="224">
        <f>IF(F21=0,0,Q21/E21/F21)</f>
        <v>0</v>
      </c>
      <c r="V21" s="224">
        <f>IF(H21=0,0,R21/G21/H21)</f>
        <v>0</v>
      </c>
      <c r="W21" s="508">
        <f t="shared" ref="W21:W33" si="10">C140*D140</f>
        <v>0</v>
      </c>
      <c r="X21" s="225">
        <f>IF(I21=0,0,P21+Q21+R21)</f>
        <v>0</v>
      </c>
      <c r="Z21" s="106"/>
    </row>
    <row r="22" spans="1:26" ht="15.95" customHeight="1">
      <c r="A22" s="649">
        <f>VLOOKUP(B22,'1.1 Jaarprijzen'!$B$10:$G$132,6,FALSE)</f>
        <v>0</v>
      </c>
      <c r="B22" s="635" t="s">
        <v>157</v>
      </c>
      <c r="C22" s="641">
        <v>6</v>
      </c>
      <c r="D22" s="642">
        <v>68.989999999999995</v>
      </c>
      <c r="E22" s="641">
        <v>3</v>
      </c>
      <c r="F22" s="642">
        <v>93.28</v>
      </c>
      <c r="G22" s="641">
        <v>3</v>
      </c>
      <c r="H22" s="643">
        <v>97.21</v>
      </c>
      <c r="I22" s="502"/>
      <c r="J22" s="502"/>
      <c r="K22" s="502"/>
      <c r="L22" s="107">
        <f t="shared" si="0"/>
        <v>0</v>
      </c>
      <c r="M22" s="107">
        <f t="shared" si="1"/>
        <v>0</v>
      </c>
      <c r="N22" s="222">
        <f t="shared" si="2"/>
        <v>0</v>
      </c>
      <c r="O22" s="506">
        <f>'1.0-Contractblad'!$K$104</f>
        <v>0</v>
      </c>
      <c r="P22" s="223">
        <f t="shared" si="3"/>
        <v>0</v>
      </c>
      <c r="Q22" s="223">
        <f t="shared" si="4"/>
        <v>0</v>
      </c>
      <c r="R22" s="223">
        <f t="shared" si="5"/>
        <v>0</v>
      </c>
      <c r="S22" s="223"/>
      <c r="T22" s="224">
        <f t="shared" si="6"/>
        <v>0</v>
      </c>
      <c r="U22" s="224">
        <f t="shared" si="7"/>
        <v>0</v>
      </c>
      <c r="V22" s="224">
        <f t="shared" si="8"/>
        <v>0</v>
      </c>
      <c r="W22" s="508">
        <f t="shared" si="10"/>
        <v>0</v>
      </c>
      <c r="X22" s="225">
        <f t="shared" si="9"/>
        <v>0</v>
      </c>
      <c r="Z22" s="106"/>
    </row>
    <row r="23" spans="1:26" ht="15.95" customHeight="1">
      <c r="A23" s="649">
        <f>VLOOKUP(B23,'1.1 Jaarprijzen'!$B$10:$G$132,6,FALSE)</f>
        <v>0</v>
      </c>
      <c r="B23" s="635" t="s">
        <v>160</v>
      </c>
      <c r="C23" s="641">
        <v>6</v>
      </c>
      <c r="D23" s="642">
        <v>42.32</v>
      </c>
      <c r="E23" s="641">
        <v>3</v>
      </c>
      <c r="F23" s="642">
        <v>42.32</v>
      </c>
      <c r="G23" s="641">
        <v>3</v>
      </c>
      <c r="H23" s="643">
        <v>25</v>
      </c>
      <c r="I23" s="502"/>
      <c r="J23" s="502"/>
      <c r="K23" s="502"/>
      <c r="L23" s="107">
        <f t="shared" si="0"/>
        <v>0</v>
      </c>
      <c r="M23" s="107">
        <f t="shared" si="1"/>
        <v>0</v>
      </c>
      <c r="N23" s="222">
        <f t="shared" si="2"/>
        <v>0</v>
      </c>
      <c r="O23" s="506">
        <f>'1.0-Contractblad'!$K$104</f>
        <v>0</v>
      </c>
      <c r="P23" s="223">
        <f t="shared" si="3"/>
        <v>0</v>
      </c>
      <c r="Q23" s="223">
        <f t="shared" si="4"/>
        <v>0</v>
      </c>
      <c r="R23" s="223">
        <f t="shared" si="5"/>
        <v>0</v>
      </c>
      <c r="S23" s="223"/>
      <c r="T23" s="224">
        <f t="shared" si="6"/>
        <v>0</v>
      </c>
      <c r="U23" s="224">
        <f t="shared" si="7"/>
        <v>0</v>
      </c>
      <c r="V23" s="224">
        <f t="shared" si="8"/>
        <v>0</v>
      </c>
      <c r="W23" s="508">
        <f t="shared" si="10"/>
        <v>0</v>
      </c>
      <c r="X23" s="225">
        <f t="shared" si="9"/>
        <v>0</v>
      </c>
      <c r="Z23" s="106"/>
    </row>
    <row r="24" spans="1:26" ht="15.95" customHeight="1">
      <c r="A24" s="649">
        <f>VLOOKUP(B24,'1.1 Jaarprijzen'!$B$10:$G$132,6,FALSE)</f>
        <v>0</v>
      </c>
      <c r="B24" s="635" t="s">
        <v>133</v>
      </c>
      <c r="C24" s="641">
        <v>4</v>
      </c>
      <c r="D24" s="642">
        <v>29.78</v>
      </c>
      <c r="E24" s="641">
        <v>2</v>
      </c>
      <c r="F24" s="642">
        <v>29.78</v>
      </c>
      <c r="G24" s="641">
        <v>2</v>
      </c>
      <c r="H24" s="643">
        <v>4.3499999999999996</v>
      </c>
      <c r="I24" s="502"/>
      <c r="J24" s="502"/>
      <c r="K24" s="502"/>
      <c r="L24" s="107">
        <f>IF(I24=0,0,D24/I24)*C24</f>
        <v>0</v>
      </c>
      <c r="M24" s="107">
        <f>IF(J24=0,0,F24/J24)*E24</f>
        <v>0</v>
      </c>
      <c r="N24" s="222">
        <f>IF(K24=0,0,H24/K24)*G24</f>
        <v>0</v>
      </c>
      <c r="O24" s="506">
        <f>'1.0-Contractblad'!$K$104</f>
        <v>0</v>
      </c>
      <c r="P24" s="223">
        <f>IF(I24=0,0,L24*O24)</f>
        <v>0</v>
      </c>
      <c r="Q24" s="223">
        <f>IF(J24=0,0,M24*O24)</f>
        <v>0</v>
      </c>
      <c r="R24" s="223">
        <f>IF(K24=0,0,N24*O24)</f>
        <v>0</v>
      </c>
      <c r="S24" s="223"/>
      <c r="T24" s="224">
        <f>IF(D24=0,0,P24/C24/D24)</f>
        <v>0</v>
      </c>
      <c r="U24" s="224">
        <f>IF(F24=0,0,Q24/E24/F24)</f>
        <v>0</v>
      </c>
      <c r="V24" s="224">
        <f>IF(H24=0,0,R24/G24/H24)</f>
        <v>0</v>
      </c>
      <c r="W24" s="508">
        <f t="shared" si="10"/>
        <v>0</v>
      </c>
      <c r="X24" s="225">
        <f>IF(I24=0,0,P24+Q24+R24)</f>
        <v>0</v>
      </c>
      <c r="Z24" s="106"/>
    </row>
    <row r="25" spans="1:26" ht="15.95" customHeight="1">
      <c r="A25" s="649">
        <f>VLOOKUP(B25,'1.1 Jaarprijzen'!$B$10:$G$132,6,FALSE)</f>
        <v>0</v>
      </c>
      <c r="B25" s="635" t="s">
        <v>142</v>
      </c>
      <c r="C25" s="641">
        <v>6</v>
      </c>
      <c r="D25" s="642">
        <v>72.5</v>
      </c>
      <c r="E25" s="641">
        <v>3</v>
      </c>
      <c r="F25" s="642">
        <v>68.099999999999994</v>
      </c>
      <c r="G25" s="641">
        <v>3</v>
      </c>
      <c r="H25" s="643">
        <v>66.33</v>
      </c>
      <c r="I25" s="502"/>
      <c r="J25" s="502"/>
      <c r="K25" s="502"/>
      <c r="L25" s="107">
        <f t="shared" si="0"/>
        <v>0</v>
      </c>
      <c r="M25" s="107">
        <f t="shared" si="1"/>
        <v>0</v>
      </c>
      <c r="N25" s="222">
        <f t="shared" si="2"/>
        <v>0</v>
      </c>
      <c r="O25" s="506">
        <f>'1.0-Contractblad'!$K$104</f>
        <v>0</v>
      </c>
      <c r="P25" s="223">
        <f t="shared" si="3"/>
        <v>0</v>
      </c>
      <c r="Q25" s="223">
        <f t="shared" si="4"/>
        <v>0</v>
      </c>
      <c r="R25" s="223">
        <f t="shared" si="5"/>
        <v>0</v>
      </c>
      <c r="S25" s="223"/>
      <c r="T25" s="224">
        <f t="shared" si="6"/>
        <v>0</v>
      </c>
      <c r="U25" s="224">
        <f t="shared" si="7"/>
        <v>0</v>
      </c>
      <c r="V25" s="224">
        <f t="shared" si="8"/>
        <v>0</v>
      </c>
      <c r="W25" s="508">
        <f t="shared" si="10"/>
        <v>0</v>
      </c>
      <c r="X25" s="225">
        <f t="shared" si="9"/>
        <v>0</v>
      </c>
      <c r="Z25" s="106"/>
    </row>
    <row r="26" spans="1:26" ht="15.95" customHeight="1">
      <c r="A26" s="649">
        <f>VLOOKUP(B26,'1.1 Jaarprijzen'!$B$10:$G$132,6,FALSE)</f>
        <v>0</v>
      </c>
      <c r="B26" s="635" t="s">
        <v>121</v>
      </c>
      <c r="C26" s="641">
        <v>6</v>
      </c>
      <c r="D26" s="642">
        <v>120.65</v>
      </c>
      <c r="E26" s="641">
        <v>3</v>
      </c>
      <c r="F26" s="642">
        <v>121.59</v>
      </c>
      <c r="G26" s="641">
        <v>3</v>
      </c>
      <c r="H26" s="643">
        <v>14.47</v>
      </c>
      <c r="I26" s="502"/>
      <c r="J26" s="502"/>
      <c r="K26" s="502"/>
      <c r="L26" s="107">
        <f t="shared" si="0"/>
        <v>0</v>
      </c>
      <c r="M26" s="107">
        <f t="shared" si="1"/>
        <v>0</v>
      </c>
      <c r="N26" s="222">
        <f t="shared" si="2"/>
        <v>0</v>
      </c>
      <c r="O26" s="506">
        <f>'1.0-Contractblad'!$K$104</f>
        <v>0</v>
      </c>
      <c r="P26" s="223">
        <f t="shared" si="3"/>
        <v>0</v>
      </c>
      <c r="Q26" s="223">
        <f t="shared" si="4"/>
        <v>0</v>
      </c>
      <c r="R26" s="223">
        <f t="shared" si="5"/>
        <v>0</v>
      </c>
      <c r="S26" s="223"/>
      <c r="T26" s="224">
        <f t="shared" si="6"/>
        <v>0</v>
      </c>
      <c r="U26" s="224">
        <f t="shared" si="7"/>
        <v>0</v>
      </c>
      <c r="V26" s="224">
        <f t="shared" si="8"/>
        <v>0</v>
      </c>
      <c r="W26" s="508">
        <f t="shared" si="10"/>
        <v>0</v>
      </c>
      <c r="X26" s="225">
        <f t="shared" si="9"/>
        <v>0</v>
      </c>
      <c r="Z26" s="106"/>
    </row>
    <row r="27" spans="1:26" ht="15.95" customHeight="1">
      <c r="A27" s="649">
        <f>VLOOKUP(B27,'1.1 Jaarprijzen'!$B$10:$G$132,6,FALSE)</f>
        <v>0</v>
      </c>
      <c r="B27" s="635" t="s">
        <v>154</v>
      </c>
      <c r="C27" s="641">
        <v>6</v>
      </c>
      <c r="D27" s="642">
        <v>239.69</v>
      </c>
      <c r="E27" s="641">
        <v>3</v>
      </c>
      <c r="F27" s="642">
        <v>239.69</v>
      </c>
      <c r="G27" s="641">
        <v>3</v>
      </c>
      <c r="H27" s="643">
        <v>40.770000000000003</v>
      </c>
      <c r="I27" s="502"/>
      <c r="J27" s="502"/>
      <c r="K27" s="502"/>
      <c r="L27" s="107">
        <f t="shared" si="0"/>
        <v>0</v>
      </c>
      <c r="M27" s="107">
        <f t="shared" si="1"/>
        <v>0</v>
      </c>
      <c r="N27" s="222">
        <f t="shared" si="2"/>
        <v>0</v>
      </c>
      <c r="O27" s="506">
        <f>'1.0-Contractblad'!$K$104</f>
        <v>0</v>
      </c>
      <c r="P27" s="223">
        <f t="shared" si="3"/>
        <v>0</v>
      </c>
      <c r="Q27" s="223">
        <f t="shared" si="4"/>
        <v>0</v>
      </c>
      <c r="R27" s="223">
        <f t="shared" si="5"/>
        <v>0</v>
      </c>
      <c r="S27" s="223"/>
      <c r="T27" s="224">
        <f t="shared" si="6"/>
        <v>0</v>
      </c>
      <c r="U27" s="224">
        <f t="shared" si="7"/>
        <v>0</v>
      </c>
      <c r="V27" s="224">
        <f t="shared" si="8"/>
        <v>0</v>
      </c>
      <c r="W27" s="508">
        <f t="shared" si="10"/>
        <v>0</v>
      </c>
      <c r="X27" s="225">
        <f t="shared" si="9"/>
        <v>0</v>
      </c>
      <c r="Z27" s="106"/>
    </row>
    <row r="28" spans="1:26" ht="15.95" customHeight="1">
      <c r="A28" s="649">
        <f>VLOOKUP(B28,'1.1 Jaarprijzen'!$B$10:$G$132,6,FALSE)</f>
        <v>0</v>
      </c>
      <c r="B28" s="635" t="s">
        <v>92</v>
      </c>
      <c r="C28" s="641">
        <v>4</v>
      </c>
      <c r="D28" s="642">
        <v>12.06</v>
      </c>
      <c r="E28" s="641">
        <v>2</v>
      </c>
      <c r="F28" s="642">
        <v>15.79</v>
      </c>
      <c r="G28" s="641">
        <v>2</v>
      </c>
      <c r="H28" s="643">
        <v>34.72</v>
      </c>
      <c r="I28" s="502"/>
      <c r="J28" s="502"/>
      <c r="K28" s="502"/>
      <c r="L28" s="107">
        <f t="shared" si="0"/>
        <v>0</v>
      </c>
      <c r="M28" s="107">
        <f t="shared" si="1"/>
        <v>0</v>
      </c>
      <c r="N28" s="222">
        <f t="shared" si="2"/>
        <v>0</v>
      </c>
      <c r="O28" s="506">
        <f>'1.0-Contractblad'!$K$104</f>
        <v>0</v>
      </c>
      <c r="P28" s="223">
        <f t="shared" si="3"/>
        <v>0</v>
      </c>
      <c r="Q28" s="223">
        <f t="shared" si="4"/>
        <v>0</v>
      </c>
      <c r="R28" s="223">
        <f t="shared" si="5"/>
        <v>0</v>
      </c>
      <c r="S28" s="223"/>
      <c r="T28" s="224">
        <f t="shared" si="6"/>
        <v>0</v>
      </c>
      <c r="U28" s="224">
        <f t="shared" si="7"/>
        <v>0</v>
      </c>
      <c r="V28" s="224">
        <f t="shared" si="8"/>
        <v>0</v>
      </c>
      <c r="W28" s="508">
        <f t="shared" si="10"/>
        <v>0</v>
      </c>
      <c r="X28" s="225">
        <f t="shared" si="9"/>
        <v>0</v>
      </c>
      <c r="Z28" s="106"/>
    </row>
    <row r="29" spans="1:26" ht="15.95" customHeight="1">
      <c r="A29" s="649">
        <f>VLOOKUP(B29,'1.1 Jaarprijzen'!$B$10:$G$132,6,FALSE)</f>
        <v>0</v>
      </c>
      <c r="B29" s="635" t="s">
        <v>101</v>
      </c>
      <c r="C29" s="641">
        <v>4</v>
      </c>
      <c r="D29" s="642">
        <v>9.14</v>
      </c>
      <c r="E29" s="641">
        <v>2</v>
      </c>
      <c r="F29" s="642">
        <v>9.14</v>
      </c>
      <c r="G29" s="641">
        <v>2</v>
      </c>
      <c r="H29" s="643">
        <v>5.4</v>
      </c>
      <c r="I29" s="502"/>
      <c r="J29" s="502"/>
      <c r="K29" s="502"/>
      <c r="L29" s="107">
        <f t="shared" si="0"/>
        <v>0</v>
      </c>
      <c r="M29" s="107">
        <f t="shared" si="1"/>
        <v>0</v>
      </c>
      <c r="N29" s="222">
        <f t="shared" si="2"/>
        <v>0</v>
      </c>
      <c r="O29" s="506">
        <f>'1.0-Contractblad'!$K$104</f>
        <v>0</v>
      </c>
      <c r="P29" s="223">
        <f t="shared" si="3"/>
        <v>0</v>
      </c>
      <c r="Q29" s="223">
        <f t="shared" si="4"/>
        <v>0</v>
      </c>
      <c r="R29" s="223">
        <f t="shared" si="5"/>
        <v>0</v>
      </c>
      <c r="S29" s="223"/>
      <c r="T29" s="224">
        <f t="shared" si="6"/>
        <v>0</v>
      </c>
      <c r="U29" s="224">
        <f t="shared" si="7"/>
        <v>0</v>
      </c>
      <c r="V29" s="224">
        <f t="shared" si="8"/>
        <v>0</v>
      </c>
      <c r="W29" s="508">
        <f t="shared" si="10"/>
        <v>0</v>
      </c>
      <c r="X29" s="225">
        <f t="shared" si="9"/>
        <v>0</v>
      </c>
      <c r="Z29" s="106"/>
    </row>
    <row r="30" spans="1:26" ht="15.95" customHeight="1">
      <c r="A30" s="649">
        <f>VLOOKUP(B30,'1.1 Jaarprijzen'!$B$10:$G$132,6,FALSE)</f>
        <v>0</v>
      </c>
      <c r="B30" s="635" t="s">
        <v>109</v>
      </c>
      <c r="C30" s="641">
        <v>4</v>
      </c>
      <c r="D30" s="642">
        <v>18.75</v>
      </c>
      <c r="E30" s="641">
        <v>2</v>
      </c>
      <c r="F30" s="642">
        <v>18.75</v>
      </c>
      <c r="G30" s="641">
        <v>2</v>
      </c>
      <c r="H30" s="643">
        <v>18.34</v>
      </c>
      <c r="I30" s="502"/>
      <c r="J30" s="502"/>
      <c r="K30" s="502"/>
      <c r="L30" s="107">
        <f t="shared" si="0"/>
        <v>0</v>
      </c>
      <c r="M30" s="107">
        <f t="shared" si="1"/>
        <v>0</v>
      </c>
      <c r="N30" s="222">
        <f t="shared" si="2"/>
        <v>0</v>
      </c>
      <c r="O30" s="506">
        <f>'1.0-Contractblad'!$K$104</f>
        <v>0</v>
      </c>
      <c r="P30" s="223">
        <f t="shared" si="3"/>
        <v>0</v>
      </c>
      <c r="Q30" s="223">
        <f t="shared" si="4"/>
        <v>0</v>
      </c>
      <c r="R30" s="223">
        <f t="shared" si="5"/>
        <v>0</v>
      </c>
      <c r="S30" s="223"/>
      <c r="T30" s="224">
        <f t="shared" si="6"/>
        <v>0</v>
      </c>
      <c r="U30" s="224">
        <f t="shared" si="7"/>
        <v>0</v>
      </c>
      <c r="V30" s="224">
        <f t="shared" si="8"/>
        <v>0</v>
      </c>
      <c r="W30" s="508">
        <f t="shared" si="10"/>
        <v>0</v>
      </c>
      <c r="X30" s="225">
        <f t="shared" si="9"/>
        <v>0</v>
      </c>
      <c r="Z30" s="106"/>
    </row>
    <row r="31" spans="1:26" ht="15.95" customHeight="1">
      <c r="A31" s="649">
        <f>VLOOKUP(B31,'1.1 Jaarprijzen'!$B$10:$G$132,6,FALSE)</f>
        <v>0</v>
      </c>
      <c r="B31" s="635" t="s">
        <v>115</v>
      </c>
      <c r="C31" s="641">
        <v>2</v>
      </c>
      <c r="D31" s="642">
        <v>65</v>
      </c>
      <c r="E31" s="641">
        <v>2</v>
      </c>
      <c r="F31" s="642">
        <v>65</v>
      </c>
      <c r="G31" s="641">
        <v>2</v>
      </c>
      <c r="H31" s="643">
        <v>29.65</v>
      </c>
      <c r="I31" s="502"/>
      <c r="J31" s="502"/>
      <c r="K31" s="502"/>
      <c r="L31" s="107">
        <f t="shared" si="0"/>
        <v>0</v>
      </c>
      <c r="M31" s="107">
        <f t="shared" si="1"/>
        <v>0</v>
      </c>
      <c r="N31" s="222">
        <f t="shared" si="2"/>
        <v>0</v>
      </c>
      <c r="O31" s="506">
        <f>'1.0-Contractblad'!$K$104</f>
        <v>0</v>
      </c>
      <c r="P31" s="223">
        <f t="shared" si="3"/>
        <v>0</v>
      </c>
      <c r="Q31" s="223">
        <f t="shared" si="4"/>
        <v>0</v>
      </c>
      <c r="R31" s="223">
        <f t="shared" si="5"/>
        <v>0</v>
      </c>
      <c r="S31" s="223"/>
      <c r="T31" s="224">
        <f t="shared" si="6"/>
        <v>0</v>
      </c>
      <c r="U31" s="224">
        <f t="shared" si="7"/>
        <v>0</v>
      </c>
      <c r="V31" s="224">
        <f t="shared" si="8"/>
        <v>0</v>
      </c>
      <c r="W31" s="508">
        <f t="shared" si="10"/>
        <v>0</v>
      </c>
      <c r="X31" s="225">
        <f t="shared" si="9"/>
        <v>0</v>
      </c>
      <c r="Z31" s="106"/>
    </row>
    <row r="32" spans="1:26" ht="15.95" customHeight="1">
      <c r="A32" s="649">
        <f>VLOOKUP(B32,'1.1 Jaarprijzen'!$B$10:$G$132,6,FALSE)</f>
        <v>0</v>
      </c>
      <c r="B32" s="635" t="s">
        <v>139</v>
      </c>
      <c r="C32" s="641">
        <v>4</v>
      </c>
      <c r="D32" s="642">
        <v>2.5</v>
      </c>
      <c r="E32" s="641">
        <v>2</v>
      </c>
      <c r="F32" s="642">
        <v>2.5</v>
      </c>
      <c r="G32" s="641">
        <v>2</v>
      </c>
      <c r="H32" s="643">
        <v>1.5</v>
      </c>
      <c r="I32" s="502"/>
      <c r="J32" s="502"/>
      <c r="K32" s="502"/>
      <c r="L32" s="107">
        <f t="shared" si="0"/>
        <v>0</v>
      </c>
      <c r="M32" s="107">
        <f t="shared" si="1"/>
        <v>0</v>
      </c>
      <c r="N32" s="222">
        <f t="shared" si="2"/>
        <v>0</v>
      </c>
      <c r="O32" s="506">
        <f>'1.0-Contractblad'!$K$104</f>
        <v>0</v>
      </c>
      <c r="P32" s="223">
        <f t="shared" si="3"/>
        <v>0</v>
      </c>
      <c r="Q32" s="223">
        <f t="shared" si="4"/>
        <v>0</v>
      </c>
      <c r="R32" s="223">
        <f t="shared" si="5"/>
        <v>0</v>
      </c>
      <c r="S32" s="223"/>
      <c r="T32" s="224">
        <f t="shared" si="6"/>
        <v>0</v>
      </c>
      <c r="U32" s="224">
        <f t="shared" si="7"/>
        <v>0</v>
      </c>
      <c r="V32" s="224">
        <f t="shared" si="8"/>
        <v>0</v>
      </c>
      <c r="W32" s="508">
        <f t="shared" si="10"/>
        <v>0</v>
      </c>
      <c r="X32" s="225">
        <f t="shared" si="9"/>
        <v>0</v>
      </c>
      <c r="Z32" s="106"/>
    </row>
    <row r="33" spans="1:26" ht="15.95" customHeight="1">
      <c r="A33" s="649">
        <f>VLOOKUP(B33,'1.1 Jaarprijzen'!$B$10:$G$132,6,FALSE)</f>
        <v>0</v>
      </c>
      <c r="B33" s="635" t="s">
        <v>136</v>
      </c>
      <c r="C33" s="641">
        <v>4</v>
      </c>
      <c r="D33" s="642">
        <v>8.2100000000000009</v>
      </c>
      <c r="E33" s="641">
        <v>2</v>
      </c>
      <c r="F33" s="642">
        <v>8.1999999999999993</v>
      </c>
      <c r="G33" s="641">
        <v>2</v>
      </c>
      <c r="H33" s="643">
        <v>6.39</v>
      </c>
      <c r="I33" s="502"/>
      <c r="J33" s="502"/>
      <c r="K33" s="502"/>
      <c r="L33" s="107">
        <f t="shared" si="0"/>
        <v>0</v>
      </c>
      <c r="M33" s="107">
        <f t="shared" si="1"/>
        <v>0</v>
      </c>
      <c r="N33" s="222">
        <f t="shared" si="2"/>
        <v>0</v>
      </c>
      <c r="O33" s="506">
        <f>'1.0-Contractblad'!$K$104</f>
        <v>0</v>
      </c>
      <c r="P33" s="223">
        <f t="shared" si="3"/>
        <v>0</v>
      </c>
      <c r="Q33" s="223">
        <f t="shared" si="4"/>
        <v>0</v>
      </c>
      <c r="R33" s="223">
        <f t="shared" si="5"/>
        <v>0</v>
      </c>
      <c r="S33" s="223"/>
      <c r="T33" s="224">
        <f t="shared" si="6"/>
        <v>0</v>
      </c>
      <c r="U33" s="224">
        <f t="shared" si="7"/>
        <v>0</v>
      </c>
      <c r="V33" s="224">
        <f t="shared" si="8"/>
        <v>0</v>
      </c>
      <c r="W33" s="508">
        <f t="shared" si="10"/>
        <v>0</v>
      </c>
      <c r="X33" s="225">
        <f t="shared" si="9"/>
        <v>0</v>
      </c>
      <c r="Z33" s="106"/>
    </row>
    <row r="34" spans="1:26" ht="15.95" customHeight="1">
      <c r="A34" s="649">
        <f>VLOOKUP(B34,'1.1 Jaarprijzen'!$B$10:$G$132,6,FALSE)</f>
        <v>0</v>
      </c>
      <c r="B34" s="635" t="s">
        <v>107</v>
      </c>
      <c r="C34" s="641">
        <v>6</v>
      </c>
      <c r="D34" s="642">
        <v>28.59</v>
      </c>
      <c r="E34" s="641">
        <v>3</v>
      </c>
      <c r="F34" s="642">
        <v>28.59</v>
      </c>
      <c r="G34" s="641">
        <v>3</v>
      </c>
      <c r="H34" s="643">
        <v>20.350000000000001</v>
      </c>
      <c r="I34" s="502"/>
      <c r="J34" s="502"/>
      <c r="K34" s="502"/>
      <c r="L34" s="107">
        <f t="shared" si="0"/>
        <v>0</v>
      </c>
      <c r="M34" s="107">
        <f t="shared" si="1"/>
        <v>0</v>
      </c>
      <c r="N34" s="222">
        <f t="shared" si="2"/>
        <v>0</v>
      </c>
      <c r="O34" s="506">
        <f>'1.0-Contractblad'!$K$104</f>
        <v>0</v>
      </c>
      <c r="P34" s="223">
        <f t="shared" si="3"/>
        <v>0</v>
      </c>
      <c r="Q34" s="223">
        <f t="shared" si="4"/>
        <v>0</v>
      </c>
      <c r="R34" s="223">
        <f t="shared" si="5"/>
        <v>0</v>
      </c>
      <c r="S34" s="223"/>
      <c r="T34" s="224">
        <f t="shared" si="6"/>
        <v>0</v>
      </c>
      <c r="U34" s="224">
        <f t="shared" si="7"/>
        <v>0</v>
      </c>
      <c r="V34" s="224">
        <f t="shared" si="8"/>
        <v>0</v>
      </c>
      <c r="W34" s="508">
        <f t="shared" ref="W34:W40" si="11">C154*D154</f>
        <v>0</v>
      </c>
      <c r="X34" s="225">
        <f t="shared" si="9"/>
        <v>0</v>
      </c>
      <c r="Z34" s="106"/>
    </row>
    <row r="35" spans="1:26" ht="15.95" customHeight="1">
      <c r="A35" s="649">
        <f>VLOOKUP(B35,'1.1 Jaarprijzen'!$B$10:$G$132,6,FALSE)</f>
        <v>0</v>
      </c>
      <c r="B35" s="635" t="s">
        <v>98</v>
      </c>
      <c r="C35" s="641">
        <v>6</v>
      </c>
      <c r="D35" s="642">
        <v>78.08</v>
      </c>
      <c r="E35" s="641">
        <v>3</v>
      </c>
      <c r="F35" s="642">
        <v>78.08</v>
      </c>
      <c r="G35" s="641">
        <v>3</v>
      </c>
      <c r="H35" s="643">
        <v>59.36</v>
      </c>
      <c r="I35" s="502"/>
      <c r="J35" s="502"/>
      <c r="K35" s="502"/>
      <c r="L35" s="107">
        <f t="shared" si="0"/>
        <v>0</v>
      </c>
      <c r="M35" s="107">
        <f t="shared" si="1"/>
        <v>0</v>
      </c>
      <c r="N35" s="222">
        <f t="shared" si="2"/>
        <v>0</v>
      </c>
      <c r="O35" s="506">
        <f>'1.0-Contractblad'!$K$104</f>
        <v>0</v>
      </c>
      <c r="P35" s="223">
        <f t="shared" si="3"/>
        <v>0</v>
      </c>
      <c r="Q35" s="223">
        <f t="shared" si="4"/>
        <v>0</v>
      </c>
      <c r="R35" s="223">
        <f t="shared" si="5"/>
        <v>0</v>
      </c>
      <c r="S35" s="223"/>
      <c r="T35" s="224">
        <f t="shared" si="6"/>
        <v>0</v>
      </c>
      <c r="U35" s="224">
        <f t="shared" si="7"/>
        <v>0</v>
      </c>
      <c r="V35" s="224">
        <f t="shared" si="8"/>
        <v>0</v>
      </c>
      <c r="W35" s="508">
        <f t="shared" si="11"/>
        <v>0</v>
      </c>
      <c r="X35" s="225">
        <f t="shared" si="9"/>
        <v>0</v>
      </c>
      <c r="Z35" s="106"/>
    </row>
    <row r="36" spans="1:26" ht="15.95" customHeight="1">
      <c r="A36" s="649">
        <f>VLOOKUP(B36,'1.1 Jaarprijzen'!$B$10:$G$132,6,FALSE)</f>
        <v>0</v>
      </c>
      <c r="B36" s="635" t="s">
        <v>124</v>
      </c>
      <c r="C36" s="641">
        <v>2</v>
      </c>
      <c r="D36" s="642">
        <v>37.18</v>
      </c>
      <c r="E36" s="641">
        <v>1</v>
      </c>
      <c r="F36" s="642">
        <v>37.18</v>
      </c>
      <c r="G36" s="641">
        <v>2</v>
      </c>
      <c r="H36" s="643">
        <v>2.2799999999999998</v>
      </c>
      <c r="I36" s="502"/>
      <c r="J36" s="502"/>
      <c r="K36" s="502"/>
      <c r="L36" s="107">
        <f t="shared" si="0"/>
        <v>0</v>
      </c>
      <c r="M36" s="107">
        <f t="shared" si="1"/>
        <v>0</v>
      </c>
      <c r="N36" s="222">
        <f t="shared" si="2"/>
        <v>0</v>
      </c>
      <c r="O36" s="506">
        <f>'1.0-Contractblad'!$K$104</f>
        <v>0</v>
      </c>
      <c r="P36" s="223">
        <f t="shared" si="3"/>
        <v>0</v>
      </c>
      <c r="Q36" s="223">
        <f t="shared" si="4"/>
        <v>0</v>
      </c>
      <c r="R36" s="223">
        <f t="shared" si="5"/>
        <v>0</v>
      </c>
      <c r="S36" s="223"/>
      <c r="T36" s="224">
        <f t="shared" si="6"/>
        <v>0</v>
      </c>
      <c r="U36" s="224">
        <f t="shared" si="7"/>
        <v>0</v>
      </c>
      <c r="V36" s="224">
        <f t="shared" si="8"/>
        <v>0</v>
      </c>
      <c r="W36" s="508">
        <f t="shared" si="11"/>
        <v>0</v>
      </c>
      <c r="X36" s="225">
        <f t="shared" si="9"/>
        <v>0</v>
      </c>
      <c r="Z36" s="106"/>
    </row>
    <row r="37" spans="1:26" ht="15.95" customHeight="1">
      <c r="A37" s="649">
        <f>VLOOKUP(B37,'1.1 Jaarprijzen'!$B$10:$G$132,6,FALSE)</f>
        <v>0</v>
      </c>
      <c r="B37" s="635" t="s">
        <v>118</v>
      </c>
      <c r="C37" s="641">
        <v>6</v>
      </c>
      <c r="D37" s="642">
        <v>59.1</v>
      </c>
      <c r="E37" s="641">
        <v>3</v>
      </c>
      <c r="F37" s="642">
        <v>59.1</v>
      </c>
      <c r="G37" s="641">
        <v>3</v>
      </c>
      <c r="H37" s="643">
        <v>18.559999999999995</v>
      </c>
      <c r="I37" s="502"/>
      <c r="J37" s="502"/>
      <c r="K37" s="502"/>
      <c r="L37" s="107">
        <f>IF(I37=0,0,D37/I37)*C37</f>
        <v>0</v>
      </c>
      <c r="M37" s="107">
        <f>IF(J37=0,0,F37/J37)*E37</f>
        <v>0</v>
      </c>
      <c r="N37" s="222">
        <f>IF(K37=0,0,H37/K37)*G37</f>
        <v>0</v>
      </c>
      <c r="O37" s="506">
        <f>'1.0-Contractblad'!$K$104</f>
        <v>0</v>
      </c>
      <c r="P37" s="223">
        <f>IF(I37=0,0,L37*O37)</f>
        <v>0</v>
      </c>
      <c r="Q37" s="223">
        <f>IF(J37=0,0,M37*O37)</f>
        <v>0</v>
      </c>
      <c r="R37" s="223">
        <f>IF(K37=0,0,N37*O37)</f>
        <v>0</v>
      </c>
      <c r="S37" s="223"/>
      <c r="T37" s="224">
        <f>IF(D37=0,0,P37/C37/D37)</f>
        <v>0</v>
      </c>
      <c r="U37" s="224">
        <f>IF(F37=0,0,Q37/E37/F37)</f>
        <v>0</v>
      </c>
      <c r="V37" s="224">
        <f>IF(H37=0,0,R37/G37/H37)</f>
        <v>0</v>
      </c>
      <c r="W37" s="508">
        <f t="shared" si="11"/>
        <v>0</v>
      </c>
      <c r="X37" s="225">
        <f>IF(I37=0,0,P37+Q37+R37)</f>
        <v>0</v>
      </c>
      <c r="Z37" s="106"/>
    </row>
    <row r="38" spans="1:26" ht="15.95" customHeight="1">
      <c r="A38" s="649">
        <f>VLOOKUP(B38,'1.1 Jaarprijzen'!$B$10:$G$132,6,FALSE)</f>
        <v>0</v>
      </c>
      <c r="B38" s="635" t="s">
        <v>95</v>
      </c>
      <c r="C38" s="641">
        <v>4</v>
      </c>
      <c r="D38" s="642">
        <v>54.71</v>
      </c>
      <c r="E38" s="641">
        <v>2</v>
      </c>
      <c r="F38" s="642">
        <v>54.71</v>
      </c>
      <c r="G38" s="641">
        <v>2</v>
      </c>
      <c r="H38" s="643">
        <v>65.39</v>
      </c>
      <c r="I38" s="502"/>
      <c r="J38" s="502"/>
      <c r="K38" s="502"/>
      <c r="L38" s="107">
        <f t="shared" si="0"/>
        <v>0</v>
      </c>
      <c r="M38" s="107">
        <f t="shared" si="1"/>
        <v>0</v>
      </c>
      <c r="N38" s="222">
        <f t="shared" si="2"/>
        <v>0</v>
      </c>
      <c r="O38" s="506">
        <f>'1.0-Contractblad'!$K$104</f>
        <v>0</v>
      </c>
      <c r="P38" s="223">
        <f t="shared" si="3"/>
        <v>0</v>
      </c>
      <c r="Q38" s="223">
        <f t="shared" si="4"/>
        <v>0</v>
      </c>
      <c r="R38" s="223">
        <f t="shared" si="5"/>
        <v>0</v>
      </c>
      <c r="S38" s="223"/>
      <c r="T38" s="224">
        <f t="shared" si="6"/>
        <v>0</v>
      </c>
      <c r="U38" s="224">
        <f t="shared" si="7"/>
        <v>0</v>
      </c>
      <c r="V38" s="224">
        <f t="shared" si="8"/>
        <v>0</v>
      </c>
      <c r="W38" s="508">
        <f t="shared" si="11"/>
        <v>0</v>
      </c>
      <c r="X38" s="225">
        <f t="shared" si="9"/>
        <v>0</v>
      </c>
      <c r="Z38" s="106"/>
    </row>
    <row r="39" spans="1:26" ht="15.95" customHeight="1">
      <c r="A39" s="649">
        <f>VLOOKUP(B39,'1.1 Jaarprijzen'!$B$10:$G$132,6,FALSE)</f>
        <v>0</v>
      </c>
      <c r="B39" s="635" t="s">
        <v>112</v>
      </c>
      <c r="C39" s="641">
        <v>4</v>
      </c>
      <c r="D39" s="642">
        <v>133.34</v>
      </c>
      <c r="E39" s="641">
        <v>2</v>
      </c>
      <c r="F39" s="642">
        <v>133.34</v>
      </c>
      <c r="G39" s="641">
        <v>2</v>
      </c>
      <c r="H39" s="643">
        <v>149.47999999999999</v>
      </c>
      <c r="I39" s="502"/>
      <c r="J39" s="502"/>
      <c r="K39" s="502"/>
      <c r="L39" s="107">
        <f>IF(I39=0,0,D39/I39)*C39</f>
        <v>0</v>
      </c>
      <c r="M39" s="107">
        <f>IF(J39=0,0,F39/J39)*E39</f>
        <v>0</v>
      </c>
      <c r="N39" s="222">
        <f>IF(K39=0,0,H39/K39)*G39</f>
        <v>0</v>
      </c>
      <c r="O39" s="506">
        <f>'1.0-Contractblad'!$K$104</f>
        <v>0</v>
      </c>
      <c r="P39" s="223">
        <f>IF(I39=0,0,L39*O39)</f>
        <v>0</v>
      </c>
      <c r="Q39" s="223">
        <f>IF(J39=0,0,M39*O39)</f>
        <v>0</v>
      </c>
      <c r="R39" s="223">
        <f>IF(K39=0,0,N39*O39)</f>
        <v>0</v>
      </c>
      <c r="S39" s="223"/>
      <c r="T39" s="224">
        <f>IF(D39=0,0,P39/C39/D39)</f>
        <v>0</v>
      </c>
      <c r="U39" s="224">
        <f>IF(F39=0,0,Q39/E39/F39)</f>
        <v>0</v>
      </c>
      <c r="V39" s="224">
        <f>IF(H39=0,0,R39/G39/H39)</f>
        <v>0</v>
      </c>
      <c r="W39" s="508">
        <f t="shared" si="11"/>
        <v>0</v>
      </c>
      <c r="X39" s="225">
        <f>IF(I39=0,0,P39+Q39+R39)</f>
        <v>0</v>
      </c>
      <c r="Z39" s="106"/>
    </row>
    <row r="40" spans="1:26" ht="15.95" customHeight="1">
      <c r="A40" s="649">
        <f>VLOOKUP(B40,'1.1 Jaarprijzen'!$B$10:$G$132,6,FALSE)</f>
        <v>0</v>
      </c>
      <c r="B40" s="635" t="s">
        <v>112</v>
      </c>
      <c r="C40" s="641">
        <v>1</v>
      </c>
      <c r="D40" s="642">
        <v>90.1</v>
      </c>
      <c r="E40" s="641">
        <v>1</v>
      </c>
      <c r="F40" s="642">
        <v>90.1</v>
      </c>
      <c r="G40" s="641">
        <v>2</v>
      </c>
      <c r="H40" s="643">
        <v>4.6399999999999997</v>
      </c>
      <c r="I40" s="502"/>
      <c r="J40" s="502"/>
      <c r="K40" s="502"/>
      <c r="L40" s="107">
        <f t="shared" si="0"/>
        <v>0</v>
      </c>
      <c r="M40" s="107">
        <f t="shared" si="1"/>
        <v>0</v>
      </c>
      <c r="N40" s="222">
        <f t="shared" si="2"/>
        <v>0</v>
      </c>
      <c r="O40" s="506">
        <f>'1.0-Contractblad'!$K$104</f>
        <v>0</v>
      </c>
      <c r="P40" s="223">
        <f t="shared" si="3"/>
        <v>0</v>
      </c>
      <c r="Q40" s="223">
        <f t="shared" si="4"/>
        <v>0</v>
      </c>
      <c r="R40" s="223">
        <f t="shared" si="5"/>
        <v>0</v>
      </c>
      <c r="S40" s="223"/>
      <c r="T40" s="224">
        <f t="shared" si="6"/>
        <v>0</v>
      </c>
      <c r="U40" s="224">
        <f t="shared" si="7"/>
        <v>0</v>
      </c>
      <c r="V40" s="224">
        <f t="shared" si="8"/>
        <v>0</v>
      </c>
      <c r="W40" s="508">
        <f t="shared" si="11"/>
        <v>0</v>
      </c>
      <c r="X40" s="225">
        <f t="shared" si="9"/>
        <v>0</v>
      </c>
      <c r="Z40" s="106"/>
    </row>
    <row r="41" spans="1:26" ht="15.95" customHeight="1">
      <c r="A41" s="649">
        <f>VLOOKUP(B41,'1.1 Jaarprijzen'!$B$10:$G$132,6,FALSE)</f>
        <v>0</v>
      </c>
      <c r="B41" s="635" t="s">
        <v>145</v>
      </c>
      <c r="C41" s="641">
        <v>4</v>
      </c>
      <c r="D41" s="642">
        <v>126.8</v>
      </c>
      <c r="E41" s="641">
        <v>4</v>
      </c>
      <c r="F41" s="642">
        <v>125.44</v>
      </c>
      <c r="G41" s="641">
        <v>4</v>
      </c>
      <c r="H41" s="642">
        <v>6.76</v>
      </c>
      <c r="I41" s="502"/>
      <c r="J41" s="502"/>
      <c r="K41" s="502"/>
      <c r="L41" s="107">
        <f>IF(I41=0,0,D41/I41)*C41</f>
        <v>0</v>
      </c>
      <c r="M41" s="107">
        <f>IF(J41=0,0,F41/J41)*E41</f>
        <v>0</v>
      </c>
      <c r="N41" s="222">
        <f>IF(K41=0,0,H41/K41)*G41</f>
        <v>0</v>
      </c>
      <c r="O41" s="506">
        <f>'1.0-Contractblad'!$K$104</f>
        <v>0</v>
      </c>
      <c r="P41" s="223">
        <f>IF(I41=0,0,L41*O41)</f>
        <v>0</v>
      </c>
      <c r="Q41" s="223">
        <f>IF(J41=0,0,M41*O41)</f>
        <v>0</v>
      </c>
      <c r="R41" s="223">
        <f>IF(K41=0,0,N41*O41)</f>
        <v>0</v>
      </c>
      <c r="S41" s="223"/>
      <c r="T41" s="224">
        <f>IF(D41=0,0,P41/C41/D41)</f>
        <v>0</v>
      </c>
      <c r="U41" s="224">
        <f>IF(F41=0,0,Q41/E41/F41)</f>
        <v>0</v>
      </c>
      <c r="V41" s="224">
        <f>IF(H41=0,0,R41/G41/H41)</f>
        <v>0</v>
      </c>
      <c r="W41" s="508">
        <f>C161*D161</f>
        <v>0</v>
      </c>
      <c r="X41" s="225">
        <f>IF(I41=0,0,P41+Q41+R41)</f>
        <v>0</v>
      </c>
      <c r="Z41" s="106"/>
    </row>
    <row r="42" spans="1:26" ht="15.95" customHeight="1">
      <c r="A42" s="649">
        <f>VLOOKUP(B42,'1.1 Jaarprijzen'!$B$10:$G$132,6,FALSE)</f>
        <v>0</v>
      </c>
      <c r="B42" s="635" t="s">
        <v>161</v>
      </c>
      <c r="C42" s="641">
        <v>6</v>
      </c>
      <c r="D42" s="642">
        <v>29.81</v>
      </c>
      <c r="E42" s="641">
        <v>3</v>
      </c>
      <c r="F42" s="642">
        <v>29.81</v>
      </c>
      <c r="G42" s="641">
        <v>3</v>
      </c>
      <c r="H42" s="643">
        <v>1.98</v>
      </c>
      <c r="I42" s="502"/>
      <c r="J42" s="502"/>
      <c r="K42" s="502"/>
      <c r="L42" s="107">
        <f>IF(I42=0,0,D42/I42)*C42</f>
        <v>0</v>
      </c>
      <c r="M42" s="107">
        <f>IF(J42=0,0,F42/J42)*E42</f>
        <v>0</v>
      </c>
      <c r="N42" s="222">
        <f>IF(K42=0,0,H42/K42)*G42</f>
        <v>0</v>
      </c>
      <c r="O42" s="506">
        <f>'1.0-Contractblad'!$K$104</f>
        <v>0</v>
      </c>
      <c r="P42" s="223">
        <f>IF(I42=0,0,L42*O42)</f>
        <v>0</v>
      </c>
      <c r="Q42" s="223">
        <f>IF(J42=0,0,M42*O42)</f>
        <v>0</v>
      </c>
      <c r="R42" s="223">
        <f>IF(K42=0,0,N42*O42)</f>
        <v>0</v>
      </c>
      <c r="S42" s="223"/>
      <c r="T42" s="224">
        <f>IF(D42=0,0,P42/C42/D42)</f>
        <v>0</v>
      </c>
      <c r="U42" s="224">
        <f>IF(F42=0,0,Q42/E42/F42)</f>
        <v>0</v>
      </c>
      <c r="V42" s="224">
        <f>IF(H42=0,0,R42/G42/H42)</f>
        <v>0</v>
      </c>
      <c r="W42" s="508">
        <f>C162*D162</f>
        <v>0</v>
      </c>
      <c r="X42" s="225">
        <f>IF(I42=0,0,P42+Q42+R42)</f>
        <v>0</v>
      </c>
      <c r="Z42" s="106"/>
    </row>
    <row r="43" spans="1:26" ht="15.95" customHeight="1">
      <c r="A43" s="649">
        <f>VLOOKUP(B43,'1.1 Jaarprijzen'!$B$10:$G$132,6,FALSE)</f>
        <v>0</v>
      </c>
      <c r="B43" s="635" t="s">
        <v>163</v>
      </c>
      <c r="C43" s="641">
        <v>6</v>
      </c>
      <c r="D43" s="642">
        <v>100.45</v>
      </c>
      <c r="E43" s="641">
        <v>3</v>
      </c>
      <c r="F43" s="642">
        <v>100.45</v>
      </c>
      <c r="G43" s="641">
        <v>3</v>
      </c>
      <c r="H43" s="643">
        <v>92.63</v>
      </c>
      <c r="I43" s="502"/>
      <c r="J43" s="502"/>
      <c r="K43" s="502"/>
      <c r="L43" s="107">
        <f>IF(I43=0,0,D43/I43)*C43</f>
        <v>0</v>
      </c>
      <c r="M43" s="107">
        <f>IF(J43=0,0,F43/J43)*E43</f>
        <v>0</v>
      </c>
      <c r="N43" s="222">
        <f>IF(K43=0,0,H43/K43)*G43</f>
        <v>0</v>
      </c>
      <c r="O43" s="506">
        <f>'1.0-Contractblad'!$K$104</f>
        <v>0</v>
      </c>
      <c r="P43" s="223">
        <f>IF(I43=0,0,L43*O43)</f>
        <v>0</v>
      </c>
      <c r="Q43" s="223">
        <f>IF(J43=0,0,M43*O43)</f>
        <v>0</v>
      </c>
      <c r="R43" s="223">
        <f>IF(K43=0,0,N43*O43)</f>
        <v>0</v>
      </c>
      <c r="S43" s="223"/>
      <c r="T43" s="224">
        <f>IF(D43=0,0,P43/C43/D43)</f>
        <v>0</v>
      </c>
      <c r="U43" s="224">
        <f>IF(F43=0,0,Q43/E43/F43)</f>
        <v>0</v>
      </c>
      <c r="V43" s="224">
        <f>IF(H43=0,0,R43/G43/H43)</f>
        <v>0</v>
      </c>
      <c r="W43" s="508">
        <f>C163*D163</f>
        <v>0</v>
      </c>
      <c r="X43" s="225">
        <f>IF(I43=0,0,P43+Q43+R43)</f>
        <v>0</v>
      </c>
      <c r="Z43" s="106"/>
    </row>
    <row r="44" spans="1:26" ht="15.95" hidden="1" customHeight="1">
      <c r="A44" s="356"/>
      <c r="B44" s="635"/>
      <c r="C44" s="641"/>
      <c r="D44" s="642"/>
      <c r="E44" s="641"/>
      <c r="F44" s="642"/>
      <c r="G44" s="641"/>
      <c r="H44" s="642"/>
      <c r="I44" s="502">
        <v>55</v>
      </c>
      <c r="J44" s="503">
        <v>55</v>
      </c>
      <c r="K44" s="503"/>
      <c r="L44" s="107"/>
      <c r="M44" s="107"/>
      <c r="N44" s="222"/>
      <c r="O44" s="506"/>
      <c r="P44" s="223"/>
      <c r="Q44" s="223"/>
      <c r="R44" s="223"/>
      <c r="S44" s="223"/>
      <c r="T44" s="224"/>
      <c r="U44" s="224"/>
      <c r="V44" s="224"/>
      <c r="W44" s="508"/>
      <c r="X44" s="225"/>
      <c r="Z44" s="106"/>
    </row>
    <row r="45" spans="1:26" ht="15.95" hidden="1" customHeight="1">
      <c r="A45" s="356"/>
      <c r="B45" s="635"/>
      <c r="C45" s="641"/>
      <c r="D45" s="642"/>
      <c r="E45" s="641"/>
      <c r="F45" s="642"/>
      <c r="G45" s="641"/>
      <c r="H45" s="642"/>
      <c r="I45" s="502">
        <v>55</v>
      </c>
      <c r="J45" s="503">
        <v>55</v>
      </c>
      <c r="K45" s="503"/>
      <c r="L45" s="107"/>
      <c r="M45" s="107"/>
      <c r="N45" s="222"/>
      <c r="O45" s="506"/>
      <c r="P45" s="223"/>
      <c r="Q45" s="223"/>
      <c r="R45" s="223"/>
      <c r="S45" s="223"/>
      <c r="T45" s="224"/>
      <c r="U45" s="224"/>
      <c r="V45" s="224"/>
      <c r="W45" s="508"/>
      <c r="X45" s="225"/>
      <c r="Z45" s="106"/>
    </row>
    <row r="46" spans="1:26" ht="15.95" hidden="1" customHeight="1">
      <c r="A46" s="356"/>
      <c r="B46" s="635"/>
      <c r="C46" s="641"/>
      <c r="D46" s="642"/>
      <c r="E46" s="641"/>
      <c r="F46" s="642"/>
      <c r="G46" s="641"/>
      <c r="H46" s="642"/>
      <c r="I46" s="502">
        <v>55</v>
      </c>
      <c r="J46" s="503">
        <v>55</v>
      </c>
      <c r="K46" s="503"/>
      <c r="L46" s="107"/>
      <c r="M46" s="107"/>
      <c r="N46" s="222"/>
      <c r="O46" s="506"/>
      <c r="P46" s="223"/>
      <c r="Q46" s="223"/>
      <c r="R46" s="223"/>
      <c r="S46" s="223"/>
      <c r="T46" s="224"/>
      <c r="U46" s="224"/>
      <c r="V46" s="224"/>
      <c r="W46" s="508"/>
      <c r="X46" s="225"/>
      <c r="Z46" s="106"/>
    </row>
    <row r="47" spans="1:26" ht="15.95" hidden="1" customHeight="1">
      <c r="A47" s="356"/>
      <c r="B47" s="635"/>
      <c r="C47" s="641"/>
      <c r="D47" s="642"/>
      <c r="E47" s="641"/>
      <c r="F47" s="642"/>
      <c r="G47" s="641"/>
      <c r="H47" s="642"/>
      <c r="I47" s="502">
        <v>55</v>
      </c>
      <c r="J47" s="503">
        <v>55</v>
      </c>
      <c r="K47" s="503"/>
      <c r="L47" s="107"/>
      <c r="M47" s="107"/>
      <c r="N47" s="222"/>
      <c r="O47" s="506"/>
      <c r="P47" s="223"/>
      <c r="Q47" s="223"/>
      <c r="R47" s="223"/>
      <c r="S47" s="223"/>
      <c r="T47" s="224"/>
      <c r="U47" s="224"/>
      <c r="V47" s="224"/>
      <c r="W47" s="508"/>
      <c r="X47" s="225"/>
      <c r="Z47" s="106"/>
    </row>
    <row r="48" spans="1:26" ht="15.95" hidden="1" customHeight="1">
      <c r="A48" s="356"/>
      <c r="B48" s="635"/>
      <c r="C48" s="641"/>
      <c r="D48" s="642"/>
      <c r="E48" s="641"/>
      <c r="F48" s="642"/>
      <c r="G48" s="641"/>
      <c r="H48" s="643"/>
      <c r="I48" s="502">
        <v>55</v>
      </c>
      <c r="J48" s="503">
        <v>55</v>
      </c>
      <c r="K48" s="503"/>
      <c r="L48" s="107"/>
      <c r="M48" s="107"/>
      <c r="N48" s="222"/>
      <c r="O48" s="506"/>
      <c r="P48" s="223"/>
      <c r="Q48" s="223"/>
      <c r="R48" s="223"/>
      <c r="S48" s="223"/>
      <c r="T48" s="224"/>
      <c r="U48" s="224"/>
      <c r="V48" s="224"/>
      <c r="W48" s="508"/>
      <c r="X48" s="225"/>
      <c r="Z48" s="106"/>
    </row>
    <row r="49" spans="1:26" ht="15.95" hidden="1" customHeight="1">
      <c r="A49" s="356"/>
      <c r="B49" s="635"/>
      <c r="C49" s="641"/>
      <c r="D49" s="642"/>
      <c r="E49" s="641"/>
      <c r="F49" s="642"/>
      <c r="G49" s="641"/>
      <c r="H49" s="643"/>
      <c r="I49" s="502">
        <v>55</v>
      </c>
      <c r="J49" s="503">
        <v>55</v>
      </c>
      <c r="K49" s="503"/>
      <c r="L49" s="107"/>
      <c r="M49" s="107"/>
      <c r="N49" s="222"/>
      <c r="O49" s="506"/>
      <c r="P49" s="223"/>
      <c r="Q49" s="223"/>
      <c r="R49" s="223"/>
      <c r="S49" s="223"/>
      <c r="T49" s="224"/>
      <c r="U49" s="224"/>
      <c r="V49" s="224"/>
      <c r="W49" s="508"/>
      <c r="X49" s="225"/>
      <c r="Z49" s="106"/>
    </row>
    <row r="50" spans="1:26" ht="15.95" hidden="1" customHeight="1">
      <c r="A50" s="356"/>
      <c r="B50" s="635"/>
      <c r="C50" s="641"/>
      <c r="D50" s="642"/>
      <c r="E50" s="641"/>
      <c r="F50" s="642"/>
      <c r="G50" s="641"/>
      <c r="H50" s="643"/>
      <c r="I50" s="502">
        <v>55</v>
      </c>
      <c r="J50" s="503">
        <v>55</v>
      </c>
      <c r="K50" s="503"/>
      <c r="L50" s="107"/>
      <c r="M50" s="107"/>
      <c r="N50" s="222"/>
      <c r="O50" s="506"/>
      <c r="P50" s="223"/>
      <c r="Q50" s="223"/>
      <c r="R50" s="223"/>
      <c r="S50" s="223"/>
      <c r="T50" s="224"/>
      <c r="U50" s="224"/>
      <c r="V50" s="224"/>
      <c r="W50" s="508"/>
      <c r="X50" s="225"/>
      <c r="Z50" s="106"/>
    </row>
    <row r="51" spans="1:26" ht="15.95" hidden="1" customHeight="1">
      <c r="A51" s="356"/>
      <c r="B51" s="635"/>
      <c r="C51" s="641"/>
      <c r="D51" s="642"/>
      <c r="E51" s="641"/>
      <c r="F51" s="642"/>
      <c r="G51" s="641"/>
      <c r="H51" s="643"/>
      <c r="I51" s="502">
        <v>55</v>
      </c>
      <c r="J51" s="503">
        <v>55</v>
      </c>
      <c r="K51" s="503"/>
      <c r="L51" s="107"/>
      <c r="M51" s="107"/>
      <c r="N51" s="222"/>
      <c r="O51" s="506"/>
      <c r="P51" s="223"/>
      <c r="Q51" s="223"/>
      <c r="R51" s="223"/>
      <c r="S51" s="223"/>
      <c r="T51" s="224"/>
      <c r="U51" s="224"/>
      <c r="V51" s="224"/>
      <c r="W51" s="508"/>
      <c r="X51" s="225"/>
      <c r="Z51" s="106"/>
    </row>
    <row r="52" spans="1:26" ht="15.95" hidden="1" customHeight="1">
      <c r="A52" s="356"/>
      <c r="B52" s="635"/>
      <c r="C52" s="641"/>
      <c r="D52" s="642"/>
      <c r="E52" s="641"/>
      <c r="F52" s="642"/>
      <c r="G52" s="641"/>
      <c r="H52" s="643"/>
      <c r="I52" s="502">
        <v>55</v>
      </c>
      <c r="J52" s="503">
        <v>55</v>
      </c>
      <c r="K52" s="503"/>
      <c r="L52" s="107"/>
      <c r="M52" s="107"/>
      <c r="N52" s="222"/>
      <c r="O52" s="506"/>
      <c r="P52" s="223"/>
      <c r="Q52" s="223"/>
      <c r="R52" s="223"/>
      <c r="S52" s="223"/>
      <c r="T52" s="224"/>
      <c r="U52" s="224"/>
      <c r="V52" s="224"/>
      <c r="W52" s="508"/>
      <c r="X52" s="225"/>
      <c r="Z52" s="106"/>
    </row>
    <row r="53" spans="1:26" ht="15.95" hidden="1" customHeight="1">
      <c r="A53" s="356"/>
      <c r="B53" s="635"/>
      <c r="C53" s="641"/>
      <c r="D53" s="642"/>
      <c r="E53" s="641"/>
      <c r="F53" s="642"/>
      <c r="G53" s="641"/>
      <c r="H53" s="643"/>
      <c r="I53" s="502">
        <v>55</v>
      </c>
      <c r="J53" s="503">
        <v>55</v>
      </c>
      <c r="K53" s="503"/>
      <c r="L53" s="107"/>
      <c r="M53" s="107"/>
      <c r="N53" s="222"/>
      <c r="O53" s="506"/>
      <c r="P53" s="223"/>
      <c r="Q53" s="223"/>
      <c r="R53" s="223"/>
      <c r="S53" s="223"/>
      <c r="T53" s="224"/>
      <c r="U53" s="224"/>
      <c r="V53" s="224"/>
      <c r="W53" s="508"/>
      <c r="X53" s="225"/>
      <c r="Z53" s="106"/>
    </row>
    <row r="54" spans="1:26" ht="15.95" hidden="1" customHeight="1">
      <c r="A54" s="356"/>
      <c r="B54" s="635"/>
      <c r="C54" s="641"/>
      <c r="D54" s="642"/>
      <c r="E54" s="641"/>
      <c r="F54" s="642"/>
      <c r="G54" s="641"/>
      <c r="H54" s="643"/>
      <c r="I54" s="502">
        <v>55</v>
      </c>
      <c r="J54" s="503">
        <v>55</v>
      </c>
      <c r="K54" s="503"/>
      <c r="L54" s="107"/>
      <c r="M54" s="107"/>
      <c r="N54" s="222"/>
      <c r="O54" s="506"/>
      <c r="P54" s="223"/>
      <c r="Q54" s="223"/>
      <c r="R54" s="223"/>
      <c r="S54" s="223"/>
      <c r="T54" s="224"/>
      <c r="U54" s="224"/>
      <c r="V54" s="224"/>
      <c r="W54" s="508"/>
      <c r="X54" s="225"/>
      <c r="Z54" s="106"/>
    </row>
    <row r="55" spans="1:26" ht="15.95" hidden="1" customHeight="1">
      <c r="A55" s="356"/>
      <c r="B55" s="635"/>
      <c r="C55" s="641"/>
      <c r="D55" s="642"/>
      <c r="E55" s="641"/>
      <c r="F55" s="642"/>
      <c r="G55" s="641"/>
      <c r="H55" s="643"/>
      <c r="I55" s="502">
        <v>55</v>
      </c>
      <c r="J55" s="503">
        <v>55</v>
      </c>
      <c r="K55" s="503"/>
      <c r="L55" s="107"/>
      <c r="M55" s="107"/>
      <c r="N55" s="222"/>
      <c r="O55" s="506"/>
      <c r="P55" s="223"/>
      <c r="Q55" s="223"/>
      <c r="R55" s="223"/>
      <c r="S55" s="223"/>
      <c r="T55" s="224"/>
      <c r="U55" s="224"/>
      <c r="V55" s="224"/>
      <c r="W55" s="508"/>
      <c r="X55" s="225"/>
      <c r="Z55" s="106"/>
    </row>
    <row r="56" spans="1:26" ht="15.95" hidden="1" customHeight="1">
      <c r="A56" s="356"/>
      <c r="B56" s="635"/>
      <c r="C56" s="641"/>
      <c r="D56" s="642"/>
      <c r="E56" s="641"/>
      <c r="F56" s="642"/>
      <c r="G56" s="641"/>
      <c r="H56" s="643"/>
      <c r="I56" s="502">
        <v>55</v>
      </c>
      <c r="J56" s="503">
        <v>55</v>
      </c>
      <c r="K56" s="503"/>
      <c r="L56" s="107"/>
      <c r="M56" s="107"/>
      <c r="N56" s="222"/>
      <c r="O56" s="506"/>
      <c r="P56" s="223"/>
      <c r="Q56" s="223"/>
      <c r="R56" s="223"/>
      <c r="S56" s="223"/>
      <c r="T56" s="224"/>
      <c r="U56" s="224"/>
      <c r="V56" s="224"/>
      <c r="W56" s="508"/>
      <c r="X56" s="225"/>
      <c r="Z56" s="106"/>
    </row>
    <row r="57" spans="1:26" ht="15.95" hidden="1" customHeight="1">
      <c r="A57" s="356"/>
      <c r="B57" s="635"/>
      <c r="C57" s="641"/>
      <c r="D57" s="642"/>
      <c r="E57" s="641"/>
      <c r="F57" s="642"/>
      <c r="G57" s="641"/>
      <c r="H57" s="643"/>
      <c r="I57" s="502">
        <v>55</v>
      </c>
      <c r="J57" s="503">
        <v>55</v>
      </c>
      <c r="K57" s="503"/>
      <c r="L57" s="107"/>
      <c r="M57" s="107"/>
      <c r="N57" s="222"/>
      <c r="O57" s="506"/>
      <c r="P57" s="223"/>
      <c r="Q57" s="223"/>
      <c r="R57" s="223"/>
      <c r="S57" s="223"/>
      <c r="T57" s="224"/>
      <c r="U57" s="224"/>
      <c r="V57" s="224"/>
      <c r="W57" s="508"/>
      <c r="X57" s="225"/>
      <c r="Z57" s="106"/>
    </row>
    <row r="58" spans="1:26" ht="15.95" hidden="1" customHeight="1">
      <c r="A58" s="356"/>
      <c r="B58" s="635"/>
      <c r="C58" s="641"/>
      <c r="D58" s="642"/>
      <c r="E58" s="641"/>
      <c r="F58" s="642"/>
      <c r="G58" s="641"/>
      <c r="H58" s="643"/>
      <c r="I58" s="502">
        <v>55</v>
      </c>
      <c r="J58" s="503">
        <v>55</v>
      </c>
      <c r="K58" s="503"/>
      <c r="L58" s="107"/>
      <c r="M58" s="107"/>
      <c r="N58" s="222"/>
      <c r="O58" s="506"/>
      <c r="P58" s="223"/>
      <c r="Q58" s="223"/>
      <c r="R58" s="223"/>
      <c r="S58" s="223"/>
      <c r="T58" s="224"/>
      <c r="U58" s="224"/>
      <c r="V58" s="224"/>
      <c r="W58" s="508"/>
      <c r="X58" s="225"/>
      <c r="Z58" s="106"/>
    </row>
    <row r="59" spans="1:26" ht="15.95" hidden="1" customHeight="1">
      <c r="A59" s="356"/>
      <c r="B59" s="635"/>
      <c r="C59" s="641"/>
      <c r="D59" s="642"/>
      <c r="E59" s="641"/>
      <c r="F59" s="642"/>
      <c r="G59" s="641"/>
      <c r="H59" s="643"/>
      <c r="I59" s="502">
        <v>55</v>
      </c>
      <c r="J59" s="503">
        <v>55</v>
      </c>
      <c r="K59" s="503"/>
      <c r="L59" s="107"/>
      <c r="M59" s="107"/>
      <c r="N59" s="222"/>
      <c r="O59" s="506"/>
      <c r="P59" s="223"/>
      <c r="Q59" s="223"/>
      <c r="R59" s="223"/>
      <c r="S59" s="223"/>
      <c r="T59" s="224"/>
      <c r="U59" s="224"/>
      <c r="V59" s="224"/>
      <c r="W59" s="508"/>
      <c r="X59" s="225"/>
      <c r="Z59" s="106"/>
    </row>
    <row r="60" spans="1:26" ht="15.95" hidden="1" customHeight="1">
      <c r="A60" s="356"/>
      <c r="B60" s="635"/>
      <c r="C60" s="641"/>
      <c r="D60" s="642"/>
      <c r="E60" s="641"/>
      <c r="F60" s="642"/>
      <c r="G60" s="641"/>
      <c r="H60" s="643"/>
      <c r="I60" s="502">
        <v>55</v>
      </c>
      <c r="J60" s="503">
        <v>55</v>
      </c>
      <c r="K60" s="503"/>
      <c r="L60" s="107"/>
      <c r="M60" s="107"/>
      <c r="N60" s="222"/>
      <c r="O60" s="506"/>
      <c r="P60" s="223"/>
      <c r="Q60" s="223"/>
      <c r="R60" s="223"/>
      <c r="S60" s="223"/>
      <c r="T60" s="224"/>
      <c r="U60" s="224"/>
      <c r="V60" s="224"/>
      <c r="W60" s="508"/>
      <c r="X60" s="225"/>
      <c r="Z60" s="106"/>
    </row>
    <row r="61" spans="1:26" ht="15.95" hidden="1" customHeight="1">
      <c r="A61" s="356"/>
      <c r="B61" s="635"/>
      <c r="C61" s="641"/>
      <c r="D61" s="642"/>
      <c r="E61" s="641"/>
      <c r="F61" s="642"/>
      <c r="G61" s="641"/>
      <c r="H61" s="643"/>
      <c r="I61" s="502">
        <v>55</v>
      </c>
      <c r="J61" s="503">
        <v>55</v>
      </c>
      <c r="K61" s="503"/>
      <c r="L61" s="107"/>
      <c r="M61" s="107"/>
      <c r="N61" s="222"/>
      <c r="O61" s="506"/>
      <c r="P61" s="223"/>
      <c r="Q61" s="223"/>
      <c r="R61" s="223"/>
      <c r="S61" s="223"/>
      <c r="T61" s="224"/>
      <c r="U61" s="224"/>
      <c r="V61" s="224"/>
      <c r="W61" s="508"/>
      <c r="X61" s="225"/>
      <c r="Z61" s="106"/>
    </row>
    <row r="62" spans="1:26" ht="15.95" hidden="1" customHeight="1">
      <c r="A62" s="356"/>
      <c r="B62" s="635"/>
      <c r="C62" s="641"/>
      <c r="D62" s="642"/>
      <c r="E62" s="641"/>
      <c r="F62" s="642"/>
      <c r="G62" s="641"/>
      <c r="H62" s="643"/>
      <c r="I62" s="502">
        <v>55</v>
      </c>
      <c r="J62" s="503">
        <v>55</v>
      </c>
      <c r="K62" s="503"/>
      <c r="L62" s="107"/>
      <c r="M62" s="107"/>
      <c r="N62" s="222"/>
      <c r="O62" s="506"/>
      <c r="P62" s="223"/>
      <c r="Q62" s="223"/>
      <c r="R62" s="223"/>
      <c r="S62" s="223"/>
      <c r="T62" s="224"/>
      <c r="U62" s="224"/>
      <c r="V62" s="224"/>
      <c r="W62" s="508"/>
      <c r="X62" s="225"/>
      <c r="Z62" s="106"/>
    </row>
    <row r="63" spans="1:26" ht="15.95" hidden="1" customHeight="1">
      <c r="A63" s="356"/>
      <c r="B63" s="635"/>
      <c r="C63" s="641"/>
      <c r="D63" s="642"/>
      <c r="E63" s="641"/>
      <c r="F63" s="642"/>
      <c r="G63" s="641"/>
      <c r="H63" s="643"/>
      <c r="I63" s="502">
        <v>55</v>
      </c>
      <c r="J63" s="503">
        <v>55</v>
      </c>
      <c r="K63" s="503"/>
      <c r="L63" s="107"/>
      <c r="M63" s="107"/>
      <c r="N63" s="222"/>
      <c r="O63" s="506"/>
      <c r="P63" s="223"/>
      <c r="Q63" s="223"/>
      <c r="R63" s="223"/>
      <c r="S63" s="223"/>
      <c r="T63" s="224"/>
      <c r="U63" s="224"/>
      <c r="V63" s="224"/>
      <c r="W63" s="508"/>
      <c r="X63" s="225"/>
      <c r="Z63" s="106"/>
    </row>
    <row r="64" spans="1:26" ht="15.95" hidden="1" customHeight="1">
      <c r="A64" s="356"/>
      <c r="B64" s="635"/>
      <c r="C64" s="641"/>
      <c r="D64" s="642"/>
      <c r="E64" s="641"/>
      <c r="F64" s="642"/>
      <c r="G64" s="641"/>
      <c r="H64" s="643"/>
      <c r="I64" s="502">
        <v>55</v>
      </c>
      <c r="J64" s="503">
        <v>55</v>
      </c>
      <c r="K64" s="503"/>
      <c r="L64" s="107"/>
      <c r="M64" s="107"/>
      <c r="N64" s="222"/>
      <c r="O64" s="506"/>
      <c r="P64" s="223"/>
      <c r="Q64" s="223"/>
      <c r="R64" s="223"/>
      <c r="S64" s="223"/>
      <c r="T64" s="224"/>
      <c r="U64" s="224"/>
      <c r="V64" s="224"/>
      <c r="W64" s="508"/>
      <c r="X64" s="225"/>
      <c r="Z64" s="106"/>
    </row>
    <row r="65" spans="1:26" ht="15.95" hidden="1" customHeight="1">
      <c r="A65" s="356"/>
      <c r="B65" s="635"/>
      <c r="C65" s="641"/>
      <c r="D65" s="642"/>
      <c r="E65" s="641"/>
      <c r="F65" s="642"/>
      <c r="G65" s="641"/>
      <c r="H65" s="643"/>
      <c r="I65" s="502">
        <v>55</v>
      </c>
      <c r="J65" s="503">
        <v>55</v>
      </c>
      <c r="K65" s="503"/>
      <c r="L65" s="107"/>
      <c r="M65" s="107"/>
      <c r="N65" s="222"/>
      <c r="O65" s="506"/>
      <c r="P65" s="223"/>
      <c r="Q65" s="223"/>
      <c r="R65" s="223"/>
      <c r="S65" s="223"/>
      <c r="T65" s="224"/>
      <c r="U65" s="224"/>
      <c r="V65" s="224"/>
      <c r="W65" s="508"/>
      <c r="X65" s="225"/>
      <c r="Z65" s="106"/>
    </row>
    <row r="66" spans="1:26" ht="15.95" hidden="1" customHeight="1">
      <c r="A66" s="356"/>
      <c r="B66" s="635"/>
      <c r="C66" s="641"/>
      <c r="D66" s="642"/>
      <c r="E66" s="641"/>
      <c r="F66" s="642"/>
      <c r="G66" s="641"/>
      <c r="H66" s="643"/>
      <c r="I66" s="502">
        <v>55</v>
      </c>
      <c r="J66" s="503">
        <v>55</v>
      </c>
      <c r="K66" s="503"/>
      <c r="L66" s="107"/>
      <c r="M66" s="107"/>
      <c r="N66" s="222"/>
      <c r="O66" s="506"/>
      <c r="P66" s="223"/>
      <c r="Q66" s="223"/>
      <c r="R66" s="223"/>
      <c r="S66" s="223"/>
      <c r="T66" s="224"/>
      <c r="U66" s="224"/>
      <c r="V66" s="224"/>
      <c r="W66" s="508"/>
      <c r="X66" s="225"/>
      <c r="Z66" s="106"/>
    </row>
    <row r="67" spans="1:26" ht="15.95" hidden="1" customHeight="1">
      <c r="A67" s="356"/>
      <c r="B67" s="635"/>
      <c r="C67" s="641"/>
      <c r="D67" s="642"/>
      <c r="E67" s="641"/>
      <c r="F67" s="642"/>
      <c r="G67" s="641"/>
      <c r="H67" s="643"/>
      <c r="I67" s="502">
        <v>55</v>
      </c>
      <c r="J67" s="503">
        <v>55</v>
      </c>
      <c r="K67" s="503"/>
      <c r="L67" s="107"/>
      <c r="M67" s="107"/>
      <c r="N67" s="222"/>
      <c r="O67" s="506"/>
      <c r="P67" s="223"/>
      <c r="Q67" s="223"/>
      <c r="R67" s="223"/>
      <c r="S67" s="223"/>
      <c r="T67" s="224"/>
      <c r="U67" s="224"/>
      <c r="V67" s="224"/>
      <c r="W67" s="508"/>
      <c r="X67" s="225"/>
      <c r="Z67" s="106"/>
    </row>
    <row r="68" spans="1:26" ht="15.95" hidden="1" customHeight="1">
      <c r="A68" s="356"/>
      <c r="B68" s="635"/>
      <c r="C68" s="641"/>
      <c r="D68" s="642"/>
      <c r="E68" s="641"/>
      <c r="F68" s="642"/>
      <c r="G68" s="641"/>
      <c r="H68" s="643"/>
      <c r="I68" s="502">
        <v>55</v>
      </c>
      <c r="J68" s="503">
        <v>55</v>
      </c>
      <c r="K68" s="503"/>
      <c r="L68" s="107"/>
      <c r="M68" s="107"/>
      <c r="N68" s="222"/>
      <c r="O68" s="506"/>
      <c r="P68" s="223"/>
      <c r="Q68" s="223"/>
      <c r="R68" s="223"/>
      <c r="S68" s="223"/>
      <c r="T68" s="224"/>
      <c r="U68" s="224"/>
      <c r="V68" s="224"/>
      <c r="W68" s="508"/>
      <c r="X68" s="225"/>
      <c r="Z68" s="106"/>
    </row>
    <row r="69" spans="1:26" ht="15.95" hidden="1" customHeight="1">
      <c r="A69" s="356"/>
      <c r="B69" s="635"/>
      <c r="C69" s="641"/>
      <c r="D69" s="642"/>
      <c r="E69" s="641"/>
      <c r="F69" s="642"/>
      <c r="G69" s="641"/>
      <c r="H69" s="643"/>
      <c r="I69" s="502">
        <v>55</v>
      </c>
      <c r="J69" s="503">
        <v>55</v>
      </c>
      <c r="K69" s="503"/>
      <c r="L69" s="107"/>
      <c r="M69" s="107"/>
      <c r="N69" s="222"/>
      <c r="O69" s="506"/>
      <c r="P69" s="223"/>
      <c r="Q69" s="223"/>
      <c r="R69" s="223"/>
      <c r="S69" s="223"/>
      <c r="T69" s="224"/>
      <c r="U69" s="224"/>
      <c r="V69" s="224"/>
      <c r="W69" s="508"/>
      <c r="X69" s="225"/>
      <c r="Z69" s="106"/>
    </row>
    <row r="70" spans="1:26" ht="15.95" hidden="1" customHeight="1">
      <c r="A70" s="356"/>
      <c r="B70" s="635"/>
      <c r="C70" s="641"/>
      <c r="D70" s="642"/>
      <c r="E70" s="641"/>
      <c r="F70" s="642"/>
      <c r="G70" s="641"/>
      <c r="H70" s="643"/>
      <c r="I70" s="502">
        <v>55</v>
      </c>
      <c r="J70" s="503">
        <v>55</v>
      </c>
      <c r="K70" s="503"/>
      <c r="L70" s="107"/>
      <c r="M70" s="107"/>
      <c r="N70" s="222"/>
      <c r="O70" s="506"/>
      <c r="P70" s="223"/>
      <c r="Q70" s="223"/>
      <c r="R70" s="223"/>
      <c r="S70" s="223"/>
      <c r="T70" s="224"/>
      <c r="U70" s="224"/>
      <c r="V70" s="224"/>
      <c r="W70" s="508"/>
      <c r="X70" s="225"/>
      <c r="Z70" s="106"/>
    </row>
    <row r="71" spans="1:26" ht="15.95" hidden="1" customHeight="1">
      <c r="A71" s="356"/>
      <c r="B71" s="635"/>
      <c r="C71" s="641"/>
      <c r="D71" s="642"/>
      <c r="E71" s="641"/>
      <c r="F71" s="642"/>
      <c r="G71" s="641"/>
      <c r="H71" s="643"/>
      <c r="I71" s="502">
        <v>55</v>
      </c>
      <c r="J71" s="503">
        <v>55</v>
      </c>
      <c r="K71" s="503"/>
      <c r="L71" s="107"/>
      <c r="M71" s="107"/>
      <c r="N71" s="222"/>
      <c r="O71" s="506"/>
      <c r="P71" s="223"/>
      <c r="Q71" s="223"/>
      <c r="R71" s="223"/>
      <c r="S71" s="223"/>
      <c r="T71" s="224"/>
      <c r="U71" s="224"/>
      <c r="V71" s="224"/>
      <c r="W71" s="508"/>
      <c r="X71" s="225"/>
      <c r="Z71" s="106"/>
    </row>
    <row r="72" spans="1:26" ht="15.95" hidden="1" customHeight="1">
      <c r="A72" s="356"/>
      <c r="B72" s="635"/>
      <c r="C72" s="641"/>
      <c r="D72" s="642"/>
      <c r="E72" s="641"/>
      <c r="F72" s="642"/>
      <c r="G72" s="641"/>
      <c r="H72" s="643"/>
      <c r="I72" s="502">
        <v>55</v>
      </c>
      <c r="J72" s="503">
        <v>55</v>
      </c>
      <c r="K72" s="503"/>
      <c r="L72" s="107"/>
      <c r="M72" s="107"/>
      <c r="N72" s="222"/>
      <c r="O72" s="506"/>
      <c r="P72" s="223"/>
      <c r="Q72" s="223"/>
      <c r="R72" s="223"/>
      <c r="S72" s="223"/>
      <c r="T72" s="224"/>
      <c r="U72" s="224"/>
      <c r="V72" s="224"/>
      <c r="W72" s="508"/>
      <c r="X72" s="225"/>
      <c r="Z72" s="106"/>
    </row>
    <row r="73" spans="1:26" ht="15.95" hidden="1" customHeight="1">
      <c r="A73" s="356"/>
      <c r="B73" s="635"/>
      <c r="C73" s="641"/>
      <c r="D73" s="642"/>
      <c r="E73" s="641"/>
      <c r="F73" s="642"/>
      <c r="G73" s="641"/>
      <c r="H73" s="643"/>
      <c r="I73" s="502">
        <v>55</v>
      </c>
      <c r="J73" s="503">
        <v>55</v>
      </c>
      <c r="K73" s="503"/>
      <c r="L73" s="107"/>
      <c r="M73" s="107"/>
      <c r="N73" s="222"/>
      <c r="O73" s="506"/>
      <c r="P73" s="223"/>
      <c r="Q73" s="223"/>
      <c r="R73" s="223"/>
      <c r="S73" s="223"/>
      <c r="T73" s="224"/>
      <c r="U73" s="224"/>
      <c r="V73" s="224"/>
      <c r="W73" s="508"/>
      <c r="X73" s="225"/>
      <c r="Z73" s="106"/>
    </row>
    <row r="74" spans="1:26" ht="15.95" hidden="1" customHeight="1">
      <c r="A74" s="356"/>
      <c r="B74" s="635"/>
      <c r="C74" s="641"/>
      <c r="D74" s="642"/>
      <c r="E74" s="641"/>
      <c r="F74" s="642"/>
      <c r="G74" s="641"/>
      <c r="H74" s="643"/>
      <c r="I74" s="502">
        <v>55</v>
      </c>
      <c r="J74" s="503">
        <v>55</v>
      </c>
      <c r="K74" s="503"/>
      <c r="L74" s="107"/>
      <c r="M74" s="107"/>
      <c r="N74" s="222"/>
      <c r="O74" s="506"/>
      <c r="P74" s="223"/>
      <c r="Q74" s="223"/>
      <c r="R74" s="223"/>
      <c r="S74" s="223"/>
      <c r="T74" s="224"/>
      <c r="U74" s="224"/>
      <c r="V74" s="224"/>
      <c r="W74" s="508"/>
      <c r="X74" s="225"/>
      <c r="Z74" s="106"/>
    </row>
    <row r="75" spans="1:26" ht="15.95" hidden="1" customHeight="1">
      <c r="A75" s="356"/>
      <c r="B75" s="635"/>
      <c r="C75" s="641"/>
      <c r="D75" s="642"/>
      <c r="E75" s="641"/>
      <c r="F75" s="642"/>
      <c r="G75" s="641"/>
      <c r="H75" s="643"/>
      <c r="I75" s="502">
        <v>55</v>
      </c>
      <c r="J75" s="503">
        <v>55</v>
      </c>
      <c r="K75" s="503"/>
      <c r="L75" s="107"/>
      <c r="M75" s="107"/>
      <c r="N75" s="222"/>
      <c r="O75" s="506"/>
      <c r="P75" s="223"/>
      <c r="Q75" s="223"/>
      <c r="R75" s="223"/>
      <c r="S75" s="223"/>
      <c r="T75" s="224"/>
      <c r="U75" s="224"/>
      <c r="V75" s="224"/>
      <c r="W75" s="508"/>
      <c r="X75" s="225"/>
      <c r="Z75" s="106"/>
    </row>
    <row r="76" spans="1:26" ht="15.95" hidden="1" customHeight="1">
      <c r="A76" s="356"/>
      <c r="B76" s="635"/>
      <c r="C76" s="641"/>
      <c r="D76" s="642"/>
      <c r="E76" s="641"/>
      <c r="F76" s="642"/>
      <c r="G76" s="641"/>
      <c r="H76" s="643"/>
      <c r="I76" s="502">
        <v>55</v>
      </c>
      <c r="J76" s="503">
        <v>55</v>
      </c>
      <c r="K76" s="503"/>
      <c r="L76" s="107"/>
      <c r="M76" s="107"/>
      <c r="N76" s="222"/>
      <c r="O76" s="506"/>
      <c r="P76" s="223"/>
      <c r="Q76" s="223"/>
      <c r="R76" s="223"/>
      <c r="S76" s="223"/>
      <c r="T76" s="224"/>
      <c r="U76" s="224"/>
      <c r="V76" s="224"/>
      <c r="W76" s="508"/>
      <c r="X76" s="225"/>
      <c r="Z76" s="106"/>
    </row>
    <row r="77" spans="1:26" ht="15.95" hidden="1" customHeight="1">
      <c r="A77" s="356"/>
      <c r="B77" s="635"/>
      <c r="C77" s="641"/>
      <c r="D77" s="642"/>
      <c r="E77" s="641"/>
      <c r="F77" s="642"/>
      <c r="G77" s="641"/>
      <c r="H77" s="643"/>
      <c r="I77" s="502">
        <v>55</v>
      </c>
      <c r="J77" s="503">
        <v>55</v>
      </c>
      <c r="K77" s="503"/>
      <c r="L77" s="107"/>
      <c r="M77" s="107"/>
      <c r="N77" s="222"/>
      <c r="O77" s="506"/>
      <c r="P77" s="223"/>
      <c r="Q77" s="223"/>
      <c r="R77" s="223"/>
      <c r="S77" s="223"/>
      <c r="T77" s="224"/>
      <c r="U77" s="224"/>
      <c r="V77" s="224"/>
      <c r="W77" s="508"/>
      <c r="X77" s="225"/>
      <c r="Z77" s="106"/>
    </row>
    <row r="78" spans="1:26" ht="15.95" hidden="1" customHeight="1">
      <c r="A78" s="356"/>
      <c r="B78" s="635"/>
      <c r="C78" s="641"/>
      <c r="D78" s="642"/>
      <c r="E78" s="641"/>
      <c r="F78" s="642"/>
      <c r="G78" s="641"/>
      <c r="H78" s="643"/>
      <c r="I78" s="502">
        <v>55</v>
      </c>
      <c r="J78" s="503">
        <v>55</v>
      </c>
      <c r="K78" s="503"/>
      <c r="L78" s="107"/>
      <c r="M78" s="107"/>
      <c r="N78" s="222"/>
      <c r="O78" s="506"/>
      <c r="P78" s="223"/>
      <c r="Q78" s="223"/>
      <c r="R78" s="223"/>
      <c r="S78" s="223"/>
      <c r="T78" s="224"/>
      <c r="U78" s="224"/>
      <c r="V78" s="224"/>
      <c r="W78" s="508"/>
      <c r="X78" s="225"/>
      <c r="Z78" s="106"/>
    </row>
    <row r="79" spans="1:26" ht="15.95" hidden="1" customHeight="1">
      <c r="A79" s="356"/>
      <c r="B79" s="635"/>
      <c r="C79" s="641"/>
      <c r="D79" s="642"/>
      <c r="E79" s="641"/>
      <c r="F79" s="642"/>
      <c r="G79" s="641"/>
      <c r="H79" s="643"/>
      <c r="I79" s="502">
        <v>55</v>
      </c>
      <c r="J79" s="503">
        <v>55</v>
      </c>
      <c r="K79" s="503"/>
      <c r="L79" s="107"/>
      <c r="M79" s="107"/>
      <c r="N79" s="222"/>
      <c r="O79" s="506"/>
      <c r="P79" s="223"/>
      <c r="Q79" s="223"/>
      <c r="R79" s="223"/>
      <c r="S79" s="223"/>
      <c r="T79" s="224"/>
      <c r="U79" s="224"/>
      <c r="V79" s="224"/>
      <c r="W79" s="508"/>
      <c r="X79" s="225"/>
      <c r="Z79" s="106"/>
    </row>
    <row r="80" spans="1:26" ht="15.95" hidden="1" customHeight="1">
      <c r="A80" s="356"/>
      <c r="B80" s="635"/>
      <c r="C80" s="641"/>
      <c r="D80" s="642"/>
      <c r="E80" s="641"/>
      <c r="F80" s="642"/>
      <c r="G80" s="641"/>
      <c r="H80" s="643"/>
      <c r="I80" s="502">
        <v>55</v>
      </c>
      <c r="J80" s="503">
        <v>55</v>
      </c>
      <c r="K80" s="503"/>
      <c r="L80" s="107"/>
      <c r="M80" s="107"/>
      <c r="N80" s="222"/>
      <c r="O80" s="506"/>
      <c r="P80" s="223"/>
      <c r="Q80" s="223"/>
      <c r="R80" s="223"/>
      <c r="S80" s="223"/>
      <c r="T80" s="224"/>
      <c r="U80" s="224"/>
      <c r="V80" s="224"/>
      <c r="W80" s="508"/>
      <c r="X80" s="225"/>
      <c r="Z80" s="106"/>
    </row>
    <row r="81" spans="1:26" ht="15.95" hidden="1" customHeight="1">
      <c r="A81" s="356"/>
      <c r="B81" s="635"/>
      <c r="C81" s="641"/>
      <c r="D81" s="642"/>
      <c r="E81" s="641"/>
      <c r="F81" s="642"/>
      <c r="G81" s="641"/>
      <c r="H81" s="643"/>
      <c r="I81" s="502">
        <v>55</v>
      </c>
      <c r="J81" s="503">
        <v>55</v>
      </c>
      <c r="K81" s="503"/>
      <c r="L81" s="107"/>
      <c r="M81" s="107"/>
      <c r="N81" s="222"/>
      <c r="O81" s="506"/>
      <c r="P81" s="223"/>
      <c r="Q81" s="223"/>
      <c r="R81" s="223"/>
      <c r="S81" s="223"/>
      <c r="T81" s="224"/>
      <c r="U81" s="224"/>
      <c r="V81" s="224"/>
      <c r="W81" s="508"/>
      <c r="X81" s="225"/>
      <c r="Z81" s="106"/>
    </row>
    <row r="82" spans="1:26" ht="15.95" hidden="1" customHeight="1">
      <c r="A82" s="356"/>
      <c r="B82" s="635"/>
      <c r="C82" s="641"/>
      <c r="D82" s="642"/>
      <c r="E82" s="641"/>
      <c r="F82" s="642"/>
      <c r="G82" s="641"/>
      <c r="H82" s="643"/>
      <c r="I82" s="502">
        <v>55</v>
      </c>
      <c r="J82" s="503">
        <v>55</v>
      </c>
      <c r="K82" s="503"/>
      <c r="L82" s="107"/>
      <c r="M82" s="107"/>
      <c r="N82" s="222"/>
      <c r="O82" s="506"/>
      <c r="P82" s="223"/>
      <c r="Q82" s="223"/>
      <c r="R82" s="223"/>
      <c r="S82" s="223"/>
      <c r="T82" s="224"/>
      <c r="U82" s="224"/>
      <c r="V82" s="224"/>
      <c r="W82" s="508"/>
      <c r="X82" s="225"/>
      <c r="Z82" s="106"/>
    </row>
    <row r="83" spans="1:26" ht="15.95" hidden="1" customHeight="1">
      <c r="A83" s="356"/>
      <c r="B83" s="635"/>
      <c r="C83" s="641"/>
      <c r="D83" s="642"/>
      <c r="E83" s="641"/>
      <c r="F83" s="642"/>
      <c r="G83" s="641"/>
      <c r="H83" s="643"/>
      <c r="I83" s="502">
        <v>55</v>
      </c>
      <c r="J83" s="503">
        <v>55</v>
      </c>
      <c r="K83" s="503"/>
      <c r="L83" s="107"/>
      <c r="M83" s="107"/>
      <c r="N83" s="222"/>
      <c r="O83" s="506"/>
      <c r="P83" s="223"/>
      <c r="Q83" s="223"/>
      <c r="R83" s="223"/>
      <c r="S83" s="223"/>
      <c r="T83" s="224"/>
      <c r="U83" s="224"/>
      <c r="V83" s="224"/>
      <c r="W83" s="508"/>
      <c r="X83" s="225"/>
      <c r="Z83" s="106"/>
    </row>
    <row r="84" spans="1:26" ht="15.95" hidden="1" customHeight="1">
      <c r="A84" s="356"/>
      <c r="B84" s="635"/>
      <c r="C84" s="641"/>
      <c r="D84" s="642"/>
      <c r="E84" s="641"/>
      <c r="F84" s="642"/>
      <c r="G84" s="641"/>
      <c r="H84" s="643"/>
      <c r="I84" s="502">
        <v>55</v>
      </c>
      <c r="J84" s="503">
        <v>55</v>
      </c>
      <c r="K84" s="503"/>
      <c r="L84" s="107"/>
      <c r="M84" s="107"/>
      <c r="N84" s="222"/>
      <c r="O84" s="506"/>
      <c r="P84" s="223"/>
      <c r="Q84" s="223"/>
      <c r="R84" s="223"/>
      <c r="S84" s="223"/>
      <c r="T84" s="224"/>
      <c r="U84" s="224"/>
      <c r="V84" s="224"/>
      <c r="W84" s="508"/>
      <c r="X84" s="225"/>
      <c r="Z84" s="106"/>
    </row>
    <row r="85" spans="1:26" ht="15.95" hidden="1" customHeight="1">
      <c r="A85" s="356"/>
      <c r="B85" s="635"/>
      <c r="C85" s="641"/>
      <c r="D85" s="642"/>
      <c r="E85" s="641"/>
      <c r="F85" s="642"/>
      <c r="G85" s="641"/>
      <c r="H85" s="643"/>
      <c r="I85" s="502">
        <v>55</v>
      </c>
      <c r="J85" s="503">
        <v>55</v>
      </c>
      <c r="K85" s="503"/>
      <c r="L85" s="107"/>
      <c r="M85" s="107"/>
      <c r="N85" s="222"/>
      <c r="O85" s="506"/>
      <c r="P85" s="223"/>
      <c r="Q85" s="223"/>
      <c r="R85" s="223"/>
      <c r="S85" s="223"/>
      <c r="T85" s="224"/>
      <c r="U85" s="224"/>
      <c r="V85" s="224"/>
      <c r="W85" s="508"/>
      <c r="X85" s="225"/>
      <c r="Z85" s="106"/>
    </row>
    <row r="86" spans="1:26" ht="15.95" hidden="1" customHeight="1">
      <c r="A86" s="356"/>
      <c r="B86" s="635"/>
      <c r="C86" s="641"/>
      <c r="D86" s="642"/>
      <c r="E86" s="641"/>
      <c r="F86" s="642"/>
      <c r="G86" s="641"/>
      <c r="H86" s="643"/>
      <c r="I86" s="502">
        <v>55</v>
      </c>
      <c r="J86" s="503">
        <v>55</v>
      </c>
      <c r="K86" s="503"/>
      <c r="L86" s="107"/>
      <c r="M86" s="107"/>
      <c r="N86" s="222"/>
      <c r="O86" s="506"/>
      <c r="P86" s="223"/>
      <c r="Q86" s="223"/>
      <c r="R86" s="223"/>
      <c r="S86" s="223"/>
      <c r="T86" s="224"/>
      <c r="U86" s="224"/>
      <c r="V86" s="224"/>
      <c r="W86" s="508"/>
      <c r="X86" s="225"/>
      <c r="Z86" s="106"/>
    </row>
    <row r="87" spans="1:26" ht="15.95" hidden="1" customHeight="1">
      <c r="A87" s="356"/>
      <c r="B87" s="635"/>
      <c r="C87" s="641"/>
      <c r="D87" s="642"/>
      <c r="E87" s="641"/>
      <c r="F87" s="642"/>
      <c r="G87" s="641"/>
      <c r="H87" s="643"/>
      <c r="I87" s="502">
        <v>55</v>
      </c>
      <c r="J87" s="503">
        <v>55</v>
      </c>
      <c r="K87" s="503"/>
      <c r="L87" s="107"/>
      <c r="M87" s="107"/>
      <c r="N87" s="222"/>
      <c r="O87" s="506"/>
      <c r="P87" s="223"/>
      <c r="Q87" s="223"/>
      <c r="R87" s="223"/>
      <c r="S87" s="223"/>
      <c r="T87" s="224"/>
      <c r="U87" s="224"/>
      <c r="V87" s="224"/>
      <c r="W87" s="508"/>
      <c r="X87" s="225"/>
      <c r="Z87" s="106"/>
    </row>
    <row r="88" spans="1:26" ht="15.95" hidden="1" customHeight="1">
      <c r="A88" s="356"/>
      <c r="B88" s="635"/>
      <c r="C88" s="641"/>
      <c r="D88" s="642"/>
      <c r="E88" s="641"/>
      <c r="F88" s="642"/>
      <c r="G88" s="641"/>
      <c r="H88" s="643"/>
      <c r="I88" s="502">
        <v>55</v>
      </c>
      <c r="J88" s="503">
        <v>55</v>
      </c>
      <c r="K88" s="503"/>
      <c r="L88" s="107"/>
      <c r="M88" s="107"/>
      <c r="N88" s="222"/>
      <c r="O88" s="506"/>
      <c r="P88" s="223"/>
      <c r="Q88" s="223"/>
      <c r="R88" s="223"/>
      <c r="S88" s="223"/>
      <c r="T88" s="224"/>
      <c r="U88" s="224"/>
      <c r="V88" s="224"/>
      <c r="W88" s="508"/>
      <c r="X88" s="225"/>
      <c r="Z88" s="106"/>
    </row>
    <row r="89" spans="1:26" ht="15.95" hidden="1" customHeight="1">
      <c r="A89" s="356"/>
      <c r="B89" s="635"/>
      <c r="C89" s="641"/>
      <c r="D89" s="642"/>
      <c r="E89" s="641"/>
      <c r="F89" s="642"/>
      <c r="G89" s="641"/>
      <c r="H89" s="643"/>
      <c r="I89" s="502">
        <v>55</v>
      </c>
      <c r="J89" s="503">
        <v>55</v>
      </c>
      <c r="K89" s="503"/>
      <c r="L89" s="107"/>
      <c r="M89" s="107"/>
      <c r="N89" s="222"/>
      <c r="O89" s="506"/>
      <c r="P89" s="223"/>
      <c r="Q89" s="223"/>
      <c r="R89" s="223"/>
      <c r="S89" s="223"/>
      <c r="T89" s="224"/>
      <c r="U89" s="224"/>
      <c r="V89" s="224"/>
      <c r="W89" s="508"/>
      <c r="X89" s="225"/>
      <c r="Z89" s="106"/>
    </row>
    <row r="90" spans="1:26" ht="15.95" hidden="1" customHeight="1">
      <c r="A90" s="356"/>
      <c r="B90" s="635"/>
      <c r="C90" s="641"/>
      <c r="D90" s="642"/>
      <c r="E90" s="641"/>
      <c r="F90" s="642"/>
      <c r="G90" s="641"/>
      <c r="H90" s="643"/>
      <c r="I90" s="502">
        <v>55</v>
      </c>
      <c r="J90" s="503">
        <v>55</v>
      </c>
      <c r="K90" s="503"/>
      <c r="L90" s="107"/>
      <c r="M90" s="107"/>
      <c r="N90" s="222"/>
      <c r="O90" s="506"/>
      <c r="P90" s="223"/>
      <c r="Q90" s="223"/>
      <c r="R90" s="223"/>
      <c r="S90" s="223"/>
      <c r="T90" s="224"/>
      <c r="U90" s="224"/>
      <c r="V90" s="224"/>
      <c r="W90" s="508"/>
      <c r="X90" s="225"/>
      <c r="Z90" s="106"/>
    </row>
    <row r="91" spans="1:26" ht="15.95" hidden="1" customHeight="1">
      <c r="A91" s="356"/>
      <c r="B91" s="635"/>
      <c r="C91" s="641"/>
      <c r="D91" s="642"/>
      <c r="E91" s="641"/>
      <c r="F91" s="642"/>
      <c r="G91" s="641"/>
      <c r="H91" s="643"/>
      <c r="I91" s="502">
        <v>55</v>
      </c>
      <c r="J91" s="503">
        <v>55</v>
      </c>
      <c r="K91" s="503"/>
      <c r="L91" s="107"/>
      <c r="M91" s="107"/>
      <c r="N91" s="222"/>
      <c r="O91" s="506"/>
      <c r="P91" s="223"/>
      <c r="Q91" s="223"/>
      <c r="R91" s="223"/>
      <c r="S91" s="223"/>
      <c r="T91" s="224"/>
      <c r="U91" s="224"/>
      <c r="V91" s="224"/>
      <c r="W91" s="508"/>
      <c r="X91" s="225"/>
      <c r="Z91" s="106"/>
    </row>
    <row r="92" spans="1:26" ht="15.95" hidden="1" customHeight="1">
      <c r="A92" s="356"/>
      <c r="B92" s="635"/>
      <c r="C92" s="641"/>
      <c r="D92" s="642"/>
      <c r="E92" s="641"/>
      <c r="F92" s="642"/>
      <c r="G92" s="641"/>
      <c r="H92" s="643"/>
      <c r="I92" s="502">
        <v>55</v>
      </c>
      <c r="J92" s="503">
        <v>55</v>
      </c>
      <c r="K92" s="503"/>
      <c r="L92" s="107"/>
      <c r="M92" s="107"/>
      <c r="N92" s="222"/>
      <c r="O92" s="506"/>
      <c r="P92" s="223"/>
      <c r="Q92" s="223"/>
      <c r="R92" s="223"/>
      <c r="S92" s="223"/>
      <c r="T92" s="224"/>
      <c r="U92" s="224"/>
      <c r="V92" s="224"/>
      <c r="W92" s="508"/>
      <c r="X92" s="225"/>
      <c r="Z92" s="106"/>
    </row>
    <row r="93" spans="1:26" ht="15.95" hidden="1" customHeight="1">
      <c r="A93" s="356"/>
      <c r="B93" s="635"/>
      <c r="C93" s="641"/>
      <c r="D93" s="642"/>
      <c r="E93" s="641"/>
      <c r="F93" s="642"/>
      <c r="G93" s="641"/>
      <c r="H93" s="643"/>
      <c r="I93" s="502">
        <v>55</v>
      </c>
      <c r="J93" s="503">
        <v>55</v>
      </c>
      <c r="K93" s="503"/>
      <c r="L93" s="107"/>
      <c r="M93" s="107"/>
      <c r="N93" s="222"/>
      <c r="O93" s="506"/>
      <c r="P93" s="223"/>
      <c r="Q93" s="223"/>
      <c r="R93" s="223"/>
      <c r="S93" s="223"/>
      <c r="T93" s="224"/>
      <c r="U93" s="224"/>
      <c r="V93" s="224"/>
      <c r="W93" s="508"/>
      <c r="X93" s="225"/>
      <c r="Z93" s="106"/>
    </row>
    <row r="94" spans="1:26" ht="15.95" hidden="1" customHeight="1">
      <c r="A94" s="356"/>
      <c r="B94" s="635"/>
      <c r="C94" s="641"/>
      <c r="D94" s="642"/>
      <c r="E94" s="641"/>
      <c r="F94" s="642"/>
      <c r="G94" s="641"/>
      <c r="H94" s="643"/>
      <c r="I94" s="502">
        <v>55</v>
      </c>
      <c r="J94" s="503">
        <v>55</v>
      </c>
      <c r="K94" s="503"/>
      <c r="L94" s="107"/>
      <c r="M94" s="107"/>
      <c r="N94" s="222"/>
      <c r="O94" s="506"/>
      <c r="P94" s="223"/>
      <c r="Q94" s="223"/>
      <c r="R94" s="223"/>
      <c r="S94" s="223"/>
      <c r="T94" s="224"/>
      <c r="U94" s="224"/>
      <c r="V94" s="224"/>
      <c r="W94" s="508"/>
      <c r="X94" s="225"/>
      <c r="Z94" s="106"/>
    </row>
    <row r="95" spans="1:26" ht="15.95" hidden="1" customHeight="1">
      <c r="A95" s="356"/>
      <c r="B95" s="635"/>
      <c r="C95" s="641"/>
      <c r="D95" s="642"/>
      <c r="E95" s="641"/>
      <c r="F95" s="642"/>
      <c r="G95" s="641"/>
      <c r="H95" s="643"/>
      <c r="I95" s="502">
        <v>55</v>
      </c>
      <c r="J95" s="503">
        <v>55</v>
      </c>
      <c r="K95" s="503"/>
      <c r="L95" s="107"/>
      <c r="M95" s="107"/>
      <c r="N95" s="222"/>
      <c r="O95" s="506"/>
      <c r="P95" s="223"/>
      <c r="Q95" s="223"/>
      <c r="R95" s="223"/>
      <c r="S95" s="223"/>
      <c r="T95" s="224"/>
      <c r="U95" s="224"/>
      <c r="V95" s="224"/>
      <c r="W95" s="508"/>
      <c r="X95" s="225"/>
      <c r="Z95" s="106"/>
    </row>
    <row r="96" spans="1:26" ht="15.95" hidden="1" customHeight="1">
      <c r="A96" s="356"/>
      <c r="B96" s="635"/>
      <c r="C96" s="641"/>
      <c r="D96" s="642"/>
      <c r="E96" s="641"/>
      <c r="F96" s="642"/>
      <c r="G96" s="641"/>
      <c r="H96" s="643"/>
      <c r="I96" s="502">
        <v>55</v>
      </c>
      <c r="J96" s="503">
        <v>55</v>
      </c>
      <c r="K96" s="503"/>
      <c r="L96" s="107"/>
      <c r="M96" s="107"/>
      <c r="N96" s="222"/>
      <c r="O96" s="506"/>
      <c r="P96" s="223"/>
      <c r="Q96" s="223"/>
      <c r="R96" s="223"/>
      <c r="S96" s="223"/>
      <c r="T96" s="224"/>
      <c r="U96" s="224"/>
      <c r="V96" s="224"/>
      <c r="W96" s="508"/>
      <c r="X96" s="225"/>
      <c r="Z96" s="106"/>
    </row>
    <row r="97" spans="1:26" ht="15.95" hidden="1" customHeight="1">
      <c r="A97" s="356"/>
      <c r="B97" s="635"/>
      <c r="C97" s="641"/>
      <c r="D97" s="642"/>
      <c r="E97" s="641"/>
      <c r="F97" s="642"/>
      <c r="G97" s="641"/>
      <c r="H97" s="643"/>
      <c r="I97" s="502">
        <v>55</v>
      </c>
      <c r="J97" s="503">
        <v>55</v>
      </c>
      <c r="K97" s="503"/>
      <c r="L97" s="107"/>
      <c r="M97" s="107"/>
      <c r="N97" s="222"/>
      <c r="O97" s="506"/>
      <c r="P97" s="223"/>
      <c r="Q97" s="223"/>
      <c r="R97" s="223"/>
      <c r="S97" s="223"/>
      <c r="T97" s="224"/>
      <c r="U97" s="224"/>
      <c r="V97" s="224"/>
      <c r="W97" s="508"/>
      <c r="X97" s="225"/>
      <c r="Z97" s="106"/>
    </row>
    <row r="98" spans="1:26" ht="15.95" hidden="1" customHeight="1">
      <c r="A98" s="356"/>
      <c r="B98" s="635"/>
      <c r="C98" s="641"/>
      <c r="D98" s="642"/>
      <c r="E98" s="641"/>
      <c r="F98" s="642"/>
      <c r="G98" s="641"/>
      <c r="H98" s="643"/>
      <c r="I98" s="502">
        <v>55</v>
      </c>
      <c r="J98" s="503">
        <v>55</v>
      </c>
      <c r="K98" s="503"/>
      <c r="L98" s="107"/>
      <c r="M98" s="107"/>
      <c r="N98" s="222"/>
      <c r="O98" s="506"/>
      <c r="P98" s="223"/>
      <c r="Q98" s="223"/>
      <c r="R98" s="223"/>
      <c r="S98" s="223"/>
      <c r="T98" s="224"/>
      <c r="U98" s="224"/>
      <c r="V98" s="224"/>
      <c r="W98" s="508"/>
      <c r="X98" s="225"/>
      <c r="Z98" s="106"/>
    </row>
    <row r="99" spans="1:26" ht="15.95" hidden="1" customHeight="1">
      <c r="A99" s="356"/>
      <c r="B99" s="635"/>
      <c r="C99" s="641"/>
      <c r="D99" s="642"/>
      <c r="E99" s="641"/>
      <c r="F99" s="642"/>
      <c r="G99" s="641"/>
      <c r="H99" s="643"/>
      <c r="I99" s="502">
        <v>55</v>
      </c>
      <c r="J99" s="503">
        <v>55</v>
      </c>
      <c r="K99" s="503"/>
      <c r="L99" s="107"/>
      <c r="M99" s="107"/>
      <c r="N99" s="222"/>
      <c r="O99" s="506"/>
      <c r="P99" s="223"/>
      <c r="Q99" s="223"/>
      <c r="R99" s="223"/>
      <c r="S99" s="223"/>
      <c r="T99" s="224"/>
      <c r="U99" s="224"/>
      <c r="V99" s="224"/>
      <c r="W99" s="508"/>
      <c r="X99" s="225"/>
      <c r="Z99" s="106"/>
    </row>
    <row r="100" spans="1:26" ht="15.95" hidden="1" customHeight="1">
      <c r="A100" s="356"/>
      <c r="B100" s="635"/>
      <c r="C100" s="641"/>
      <c r="D100" s="642"/>
      <c r="E100" s="641"/>
      <c r="F100" s="642"/>
      <c r="G100" s="641"/>
      <c r="H100" s="643"/>
      <c r="I100" s="502">
        <v>55</v>
      </c>
      <c r="J100" s="503">
        <v>55</v>
      </c>
      <c r="K100" s="503"/>
      <c r="L100" s="107"/>
      <c r="M100" s="107"/>
      <c r="N100" s="222"/>
      <c r="O100" s="506"/>
      <c r="P100" s="223"/>
      <c r="Q100" s="223"/>
      <c r="R100" s="223"/>
      <c r="S100" s="223"/>
      <c r="T100" s="224"/>
      <c r="U100" s="224"/>
      <c r="V100" s="224"/>
      <c r="W100" s="508"/>
      <c r="X100" s="225"/>
      <c r="Z100" s="106"/>
    </row>
    <row r="101" spans="1:26" ht="15.95" hidden="1" customHeight="1">
      <c r="A101" s="356"/>
      <c r="B101" s="635"/>
      <c r="C101" s="641"/>
      <c r="D101" s="642"/>
      <c r="E101" s="641"/>
      <c r="F101" s="642"/>
      <c r="G101" s="641"/>
      <c r="H101" s="643"/>
      <c r="I101" s="502">
        <v>55</v>
      </c>
      <c r="J101" s="503">
        <v>55</v>
      </c>
      <c r="K101" s="503"/>
      <c r="L101" s="107"/>
      <c r="M101" s="107"/>
      <c r="N101" s="222"/>
      <c r="O101" s="506"/>
      <c r="P101" s="223"/>
      <c r="Q101" s="223"/>
      <c r="R101" s="223"/>
      <c r="S101" s="223"/>
      <c r="T101" s="224"/>
      <c r="U101" s="224"/>
      <c r="V101" s="224"/>
      <c r="W101" s="508"/>
      <c r="X101" s="225"/>
      <c r="Z101" s="106"/>
    </row>
    <row r="102" spans="1:26" ht="15.95" hidden="1" customHeight="1">
      <c r="A102" s="356"/>
      <c r="B102" s="635"/>
      <c r="C102" s="641"/>
      <c r="D102" s="642"/>
      <c r="E102" s="641"/>
      <c r="F102" s="642"/>
      <c r="G102" s="641"/>
      <c r="H102" s="643"/>
      <c r="I102" s="502">
        <v>55</v>
      </c>
      <c r="J102" s="503">
        <v>55</v>
      </c>
      <c r="K102" s="503"/>
      <c r="L102" s="107"/>
      <c r="M102" s="107"/>
      <c r="N102" s="222"/>
      <c r="O102" s="506"/>
      <c r="P102" s="223"/>
      <c r="Q102" s="223"/>
      <c r="R102" s="223"/>
      <c r="S102" s="223"/>
      <c r="T102" s="224"/>
      <c r="U102" s="224"/>
      <c r="V102" s="224"/>
      <c r="W102" s="508"/>
      <c r="X102" s="225"/>
      <c r="Z102" s="106"/>
    </row>
    <row r="103" spans="1:26" ht="15.95" hidden="1" customHeight="1">
      <c r="A103" s="356"/>
      <c r="B103" s="635"/>
      <c r="C103" s="641"/>
      <c r="D103" s="642"/>
      <c r="E103" s="641"/>
      <c r="F103" s="642"/>
      <c r="G103" s="641"/>
      <c r="H103" s="643"/>
      <c r="I103" s="502">
        <v>55</v>
      </c>
      <c r="J103" s="503">
        <v>55</v>
      </c>
      <c r="K103" s="503"/>
      <c r="L103" s="107"/>
      <c r="M103" s="107"/>
      <c r="N103" s="222"/>
      <c r="O103" s="506"/>
      <c r="P103" s="223"/>
      <c r="Q103" s="223"/>
      <c r="R103" s="223"/>
      <c r="S103" s="223"/>
      <c r="T103" s="224"/>
      <c r="U103" s="224"/>
      <c r="V103" s="224"/>
      <c r="W103" s="508"/>
      <c r="X103" s="225"/>
      <c r="Z103" s="106"/>
    </row>
    <row r="104" spans="1:26" ht="15.95" hidden="1" customHeight="1">
      <c r="A104" s="356"/>
      <c r="B104" s="635"/>
      <c r="C104" s="641"/>
      <c r="D104" s="642"/>
      <c r="E104" s="641"/>
      <c r="F104" s="642"/>
      <c r="G104" s="641"/>
      <c r="H104" s="643"/>
      <c r="I104" s="502">
        <v>55</v>
      </c>
      <c r="J104" s="503">
        <v>55</v>
      </c>
      <c r="K104" s="503"/>
      <c r="L104" s="107"/>
      <c r="M104" s="107"/>
      <c r="N104" s="222"/>
      <c r="O104" s="506"/>
      <c r="P104" s="223"/>
      <c r="Q104" s="223"/>
      <c r="R104" s="223"/>
      <c r="S104" s="223"/>
      <c r="T104" s="224"/>
      <c r="U104" s="224"/>
      <c r="V104" s="224"/>
      <c r="W104" s="508"/>
      <c r="X104" s="225"/>
      <c r="Z104" s="106"/>
    </row>
    <row r="105" spans="1:26" ht="15.95" hidden="1" customHeight="1">
      <c r="A105" s="356"/>
      <c r="B105" s="635"/>
      <c r="C105" s="641"/>
      <c r="D105" s="642"/>
      <c r="E105" s="641"/>
      <c r="F105" s="642"/>
      <c r="G105" s="641"/>
      <c r="H105" s="643"/>
      <c r="I105" s="502">
        <v>55</v>
      </c>
      <c r="J105" s="503">
        <v>55</v>
      </c>
      <c r="K105" s="503"/>
      <c r="L105" s="107"/>
      <c r="M105" s="107"/>
      <c r="N105" s="222"/>
      <c r="O105" s="506"/>
      <c r="P105" s="223"/>
      <c r="Q105" s="223"/>
      <c r="R105" s="223"/>
      <c r="S105" s="223"/>
      <c r="T105" s="224"/>
      <c r="U105" s="224"/>
      <c r="V105" s="224"/>
      <c r="W105" s="508"/>
      <c r="X105" s="225"/>
      <c r="Z105" s="106"/>
    </row>
    <row r="106" spans="1:26" ht="15.95" hidden="1" customHeight="1">
      <c r="A106" s="356"/>
      <c r="B106" s="635"/>
      <c r="C106" s="641"/>
      <c r="D106" s="642"/>
      <c r="E106" s="641"/>
      <c r="F106" s="642"/>
      <c r="G106" s="641"/>
      <c r="H106" s="643"/>
      <c r="I106" s="502">
        <v>55</v>
      </c>
      <c r="J106" s="503">
        <v>55</v>
      </c>
      <c r="K106" s="503"/>
      <c r="L106" s="107"/>
      <c r="M106" s="107"/>
      <c r="N106" s="222"/>
      <c r="O106" s="506"/>
      <c r="P106" s="223"/>
      <c r="Q106" s="223"/>
      <c r="R106" s="223"/>
      <c r="S106" s="223"/>
      <c r="T106" s="224"/>
      <c r="U106" s="224"/>
      <c r="V106" s="224"/>
      <c r="W106" s="508"/>
      <c r="X106" s="225"/>
      <c r="Z106" s="106"/>
    </row>
    <row r="107" spans="1:26" ht="15.95" hidden="1" customHeight="1">
      <c r="A107" s="356"/>
      <c r="B107" s="635"/>
      <c r="C107" s="641"/>
      <c r="D107" s="642"/>
      <c r="E107" s="641"/>
      <c r="F107" s="642"/>
      <c r="G107" s="641"/>
      <c r="H107" s="643"/>
      <c r="I107" s="502">
        <v>55</v>
      </c>
      <c r="J107" s="503">
        <v>55</v>
      </c>
      <c r="K107" s="503"/>
      <c r="L107" s="107"/>
      <c r="M107" s="107"/>
      <c r="N107" s="222"/>
      <c r="O107" s="506"/>
      <c r="P107" s="223"/>
      <c r="Q107" s="223"/>
      <c r="R107" s="223"/>
      <c r="S107" s="223"/>
      <c r="T107" s="224"/>
      <c r="U107" s="224"/>
      <c r="V107" s="224"/>
      <c r="W107" s="508"/>
      <c r="X107" s="225"/>
      <c r="Z107" s="106"/>
    </row>
    <row r="108" spans="1:26" ht="15.95" hidden="1" customHeight="1">
      <c r="A108" s="356"/>
      <c r="B108" s="635"/>
      <c r="C108" s="641"/>
      <c r="D108" s="642"/>
      <c r="E108" s="641"/>
      <c r="F108" s="642"/>
      <c r="G108" s="641"/>
      <c r="H108" s="643"/>
      <c r="I108" s="502">
        <v>55</v>
      </c>
      <c r="J108" s="503">
        <v>55</v>
      </c>
      <c r="K108" s="503"/>
      <c r="L108" s="107"/>
      <c r="M108" s="107"/>
      <c r="N108" s="222"/>
      <c r="O108" s="506"/>
      <c r="P108" s="223"/>
      <c r="Q108" s="223"/>
      <c r="R108" s="223"/>
      <c r="S108" s="223"/>
      <c r="T108" s="224"/>
      <c r="U108" s="224"/>
      <c r="V108" s="224"/>
      <c r="W108" s="508"/>
      <c r="X108" s="225"/>
      <c r="Z108" s="106"/>
    </row>
    <row r="109" spans="1:26" ht="15.95" hidden="1" customHeight="1">
      <c r="A109" s="356"/>
      <c r="B109" s="635"/>
      <c r="C109" s="641"/>
      <c r="D109" s="642"/>
      <c r="E109" s="641"/>
      <c r="F109" s="642"/>
      <c r="G109" s="641"/>
      <c r="H109" s="643"/>
      <c r="I109" s="502">
        <v>55</v>
      </c>
      <c r="J109" s="503">
        <v>55</v>
      </c>
      <c r="K109" s="503"/>
      <c r="L109" s="107"/>
      <c r="M109" s="107"/>
      <c r="N109" s="222"/>
      <c r="O109" s="506"/>
      <c r="P109" s="223"/>
      <c r="Q109" s="223"/>
      <c r="R109" s="223"/>
      <c r="S109" s="223"/>
      <c r="T109" s="224"/>
      <c r="U109" s="224"/>
      <c r="V109" s="224"/>
      <c r="W109" s="508"/>
      <c r="X109" s="225"/>
      <c r="Z109" s="106"/>
    </row>
    <row r="110" spans="1:26" ht="15.95" hidden="1" customHeight="1">
      <c r="A110" s="356"/>
      <c r="B110" s="635"/>
      <c r="C110" s="641"/>
      <c r="D110" s="642"/>
      <c r="E110" s="641"/>
      <c r="F110" s="642"/>
      <c r="G110" s="641"/>
      <c r="H110" s="643"/>
      <c r="I110" s="502">
        <v>55</v>
      </c>
      <c r="J110" s="503">
        <v>55</v>
      </c>
      <c r="K110" s="503"/>
      <c r="L110" s="107"/>
      <c r="M110" s="107"/>
      <c r="N110" s="222"/>
      <c r="O110" s="506"/>
      <c r="P110" s="223"/>
      <c r="Q110" s="223"/>
      <c r="R110" s="223"/>
      <c r="S110" s="223"/>
      <c r="T110" s="224"/>
      <c r="U110" s="224"/>
      <c r="V110" s="224"/>
      <c r="W110" s="508"/>
      <c r="X110" s="225"/>
      <c r="Z110" s="106"/>
    </row>
    <row r="111" spans="1:26" ht="15.95" hidden="1" customHeight="1">
      <c r="A111" s="356"/>
      <c r="B111" s="635"/>
      <c r="C111" s="641"/>
      <c r="D111" s="642"/>
      <c r="E111" s="641"/>
      <c r="F111" s="642"/>
      <c r="G111" s="641"/>
      <c r="H111" s="643"/>
      <c r="I111" s="502">
        <v>55</v>
      </c>
      <c r="J111" s="503">
        <v>55</v>
      </c>
      <c r="K111" s="503"/>
      <c r="L111" s="107"/>
      <c r="M111" s="107"/>
      <c r="N111" s="222"/>
      <c r="O111" s="506"/>
      <c r="P111" s="223"/>
      <c r="Q111" s="223"/>
      <c r="R111" s="223"/>
      <c r="S111" s="223"/>
      <c r="T111" s="224"/>
      <c r="U111" s="224"/>
      <c r="V111" s="224"/>
      <c r="W111" s="508"/>
      <c r="X111" s="225"/>
      <c r="Z111" s="106"/>
    </row>
    <row r="112" spans="1:26" ht="15.95" hidden="1" customHeight="1">
      <c r="A112" s="356"/>
      <c r="B112" s="635"/>
      <c r="C112" s="641"/>
      <c r="D112" s="642"/>
      <c r="E112" s="641"/>
      <c r="F112" s="642"/>
      <c r="G112" s="641"/>
      <c r="H112" s="643"/>
      <c r="I112" s="502">
        <v>55</v>
      </c>
      <c r="J112" s="503">
        <v>55</v>
      </c>
      <c r="K112" s="503"/>
      <c r="L112" s="107"/>
      <c r="M112" s="107"/>
      <c r="N112" s="222"/>
      <c r="O112" s="506"/>
      <c r="P112" s="223"/>
      <c r="Q112" s="223"/>
      <c r="R112" s="223"/>
      <c r="S112" s="223"/>
      <c r="T112" s="224"/>
      <c r="U112" s="224"/>
      <c r="V112" s="224"/>
      <c r="W112" s="508"/>
      <c r="X112" s="225"/>
      <c r="Z112" s="106"/>
    </row>
    <row r="113" spans="1:26" ht="15.95" hidden="1" customHeight="1">
      <c r="A113" s="356"/>
      <c r="B113" s="635"/>
      <c r="C113" s="641"/>
      <c r="D113" s="642"/>
      <c r="E113" s="641"/>
      <c r="F113" s="642"/>
      <c r="G113" s="641"/>
      <c r="H113" s="643"/>
      <c r="I113" s="502">
        <v>55</v>
      </c>
      <c r="J113" s="503">
        <v>55</v>
      </c>
      <c r="K113" s="503"/>
      <c r="L113" s="107"/>
      <c r="M113" s="107"/>
      <c r="N113" s="222"/>
      <c r="O113" s="506"/>
      <c r="P113" s="223"/>
      <c r="Q113" s="223"/>
      <c r="R113" s="223"/>
      <c r="S113" s="223"/>
      <c r="T113" s="224"/>
      <c r="U113" s="224"/>
      <c r="V113" s="224"/>
      <c r="W113" s="508"/>
      <c r="X113" s="225"/>
      <c r="Z113" s="106"/>
    </row>
    <row r="114" spans="1:26" ht="15.95" hidden="1" customHeight="1">
      <c r="A114" s="356"/>
      <c r="B114" s="635"/>
      <c r="C114" s="641"/>
      <c r="D114" s="642"/>
      <c r="E114" s="641"/>
      <c r="F114" s="642"/>
      <c r="G114" s="641"/>
      <c r="H114" s="643"/>
      <c r="I114" s="502">
        <v>55</v>
      </c>
      <c r="J114" s="503">
        <v>55</v>
      </c>
      <c r="K114" s="503"/>
      <c r="L114" s="107"/>
      <c r="M114" s="107"/>
      <c r="N114" s="222"/>
      <c r="O114" s="506"/>
      <c r="P114" s="223"/>
      <c r="Q114" s="223"/>
      <c r="R114" s="223"/>
      <c r="S114" s="223"/>
      <c r="T114" s="224"/>
      <c r="U114" s="224"/>
      <c r="V114" s="224"/>
      <c r="W114" s="508"/>
      <c r="X114" s="225"/>
      <c r="Z114" s="106"/>
    </row>
    <row r="115" spans="1:26" ht="15.95" hidden="1" customHeight="1">
      <c r="A115" s="356"/>
      <c r="B115" s="635"/>
      <c r="C115" s="641"/>
      <c r="D115" s="642"/>
      <c r="E115" s="641"/>
      <c r="F115" s="642"/>
      <c r="G115" s="641"/>
      <c r="H115" s="643"/>
      <c r="I115" s="502">
        <v>55</v>
      </c>
      <c r="J115" s="503">
        <v>55</v>
      </c>
      <c r="K115" s="503"/>
      <c r="L115" s="107"/>
      <c r="M115" s="107"/>
      <c r="N115" s="222"/>
      <c r="O115" s="506"/>
      <c r="P115" s="223"/>
      <c r="Q115" s="223"/>
      <c r="R115" s="223"/>
      <c r="S115" s="223"/>
      <c r="T115" s="224"/>
      <c r="U115" s="224"/>
      <c r="V115" s="224"/>
      <c r="W115" s="508"/>
      <c r="X115" s="225"/>
      <c r="Z115" s="106"/>
    </row>
    <row r="116" spans="1:26" ht="15.95" hidden="1" customHeight="1">
      <c r="A116" s="356"/>
      <c r="B116" s="635"/>
      <c r="C116" s="641"/>
      <c r="D116" s="642"/>
      <c r="E116" s="641"/>
      <c r="F116" s="642"/>
      <c r="G116" s="641"/>
      <c r="H116" s="643"/>
      <c r="I116" s="502">
        <v>55</v>
      </c>
      <c r="J116" s="503">
        <v>55</v>
      </c>
      <c r="K116" s="503"/>
      <c r="L116" s="107"/>
      <c r="M116" s="107"/>
      <c r="N116" s="222"/>
      <c r="O116" s="506"/>
      <c r="P116" s="223"/>
      <c r="Q116" s="223"/>
      <c r="R116" s="223"/>
      <c r="S116" s="223"/>
      <c r="T116" s="224"/>
      <c r="U116" s="224"/>
      <c r="V116" s="224"/>
      <c r="W116" s="508"/>
      <c r="X116" s="225"/>
      <c r="Z116" s="106"/>
    </row>
    <row r="117" spans="1:26" ht="15.95" hidden="1" customHeight="1">
      <c r="A117" s="356"/>
      <c r="B117" s="635"/>
      <c r="C117" s="641"/>
      <c r="D117" s="642"/>
      <c r="E117" s="641"/>
      <c r="F117" s="642"/>
      <c r="G117" s="641"/>
      <c r="H117" s="643"/>
      <c r="I117" s="502">
        <v>55</v>
      </c>
      <c r="J117" s="503">
        <v>55</v>
      </c>
      <c r="K117" s="503"/>
      <c r="L117" s="107"/>
      <c r="M117" s="107"/>
      <c r="N117" s="222"/>
      <c r="O117" s="506"/>
      <c r="P117" s="223"/>
      <c r="Q117" s="223"/>
      <c r="R117" s="223"/>
      <c r="S117" s="223"/>
      <c r="T117" s="224"/>
      <c r="U117" s="224"/>
      <c r="V117" s="224"/>
      <c r="W117" s="508"/>
      <c r="X117" s="225"/>
      <c r="Z117" s="106"/>
    </row>
    <row r="118" spans="1:26" ht="15.95" hidden="1" customHeight="1">
      <c r="A118" s="356"/>
      <c r="B118" s="635"/>
      <c r="C118" s="641"/>
      <c r="D118" s="642"/>
      <c r="E118" s="641"/>
      <c r="F118" s="642"/>
      <c r="G118" s="641"/>
      <c r="H118" s="643"/>
      <c r="I118" s="502">
        <v>55</v>
      </c>
      <c r="J118" s="503">
        <v>55</v>
      </c>
      <c r="K118" s="503"/>
      <c r="L118" s="107"/>
      <c r="M118" s="107"/>
      <c r="N118" s="222"/>
      <c r="O118" s="506"/>
      <c r="P118" s="223"/>
      <c r="Q118" s="223"/>
      <c r="R118" s="223"/>
      <c r="S118" s="223"/>
      <c r="T118" s="224"/>
      <c r="U118" s="224"/>
      <c r="V118" s="224"/>
      <c r="W118" s="508"/>
      <c r="X118" s="225"/>
      <c r="Z118" s="106"/>
    </row>
    <row r="119" spans="1:26" ht="15.95" hidden="1" customHeight="1">
      <c r="A119" s="356"/>
      <c r="B119" s="635"/>
      <c r="C119" s="641"/>
      <c r="D119" s="642"/>
      <c r="E119" s="641"/>
      <c r="F119" s="642"/>
      <c r="G119" s="641"/>
      <c r="H119" s="643"/>
      <c r="I119" s="502">
        <v>55</v>
      </c>
      <c r="J119" s="503">
        <v>55</v>
      </c>
      <c r="K119" s="503"/>
      <c r="L119" s="107"/>
      <c r="M119" s="107"/>
      <c r="N119" s="222"/>
      <c r="O119" s="506"/>
      <c r="P119" s="223"/>
      <c r="Q119" s="223"/>
      <c r="R119" s="223"/>
      <c r="S119" s="223"/>
      <c r="T119" s="224"/>
      <c r="U119" s="224"/>
      <c r="V119" s="224"/>
      <c r="W119" s="508"/>
      <c r="X119" s="225"/>
      <c r="Z119" s="106"/>
    </row>
    <row r="120" spans="1:26" ht="15.95" hidden="1" customHeight="1">
      <c r="A120" s="356"/>
      <c r="B120" s="635"/>
      <c r="C120" s="641"/>
      <c r="D120" s="642"/>
      <c r="E120" s="641"/>
      <c r="F120" s="642"/>
      <c r="G120" s="641"/>
      <c r="H120" s="643"/>
      <c r="I120" s="502">
        <v>55</v>
      </c>
      <c r="J120" s="503">
        <v>55</v>
      </c>
      <c r="K120" s="503"/>
      <c r="L120" s="107"/>
      <c r="M120" s="107"/>
      <c r="N120" s="222"/>
      <c r="O120" s="506"/>
      <c r="P120" s="223"/>
      <c r="Q120" s="223"/>
      <c r="R120" s="223"/>
      <c r="S120" s="223"/>
      <c r="T120" s="224"/>
      <c r="U120" s="224"/>
      <c r="V120" s="224"/>
      <c r="W120" s="508"/>
      <c r="X120" s="225"/>
      <c r="Z120" s="106"/>
    </row>
    <row r="121" spans="1:26" ht="15.95" hidden="1" customHeight="1">
      <c r="A121" s="356"/>
      <c r="B121" s="635"/>
      <c r="C121" s="641"/>
      <c r="D121" s="642"/>
      <c r="E121" s="641"/>
      <c r="F121" s="642"/>
      <c r="G121" s="641"/>
      <c r="H121" s="643"/>
      <c r="I121" s="502">
        <v>55</v>
      </c>
      <c r="J121" s="503">
        <v>55</v>
      </c>
      <c r="K121" s="503"/>
      <c r="L121" s="107"/>
      <c r="M121" s="107"/>
      <c r="N121" s="222"/>
      <c r="O121" s="506"/>
      <c r="P121" s="223"/>
      <c r="Q121" s="223"/>
      <c r="R121" s="223"/>
      <c r="S121" s="223"/>
      <c r="T121" s="224"/>
      <c r="U121" s="224"/>
      <c r="V121" s="224"/>
      <c r="W121" s="508"/>
      <c r="X121" s="225"/>
      <c r="Z121" s="106"/>
    </row>
    <row r="122" spans="1:26" ht="15.95" hidden="1" customHeight="1">
      <c r="A122" s="356"/>
      <c r="B122" s="635"/>
      <c r="C122" s="641"/>
      <c r="D122" s="642"/>
      <c r="E122" s="641"/>
      <c r="F122" s="642"/>
      <c r="G122" s="641"/>
      <c r="H122" s="643"/>
      <c r="I122" s="502">
        <v>55</v>
      </c>
      <c r="J122" s="503">
        <v>55</v>
      </c>
      <c r="K122" s="503"/>
      <c r="L122" s="107"/>
      <c r="M122" s="107"/>
      <c r="N122" s="222"/>
      <c r="O122" s="506"/>
      <c r="P122" s="223"/>
      <c r="Q122" s="223"/>
      <c r="R122" s="223"/>
      <c r="S122" s="223"/>
      <c r="T122" s="224"/>
      <c r="U122" s="224"/>
      <c r="V122" s="224"/>
      <c r="W122" s="508"/>
      <c r="X122" s="225"/>
      <c r="Z122" s="106"/>
    </row>
    <row r="123" spans="1:26" ht="15.95" hidden="1" customHeight="1">
      <c r="A123" s="356"/>
      <c r="B123" s="635"/>
      <c r="C123" s="641"/>
      <c r="D123" s="642"/>
      <c r="E123" s="641"/>
      <c r="F123" s="642"/>
      <c r="G123" s="641"/>
      <c r="H123" s="643"/>
      <c r="I123" s="502">
        <v>55</v>
      </c>
      <c r="J123" s="503">
        <v>55</v>
      </c>
      <c r="K123" s="503"/>
      <c r="L123" s="107"/>
      <c r="M123" s="107"/>
      <c r="N123" s="222"/>
      <c r="O123" s="506"/>
      <c r="P123" s="223"/>
      <c r="Q123" s="223"/>
      <c r="R123" s="223"/>
      <c r="S123" s="223"/>
      <c r="T123" s="224"/>
      <c r="U123" s="224"/>
      <c r="V123" s="224"/>
      <c r="W123" s="508"/>
      <c r="X123" s="225"/>
      <c r="Z123" s="106"/>
    </row>
    <row r="124" spans="1:26">
      <c r="B124" s="1"/>
      <c r="X124" s="126" t="s">
        <v>77</v>
      </c>
      <c r="Z124" s="106"/>
    </row>
    <row r="125" spans="1:26" ht="12.75" customHeight="1">
      <c r="B125" s="55" t="s">
        <v>24</v>
      </c>
      <c r="D125" s="64"/>
      <c r="Z125" s="106"/>
    </row>
    <row r="126" spans="1:26" ht="12.75" customHeight="1">
      <c r="B126" s="65" t="s">
        <v>1077</v>
      </c>
      <c r="D126" s="64"/>
      <c r="F126" s="64"/>
      <c r="H126" s="64"/>
      <c r="Q126" s="758" t="s">
        <v>1078</v>
      </c>
      <c r="R126" s="759"/>
      <c r="S126" s="760"/>
      <c r="W126" s="370"/>
      <c r="Z126" s="106"/>
    </row>
    <row r="127" spans="1:26" ht="12.75" customHeight="1">
      <c r="B127" s="65" t="s">
        <v>1054</v>
      </c>
      <c r="D127" s="64"/>
      <c r="F127" s="64"/>
      <c r="H127" s="64"/>
      <c r="Q127" s="761"/>
      <c r="R127" s="762"/>
      <c r="S127" s="763"/>
      <c r="W127" s="370"/>
      <c r="Z127" s="106"/>
    </row>
    <row r="128" spans="1:26" ht="12.75" customHeight="1">
      <c r="D128" s="64"/>
      <c r="F128" s="64"/>
      <c r="H128" s="64"/>
      <c r="Q128" s="761"/>
      <c r="R128" s="762"/>
      <c r="S128" s="763"/>
      <c r="W128" s="370"/>
      <c r="Z128" s="106"/>
    </row>
    <row r="129" spans="1:23">
      <c r="Q129" s="761"/>
      <c r="R129" s="762"/>
      <c r="S129" s="763"/>
      <c r="W129" s="370"/>
    </row>
    <row r="130" spans="1:23" s="109" customFormat="1">
      <c r="B130" s="108" t="s">
        <v>1079</v>
      </c>
      <c r="C130" s="108"/>
      <c r="D130" s="108"/>
      <c r="E130" s="108"/>
      <c r="F130" s="108"/>
      <c r="K130" s="110"/>
      <c r="L130" s="110"/>
      <c r="M130" s="110"/>
      <c r="Q130" s="761"/>
      <c r="R130" s="762"/>
      <c r="S130" s="763"/>
      <c r="V130" s="111"/>
      <c r="W130" s="371"/>
    </row>
    <row r="131" spans="1:23" s="109" customFormat="1">
      <c r="A131" s="108"/>
      <c r="B131" s="108"/>
      <c r="C131" s="108"/>
      <c r="D131" s="108"/>
      <c r="E131" s="108"/>
      <c r="F131" s="108"/>
      <c r="G131" s="112"/>
      <c r="H131" s="112"/>
      <c r="I131" s="112"/>
      <c r="J131" s="112"/>
      <c r="K131" s="110"/>
      <c r="L131" s="112"/>
      <c r="M131" s="112"/>
      <c r="N131" s="112"/>
      <c r="O131" s="112"/>
      <c r="P131" s="112"/>
      <c r="Q131" s="761"/>
      <c r="R131" s="762"/>
      <c r="S131" s="763"/>
      <c r="W131" s="372"/>
    </row>
    <row r="132" spans="1:23" s="109" customFormat="1">
      <c r="A132" s="108"/>
      <c r="B132" s="108"/>
      <c r="C132" s="108"/>
      <c r="D132" s="108"/>
      <c r="E132" s="108"/>
      <c r="F132" s="108"/>
      <c r="G132" s="112"/>
      <c r="H132" s="112"/>
      <c r="I132" s="112"/>
      <c r="J132" s="112"/>
      <c r="K132" s="110"/>
      <c r="L132" s="112"/>
      <c r="M132" s="112"/>
      <c r="N132" s="112"/>
      <c r="O132" s="112"/>
      <c r="P132" s="112"/>
      <c r="Q132" s="764"/>
      <c r="R132" s="765"/>
      <c r="S132" s="766"/>
      <c r="W132" s="372"/>
    </row>
    <row r="133" spans="1:23" s="109" customFormat="1" ht="25.5">
      <c r="A133" s="108"/>
      <c r="B133" s="226" t="s">
        <v>1058</v>
      </c>
      <c r="C133" s="226" t="s">
        <v>1059</v>
      </c>
      <c r="D133" s="644" t="s">
        <v>1080</v>
      </c>
      <c r="E133" s="645" t="s">
        <v>1081</v>
      </c>
      <c r="F133" s="227"/>
      <c r="G133" s="227"/>
      <c r="H133" s="228"/>
      <c r="I133" s="228"/>
      <c r="J133" s="112"/>
      <c r="K133" s="110"/>
      <c r="L133" s="112"/>
      <c r="M133" s="112"/>
      <c r="N133" s="112"/>
      <c r="O133" s="112"/>
      <c r="P133" s="112"/>
    </row>
    <row r="134" spans="1:23" s="109" customFormat="1" ht="15.95" hidden="1" customHeight="1">
      <c r="A134" s="108"/>
      <c r="B134" s="369">
        <f>B16</f>
        <v>0</v>
      </c>
      <c r="C134" s="641">
        <v>2</v>
      </c>
      <c r="D134" s="646"/>
      <c r="E134" s="647"/>
      <c r="F134" s="426"/>
      <c r="G134" s="426"/>
      <c r="H134" s="426"/>
      <c r="I134" s="427"/>
      <c r="J134" s="112"/>
      <c r="K134" s="110"/>
      <c r="L134" s="112"/>
      <c r="M134" s="112"/>
      <c r="N134" s="112"/>
      <c r="O134" s="112"/>
      <c r="P134" s="112"/>
    </row>
    <row r="135" spans="1:23" s="48" customFormat="1" ht="15.95" hidden="1" customHeight="1">
      <c r="B135" s="369">
        <f>B17</f>
        <v>0</v>
      </c>
      <c r="C135" s="641">
        <v>2</v>
      </c>
      <c r="D135" s="646"/>
      <c r="E135" s="647"/>
      <c r="F135" s="426"/>
      <c r="G135" s="426"/>
      <c r="H135" s="426"/>
      <c r="I135" s="427"/>
      <c r="J135" s="112"/>
    </row>
    <row r="136" spans="1:23" s="48" customFormat="1" ht="15.95" hidden="1" customHeight="1">
      <c r="B136" s="369">
        <f>B18</f>
        <v>0</v>
      </c>
      <c r="C136" s="641">
        <v>2</v>
      </c>
      <c r="D136" s="646"/>
      <c r="E136" s="647"/>
      <c r="F136" s="426"/>
      <c r="G136" s="426"/>
      <c r="H136" s="426"/>
      <c r="I136" s="427"/>
    </row>
    <row r="137" spans="1:23" s="48" customFormat="1" ht="15.95" customHeight="1">
      <c r="B137" s="369" t="str">
        <f>B19</f>
        <v>Betonloods Ulkesluis</v>
      </c>
      <c r="C137" s="641">
        <v>2</v>
      </c>
      <c r="D137" s="646"/>
      <c r="E137" s="647"/>
      <c r="F137" s="426"/>
      <c r="G137" s="426"/>
      <c r="H137" s="426"/>
      <c r="I137" s="427"/>
    </row>
    <row r="138" spans="1:23" s="48" customFormat="1" ht="15.95" customHeight="1">
      <c r="B138" s="369" t="str">
        <f>B20</f>
        <v>Noorderpolderhuis</v>
      </c>
      <c r="C138" s="641">
        <v>2</v>
      </c>
      <c r="D138" s="646"/>
      <c r="E138" s="647"/>
      <c r="F138" s="426"/>
      <c r="G138" s="426"/>
      <c r="H138" s="426"/>
      <c r="I138" s="427"/>
    </row>
    <row r="139" spans="1:23" s="48" customFormat="1" ht="15.95" customHeight="1">
      <c r="B139" s="369" t="e">
        <f>#REF!</f>
        <v>#REF!</v>
      </c>
      <c r="C139" s="641">
        <v>2</v>
      </c>
      <c r="D139" s="646"/>
      <c r="E139" s="647"/>
      <c r="F139" s="426"/>
      <c r="G139" s="426"/>
      <c r="H139" s="426"/>
      <c r="I139" s="427"/>
    </row>
    <row r="140" spans="1:23" s="48" customFormat="1" ht="15.95" customHeight="1">
      <c r="B140" s="369" t="str">
        <f t="shared" ref="B140:B152" si="12">B21</f>
        <v>RWZI Alkmaar Bedrijfsgebouw</v>
      </c>
      <c r="C140" s="641">
        <v>2</v>
      </c>
      <c r="D140" s="646"/>
      <c r="E140" s="647"/>
      <c r="F140" s="426"/>
      <c r="G140" s="426"/>
      <c r="H140" s="426"/>
      <c r="I140" s="427"/>
    </row>
    <row r="141" spans="1:23" s="48" customFormat="1" ht="15.95" customHeight="1">
      <c r="B141" s="369" t="str">
        <f t="shared" si="12"/>
        <v>RWZI Beverwijk Bedrijfsgebouw</v>
      </c>
      <c r="C141" s="641">
        <v>2</v>
      </c>
      <c r="D141" s="646"/>
      <c r="E141" s="647"/>
      <c r="F141" s="426"/>
      <c r="G141" s="426"/>
      <c r="H141" s="426"/>
      <c r="I141" s="427"/>
    </row>
    <row r="142" spans="1:23" s="48" customFormat="1" ht="15.95" customHeight="1">
      <c r="B142" s="369" t="str">
        <f t="shared" si="12"/>
        <v>RWZI Beverwijk, Slibgebouw</v>
      </c>
      <c r="C142" s="641">
        <v>2</v>
      </c>
      <c r="D142" s="646"/>
      <c r="E142" s="647"/>
      <c r="F142" s="426"/>
      <c r="G142" s="426"/>
      <c r="H142" s="426"/>
      <c r="I142" s="427"/>
    </row>
    <row r="143" spans="1:23" s="48" customFormat="1" ht="15.95" customHeight="1">
      <c r="B143" s="369" t="str">
        <f t="shared" si="12"/>
        <v>RWZI De Stolpen</v>
      </c>
      <c r="C143" s="641">
        <v>2</v>
      </c>
      <c r="D143" s="646"/>
      <c r="E143" s="647"/>
      <c r="F143" s="426"/>
      <c r="G143" s="426"/>
      <c r="H143" s="426"/>
      <c r="I143" s="427"/>
    </row>
    <row r="144" spans="1:23" s="48" customFormat="1" ht="15.95" customHeight="1">
      <c r="B144" s="369" t="str">
        <f t="shared" si="12"/>
        <v>RWZI Den Helder</v>
      </c>
      <c r="C144" s="641">
        <v>2</v>
      </c>
      <c r="D144" s="646"/>
      <c r="E144" s="647"/>
      <c r="F144" s="426"/>
      <c r="G144" s="426"/>
      <c r="H144" s="426"/>
      <c r="I144" s="427"/>
    </row>
    <row r="145" spans="2:9" s="48" customFormat="1" ht="15.95" customHeight="1">
      <c r="B145" s="369" t="str">
        <f t="shared" si="12"/>
        <v>RWZI Geestmerambacht</v>
      </c>
      <c r="C145" s="641">
        <v>2</v>
      </c>
      <c r="D145" s="646"/>
      <c r="E145" s="647"/>
      <c r="F145" s="426"/>
      <c r="G145" s="426"/>
      <c r="H145" s="426"/>
      <c r="I145" s="427"/>
    </row>
    <row r="146" spans="2:9" s="48" customFormat="1" ht="15.95" customHeight="1">
      <c r="B146" s="369" t="str">
        <f t="shared" si="12"/>
        <v>RWZI Heiloo</v>
      </c>
      <c r="C146" s="641">
        <v>2</v>
      </c>
      <c r="D146" s="646"/>
      <c r="E146" s="647"/>
      <c r="F146" s="426"/>
      <c r="G146" s="426"/>
      <c r="H146" s="426"/>
      <c r="I146" s="427"/>
    </row>
    <row r="147" spans="2:9">
      <c r="B147" s="369" t="str">
        <f t="shared" si="12"/>
        <v xml:space="preserve">RWZI Katwoude </v>
      </c>
      <c r="C147" s="641">
        <v>2</v>
      </c>
      <c r="D147" s="646"/>
      <c r="E147" s="647"/>
      <c r="F147" s="426"/>
      <c r="G147" s="426"/>
      <c r="H147" s="426"/>
      <c r="I147" s="427"/>
    </row>
    <row r="148" spans="2:9">
      <c r="B148" s="369" t="str">
        <f t="shared" si="12"/>
        <v>RWZI Oosthuizen</v>
      </c>
      <c r="C148" s="641">
        <v>2</v>
      </c>
      <c r="D148" s="646"/>
      <c r="E148" s="647"/>
      <c r="F148" s="426"/>
      <c r="G148" s="426"/>
      <c r="H148" s="426"/>
      <c r="I148" s="427"/>
    </row>
    <row r="149" spans="2:9">
      <c r="B149" s="369" t="str">
        <f t="shared" si="12"/>
        <v>RWZI Ursem</v>
      </c>
      <c r="C149" s="641">
        <v>2</v>
      </c>
      <c r="D149" s="646"/>
      <c r="E149" s="647"/>
      <c r="F149" s="426"/>
      <c r="G149" s="426"/>
      <c r="H149" s="426"/>
      <c r="I149" s="427"/>
    </row>
    <row r="150" spans="2:9">
      <c r="B150" s="369" t="str">
        <f t="shared" si="12"/>
        <v>RWZI Wervershoof</v>
      </c>
      <c r="C150" s="641">
        <v>2</v>
      </c>
      <c r="D150" s="646"/>
      <c r="E150" s="647"/>
      <c r="F150" s="426"/>
      <c r="G150" s="426"/>
      <c r="H150" s="426"/>
      <c r="I150" s="427"/>
    </row>
    <row r="151" spans="2:9">
      <c r="B151" s="369" t="str">
        <f t="shared" si="12"/>
        <v>RWZI Wieringen</v>
      </c>
      <c r="C151" s="641">
        <v>2</v>
      </c>
      <c r="D151" s="646"/>
      <c r="E151" s="647"/>
      <c r="F151" s="426"/>
      <c r="G151" s="426"/>
      <c r="H151" s="426"/>
      <c r="I151" s="427"/>
    </row>
    <row r="152" spans="2:9">
      <c r="B152" s="369" t="str">
        <f t="shared" si="12"/>
        <v>RWZI Wieringermeer</v>
      </c>
      <c r="C152" s="641">
        <v>2</v>
      </c>
      <c r="D152" s="646"/>
      <c r="E152" s="647"/>
      <c r="F152" s="426"/>
      <c r="G152" s="426"/>
      <c r="H152" s="426"/>
      <c r="I152" s="427"/>
    </row>
    <row r="153" spans="2:9">
      <c r="B153" s="369" t="e">
        <f>#REF!</f>
        <v>#REF!</v>
      </c>
      <c r="C153" s="641">
        <v>2</v>
      </c>
      <c r="D153" s="646"/>
      <c r="E153" s="647"/>
      <c r="F153" s="426"/>
      <c r="G153" s="426"/>
      <c r="H153" s="426"/>
      <c r="I153" s="427"/>
    </row>
    <row r="154" spans="2:9">
      <c r="B154" s="369" t="str">
        <f t="shared" ref="B154:B160" si="13">B34</f>
        <v>RWZI Zaandam-Oost</v>
      </c>
      <c r="C154" s="641">
        <v>2</v>
      </c>
      <c r="D154" s="646"/>
      <c r="E154" s="647"/>
      <c r="F154" s="426"/>
      <c r="G154" s="426"/>
      <c r="H154" s="426"/>
      <c r="I154" s="427"/>
    </row>
    <row r="155" spans="2:9">
      <c r="B155" s="369" t="str">
        <f t="shared" si="13"/>
        <v>RWZI Zuidoostbeemster</v>
      </c>
      <c r="C155" s="641">
        <v>2</v>
      </c>
      <c r="D155" s="646"/>
      <c r="E155" s="647"/>
      <c r="F155" s="426"/>
      <c r="G155" s="426"/>
      <c r="H155" s="426"/>
      <c r="I155" s="427"/>
    </row>
    <row r="156" spans="2:9">
      <c r="B156" s="369" t="str">
        <f t="shared" si="13"/>
        <v>Werf Anna Paulowna</v>
      </c>
      <c r="C156" s="641">
        <v>2</v>
      </c>
      <c r="D156" s="646"/>
      <c r="E156" s="647"/>
      <c r="F156" s="426"/>
      <c r="G156" s="426"/>
      <c r="H156" s="426"/>
      <c r="I156" s="427"/>
    </row>
    <row r="157" spans="2:9">
      <c r="B157" s="369" t="str">
        <f t="shared" si="13"/>
        <v>Werf Dirkshorn</v>
      </c>
      <c r="C157" s="641">
        <v>2</v>
      </c>
      <c r="D157" s="646"/>
      <c r="E157" s="647"/>
      <c r="F157" s="426"/>
      <c r="G157" s="426"/>
      <c r="H157" s="426"/>
      <c r="I157" s="427"/>
    </row>
    <row r="158" spans="2:9">
      <c r="B158" s="369" t="str">
        <f t="shared" si="13"/>
        <v>Werf Kwadijk</v>
      </c>
      <c r="C158" s="641">
        <v>2</v>
      </c>
      <c r="D158" s="646"/>
      <c r="E158" s="647"/>
      <c r="F158" s="426"/>
      <c r="G158" s="426"/>
      <c r="H158" s="426"/>
      <c r="I158" s="427"/>
    </row>
    <row r="159" spans="2:9">
      <c r="B159" s="369" t="str">
        <f t="shared" si="13"/>
        <v>Werf Zwaagdijk</v>
      </c>
      <c r="C159" s="641">
        <v>2</v>
      </c>
      <c r="D159" s="646"/>
      <c r="E159" s="647"/>
      <c r="F159" s="426"/>
      <c r="G159" s="426"/>
      <c r="H159" s="426"/>
      <c r="I159" s="427"/>
    </row>
    <row r="160" spans="2:9">
      <c r="B160" s="369" t="str">
        <f t="shared" si="13"/>
        <v>Werf Zwaagdijk</v>
      </c>
      <c r="C160" s="641">
        <v>2</v>
      </c>
      <c r="D160" s="646"/>
      <c r="E160" s="647"/>
      <c r="F160" s="426"/>
      <c r="G160" s="426"/>
      <c r="H160" s="426"/>
      <c r="I160" s="427"/>
    </row>
    <row r="161" spans="2:9">
      <c r="B161" s="369" t="str">
        <f>B41</f>
        <v>RWZI/Werf Evertsekoog</v>
      </c>
      <c r="C161" s="641">
        <v>2</v>
      </c>
      <c r="D161" s="646"/>
      <c r="E161" s="647"/>
      <c r="F161" s="426"/>
      <c r="G161" s="426"/>
      <c r="H161" s="426"/>
      <c r="I161" s="427"/>
    </row>
    <row r="162" spans="2:9">
      <c r="B162" s="369" t="str">
        <f>B42</f>
        <v>SDI Beverwijk Sanitairgebouw</v>
      </c>
      <c r="C162" s="641">
        <v>2</v>
      </c>
      <c r="D162" s="646"/>
      <c r="E162" s="647"/>
      <c r="F162" s="426"/>
      <c r="G162" s="426"/>
      <c r="H162" s="426"/>
      <c r="I162" s="427"/>
    </row>
    <row r="163" spans="2:9">
      <c r="B163" s="369" t="str">
        <f>B43</f>
        <v>SDI Beverwijk Bedrijfsgebouw</v>
      </c>
      <c r="C163" s="641">
        <v>2</v>
      </c>
      <c r="D163" s="646"/>
      <c r="E163" s="647"/>
      <c r="F163" s="426"/>
      <c r="G163" s="426"/>
      <c r="H163" s="426"/>
      <c r="I163" s="427"/>
    </row>
    <row r="164" spans="2:9" hidden="1">
      <c r="B164" s="369"/>
      <c r="C164" s="641"/>
      <c r="D164" s="646"/>
      <c r="E164" s="647"/>
      <c r="F164" s="426"/>
      <c r="G164" s="426"/>
      <c r="H164" s="426"/>
      <c r="I164" s="427"/>
    </row>
    <row r="165" spans="2:9" hidden="1">
      <c r="B165" s="369"/>
      <c r="C165" s="641"/>
      <c r="D165" s="646"/>
      <c r="E165" s="647"/>
      <c r="F165" s="426"/>
      <c r="G165" s="426"/>
      <c r="H165" s="426"/>
      <c r="I165" s="427"/>
    </row>
    <row r="166" spans="2:9" hidden="1">
      <c r="B166" s="369"/>
      <c r="C166" s="641"/>
      <c r="D166" s="646"/>
      <c r="E166" s="647"/>
      <c r="F166" s="426"/>
      <c r="G166" s="426"/>
      <c r="H166" s="426"/>
      <c r="I166" s="427"/>
    </row>
    <row r="167" spans="2:9" hidden="1">
      <c r="B167" s="369"/>
      <c r="C167" s="641"/>
      <c r="D167" s="646"/>
      <c r="E167" s="647"/>
      <c r="F167" s="426"/>
      <c r="G167" s="426"/>
      <c r="H167" s="426"/>
      <c r="I167" s="427"/>
    </row>
    <row r="168" spans="2:9" hidden="1">
      <c r="B168" s="369"/>
      <c r="C168" s="641"/>
      <c r="D168" s="646"/>
      <c r="E168" s="647"/>
      <c r="F168" s="426"/>
      <c r="G168" s="426"/>
      <c r="H168" s="426"/>
      <c r="I168" s="427"/>
    </row>
    <row r="169" spans="2:9" hidden="1">
      <c r="B169" s="369"/>
      <c r="C169" s="641"/>
      <c r="D169" s="646"/>
      <c r="E169" s="647"/>
      <c r="F169" s="426"/>
      <c r="G169" s="426"/>
      <c r="H169" s="426"/>
      <c r="I169" s="427"/>
    </row>
    <row r="170" spans="2:9" hidden="1">
      <c r="B170" s="369"/>
      <c r="C170" s="641"/>
      <c r="D170" s="646"/>
      <c r="E170" s="647"/>
      <c r="F170" s="426"/>
      <c r="G170" s="426"/>
      <c r="H170" s="426"/>
      <c r="I170" s="427"/>
    </row>
    <row r="171" spans="2:9" hidden="1">
      <c r="B171" s="369"/>
      <c r="C171" s="641"/>
      <c r="D171" s="646"/>
      <c r="E171" s="647"/>
      <c r="F171" s="426"/>
      <c r="G171" s="426"/>
      <c r="H171" s="426"/>
      <c r="I171" s="427"/>
    </row>
    <row r="172" spans="2:9" hidden="1">
      <c r="B172" s="369"/>
      <c r="C172" s="641"/>
      <c r="D172" s="646"/>
      <c r="E172" s="647"/>
      <c r="F172" s="426"/>
      <c r="G172" s="426"/>
      <c r="H172" s="426"/>
      <c r="I172" s="427"/>
    </row>
    <row r="173" spans="2:9" hidden="1">
      <c r="B173" s="369"/>
      <c r="C173" s="641"/>
      <c r="D173" s="646"/>
      <c r="E173" s="647"/>
      <c r="F173" s="426"/>
      <c r="G173" s="426"/>
      <c r="H173" s="426"/>
      <c r="I173" s="427"/>
    </row>
    <row r="174" spans="2:9" hidden="1">
      <c r="B174" s="369"/>
      <c r="C174" s="641"/>
      <c r="D174" s="646"/>
      <c r="E174" s="647"/>
      <c r="F174" s="426"/>
      <c r="G174" s="426"/>
      <c r="H174" s="426"/>
      <c r="I174" s="427"/>
    </row>
    <row r="175" spans="2:9" hidden="1">
      <c r="B175" s="369"/>
      <c r="C175" s="641"/>
      <c r="D175" s="646"/>
      <c r="E175" s="647"/>
      <c r="F175" s="426"/>
      <c r="G175" s="426"/>
      <c r="H175" s="426"/>
      <c r="I175" s="427"/>
    </row>
    <row r="176" spans="2:9" hidden="1">
      <c r="B176" s="369"/>
      <c r="C176" s="641"/>
      <c r="D176" s="646"/>
      <c r="E176" s="647"/>
      <c r="F176" s="426"/>
      <c r="G176" s="426"/>
      <c r="H176" s="426"/>
      <c r="I176" s="427"/>
    </row>
    <row r="177" spans="2:9" hidden="1">
      <c r="B177" s="369"/>
      <c r="C177" s="641"/>
      <c r="D177" s="646"/>
      <c r="E177" s="647"/>
      <c r="F177" s="426"/>
      <c r="G177" s="426"/>
      <c r="H177" s="426"/>
      <c r="I177" s="427"/>
    </row>
    <row r="178" spans="2:9" hidden="1">
      <c r="B178" s="369"/>
      <c r="C178" s="641"/>
      <c r="D178" s="646"/>
      <c r="E178" s="647"/>
      <c r="F178" s="426"/>
      <c r="G178" s="426"/>
      <c r="H178" s="426"/>
      <c r="I178" s="427"/>
    </row>
    <row r="179" spans="2:9" hidden="1">
      <c r="B179" s="369"/>
      <c r="C179" s="641"/>
      <c r="D179" s="646"/>
      <c r="E179" s="647"/>
      <c r="F179" s="426"/>
      <c r="G179" s="426"/>
      <c r="H179" s="426"/>
      <c r="I179" s="427"/>
    </row>
    <row r="180" spans="2:9" hidden="1">
      <c r="B180" s="369"/>
      <c r="C180" s="641"/>
      <c r="D180" s="646"/>
      <c r="E180" s="647"/>
      <c r="F180" s="426"/>
      <c r="G180" s="426"/>
      <c r="H180" s="426"/>
      <c r="I180" s="427"/>
    </row>
    <row r="181" spans="2:9" hidden="1">
      <c r="B181" s="369"/>
      <c r="C181" s="641"/>
      <c r="D181" s="646"/>
      <c r="E181" s="647"/>
      <c r="F181" s="426"/>
      <c r="G181" s="426"/>
      <c r="H181" s="426"/>
      <c r="I181" s="427"/>
    </row>
    <row r="182" spans="2:9" hidden="1">
      <c r="B182" s="369"/>
      <c r="C182" s="641"/>
      <c r="D182" s="646"/>
      <c r="E182" s="647"/>
      <c r="F182" s="426"/>
      <c r="G182" s="426"/>
      <c r="H182" s="426"/>
      <c r="I182" s="427"/>
    </row>
    <row r="183" spans="2:9" hidden="1">
      <c r="B183" s="369"/>
      <c r="C183" s="641"/>
      <c r="D183" s="646"/>
      <c r="E183" s="647"/>
      <c r="F183" s="426"/>
      <c r="G183" s="426"/>
      <c r="H183" s="426"/>
      <c r="I183" s="427"/>
    </row>
    <row r="184" spans="2:9" hidden="1">
      <c r="B184" s="369"/>
      <c r="C184" s="641"/>
      <c r="D184" s="646"/>
      <c r="E184" s="647"/>
      <c r="F184" s="426"/>
      <c r="G184" s="426"/>
      <c r="H184" s="426"/>
      <c r="I184" s="427"/>
    </row>
    <row r="185" spans="2:9" hidden="1">
      <c r="B185" s="369"/>
      <c r="C185" s="641"/>
      <c r="D185" s="646"/>
      <c r="E185" s="647"/>
      <c r="F185" s="426"/>
      <c r="G185" s="426"/>
      <c r="H185" s="426"/>
      <c r="I185" s="427"/>
    </row>
    <row r="186" spans="2:9" hidden="1">
      <c r="B186" s="369"/>
      <c r="C186" s="641"/>
      <c r="D186" s="646"/>
      <c r="E186" s="647"/>
      <c r="F186" s="426"/>
      <c r="G186" s="426"/>
      <c r="H186" s="426"/>
      <c r="I186" s="427"/>
    </row>
    <row r="187" spans="2:9" hidden="1">
      <c r="B187" s="369"/>
      <c r="C187" s="641"/>
      <c r="D187" s="646"/>
      <c r="E187" s="647"/>
      <c r="F187" s="426"/>
      <c r="G187" s="426"/>
      <c r="H187" s="426"/>
      <c r="I187" s="427"/>
    </row>
    <row r="188" spans="2:9" hidden="1">
      <c r="B188" s="369"/>
      <c r="C188" s="641"/>
      <c r="D188" s="646"/>
      <c r="E188" s="647"/>
      <c r="F188" s="426"/>
      <c r="G188" s="426"/>
      <c r="H188" s="426"/>
      <c r="I188" s="427"/>
    </row>
    <row r="189" spans="2:9" hidden="1">
      <c r="B189" s="369"/>
      <c r="C189" s="641"/>
      <c r="D189" s="646"/>
      <c r="E189" s="647"/>
      <c r="F189" s="426"/>
      <c r="G189" s="426"/>
      <c r="H189" s="426"/>
      <c r="I189" s="427"/>
    </row>
    <row r="190" spans="2:9" hidden="1">
      <c r="B190" s="369"/>
      <c r="C190" s="641"/>
      <c r="D190" s="646"/>
      <c r="E190" s="647"/>
      <c r="F190" s="426"/>
      <c r="G190" s="426"/>
      <c r="H190" s="426"/>
      <c r="I190" s="427"/>
    </row>
    <row r="191" spans="2:9" hidden="1">
      <c r="B191" s="369"/>
      <c r="C191" s="641"/>
      <c r="D191" s="646"/>
      <c r="E191" s="647"/>
      <c r="F191" s="426"/>
      <c r="G191" s="426"/>
      <c r="H191" s="426"/>
      <c r="I191" s="427"/>
    </row>
    <row r="192" spans="2:9" hidden="1">
      <c r="B192" s="369"/>
      <c r="C192" s="641"/>
      <c r="D192" s="646"/>
      <c r="E192" s="647"/>
      <c r="F192" s="426"/>
      <c r="G192" s="426"/>
      <c r="H192" s="426"/>
      <c r="I192" s="427"/>
    </row>
    <row r="193" spans="2:9" hidden="1">
      <c r="B193" s="369"/>
      <c r="C193" s="641"/>
      <c r="D193" s="646"/>
      <c r="E193" s="647"/>
      <c r="F193" s="426"/>
      <c r="G193" s="426"/>
      <c r="H193" s="426"/>
      <c r="I193" s="427"/>
    </row>
    <row r="194" spans="2:9" hidden="1">
      <c r="B194" s="369"/>
      <c r="C194" s="641"/>
      <c r="D194" s="646"/>
      <c r="E194" s="647"/>
      <c r="F194" s="426"/>
      <c r="G194" s="426"/>
      <c r="H194" s="426"/>
      <c r="I194" s="427"/>
    </row>
    <row r="195" spans="2:9" hidden="1">
      <c r="B195" s="369"/>
      <c r="C195" s="641"/>
      <c r="D195" s="646"/>
      <c r="E195" s="647"/>
      <c r="F195" s="426"/>
      <c r="G195" s="426"/>
      <c r="H195" s="426"/>
      <c r="I195" s="427"/>
    </row>
    <row r="196" spans="2:9" hidden="1">
      <c r="B196" s="369"/>
      <c r="C196" s="641"/>
      <c r="D196" s="646"/>
      <c r="E196" s="647"/>
      <c r="F196" s="426"/>
      <c r="G196" s="426"/>
      <c r="H196" s="426"/>
      <c r="I196" s="427"/>
    </row>
    <row r="197" spans="2:9" hidden="1">
      <c r="B197" s="369"/>
      <c r="C197" s="641"/>
      <c r="D197" s="646"/>
      <c r="E197" s="647"/>
      <c r="F197" s="426"/>
      <c r="G197" s="426"/>
      <c r="H197" s="426"/>
      <c r="I197" s="427"/>
    </row>
    <row r="198" spans="2:9" hidden="1">
      <c r="B198" s="369"/>
      <c r="C198" s="641"/>
      <c r="D198" s="646"/>
      <c r="E198" s="647"/>
      <c r="F198" s="426"/>
      <c r="G198" s="426"/>
      <c r="H198" s="426"/>
      <c r="I198" s="427"/>
    </row>
    <row r="199" spans="2:9" hidden="1">
      <c r="B199" s="369"/>
      <c r="C199" s="641"/>
      <c r="D199" s="646"/>
      <c r="E199" s="647"/>
      <c r="F199" s="426"/>
      <c r="G199" s="426"/>
      <c r="H199" s="426"/>
      <c r="I199" s="427"/>
    </row>
    <row r="200" spans="2:9" hidden="1">
      <c r="B200" s="369"/>
      <c r="C200" s="641"/>
      <c r="D200" s="646"/>
      <c r="E200" s="647"/>
      <c r="F200" s="426"/>
      <c r="G200" s="426"/>
      <c r="H200" s="426"/>
      <c r="I200" s="427"/>
    </row>
    <row r="201" spans="2:9" hidden="1">
      <c r="B201" s="369"/>
      <c r="C201" s="641"/>
      <c r="D201" s="646"/>
      <c r="E201" s="647"/>
      <c r="F201" s="426"/>
      <c r="G201" s="426"/>
      <c r="H201" s="426"/>
      <c r="I201" s="427"/>
    </row>
    <row r="202" spans="2:9" hidden="1">
      <c r="B202" s="369"/>
      <c r="C202" s="641"/>
      <c r="D202" s="646"/>
      <c r="E202" s="647"/>
      <c r="F202" s="426"/>
      <c r="G202" s="426"/>
      <c r="H202" s="426"/>
      <c r="I202" s="427"/>
    </row>
    <row r="203" spans="2:9" hidden="1">
      <c r="B203" s="369"/>
      <c r="C203" s="641"/>
      <c r="D203" s="646"/>
      <c r="E203" s="647"/>
      <c r="F203" s="426"/>
      <c r="G203" s="426"/>
      <c r="H203" s="426"/>
      <c r="I203" s="427"/>
    </row>
    <row r="204" spans="2:9" hidden="1">
      <c r="B204" s="369"/>
      <c r="C204" s="641"/>
      <c r="D204" s="646"/>
      <c r="E204" s="647"/>
      <c r="F204" s="426"/>
      <c r="G204" s="426"/>
      <c r="H204" s="426"/>
      <c r="I204" s="427"/>
    </row>
    <row r="205" spans="2:9" hidden="1">
      <c r="B205" s="369"/>
      <c r="C205" s="641"/>
      <c r="D205" s="646"/>
      <c r="E205" s="647"/>
      <c r="F205" s="426"/>
      <c r="G205" s="426"/>
      <c r="H205" s="426"/>
      <c r="I205" s="427"/>
    </row>
    <row r="206" spans="2:9" hidden="1">
      <c r="B206" s="369"/>
      <c r="C206" s="641"/>
      <c r="D206" s="646"/>
      <c r="E206" s="647"/>
      <c r="F206" s="426"/>
      <c r="G206" s="426"/>
      <c r="H206" s="426"/>
      <c r="I206" s="427"/>
    </row>
    <row r="207" spans="2:9" hidden="1">
      <c r="B207" s="369"/>
      <c r="C207" s="641"/>
      <c r="D207" s="646"/>
      <c r="E207" s="647"/>
      <c r="F207" s="426"/>
      <c r="G207" s="426"/>
      <c r="H207" s="426"/>
      <c r="I207" s="427"/>
    </row>
    <row r="208" spans="2:9" hidden="1">
      <c r="B208" s="369"/>
      <c r="C208" s="641"/>
      <c r="D208" s="646"/>
      <c r="E208" s="647"/>
      <c r="F208" s="426"/>
      <c r="G208" s="426"/>
      <c r="H208" s="426"/>
      <c r="I208" s="427"/>
    </row>
    <row r="209" spans="2:9" hidden="1">
      <c r="B209" s="369"/>
      <c r="C209" s="641"/>
      <c r="D209" s="646"/>
      <c r="E209" s="647"/>
      <c r="F209" s="426"/>
      <c r="G209" s="426"/>
      <c r="H209" s="426"/>
      <c r="I209" s="427"/>
    </row>
    <row r="210" spans="2:9" hidden="1">
      <c r="B210" s="369"/>
      <c r="C210" s="641"/>
      <c r="D210" s="646"/>
      <c r="E210" s="647"/>
      <c r="F210" s="426"/>
      <c r="G210" s="426"/>
      <c r="H210" s="426"/>
      <c r="I210" s="427"/>
    </row>
    <row r="211" spans="2:9" hidden="1">
      <c r="B211" s="369"/>
      <c r="C211" s="641"/>
      <c r="D211" s="646"/>
      <c r="E211" s="647"/>
      <c r="F211" s="426"/>
      <c r="G211" s="426"/>
      <c r="H211" s="426"/>
      <c r="I211" s="427"/>
    </row>
    <row r="212" spans="2:9" hidden="1">
      <c r="B212" s="369"/>
      <c r="C212" s="641"/>
      <c r="D212" s="646"/>
      <c r="E212" s="647"/>
      <c r="F212" s="426"/>
      <c r="G212" s="426"/>
      <c r="H212" s="426"/>
      <c r="I212" s="427"/>
    </row>
    <row r="213" spans="2:9" hidden="1">
      <c r="B213" s="369"/>
      <c r="C213" s="641"/>
      <c r="D213" s="646"/>
      <c r="E213" s="647"/>
      <c r="F213" s="426"/>
      <c r="G213" s="426"/>
      <c r="H213" s="426"/>
      <c r="I213" s="427"/>
    </row>
    <row r="214" spans="2:9" hidden="1">
      <c r="B214" s="369"/>
      <c r="C214" s="641"/>
      <c r="D214" s="646"/>
      <c r="E214" s="647"/>
      <c r="F214" s="426"/>
      <c r="G214" s="426"/>
      <c r="H214" s="426"/>
      <c r="I214" s="427"/>
    </row>
    <row r="215" spans="2:9" hidden="1">
      <c r="B215" s="369"/>
      <c r="C215" s="641"/>
      <c r="D215" s="646"/>
      <c r="E215" s="647"/>
      <c r="F215" s="426"/>
      <c r="G215" s="426"/>
      <c r="H215" s="426"/>
      <c r="I215" s="427"/>
    </row>
    <row r="216" spans="2:9" hidden="1">
      <c r="B216" s="369"/>
      <c r="C216" s="641"/>
      <c r="D216" s="646"/>
      <c r="E216" s="647"/>
      <c r="F216" s="426"/>
      <c r="G216" s="426"/>
      <c r="H216" s="426"/>
      <c r="I216" s="427"/>
    </row>
    <row r="217" spans="2:9" hidden="1">
      <c r="B217" s="369"/>
      <c r="C217" s="641"/>
      <c r="D217" s="646"/>
      <c r="E217" s="647"/>
      <c r="F217" s="426"/>
      <c r="G217" s="426"/>
      <c r="H217" s="426"/>
      <c r="I217" s="427"/>
    </row>
    <row r="218" spans="2:9" hidden="1">
      <c r="B218" s="369"/>
      <c r="C218" s="641"/>
      <c r="D218" s="646"/>
      <c r="E218" s="647"/>
      <c r="F218" s="426"/>
      <c r="G218" s="426"/>
      <c r="H218" s="426"/>
      <c r="I218" s="427"/>
    </row>
    <row r="219" spans="2:9" hidden="1">
      <c r="B219" s="369"/>
      <c r="C219" s="641"/>
      <c r="D219" s="646"/>
      <c r="E219" s="647"/>
      <c r="F219" s="426"/>
      <c r="G219" s="426"/>
      <c r="H219" s="426"/>
      <c r="I219" s="427"/>
    </row>
    <row r="220" spans="2:9" hidden="1">
      <c r="B220" s="369"/>
      <c r="C220" s="641"/>
      <c r="D220" s="646"/>
      <c r="E220" s="647"/>
      <c r="F220" s="426"/>
      <c r="G220" s="426"/>
      <c r="H220" s="426"/>
      <c r="I220" s="427"/>
    </row>
    <row r="221" spans="2:9" hidden="1">
      <c r="B221" s="369"/>
      <c r="C221" s="641"/>
      <c r="D221" s="646"/>
      <c r="E221" s="647"/>
      <c r="F221" s="426"/>
      <c r="G221" s="426"/>
      <c r="H221" s="426"/>
      <c r="I221" s="427"/>
    </row>
    <row r="222" spans="2:9" hidden="1">
      <c r="B222" s="369"/>
      <c r="C222" s="641"/>
      <c r="D222" s="646"/>
      <c r="E222" s="647"/>
      <c r="F222" s="426"/>
      <c r="G222" s="426"/>
      <c r="H222" s="426"/>
      <c r="I222" s="427"/>
    </row>
    <row r="223" spans="2:9" hidden="1">
      <c r="B223" s="369"/>
      <c r="C223" s="641"/>
      <c r="D223" s="646"/>
      <c r="E223" s="647"/>
      <c r="F223" s="426"/>
      <c r="G223" s="426"/>
      <c r="H223" s="426"/>
      <c r="I223" s="427"/>
    </row>
    <row r="224" spans="2:9" hidden="1">
      <c r="B224" s="369"/>
      <c r="C224" s="641"/>
      <c r="D224" s="646"/>
      <c r="E224" s="647"/>
      <c r="F224" s="426"/>
      <c r="G224" s="426"/>
      <c r="H224" s="426"/>
      <c r="I224" s="427"/>
    </row>
    <row r="225" spans="2:9" hidden="1">
      <c r="B225" s="369"/>
      <c r="C225" s="641"/>
      <c r="D225" s="646"/>
      <c r="E225" s="647"/>
      <c r="F225" s="426"/>
      <c r="G225" s="426"/>
      <c r="H225" s="426"/>
      <c r="I225" s="427"/>
    </row>
    <row r="226" spans="2:9" hidden="1">
      <c r="B226" s="369"/>
      <c r="C226" s="641"/>
      <c r="D226" s="646"/>
      <c r="E226" s="647"/>
      <c r="F226" s="426"/>
      <c r="G226" s="426"/>
      <c r="H226" s="426"/>
      <c r="I226" s="427"/>
    </row>
    <row r="227" spans="2:9" hidden="1">
      <c r="B227" s="369"/>
      <c r="C227" s="641"/>
      <c r="D227" s="646"/>
      <c r="E227" s="647"/>
      <c r="F227" s="426"/>
      <c r="G227" s="426"/>
      <c r="H227" s="426"/>
      <c r="I227" s="427"/>
    </row>
    <row r="228" spans="2:9" hidden="1">
      <c r="B228" s="369"/>
      <c r="C228" s="641"/>
      <c r="D228" s="646"/>
      <c r="E228" s="647"/>
      <c r="F228" s="426"/>
      <c r="G228" s="426"/>
      <c r="H228" s="426"/>
      <c r="I228" s="427"/>
    </row>
    <row r="229" spans="2:9" hidden="1">
      <c r="B229" s="369"/>
      <c r="C229" s="641"/>
      <c r="D229" s="646"/>
      <c r="E229" s="647"/>
      <c r="F229" s="426"/>
      <c r="G229" s="426"/>
      <c r="H229" s="426"/>
      <c r="I229" s="427"/>
    </row>
    <row r="230" spans="2:9" hidden="1">
      <c r="B230" s="369"/>
      <c r="C230" s="641"/>
      <c r="D230" s="646"/>
      <c r="E230" s="647"/>
      <c r="F230" s="426"/>
      <c r="G230" s="426"/>
      <c r="H230" s="426"/>
      <c r="I230" s="427"/>
    </row>
    <row r="231" spans="2:9" hidden="1">
      <c r="B231" s="369"/>
      <c r="C231" s="641"/>
      <c r="D231" s="646"/>
      <c r="E231" s="647"/>
      <c r="F231" s="426"/>
      <c r="G231" s="426"/>
      <c r="H231" s="426"/>
      <c r="I231" s="427"/>
    </row>
    <row r="232" spans="2:9" hidden="1">
      <c r="B232" s="369"/>
      <c r="C232" s="641"/>
      <c r="D232" s="646"/>
      <c r="E232" s="647"/>
      <c r="F232" s="426"/>
      <c r="G232" s="426"/>
      <c r="H232" s="426"/>
      <c r="I232" s="427"/>
    </row>
    <row r="233" spans="2:9" hidden="1">
      <c r="B233" s="369"/>
      <c r="C233" s="641"/>
      <c r="D233" s="646"/>
      <c r="E233" s="647"/>
      <c r="F233" s="426"/>
      <c r="G233" s="426"/>
      <c r="H233" s="426"/>
      <c r="I233" s="427"/>
    </row>
    <row r="234" spans="2:9" hidden="1">
      <c r="B234" s="369"/>
      <c r="C234" s="641"/>
      <c r="D234" s="646"/>
      <c r="E234" s="647"/>
      <c r="F234" s="426"/>
      <c r="G234" s="426"/>
      <c r="H234" s="426"/>
      <c r="I234" s="427"/>
    </row>
    <row r="235" spans="2:9" hidden="1">
      <c r="B235" s="369"/>
      <c r="C235" s="641"/>
      <c r="D235" s="646"/>
      <c r="E235" s="647"/>
      <c r="F235" s="426"/>
      <c r="G235" s="426"/>
      <c r="H235" s="426"/>
      <c r="I235" s="427"/>
    </row>
    <row r="236" spans="2:9" hidden="1">
      <c r="B236" s="369"/>
      <c r="C236" s="641"/>
      <c r="D236" s="646"/>
      <c r="E236" s="647"/>
      <c r="F236" s="426"/>
      <c r="G236" s="426"/>
      <c r="H236" s="426"/>
      <c r="I236" s="427"/>
    </row>
    <row r="237" spans="2:9" hidden="1">
      <c r="B237" s="369"/>
      <c r="C237" s="641"/>
      <c r="D237" s="646"/>
      <c r="E237" s="647"/>
      <c r="F237" s="426"/>
      <c r="G237" s="426"/>
      <c r="H237" s="426"/>
      <c r="I237" s="427"/>
    </row>
    <row r="238" spans="2:9" hidden="1">
      <c r="B238" s="369"/>
      <c r="C238" s="641"/>
      <c r="D238" s="646"/>
      <c r="E238" s="647"/>
      <c r="F238" s="426"/>
      <c r="G238" s="426"/>
      <c r="H238" s="426"/>
      <c r="I238" s="427"/>
    </row>
    <row r="239" spans="2:9" hidden="1">
      <c r="B239" s="369"/>
      <c r="C239" s="641"/>
      <c r="D239" s="646"/>
      <c r="E239" s="647"/>
      <c r="F239" s="426"/>
      <c r="G239" s="426"/>
      <c r="H239" s="426"/>
      <c r="I239" s="427"/>
    </row>
    <row r="240" spans="2:9" hidden="1">
      <c r="B240" s="369"/>
      <c r="C240" s="641"/>
      <c r="D240" s="646"/>
      <c r="E240" s="647"/>
      <c r="F240" s="426"/>
      <c r="G240" s="426"/>
      <c r="H240" s="426"/>
      <c r="I240" s="427"/>
    </row>
    <row r="241" spans="2:16" hidden="1">
      <c r="B241" s="369"/>
      <c r="C241" s="641"/>
      <c r="D241" s="646"/>
      <c r="E241" s="647"/>
      <c r="F241" s="426"/>
      <c r="G241" s="426"/>
      <c r="H241" s="426"/>
      <c r="I241" s="427"/>
    </row>
    <row r="242" spans="2:16" hidden="1">
      <c r="B242" s="369"/>
      <c r="C242" s="641"/>
      <c r="D242" s="646"/>
      <c r="E242" s="647"/>
      <c r="F242" s="426"/>
      <c r="G242" s="426"/>
      <c r="H242" s="426"/>
      <c r="I242" s="427"/>
    </row>
    <row r="243" spans="2:16" hidden="1">
      <c r="B243" s="369"/>
      <c r="C243" s="641"/>
      <c r="D243" s="646"/>
      <c r="E243" s="647"/>
      <c r="F243" s="426"/>
      <c r="G243" s="426"/>
      <c r="H243" s="426"/>
      <c r="I243" s="427"/>
    </row>
    <row r="247" spans="2:16"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</row>
    <row r="248" spans="2:16"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</row>
    <row r="249" spans="2:16">
      <c r="B249" s="114" t="s">
        <v>992</v>
      </c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</row>
    <row r="250" spans="2:16">
      <c r="B250" s="115" t="s">
        <v>1082</v>
      </c>
      <c r="C250" s="755" t="s">
        <v>1083</v>
      </c>
      <c r="D250" s="755"/>
      <c r="E250" s="755"/>
      <c r="F250" s="755"/>
      <c r="G250" s="755"/>
      <c r="H250" s="755"/>
      <c r="I250" s="755"/>
      <c r="J250" s="56"/>
    </row>
    <row r="251" spans="2:16">
      <c r="B251" s="115"/>
      <c r="C251" s="755"/>
      <c r="D251" s="755"/>
      <c r="E251" s="755"/>
      <c r="F251" s="755"/>
      <c r="G251" s="755"/>
      <c r="H251" s="755"/>
      <c r="I251" s="755"/>
      <c r="J251" s="56"/>
    </row>
    <row r="252" spans="2:16">
      <c r="B252" s="115"/>
      <c r="C252" s="28" t="s">
        <v>1084</v>
      </c>
      <c r="D252" s="28"/>
      <c r="E252" s="28"/>
      <c r="F252" s="28"/>
      <c r="G252" s="28"/>
      <c r="H252" s="28"/>
      <c r="J252" s="56"/>
    </row>
    <row r="253" spans="2:16">
      <c r="B253" s="115"/>
      <c r="C253" s="28"/>
      <c r="D253" s="28"/>
      <c r="E253" s="28"/>
      <c r="F253" s="28"/>
      <c r="G253" s="28"/>
      <c r="H253" s="28"/>
      <c r="J253" s="56"/>
    </row>
    <row r="254" spans="2:16">
      <c r="B254" s="115" t="s">
        <v>1085</v>
      </c>
      <c r="C254" s="28" t="s">
        <v>1086</v>
      </c>
      <c r="D254" s="28"/>
      <c r="E254" s="28"/>
      <c r="F254" s="28"/>
      <c r="G254" s="28"/>
      <c r="H254" s="28"/>
      <c r="J254" s="56"/>
    </row>
    <row r="255" spans="2:16">
      <c r="B255" s="115"/>
      <c r="C255" s="28" t="s">
        <v>1087</v>
      </c>
      <c r="D255" s="28"/>
      <c r="E255" s="28"/>
      <c r="F255" s="28"/>
      <c r="G255" s="28"/>
      <c r="H255" s="28"/>
      <c r="J255" s="56"/>
    </row>
    <row r="256" spans="2:16">
      <c r="B256" s="115"/>
      <c r="C256" s="28" t="s">
        <v>1088</v>
      </c>
      <c r="D256" s="28"/>
      <c r="E256" s="28"/>
      <c r="F256" s="28"/>
      <c r="G256" s="28"/>
      <c r="H256" s="28"/>
      <c r="J256" s="56"/>
    </row>
    <row r="257" spans="2:10">
      <c r="C257" s="58"/>
      <c r="E257" s="59"/>
      <c r="F257" s="59"/>
      <c r="I257" s="56"/>
      <c r="J257" s="56"/>
    </row>
    <row r="260" spans="2:10">
      <c r="B260" s="28"/>
      <c r="C260" s="28"/>
    </row>
    <row r="261" spans="2:10">
      <c r="B261" s="28"/>
      <c r="C261" s="28"/>
    </row>
    <row r="262" spans="2:10">
      <c r="B262" s="28"/>
      <c r="C262" s="28"/>
    </row>
    <row r="263" spans="2:10">
      <c r="B263" s="28"/>
      <c r="C263" s="28"/>
    </row>
    <row r="264" spans="2:10">
      <c r="B264" s="28"/>
      <c r="C264" s="28"/>
    </row>
    <row r="265" spans="2:10">
      <c r="B265" s="28"/>
      <c r="C265" s="28"/>
    </row>
    <row r="266" spans="2:10">
      <c r="B266" s="28"/>
      <c r="C266" s="28"/>
    </row>
    <row r="267" spans="2:10">
      <c r="B267" s="28"/>
      <c r="C267" s="28"/>
    </row>
    <row r="268" spans="2:10">
      <c r="B268" s="28"/>
      <c r="C268" s="28"/>
    </row>
    <row r="269" spans="2:10">
      <c r="B269" s="28"/>
      <c r="C269" s="28"/>
    </row>
    <row r="270" spans="2:10">
      <c r="B270" s="28"/>
      <c r="C270" s="28"/>
    </row>
    <row r="271" spans="2:10">
      <c r="B271" s="28"/>
      <c r="C271" s="28"/>
    </row>
    <row r="272" spans="2:10">
      <c r="B272" s="28"/>
      <c r="C272" s="28"/>
    </row>
    <row r="273" spans="2:3">
      <c r="B273" s="28"/>
      <c r="C273" s="28"/>
    </row>
    <row r="274" spans="2:3">
      <c r="B274" s="28"/>
      <c r="C274" s="28"/>
    </row>
    <row r="275" spans="2:3">
      <c r="B275" s="28"/>
      <c r="C275" s="28"/>
    </row>
    <row r="276" spans="2:3">
      <c r="B276" s="28"/>
      <c r="C276" s="28"/>
    </row>
    <row r="277" spans="2:3">
      <c r="B277" s="28"/>
      <c r="C277" s="28"/>
    </row>
    <row r="278" spans="2:3">
      <c r="B278" s="28"/>
      <c r="C278" s="28"/>
    </row>
    <row r="279" spans="2:3">
      <c r="B279" s="28"/>
      <c r="C279" s="28"/>
    </row>
    <row r="280" spans="2:3">
      <c r="B280" s="28"/>
      <c r="C280" s="28"/>
    </row>
    <row r="281" spans="2:3">
      <c r="B281" s="28"/>
      <c r="C281" s="28"/>
    </row>
  </sheetData>
  <mergeCells count="4">
    <mergeCell ref="Q126:S132"/>
    <mergeCell ref="B13:H13"/>
    <mergeCell ref="D14:H14"/>
    <mergeCell ref="C250:I251"/>
  </mergeCells>
  <phoneticPr fontId="12" type="noConversion"/>
  <conditionalFormatting sqref="D134:D243 I16:K123">
    <cfRule type="cellIs" dxfId="10" priority="47" operator="greaterThan">
      <formula>0</formula>
    </cfRule>
  </conditionalFormatting>
  <conditionalFormatting sqref="O16:X16 P18:V20 P40:V40 A16:A18 X40 X18:X20 A44:A123 O44:X123 P38:V38 X38 P22:V23 X22:X23 P25:V36 X25:X36 O17:O40 W17:W43">
    <cfRule type="cellIs" dxfId="9" priority="44" operator="greaterThan">
      <formula>0</formula>
    </cfRule>
  </conditionalFormatting>
  <conditionalFormatting sqref="C10">
    <cfRule type="cellIs" dxfId="8" priority="43" operator="greaterThan">
      <formula>0</formula>
    </cfRule>
  </conditionalFormatting>
  <conditionalFormatting sqref="C11">
    <cfRule type="cellIs" dxfId="7" priority="42" operator="greaterThan">
      <formula>0</formula>
    </cfRule>
  </conditionalFormatting>
  <conditionalFormatting sqref="P17:V17 X17">
    <cfRule type="cellIs" dxfId="6" priority="16" operator="greaterThan">
      <formula>0</formula>
    </cfRule>
  </conditionalFormatting>
  <conditionalFormatting sqref="P24:V24 X24">
    <cfRule type="cellIs" dxfId="5" priority="14" operator="greaterThan">
      <formula>0</formula>
    </cfRule>
  </conditionalFormatting>
  <conditionalFormatting sqref="P39:V39 X39">
    <cfRule type="cellIs" dxfId="4" priority="12" operator="greaterThan">
      <formula>0</formula>
    </cfRule>
  </conditionalFormatting>
  <conditionalFormatting sqref="P21:V21 X21">
    <cfRule type="cellIs" dxfId="3" priority="10" operator="greaterThan">
      <formula>0</formula>
    </cfRule>
  </conditionalFormatting>
  <conditionalFormatting sqref="P37:V37 X37">
    <cfRule type="cellIs" dxfId="2" priority="8" operator="greaterThan">
      <formula>0</formula>
    </cfRule>
  </conditionalFormatting>
  <conditionalFormatting sqref="O41:V41 X41">
    <cfRule type="cellIs" dxfId="1" priority="3" operator="greaterThan">
      <formula>0</formula>
    </cfRule>
  </conditionalFormatting>
  <conditionalFormatting sqref="O42:V43 X42:X43">
    <cfRule type="cellIs" dxfId="0" priority="1" operator="greaterThan">
      <formula>0</formula>
    </cfRule>
  </conditionalFormatting>
  <dataValidations count="1">
    <dataValidation allowBlank="1" showInputMessage="1" showErrorMessage="1" promptTitle="Toelichting" prompt="Vul in deze gekleurde cellen de gevraagde informatie in._x000d_" sqref="C10" xr:uid="{00000000-0002-0000-0C00-000000000000}"/>
  </dataValidations>
  <printOptions horizontalCentered="1"/>
  <pageMargins left="0.78740157480314965" right="0.59055118110236227" top="1.3779527559055118" bottom="0.78740157480314965" header="0.39370078740157483" footer="0.19685039370078741"/>
  <pageSetup paperSize="9" scale="50" orientation="landscape" r:id="rId1"/>
  <headerFooter>
    <oddHeader>&amp;L&amp;C&amp;R</oddHeader>
    <oddFooter>&amp;L&amp;"Verdana,Regular"&amp;F-&amp;A_x000D_ICCA b.v. ©&amp;R&amp;"Verdana,Regular"printversie &amp;D</oddFooter>
  </headerFooter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I57"/>
  <sheetViews>
    <sheetView showGridLines="0" showRowColHeaders="0" zoomScaleNormal="100" workbookViewId="0">
      <selection activeCell="G23" sqref="G23"/>
    </sheetView>
  </sheetViews>
  <sheetFormatPr defaultColWidth="0" defaultRowHeight="0" customHeight="1" zeroHeight="1"/>
  <cols>
    <col min="1" max="2" width="10.85546875" style="1" customWidth="1"/>
    <col min="3" max="4" width="19.5703125" style="1" customWidth="1"/>
    <col min="5" max="5" width="40.42578125" style="1" customWidth="1"/>
    <col min="6" max="7" width="19.5703125" style="1" customWidth="1"/>
    <col min="8" max="9" width="10.85546875" style="1" customWidth="1"/>
    <col min="10" max="16384" width="10.85546875" style="1" hidden="1"/>
  </cols>
  <sheetData>
    <row r="1" spans="3:7" ht="12.75"/>
    <row r="2" spans="3:7" ht="12.75"/>
    <row r="3" spans="3:7" ht="12.75"/>
    <row r="4" spans="3:7" ht="12.75"/>
    <row r="5" spans="3:7" ht="12.75">
      <c r="D5" s="158"/>
      <c r="E5" s="125" t="s">
        <v>16</v>
      </c>
    </row>
    <row r="6" spans="3:7" ht="12.75"/>
    <row r="7" spans="3:7" ht="12.75"/>
    <row r="8" spans="3:7" ht="13.5" thickBot="1"/>
    <row r="9" spans="3:7" ht="20.25" thickTop="1">
      <c r="C9" s="195"/>
      <c r="D9" s="196"/>
      <c r="E9" s="197"/>
      <c r="F9" s="196"/>
      <c r="G9" s="198"/>
    </row>
    <row r="10" spans="3:7" ht="19.5">
      <c r="C10" s="199"/>
      <c r="E10" s="200" t="s">
        <v>30</v>
      </c>
      <c r="G10" s="201"/>
    </row>
    <row r="11" spans="3:7" ht="19.5">
      <c r="C11" s="199"/>
      <c r="E11" s="200"/>
      <c r="G11" s="201"/>
    </row>
    <row r="12" spans="3:7" ht="19.5">
      <c r="C12" s="199"/>
      <c r="E12" s="200" t="s">
        <v>31</v>
      </c>
      <c r="G12" s="201"/>
    </row>
    <row r="13" spans="3:7" ht="19.5">
      <c r="C13" s="199"/>
      <c r="E13" s="200" t="s">
        <v>32</v>
      </c>
      <c r="G13" s="201"/>
    </row>
    <row r="14" spans="3:7" ht="19.5">
      <c r="C14" s="199"/>
      <c r="E14" s="200" t="s">
        <v>33</v>
      </c>
      <c r="G14" s="201"/>
    </row>
    <row r="15" spans="3:7" ht="12.75">
      <c r="C15" s="199"/>
      <c r="G15" s="201"/>
    </row>
    <row r="16" spans="3:7" ht="19.5">
      <c r="C16" s="199"/>
      <c r="E16" s="200" t="s">
        <v>34</v>
      </c>
      <c r="G16" s="201"/>
    </row>
    <row r="17" spans="3:7" ht="12.75">
      <c r="C17" s="199"/>
      <c r="G17" s="201"/>
    </row>
    <row r="18" spans="3:7" ht="12.75">
      <c r="C18" s="199"/>
      <c r="G18" s="201"/>
    </row>
    <row r="19" spans="3:7" ht="18">
      <c r="C19" s="199"/>
      <c r="D19" s="257"/>
      <c r="E19" s="258" t="s">
        <v>35</v>
      </c>
      <c r="F19" s="257"/>
      <c r="G19" s="201"/>
    </row>
    <row r="20" spans="3:7" ht="12.75">
      <c r="C20" s="199"/>
      <c r="G20" s="201"/>
    </row>
    <row r="21" spans="3:7" ht="12.75">
      <c r="C21" s="199"/>
      <c r="G21" s="201"/>
    </row>
    <row r="22" spans="3:7" ht="15">
      <c r="C22" s="199"/>
      <c r="D22" s="202" t="s">
        <v>36</v>
      </c>
      <c r="E22" s="383">
        <v>45261</v>
      </c>
      <c r="G22" s="201"/>
    </row>
    <row r="23" spans="3:7" ht="15">
      <c r="C23" s="199"/>
      <c r="D23" s="202"/>
      <c r="E23" s="202"/>
      <c r="G23" s="201"/>
    </row>
    <row r="24" spans="3:7" ht="15">
      <c r="C24" s="199"/>
      <c r="D24" s="202"/>
      <c r="E24" s="202"/>
      <c r="G24" s="201"/>
    </row>
    <row r="25" spans="3:7" ht="15">
      <c r="C25" s="199"/>
      <c r="D25" s="203" t="s">
        <v>37</v>
      </c>
      <c r="E25" s="383" t="s">
        <v>1090</v>
      </c>
      <c r="G25" s="201"/>
    </row>
    <row r="26" spans="3:7" ht="12.75">
      <c r="C26" s="199"/>
      <c r="G26" s="201"/>
    </row>
    <row r="27" spans="3:7" ht="12.75">
      <c r="C27" s="199"/>
      <c r="G27" s="201"/>
    </row>
    <row r="28" spans="3:7" ht="13.5" thickBot="1">
      <c r="C28" s="204"/>
      <c r="D28" s="205"/>
      <c r="E28" s="205"/>
      <c r="F28" s="205"/>
      <c r="G28" s="206"/>
    </row>
    <row r="29" spans="3:7" ht="14.25" thickTop="1" thickBot="1"/>
    <row r="30" spans="3:7" ht="13.5" thickTop="1">
      <c r="C30" s="397"/>
      <c r="D30" s="398"/>
      <c r="E30" s="398"/>
      <c r="F30" s="398"/>
      <c r="G30" s="399"/>
    </row>
    <row r="31" spans="3:7" ht="12.75">
      <c r="C31" s="530" t="s">
        <v>38</v>
      </c>
      <c r="G31" s="401"/>
    </row>
    <row r="32" spans="3:7" ht="25.5">
      <c r="C32" s="400"/>
      <c r="G32" s="418" t="s">
        <v>39</v>
      </c>
    </row>
    <row r="33" spans="3:7" ht="12.75">
      <c r="C33" s="421"/>
      <c r="D33" s="422"/>
      <c r="E33" s="422"/>
      <c r="F33" s="422"/>
      <c r="G33" s="418"/>
    </row>
    <row r="34" spans="3:7" ht="12.75">
      <c r="C34" s="420"/>
      <c r="D34" s="419"/>
      <c r="G34" s="401"/>
    </row>
    <row r="35" spans="3:7" ht="12.75">
      <c r="C35" s="400"/>
      <c r="G35" s="401"/>
    </row>
    <row r="36" spans="3:7" ht="12.75">
      <c r="C36" s="400"/>
      <c r="G36" s="417"/>
    </row>
    <row r="37" spans="3:7" ht="12.75">
      <c r="C37" s="400"/>
      <c r="G37" s="401"/>
    </row>
    <row r="38" spans="3:7" ht="12.75">
      <c r="C38" s="421"/>
      <c r="D38" s="422"/>
      <c r="E38" s="422"/>
      <c r="F38" s="422"/>
      <c r="G38" s="401"/>
    </row>
    <row r="39" spans="3:7" ht="12.75">
      <c r="C39" s="415"/>
      <c r="D39" s="416"/>
      <c r="E39" s="416"/>
      <c r="G39" s="401"/>
    </row>
    <row r="40" spans="3:7" ht="12.75">
      <c r="C40" s="400"/>
      <c r="G40" s="401"/>
    </row>
    <row r="41" spans="3:7" ht="12.75">
      <c r="C41" s="405"/>
      <c r="G41" s="401"/>
    </row>
    <row r="42" spans="3:7" ht="12.75">
      <c r="C42" s="400"/>
      <c r="G42" s="401"/>
    </row>
    <row r="43" spans="3:7" ht="12.75">
      <c r="C43" s="400"/>
      <c r="G43" s="401"/>
    </row>
    <row r="44" spans="3:7" ht="12.75">
      <c r="C44" s="400"/>
      <c r="G44" s="401"/>
    </row>
    <row r="45" spans="3:7" ht="12.75">
      <c r="C45" s="400"/>
      <c r="G45" s="401"/>
    </row>
    <row r="46" spans="3:7" ht="12.75">
      <c r="C46" s="400"/>
      <c r="G46" s="401"/>
    </row>
    <row r="47" spans="3:7" ht="12.75">
      <c r="C47" s="400"/>
      <c r="G47" s="401"/>
    </row>
    <row r="48" spans="3:7" ht="12.75">
      <c r="C48" s="405"/>
      <c r="G48" s="401"/>
    </row>
    <row r="49" spans="3:7" ht="12.75">
      <c r="C49" s="400"/>
      <c r="G49" s="401"/>
    </row>
    <row r="50" spans="3:7" ht="12.75">
      <c r="C50" s="400"/>
      <c r="G50" s="401"/>
    </row>
    <row r="51" spans="3:7" ht="12.75">
      <c r="C51" s="400"/>
      <c r="G51" s="401"/>
    </row>
    <row r="52" spans="3:7" ht="12.75">
      <c r="C52" s="400"/>
      <c r="G52" s="401"/>
    </row>
    <row r="53" spans="3:7" ht="12.75">
      <c r="C53" s="400"/>
      <c r="G53" s="401"/>
    </row>
    <row r="54" spans="3:7" ht="13.5" thickBot="1">
      <c r="C54" s="402"/>
      <c r="D54" s="403"/>
      <c r="E54" s="403"/>
      <c r="F54" s="403"/>
      <c r="G54" s="404"/>
    </row>
    <row r="55" spans="3:7" ht="13.5" thickTop="1"/>
    <row r="56" spans="3:7" ht="12.75"/>
    <row r="57" spans="3:7" ht="12.75"/>
  </sheetData>
  <conditionalFormatting sqref="D5">
    <cfRule type="cellIs" dxfId="603" priority="1" operator="greaterThan">
      <formula>0</formula>
    </cfRule>
  </conditionalFormatting>
  <pageMargins left="0.75000000000000011" right="0.75000000000000011" top="1" bottom="1" header="0.5" footer="0.5"/>
  <pageSetup paperSize="9" scale="58" orientation="portrait"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U65563"/>
  <sheetViews>
    <sheetView showGridLines="0" showZeros="0" showOutlineSymbols="0" zoomScaleNormal="100" zoomScaleSheetLayoutView="75" zoomScalePageLayoutView="120" workbookViewId="0">
      <pane ySplit="8" topLeftCell="A9" activePane="bottomLeft" state="frozenSplit"/>
      <selection pane="bottomLeft" activeCell="D99" sqref="D99"/>
    </sheetView>
  </sheetViews>
  <sheetFormatPr defaultColWidth="0" defaultRowHeight="12.75" zeroHeight="1"/>
  <cols>
    <col min="1" max="1" width="0.85546875" style="89" customWidth="1"/>
    <col min="2" max="2" width="15.140625" style="4" customWidth="1"/>
    <col min="3" max="3" width="35.42578125" style="10" customWidth="1"/>
    <col min="4" max="4" width="19.140625" style="4" customWidth="1"/>
    <col min="5" max="5" width="16" style="4" bestFit="1" customWidth="1"/>
    <col min="6" max="6" width="12.85546875" style="4" customWidth="1"/>
    <col min="7" max="7" width="15.42578125" style="4" customWidth="1"/>
    <col min="8" max="8" width="17" style="4" customWidth="1"/>
    <col min="9" max="9" width="18.85546875" style="4" customWidth="1"/>
    <col min="10" max="10" width="6" style="92" customWidth="1"/>
    <col min="11" max="11" width="11.85546875" style="4" bestFit="1" customWidth="1"/>
    <col min="12" max="12" width="14.140625" style="4" hidden="1" customWidth="1"/>
    <col min="13" max="13" width="6.85546875" style="4" bestFit="1" customWidth="1"/>
    <col min="14" max="14" width="11.85546875" style="4" hidden="1" customWidth="1"/>
    <col min="15" max="255" width="0" style="4" hidden="1" customWidth="1"/>
    <col min="256" max="16384" width="10.85546875" style="4" hidden="1"/>
  </cols>
  <sheetData>
    <row r="1" spans="1:255" ht="6" customHeight="1">
      <c r="C1" s="5"/>
      <c r="D1" s="3"/>
    </row>
    <row r="2" spans="1:255" s="9" customFormat="1" ht="15">
      <c r="A2" s="89"/>
      <c r="C2" s="177" t="s">
        <v>40</v>
      </c>
      <c r="D2" s="70" t="s">
        <v>41</v>
      </c>
      <c r="E2" s="7"/>
      <c r="F2" s="7"/>
      <c r="G2" s="8"/>
      <c r="H2" s="7"/>
      <c r="I2" s="7"/>
      <c r="J2" s="93"/>
    </row>
    <row r="3" spans="1:255" s="9" customFormat="1" ht="15.95" customHeight="1">
      <c r="A3" s="89"/>
      <c r="C3" s="177" t="s">
        <v>42</v>
      </c>
      <c r="D3" s="178" t="str">
        <f>Voorblad!$E$16</f>
        <v>HHNK bedrijfsgebouwen van werven en RWZI's</v>
      </c>
      <c r="E3" s="7"/>
      <c r="F3" s="7"/>
      <c r="G3" s="326"/>
      <c r="H3" s="326"/>
      <c r="I3" s="326"/>
      <c r="J3" s="93"/>
    </row>
    <row r="4" spans="1:255" s="9" customFormat="1" ht="15.95" customHeight="1">
      <c r="A4" s="89"/>
      <c r="C4" s="177" t="s">
        <v>43</v>
      </c>
      <c r="D4" s="178" t="s">
        <v>44</v>
      </c>
      <c r="E4" s="7"/>
      <c r="F4" s="7"/>
      <c r="G4" s="326"/>
      <c r="H4" s="326"/>
      <c r="I4" s="326"/>
      <c r="J4" s="93"/>
    </row>
    <row r="5" spans="1:255" s="9" customFormat="1" ht="15">
      <c r="A5" s="89"/>
      <c r="C5" s="177" t="s">
        <v>37</v>
      </c>
      <c r="D5" s="322" t="str">
        <f>Voorblad!$E$25</f>
        <v>V1 15-06-2023</v>
      </c>
      <c r="E5" s="7"/>
      <c r="F5" s="7"/>
      <c r="G5" s="7"/>
      <c r="H5" s="158" t="s">
        <v>15</v>
      </c>
      <c r="I5" s="97"/>
      <c r="J5" s="93"/>
    </row>
    <row r="6" spans="1:255" s="9" customFormat="1" ht="15">
      <c r="A6" s="89"/>
      <c r="C6" s="177" t="s">
        <v>45</v>
      </c>
      <c r="D6" s="178" t="str">
        <f>Voorblad!$E$19</f>
        <v>Naam inschrijver</v>
      </c>
      <c r="E6" s="7"/>
      <c r="H6" s="158">
        <v>0</v>
      </c>
      <c r="I6" s="125" t="s">
        <v>16</v>
      </c>
      <c r="J6" s="93"/>
    </row>
    <row r="7" spans="1:255" s="9" customFormat="1" ht="15">
      <c r="A7" s="89"/>
      <c r="C7" s="177" t="s">
        <v>36</v>
      </c>
      <c r="D7" s="179">
        <f>Voorblad!$E$22</f>
        <v>45261</v>
      </c>
      <c r="E7" s="7"/>
      <c r="H7" s="7"/>
      <c r="I7" s="7"/>
      <c r="J7" s="93"/>
    </row>
    <row r="8" spans="1:255" s="9" customFormat="1" ht="15">
      <c r="A8" s="89"/>
      <c r="C8" s="6"/>
      <c r="J8" s="93"/>
    </row>
    <row r="9" spans="1:255" s="9" customFormat="1" ht="15">
      <c r="A9" s="89"/>
      <c r="C9" s="72" t="s">
        <v>46</v>
      </c>
      <c r="F9" s="72"/>
      <c r="G9" s="72"/>
      <c r="H9" s="72"/>
      <c r="I9" s="73"/>
      <c r="J9" s="93"/>
    </row>
    <row r="10" spans="1:255" ht="13.5" thickBot="1"/>
    <row r="11" spans="1:255" s="180" customFormat="1" ht="50.1" customHeight="1" thickBot="1">
      <c r="A11" s="90"/>
      <c r="C11" s="464" t="s">
        <v>47</v>
      </c>
      <c r="D11" s="461" t="s">
        <v>48</v>
      </c>
      <c r="E11" s="462" t="s">
        <v>49</v>
      </c>
      <c r="F11" s="462" t="s">
        <v>50</v>
      </c>
      <c r="G11" s="462" t="s">
        <v>51</v>
      </c>
      <c r="H11" s="462" t="s">
        <v>52</v>
      </c>
      <c r="I11" s="463" t="s">
        <v>53</v>
      </c>
      <c r="J11" s="181"/>
    </row>
    <row r="12" spans="1:255" s="29" customFormat="1" ht="21" customHeight="1">
      <c r="A12" s="89"/>
      <c r="C12" s="77" t="s">
        <v>54</v>
      </c>
      <c r="D12" s="78"/>
      <c r="E12" s="78"/>
      <c r="F12" s="79"/>
      <c r="G12" s="79"/>
      <c r="H12" s="79"/>
      <c r="I12" s="79"/>
      <c r="J12" s="95"/>
    </row>
    <row r="13" spans="1:255" s="29" customFormat="1">
      <c r="A13" s="91"/>
      <c r="I13" s="85"/>
      <c r="J13" s="95"/>
    </row>
    <row r="14" spans="1:255" ht="25.5">
      <c r="B14" s="158" t="s">
        <v>15</v>
      </c>
      <c r="C14" s="170" t="s">
        <v>1089</v>
      </c>
      <c r="D14" s="207"/>
      <c r="E14" s="293" t="e">
        <f>G14/F14</f>
        <v>#VALUE!</v>
      </c>
      <c r="F14" s="184">
        <v>255</v>
      </c>
      <c r="G14" s="299" t="e">
        <f>$G$27*D14</f>
        <v>#VALUE!</v>
      </c>
      <c r="H14" s="185" t="e">
        <f>HLOOKUP(C14,basistariefuit,47,FALSE)</f>
        <v>#N/A</v>
      </c>
      <c r="I14" s="183" t="e">
        <f>H14*G14</f>
        <v>#N/A</v>
      </c>
    </row>
    <row r="15" spans="1:255">
      <c r="C15" s="12"/>
      <c r="D15" s="208"/>
      <c r="E15" s="52"/>
      <c r="F15" s="12"/>
      <c r="G15" s="53"/>
      <c r="H15" s="12"/>
      <c r="I15" s="12"/>
      <c r="J15" s="96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</row>
    <row r="16" spans="1:255" s="29" customFormat="1">
      <c r="A16" s="91"/>
      <c r="D16" s="209"/>
      <c r="E16" s="294"/>
      <c r="G16" s="300"/>
      <c r="I16" s="85"/>
      <c r="J16" s="95"/>
    </row>
    <row r="17" spans="1:255" s="29" customFormat="1">
      <c r="A17" s="90"/>
      <c r="B17" s="158" t="s">
        <v>15</v>
      </c>
      <c r="C17" s="170" t="s">
        <v>55</v>
      </c>
      <c r="D17" s="207"/>
      <c r="E17" s="293" t="e">
        <f>G17/F17</f>
        <v>#VALUE!</v>
      </c>
      <c r="F17" s="184">
        <v>255</v>
      </c>
      <c r="G17" s="299" t="e">
        <f>$G$27*D17</f>
        <v>#VALUE!</v>
      </c>
      <c r="H17" s="185">
        <f>HLOOKUP(C17,basistariefuit,47,FALSE)</f>
        <v>0</v>
      </c>
      <c r="I17" s="183" t="e">
        <f>H17*G17</f>
        <v>#VALUE!</v>
      </c>
      <c r="J17" s="95"/>
    </row>
    <row r="18" spans="1:255">
      <c r="C18" s="12"/>
      <c r="D18" s="208"/>
      <c r="E18" s="52"/>
      <c r="F18" s="12"/>
      <c r="G18" s="53"/>
      <c r="H18" s="12"/>
      <c r="I18" s="12"/>
      <c r="J18" s="96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</row>
    <row r="19" spans="1:255" s="29" customFormat="1">
      <c r="A19" s="91"/>
      <c r="D19" s="209"/>
      <c r="E19" s="294"/>
      <c r="G19" s="300"/>
      <c r="I19" s="85"/>
      <c r="J19" s="95"/>
    </row>
    <row r="20" spans="1:255">
      <c r="B20" s="158" t="s">
        <v>15</v>
      </c>
      <c r="C20" s="170" t="s">
        <v>55</v>
      </c>
      <c r="D20" s="207"/>
      <c r="E20" s="293" t="e">
        <f>G20/F20</f>
        <v>#VALUE!</v>
      </c>
      <c r="F20" s="184">
        <v>255</v>
      </c>
      <c r="G20" s="299" t="e">
        <f>$G$27*D20</f>
        <v>#VALUE!</v>
      </c>
      <c r="H20" s="185">
        <f>HLOOKUP(C20,basistariefuit,47,FALSE)</f>
        <v>0</v>
      </c>
      <c r="I20" s="183" t="e">
        <f>H20*G20</f>
        <v>#VALUE!</v>
      </c>
    </row>
    <row r="21" spans="1:255">
      <c r="C21" s="12"/>
      <c r="D21" s="208"/>
      <c r="E21" s="52"/>
      <c r="F21" s="12"/>
      <c r="G21" s="53"/>
      <c r="H21" s="12"/>
      <c r="I21" s="12"/>
      <c r="J21" s="96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</row>
    <row r="22" spans="1:255" s="29" customFormat="1">
      <c r="A22" s="89"/>
      <c r="D22" s="209"/>
      <c r="E22" s="294"/>
      <c r="G22" s="300"/>
      <c r="I22" s="85"/>
      <c r="J22" s="95"/>
    </row>
    <row r="23" spans="1:255">
      <c r="B23" s="158" t="s">
        <v>15</v>
      </c>
      <c r="C23" s="170" t="s">
        <v>55</v>
      </c>
      <c r="D23" s="207">
        <v>0</v>
      </c>
      <c r="E23" s="293" t="e">
        <f>G23/F23</f>
        <v>#VALUE!</v>
      </c>
      <c r="F23" s="184">
        <v>255</v>
      </c>
      <c r="G23" s="299" t="e">
        <f>$G$27*D23</f>
        <v>#VALUE!</v>
      </c>
      <c r="H23" s="185">
        <f>HLOOKUP(C23,basistariefuit,47,FALSE)</f>
        <v>0</v>
      </c>
      <c r="I23" s="183" t="e">
        <f>H23*G23</f>
        <v>#VALUE!</v>
      </c>
    </row>
    <row r="24" spans="1:255">
      <c r="C24" s="12"/>
      <c r="D24" s="208"/>
      <c r="E24" s="52"/>
      <c r="F24" s="12"/>
      <c r="G24" s="53"/>
      <c r="H24" s="12"/>
      <c r="I24" s="12"/>
      <c r="J24" s="96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255" s="29" customFormat="1">
      <c r="A25" s="89"/>
      <c r="D25" s="209"/>
      <c r="E25" s="294"/>
      <c r="G25" s="300"/>
      <c r="I25" s="85"/>
      <c r="J25" s="95"/>
    </row>
    <row r="26" spans="1:255">
      <c r="B26" s="158" t="s">
        <v>15</v>
      </c>
      <c r="C26" s="170" t="s">
        <v>55</v>
      </c>
      <c r="D26" s="207">
        <v>0</v>
      </c>
      <c r="E26" s="295" t="e">
        <f>G26/F26</f>
        <v>#VALUE!</v>
      </c>
      <c r="F26" s="184">
        <v>255</v>
      </c>
      <c r="G26" s="301" t="e">
        <f>$G$27*D26</f>
        <v>#VALUE!</v>
      </c>
      <c r="H26" s="185">
        <f>HLOOKUP(C26,basistariefuit,47,FALSE)</f>
        <v>0</v>
      </c>
      <c r="I26" s="183" t="e">
        <f>H26*G26</f>
        <v>#VALUE!</v>
      </c>
    </row>
    <row r="27" spans="1:255" ht="20.100000000000001" customHeight="1">
      <c r="C27" s="309" t="str">
        <f>IF(D27&gt;100%,"Mag niet hoger zijn dan 100%","")</f>
        <v/>
      </c>
      <c r="D27" s="211">
        <f>D26+D23+D20+D17+D14</f>
        <v>0</v>
      </c>
      <c r="E27" s="298" t="e">
        <f>SUM(E14:E26)</f>
        <v>#VALUE!</v>
      </c>
      <c r="F27" s="310"/>
      <c r="G27" s="305" t="e">
        <f>SUM('1.3-Basis ruimtestaat'!S:U)</f>
        <v>#VALUE!</v>
      </c>
      <c r="H27" s="21"/>
      <c r="I27" s="311" t="e">
        <f>SUM(I14:I26)</f>
        <v>#N/A</v>
      </c>
      <c r="K27" s="191" t="e">
        <f>IF(G27=0,0,I27/G27)</f>
        <v>#VALUE!</v>
      </c>
      <c r="M27" s="312">
        <f>IF(D27&gt;100,"Is hoger dan 100%",0)</f>
        <v>0</v>
      </c>
    </row>
    <row r="28" spans="1:255" s="29" customFormat="1">
      <c r="A28" s="89"/>
      <c r="C28" s="77"/>
      <c r="D28" s="81"/>
      <c r="E28" s="296"/>
      <c r="F28" s="79"/>
      <c r="G28" s="302"/>
      <c r="H28" s="78"/>
      <c r="I28" s="182"/>
      <c r="J28" s="95"/>
      <c r="K28" s="16"/>
    </row>
    <row r="29" spans="1:255" s="29" customFormat="1">
      <c r="A29" s="89"/>
      <c r="C29" s="77"/>
      <c r="D29" s="81"/>
      <c r="E29" s="296"/>
      <c r="F29" s="79"/>
      <c r="G29" s="302"/>
      <c r="H29" s="318"/>
      <c r="I29" s="182"/>
      <c r="J29" s="95"/>
      <c r="K29" s="16"/>
    </row>
    <row r="30" spans="1:255" s="29" customFormat="1">
      <c r="A30" s="89"/>
      <c r="C30" s="77" t="s">
        <v>56</v>
      </c>
      <c r="E30" s="294"/>
      <c r="F30" s="79"/>
      <c r="G30" s="303"/>
      <c r="H30" s="79"/>
      <c r="I30" s="79"/>
      <c r="J30" s="95"/>
      <c r="K30" s="80"/>
    </row>
    <row r="31" spans="1:255" s="29" customFormat="1">
      <c r="A31" s="89"/>
      <c r="E31" s="294"/>
      <c r="G31" s="300"/>
      <c r="I31" s="85"/>
      <c r="J31" s="95"/>
      <c r="K31" s="86"/>
    </row>
    <row r="32" spans="1:255" ht="25.5">
      <c r="B32" s="158" t="s">
        <v>15</v>
      </c>
      <c r="C32" s="170" t="s">
        <v>1089</v>
      </c>
      <c r="D32" s="207"/>
      <c r="E32" s="293" t="e">
        <f>G32/F32</f>
        <v>#VALUE!</v>
      </c>
      <c r="F32" s="184">
        <v>255</v>
      </c>
      <c r="G32" s="299" t="e">
        <f>$G$27*D32</f>
        <v>#VALUE!</v>
      </c>
      <c r="H32" s="185" t="e">
        <f>HLOOKUP(C32,basistarieftoez,47,FALSE)</f>
        <v>#N/A</v>
      </c>
      <c r="I32" s="183" t="e">
        <f>H32*G32</f>
        <v>#N/A</v>
      </c>
    </row>
    <row r="33" spans="1:255">
      <c r="C33" s="76"/>
      <c r="D33" s="209"/>
      <c r="E33" s="297"/>
      <c r="F33" s="13"/>
      <c r="G33" s="304"/>
      <c r="H33" s="14"/>
      <c r="I33" s="15"/>
    </row>
    <row r="34" spans="1:255" s="29" customFormat="1">
      <c r="A34" s="89"/>
      <c r="D34" s="209"/>
      <c r="E34" s="294"/>
      <c r="G34" s="300"/>
      <c r="I34" s="85"/>
      <c r="J34" s="95"/>
      <c r="K34" s="86"/>
      <c r="L34" s="4"/>
    </row>
    <row r="35" spans="1:255">
      <c r="B35" s="158" t="s">
        <v>15</v>
      </c>
      <c r="C35" s="170" t="s">
        <v>57</v>
      </c>
      <c r="D35" s="207">
        <v>0</v>
      </c>
      <c r="E35" s="293" t="e">
        <f>G35/F35</f>
        <v>#VALUE!</v>
      </c>
      <c r="F35" s="184">
        <v>255</v>
      </c>
      <c r="G35" s="299" t="e">
        <f>$G$27*D35</f>
        <v>#VALUE!</v>
      </c>
      <c r="H35" s="185">
        <f>HLOOKUP(C35,basistarieftoez,47,FALSE)</f>
        <v>0</v>
      </c>
      <c r="I35" s="183" t="e">
        <f>H35*G35</f>
        <v>#VALUE!</v>
      </c>
    </row>
    <row r="36" spans="1:255">
      <c r="C36" s="76"/>
      <c r="D36" s="208"/>
      <c r="E36" s="52"/>
      <c r="F36" s="12"/>
      <c r="G36" s="53"/>
      <c r="H36" s="12"/>
      <c r="I36" s="12"/>
      <c r="J36" s="96"/>
      <c r="K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</row>
    <row r="37" spans="1:255" s="29" customFormat="1">
      <c r="A37" s="89"/>
      <c r="D37" s="209"/>
      <c r="E37" s="294"/>
      <c r="G37" s="300"/>
      <c r="I37" s="85"/>
      <c r="J37" s="95"/>
      <c r="L37" s="4"/>
    </row>
    <row r="38" spans="1:255">
      <c r="B38" s="158" t="s">
        <v>15</v>
      </c>
      <c r="C38" s="170" t="s">
        <v>57</v>
      </c>
      <c r="D38" s="207"/>
      <c r="E38" s="295" t="e">
        <f>G38/F38</f>
        <v>#VALUE!</v>
      </c>
      <c r="F38" s="184">
        <v>255</v>
      </c>
      <c r="G38" s="301" t="e">
        <f>$G$27*D38</f>
        <v>#VALUE!</v>
      </c>
      <c r="H38" s="185">
        <f>HLOOKUP(C38,basistarieftoez,47,FALSE)</f>
        <v>0</v>
      </c>
      <c r="I38" s="183" t="e">
        <f>H38*G38</f>
        <v>#VALUE!</v>
      </c>
    </row>
    <row r="39" spans="1:255">
      <c r="C39" s="76"/>
      <c r="D39" s="211">
        <f>D38+D35+D32</f>
        <v>0</v>
      </c>
      <c r="E39" s="298" t="e">
        <f>SUM(E32:E38)</f>
        <v>#VALUE!</v>
      </c>
      <c r="F39" s="310"/>
      <c r="G39" s="305" t="e">
        <f>SUM(G32:G38)</f>
        <v>#VALUE!</v>
      </c>
      <c r="H39" s="12"/>
      <c r="I39" s="311" t="e">
        <f>SUM(I30:I38)</f>
        <v>#N/A</v>
      </c>
      <c r="J39" s="12"/>
      <c r="K39" s="191" t="e">
        <f>IF(G39=0,0,I39/G39)</f>
        <v>#VALUE!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</row>
    <row r="40" spans="1:255">
      <c r="C40" s="75"/>
      <c r="D40" s="19"/>
      <c r="E40" s="20"/>
      <c r="F40" s="11"/>
      <c r="G40" s="20"/>
      <c r="H40" s="21"/>
      <c r="I40" s="22"/>
      <c r="K40" s="16"/>
    </row>
    <row r="41" spans="1:255">
      <c r="C41" s="75"/>
      <c r="D41" s="19"/>
      <c r="E41" s="20"/>
      <c r="F41" s="11"/>
      <c r="G41" s="20"/>
      <c r="H41" s="20" t="s">
        <v>58</v>
      </c>
      <c r="I41" s="182" t="e">
        <f>I39+I27</f>
        <v>#N/A</v>
      </c>
      <c r="K41" s="16"/>
    </row>
    <row r="42" spans="1:255">
      <c r="C42" s="75"/>
      <c r="D42" s="19"/>
      <c r="E42" s="20"/>
      <c r="F42" s="11"/>
      <c r="G42" s="20"/>
      <c r="H42" s="20"/>
      <c r="I42" s="182"/>
      <c r="K42" s="16"/>
    </row>
    <row r="43" spans="1:255">
      <c r="C43" s="75"/>
      <c r="D43" s="19"/>
      <c r="E43" s="20"/>
      <c r="F43" s="11"/>
      <c r="G43" s="20"/>
      <c r="H43" s="20"/>
      <c r="I43" s="182"/>
      <c r="K43" s="16"/>
    </row>
    <row r="44" spans="1:255" s="29" customFormat="1" ht="21" customHeight="1">
      <c r="A44" s="89"/>
      <c r="C44" s="77" t="s">
        <v>59</v>
      </c>
      <c r="D44" s="78"/>
      <c r="E44" s="78"/>
      <c r="F44" s="79"/>
      <c r="G44" s="79"/>
      <c r="H44" s="79"/>
      <c r="I44" s="79"/>
      <c r="J44" s="95"/>
    </row>
    <row r="45" spans="1:255" s="29" customFormat="1">
      <c r="A45" s="91"/>
      <c r="I45" s="85"/>
      <c r="J45" s="95"/>
    </row>
    <row r="46" spans="1:255" ht="25.5">
      <c r="B46" s="158" t="s">
        <v>15</v>
      </c>
      <c r="C46" s="170" t="s">
        <v>1089</v>
      </c>
      <c r="D46" s="207"/>
      <c r="E46" s="293" t="e">
        <f>G46/F46</f>
        <v>#VALUE!</v>
      </c>
      <c r="F46" s="184">
        <v>60</v>
      </c>
      <c r="G46" s="299" t="e">
        <f>$G$51*D46</f>
        <v>#VALUE!</v>
      </c>
      <c r="H46" s="185" t="e">
        <f>HLOOKUP(C46,basistariefuit,51,FALSE)</f>
        <v>#N/A</v>
      </c>
      <c r="I46" s="183" t="e">
        <f>H46*G46</f>
        <v>#N/A</v>
      </c>
    </row>
    <row r="47" spans="1:255">
      <c r="C47" s="12"/>
      <c r="D47" s="208"/>
      <c r="E47" s="52"/>
      <c r="F47" s="12"/>
      <c r="G47" s="53"/>
      <c r="H47" s="12"/>
      <c r="I47" s="12"/>
      <c r="J47" s="96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</row>
    <row r="48" spans="1:255" s="29" customFormat="1">
      <c r="A48" s="91"/>
      <c r="D48" s="209"/>
      <c r="E48" s="294"/>
      <c r="G48" s="300"/>
      <c r="I48" s="85"/>
      <c r="J48" s="95"/>
    </row>
    <row r="49" spans="1:255" s="29" customFormat="1">
      <c r="A49" s="90"/>
      <c r="B49" s="158" t="s">
        <v>15</v>
      </c>
      <c r="C49" s="170" t="s">
        <v>55</v>
      </c>
      <c r="D49" s="207">
        <v>0</v>
      </c>
      <c r="E49" s="293" t="e">
        <f>G49/F49</f>
        <v>#VALUE!</v>
      </c>
      <c r="F49" s="184">
        <v>60</v>
      </c>
      <c r="G49" s="299" t="e">
        <f>$G$51*D49</f>
        <v>#VALUE!</v>
      </c>
      <c r="H49" s="185">
        <f>HLOOKUP(C49,basistariefuit,51,FALSE)</f>
        <v>0</v>
      </c>
      <c r="I49" s="183" t="e">
        <f>H49*G49</f>
        <v>#VALUE!</v>
      </c>
      <c r="J49" s="95"/>
    </row>
    <row r="50" spans="1:255">
      <c r="C50" s="75"/>
      <c r="D50" s="19"/>
      <c r="E50" s="20"/>
      <c r="F50" s="11"/>
      <c r="G50" s="20"/>
      <c r="H50" s="20"/>
      <c r="I50" s="182"/>
      <c r="K50" s="16"/>
    </row>
    <row r="51" spans="1:255">
      <c r="C51" s="75"/>
      <c r="D51" s="211">
        <f>D50+D47+D44+D41+D38</f>
        <v>0</v>
      </c>
      <c r="E51" s="298" t="e">
        <f>SUM(E44:E50)</f>
        <v>#VALUE!</v>
      </c>
      <c r="F51" s="310"/>
      <c r="G51" s="305" t="e">
        <f>SUM('1.3-Basis ruimtestaat'!V:V)</f>
        <v>#VALUE!</v>
      </c>
      <c r="H51" s="12"/>
      <c r="I51" s="311" t="e">
        <f>SUM(I42:I50)</f>
        <v>#N/A</v>
      </c>
      <c r="J51" s="12"/>
      <c r="K51" s="191" t="e">
        <f>IF(G51=0,0,I51/G51)</f>
        <v>#VALUE!</v>
      </c>
    </row>
    <row r="52" spans="1:255">
      <c r="C52" s="75"/>
      <c r="D52" s="19"/>
      <c r="E52" s="20"/>
      <c r="F52" s="11"/>
      <c r="G52" s="20"/>
      <c r="H52" s="20"/>
      <c r="I52" s="182"/>
      <c r="K52" s="16"/>
    </row>
    <row r="53" spans="1:255">
      <c r="C53" s="75"/>
      <c r="D53" s="19"/>
      <c r="E53" s="20"/>
      <c r="F53" s="11"/>
      <c r="G53" s="20"/>
      <c r="H53" s="20"/>
      <c r="I53" s="182"/>
      <c r="K53" s="16"/>
    </row>
    <row r="54" spans="1:255">
      <c r="C54" s="12"/>
      <c r="D54" s="208"/>
      <c r="E54" s="52"/>
      <c r="F54" s="12"/>
      <c r="G54" s="53"/>
      <c r="H54" s="12"/>
      <c r="I54" s="12"/>
      <c r="J54" s="96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</row>
    <row r="55" spans="1:255">
      <c r="C55" s="75"/>
      <c r="D55" s="19"/>
      <c r="E55" s="20"/>
      <c r="F55" s="11"/>
      <c r="G55" s="20"/>
      <c r="H55" s="21"/>
      <c r="I55" s="182"/>
      <c r="K55" s="16"/>
    </row>
    <row r="56" spans="1:255">
      <c r="C56" s="75"/>
      <c r="D56" s="23"/>
      <c r="E56" s="20"/>
      <c r="F56" s="11"/>
      <c r="G56" s="11"/>
      <c r="H56" s="20"/>
      <c r="I56" s="315"/>
      <c r="J56" s="95"/>
      <c r="K56" s="16"/>
    </row>
    <row r="57" spans="1:255">
      <c r="C57" s="75"/>
      <c r="D57" s="23"/>
      <c r="E57" s="20"/>
      <c r="F57" s="11"/>
      <c r="G57" s="20"/>
      <c r="H57" s="21"/>
      <c r="I57" s="182"/>
      <c r="K57" s="16"/>
    </row>
    <row r="58" spans="1:255">
      <c r="C58" s="75"/>
      <c r="D58" s="23"/>
      <c r="E58" s="20"/>
      <c r="F58" s="11"/>
      <c r="G58" s="20"/>
      <c r="H58" s="21"/>
      <c r="I58" s="22"/>
    </row>
    <row r="59" spans="1:255">
      <c r="C59" s="75"/>
      <c r="D59" s="23"/>
      <c r="E59" s="20"/>
      <c r="F59" s="11"/>
      <c r="H59" s="20"/>
      <c r="I59" s="182"/>
      <c r="K59" s="119"/>
    </row>
    <row r="60" spans="1:255">
      <c r="C60" s="75"/>
      <c r="D60" s="23"/>
      <c r="E60" s="20"/>
      <c r="F60" s="11"/>
      <c r="G60" s="20"/>
      <c r="H60" s="21"/>
      <c r="I60" s="22"/>
    </row>
    <row r="61" spans="1:255">
      <c r="C61" s="75" t="s">
        <v>60</v>
      </c>
      <c r="D61" s="23"/>
      <c r="E61" s="20"/>
      <c r="F61" s="11"/>
      <c r="G61" s="20"/>
      <c r="H61" s="21"/>
      <c r="I61" s="22"/>
    </row>
    <row r="62" spans="1:255">
      <c r="C62" s="75"/>
      <c r="D62" s="23"/>
      <c r="E62" s="20"/>
      <c r="F62" s="11"/>
      <c r="G62" s="20"/>
      <c r="H62" s="21"/>
      <c r="I62" s="22"/>
    </row>
    <row r="63" spans="1:255" s="9" customFormat="1" ht="15">
      <c r="A63" s="89"/>
      <c r="C63" s="72" t="s">
        <v>61</v>
      </c>
      <c r="D63" s="72"/>
      <c r="E63" s="72"/>
      <c r="F63" s="72"/>
      <c r="G63" s="72"/>
      <c r="H63" s="72"/>
      <c r="I63" s="73"/>
      <c r="J63" s="93"/>
    </row>
    <row r="64" spans="1:255">
      <c r="C64" s="75"/>
      <c r="D64" s="21"/>
      <c r="E64" s="71"/>
      <c r="F64" s="68"/>
      <c r="G64" s="71"/>
      <c r="H64" s="21"/>
      <c r="I64" s="21"/>
    </row>
    <row r="65" spans="1:14">
      <c r="C65" s="75"/>
      <c r="D65" s="21"/>
      <c r="F65" s="68"/>
      <c r="G65" s="71" t="s">
        <v>62</v>
      </c>
      <c r="H65" s="71" t="s">
        <v>63</v>
      </c>
      <c r="I65" s="21"/>
      <c r="K65" s="16"/>
    </row>
    <row r="66" spans="1:14">
      <c r="C66" s="76" t="s">
        <v>64</v>
      </c>
      <c r="D66" s="21"/>
      <c r="F66" s="235"/>
      <c r="G66" s="158">
        <v>0</v>
      </c>
      <c r="H66" s="319"/>
      <c r="I66" s="15">
        <f>H66*G66</f>
        <v>0</v>
      </c>
      <c r="K66" s="16"/>
    </row>
    <row r="67" spans="1:14">
      <c r="C67" s="12" t="s">
        <v>65</v>
      </c>
      <c r="D67" s="21"/>
      <c r="F67" s="235"/>
      <c r="G67" s="158"/>
      <c r="H67" s="319"/>
      <c r="I67" s="15">
        <f>H67*G67</f>
        <v>0</v>
      </c>
      <c r="K67" s="119"/>
    </row>
    <row r="68" spans="1:14">
      <c r="C68" s="12" t="s">
        <v>66</v>
      </c>
      <c r="D68" s="21"/>
      <c r="F68" s="235"/>
      <c r="G68" s="158"/>
      <c r="H68" s="319"/>
      <c r="I68" s="15">
        <f>H68*G68</f>
        <v>0</v>
      </c>
      <c r="K68" s="191" t="e">
        <f>IF(G27=0,0,I59/G27)</f>
        <v>#VALUE!</v>
      </c>
      <c r="L68" s="69"/>
      <c r="M68" s="16"/>
      <c r="N68" s="69"/>
    </row>
    <row r="69" spans="1:14">
      <c r="C69" s="18"/>
      <c r="D69" s="21"/>
      <c r="E69" s="21"/>
      <c r="F69" s="21"/>
      <c r="G69" s="21"/>
      <c r="H69" s="21"/>
      <c r="I69" s="21"/>
    </row>
    <row r="70" spans="1:14" ht="17.100000000000001" customHeight="1">
      <c r="F70" s="25" t="s">
        <v>67</v>
      </c>
      <c r="H70" s="26"/>
      <c r="I70" s="182">
        <f>SUM(I59:I69)</f>
        <v>0</v>
      </c>
      <c r="L70" s="69"/>
      <c r="N70" s="16"/>
    </row>
    <row r="71" spans="1:14" ht="17.100000000000001" customHeight="1">
      <c r="F71" s="10" t="s">
        <v>68</v>
      </c>
      <c r="H71" s="27">
        <v>0.21</v>
      </c>
      <c r="I71" s="17">
        <f>H71*I70</f>
        <v>0</v>
      </c>
    </row>
    <row r="72" spans="1:14" ht="17.100000000000001" customHeight="1">
      <c r="F72" s="10" t="s">
        <v>69</v>
      </c>
      <c r="I72" s="15">
        <f>I71+I70</f>
        <v>0</v>
      </c>
      <c r="L72" s="69"/>
      <c r="M72" s="16"/>
      <c r="N72" s="16"/>
    </row>
    <row r="73" spans="1:14">
      <c r="C73" s="18"/>
      <c r="D73" s="21"/>
      <c r="E73" s="21"/>
      <c r="F73" s="21"/>
      <c r="G73" s="21"/>
      <c r="H73" s="21"/>
      <c r="I73" s="15"/>
    </row>
    <row r="74" spans="1:14" s="9" customFormat="1" ht="15">
      <c r="A74" s="89"/>
      <c r="C74" s="72" t="s">
        <v>70</v>
      </c>
      <c r="D74" s="72"/>
      <c r="E74" s="72"/>
      <c r="F74" s="72"/>
      <c r="G74" s="72"/>
      <c r="H74" s="72"/>
      <c r="I74" s="73"/>
      <c r="J74" s="93"/>
    </row>
    <row r="75" spans="1:14"/>
    <row r="76" spans="1:14" ht="13.5" thickBot="1"/>
    <row r="77" spans="1:14" s="74" customFormat="1" ht="39" thickBot="1">
      <c r="A77" s="89"/>
      <c r="C77" s="464" t="s">
        <v>47</v>
      </c>
      <c r="D77" s="461" t="s">
        <v>48</v>
      </c>
      <c r="E77" s="462" t="s">
        <v>71</v>
      </c>
      <c r="F77" s="462" t="s">
        <v>50</v>
      </c>
      <c r="G77" s="462" t="s">
        <v>51</v>
      </c>
      <c r="H77" s="462" t="s">
        <v>52</v>
      </c>
      <c r="I77" s="463"/>
      <c r="J77" s="94"/>
    </row>
    <row r="78" spans="1:14" s="29" customFormat="1">
      <c r="A78" s="89"/>
      <c r="C78" s="77" t="s">
        <v>54</v>
      </c>
      <c r="D78" s="78"/>
      <c r="E78" s="78"/>
      <c r="F78" s="79"/>
      <c r="G78" s="79"/>
      <c r="H78" s="79"/>
      <c r="I78" s="79"/>
      <c r="J78" s="95"/>
    </row>
    <row r="79" spans="1:14" s="29" customFormat="1">
      <c r="A79" s="186"/>
      <c r="I79" s="85"/>
      <c r="J79" s="95"/>
    </row>
    <row r="80" spans="1:14" s="29" customFormat="1">
      <c r="A80" s="90"/>
      <c r="B80" s="158" t="s">
        <v>15</v>
      </c>
      <c r="C80" s="170" t="s">
        <v>72</v>
      </c>
      <c r="D80" s="423"/>
      <c r="E80" s="87">
        <f>G80/F80</f>
        <v>0</v>
      </c>
      <c r="F80" s="184">
        <v>3</v>
      </c>
      <c r="G80" s="87">
        <f>$G$93*D80</f>
        <v>0</v>
      </c>
      <c r="H80" s="185">
        <f>HLOOKUP(C80,basistariefglas,47,FALSE)</f>
        <v>0</v>
      </c>
      <c r="I80" s="183">
        <f>H80*G80</f>
        <v>0</v>
      </c>
      <c r="J80" s="95"/>
    </row>
    <row r="81" spans="1:255" s="29" customFormat="1">
      <c r="A81" s="90"/>
      <c r="C81" s="187"/>
      <c r="D81" s="212"/>
      <c r="E81" s="187"/>
      <c r="F81" s="187"/>
      <c r="G81" s="187"/>
      <c r="H81" s="187"/>
      <c r="I81" s="187"/>
      <c r="J81" s="188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7"/>
      <c r="BN81" s="187"/>
      <c r="BO81" s="187"/>
      <c r="BP81" s="187"/>
      <c r="BQ81" s="187"/>
      <c r="BR81" s="187"/>
      <c r="BS81" s="187"/>
      <c r="BT81" s="187"/>
      <c r="BU81" s="187"/>
      <c r="BV81" s="187"/>
      <c r="BW81" s="187"/>
      <c r="BX81" s="187"/>
      <c r="BY81" s="187"/>
      <c r="BZ81" s="187"/>
      <c r="CA81" s="187"/>
      <c r="CB81" s="187"/>
      <c r="CC81" s="187"/>
      <c r="CD81" s="187"/>
      <c r="CE81" s="187"/>
      <c r="CF81" s="187"/>
      <c r="CG81" s="187"/>
      <c r="CH81" s="187"/>
      <c r="CI81" s="187"/>
      <c r="CJ81" s="187"/>
      <c r="CK81" s="187"/>
      <c r="CL81" s="187"/>
      <c r="CM81" s="187"/>
      <c r="CN81" s="187"/>
      <c r="CO81" s="187"/>
      <c r="CP81" s="187"/>
      <c r="CQ81" s="187"/>
      <c r="CR81" s="187"/>
      <c r="CS81" s="187"/>
      <c r="CT81" s="187"/>
      <c r="CU81" s="187"/>
      <c r="CV81" s="187"/>
      <c r="CW81" s="187"/>
      <c r="CX81" s="187"/>
      <c r="CY81" s="187"/>
      <c r="CZ81" s="187"/>
      <c r="DA81" s="187"/>
      <c r="DB81" s="187"/>
      <c r="DC81" s="187"/>
      <c r="DD81" s="187"/>
      <c r="DE81" s="187"/>
      <c r="DF81" s="187"/>
      <c r="DG81" s="187"/>
      <c r="DH81" s="187"/>
      <c r="DI81" s="187"/>
      <c r="DJ81" s="187"/>
      <c r="DK81" s="187"/>
      <c r="DL81" s="187"/>
      <c r="DM81" s="187"/>
      <c r="DN81" s="187"/>
      <c r="DO81" s="187"/>
      <c r="DP81" s="187"/>
      <c r="DQ81" s="187"/>
      <c r="DR81" s="187"/>
      <c r="DS81" s="187"/>
      <c r="DT81" s="187"/>
      <c r="DU81" s="187"/>
      <c r="DV81" s="187"/>
      <c r="DW81" s="187"/>
      <c r="DX81" s="187"/>
      <c r="DY81" s="187"/>
      <c r="DZ81" s="187"/>
      <c r="EA81" s="187"/>
      <c r="EB81" s="187"/>
      <c r="EC81" s="187"/>
      <c r="ED81" s="187"/>
      <c r="EE81" s="187"/>
      <c r="EF81" s="187"/>
      <c r="EG81" s="187"/>
      <c r="EH81" s="187"/>
      <c r="EI81" s="187"/>
      <c r="EJ81" s="187"/>
      <c r="EK81" s="187"/>
      <c r="EL81" s="187"/>
      <c r="EM81" s="187"/>
      <c r="EN81" s="187"/>
      <c r="EO81" s="187"/>
      <c r="EP81" s="187"/>
      <c r="EQ81" s="187"/>
      <c r="ER81" s="187"/>
      <c r="ES81" s="187"/>
      <c r="ET81" s="187"/>
      <c r="EU81" s="187"/>
      <c r="EV81" s="187"/>
      <c r="EW81" s="187"/>
      <c r="EX81" s="187"/>
      <c r="EY81" s="187"/>
      <c r="EZ81" s="187"/>
      <c r="FA81" s="187"/>
      <c r="FB81" s="187"/>
      <c r="FC81" s="187"/>
      <c r="FD81" s="187"/>
      <c r="FE81" s="187"/>
      <c r="FF81" s="187"/>
      <c r="FG81" s="187"/>
      <c r="FH81" s="187"/>
      <c r="FI81" s="187"/>
      <c r="FJ81" s="187"/>
      <c r="FK81" s="187"/>
      <c r="FL81" s="187"/>
      <c r="FM81" s="187"/>
      <c r="FN81" s="187"/>
      <c r="FO81" s="187"/>
      <c r="FP81" s="187"/>
      <c r="FQ81" s="187"/>
      <c r="FR81" s="187"/>
      <c r="FS81" s="187"/>
      <c r="FT81" s="187"/>
      <c r="FU81" s="187"/>
      <c r="FV81" s="187"/>
      <c r="FW81" s="187"/>
      <c r="FX81" s="187"/>
      <c r="FY81" s="187"/>
      <c r="FZ81" s="187"/>
      <c r="GA81" s="187"/>
      <c r="GB81" s="187"/>
      <c r="GC81" s="187"/>
      <c r="GD81" s="187"/>
      <c r="GE81" s="187"/>
      <c r="GF81" s="187"/>
      <c r="GG81" s="187"/>
      <c r="GH81" s="187"/>
      <c r="GI81" s="187"/>
      <c r="GJ81" s="187"/>
      <c r="GK81" s="187"/>
      <c r="GL81" s="187"/>
      <c r="GM81" s="187"/>
      <c r="GN81" s="187"/>
      <c r="GO81" s="187"/>
      <c r="GP81" s="187"/>
      <c r="GQ81" s="187"/>
      <c r="GR81" s="187"/>
      <c r="GS81" s="187"/>
      <c r="GT81" s="187"/>
      <c r="GU81" s="187"/>
      <c r="GV81" s="187"/>
      <c r="GW81" s="187"/>
      <c r="GX81" s="187"/>
      <c r="GY81" s="187"/>
      <c r="GZ81" s="187"/>
      <c r="HA81" s="187"/>
      <c r="HB81" s="187"/>
      <c r="HC81" s="187"/>
      <c r="HD81" s="187"/>
      <c r="HE81" s="187"/>
      <c r="HF81" s="187"/>
      <c r="HG81" s="187"/>
      <c r="HH81" s="187"/>
      <c r="HI81" s="187"/>
      <c r="HJ81" s="187"/>
      <c r="HK81" s="187"/>
      <c r="HL81" s="187"/>
      <c r="HM81" s="187"/>
      <c r="HN81" s="187"/>
      <c r="HO81" s="187"/>
      <c r="HP81" s="187"/>
      <c r="HQ81" s="187"/>
      <c r="HR81" s="187"/>
      <c r="HS81" s="187"/>
      <c r="HT81" s="187"/>
      <c r="HU81" s="187"/>
      <c r="HV81" s="187"/>
      <c r="HW81" s="187"/>
      <c r="HX81" s="187"/>
      <c r="HY81" s="187"/>
      <c r="HZ81" s="187"/>
      <c r="IA81" s="187"/>
      <c r="IB81" s="187"/>
      <c r="IC81" s="187"/>
      <c r="ID81" s="187"/>
      <c r="IE81" s="187"/>
      <c r="IF81" s="187"/>
      <c r="IG81" s="187"/>
      <c r="IH81" s="187"/>
      <c r="II81" s="187"/>
      <c r="IJ81" s="187"/>
      <c r="IK81" s="187"/>
      <c r="IL81" s="187"/>
      <c r="IM81" s="187"/>
      <c r="IN81" s="187"/>
      <c r="IO81" s="187"/>
      <c r="IP81" s="187"/>
      <c r="IQ81" s="187"/>
      <c r="IR81" s="187"/>
      <c r="IS81" s="187"/>
      <c r="IT81" s="187"/>
      <c r="IU81" s="187"/>
    </row>
    <row r="82" spans="1:255" s="29" customFormat="1">
      <c r="A82" s="186"/>
      <c r="D82" s="209"/>
      <c r="I82" s="85"/>
      <c r="J82" s="95"/>
    </row>
    <row r="83" spans="1:255" s="29" customFormat="1">
      <c r="A83" s="90"/>
      <c r="B83" s="158" t="s">
        <v>15</v>
      </c>
      <c r="C83" s="170" t="s">
        <v>72</v>
      </c>
      <c r="D83" s="207">
        <v>0</v>
      </c>
      <c r="E83" s="87">
        <f>G83/F83</f>
        <v>0</v>
      </c>
      <c r="F83" s="184">
        <v>3</v>
      </c>
      <c r="G83" s="87">
        <f>$G$93*D83</f>
        <v>0</v>
      </c>
      <c r="H83" s="185">
        <f>HLOOKUP(C83,basistariefglas,47,FALSE)</f>
        <v>0</v>
      </c>
      <c r="I83" s="183">
        <f>H83*G83</f>
        <v>0</v>
      </c>
      <c r="J83" s="95"/>
    </row>
    <row r="84" spans="1:255" s="29" customFormat="1">
      <c r="A84" s="90"/>
      <c r="C84" s="187"/>
      <c r="D84" s="212"/>
      <c r="E84" s="187"/>
      <c r="F84" s="187"/>
      <c r="G84" s="187"/>
      <c r="H84" s="187"/>
      <c r="I84" s="187"/>
      <c r="J84" s="188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7"/>
      <c r="BR84" s="187"/>
      <c r="BS84" s="187"/>
      <c r="BT84" s="187"/>
      <c r="BU84" s="187"/>
      <c r="BV84" s="187"/>
      <c r="BW84" s="187"/>
      <c r="BX84" s="187"/>
      <c r="BY84" s="187"/>
      <c r="BZ84" s="187"/>
      <c r="CA84" s="187"/>
      <c r="CB84" s="187"/>
      <c r="CC84" s="187"/>
      <c r="CD84" s="187"/>
      <c r="CE84" s="187"/>
      <c r="CF84" s="187"/>
      <c r="CG84" s="187"/>
      <c r="CH84" s="187"/>
      <c r="CI84" s="187"/>
      <c r="CJ84" s="187"/>
      <c r="CK84" s="187"/>
      <c r="CL84" s="187"/>
      <c r="CM84" s="187"/>
      <c r="CN84" s="187"/>
      <c r="CO84" s="187"/>
      <c r="CP84" s="187"/>
      <c r="CQ84" s="187"/>
      <c r="CR84" s="187"/>
      <c r="CS84" s="187"/>
      <c r="CT84" s="187"/>
      <c r="CU84" s="187"/>
      <c r="CV84" s="187"/>
      <c r="CW84" s="187"/>
      <c r="CX84" s="187"/>
      <c r="CY84" s="187"/>
      <c r="CZ84" s="187"/>
      <c r="DA84" s="187"/>
      <c r="DB84" s="187"/>
      <c r="DC84" s="187"/>
      <c r="DD84" s="187"/>
      <c r="DE84" s="187"/>
      <c r="DF84" s="187"/>
      <c r="DG84" s="187"/>
      <c r="DH84" s="187"/>
      <c r="DI84" s="187"/>
      <c r="DJ84" s="187"/>
      <c r="DK84" s="187"/>
      <c r="DL84" s="187"/>
      <c r="DM84" s="187"/>
      <c r="DN84" s="187"/>
      <c r="DO84" s="187"/>
      <c r="DP84" s="187"/>
      <c r="DQ84" s="187"/>
      <c r="DR84" s="187"/>
      <c r="DS84" s="187"/>
      <c r="DT84" s="187"/>
      <c r="DU84" s="187"/>
      <c r="DV84" s="187"/>
      <c r="DW84" s="187"/>
      <c r="DX84" s="187"/>
      <c r="DY84" s="187"/>
      <c r="DZ84" s="187"/>
      <c r="EA84" s="187"/>
      <c r="EB84" s="187"/>
      <c r="EC84" s="187"/>
      <c r="ED84" s="187"/>
      <c r="EE84" s="187"/>
      <c r="EF84" s="187"/>
      <c r="EG84" s="187"/>
      <c r="EH84" s="187"/>
      <c r="EI84" s="187"/>
      <c r="EJ84" s="187"/>
      <c r="EK84" s="187"/>
      <c r="EL84" s="187"/>
      <c r="EM84" s="187"/>
      <c r="EN84" s="187"/>
      <c r="EO84" s="187"/>
      <c r="EP84" s="187"/>
      <c r="EQ84" s="187"/>
      <c r="ER84" s="187"/>
      <c r="ES84" s="187"/>
      <c r="ET84" s="187"/>
      <c r="EU84" s="187"/>
      <c r="EV84" s="187"/>
      <c r="EW84" s="187"/>
      <c r="EX84" s="187"/>
      <c r="EY84" s="187"/>
      <c r="EZ84" s="187"/>
      <c r="FA84" s="187"/>
      <c r="FB84" s="187"/>
      <c r="FC84" s="187"/>
      <c r="FD84" s="187"/>
      <c r="FE84" s="187"/>
      <c r="FF84" s="187"/>
      <c r="FG84" s="187"/>
      <c r="FH84" s="187"/>
      <c r="FI84" s="187"/>
      <c r="FJ84" s="187"/>
      <c r="FK84" s="187"/>
      <c r="FL84" s="187"/>
      <c r="FM84" s="187"/>
      <c r="FN84" s="187"/>
      <c r="FO84" s="187"/>
      <c r="FP84" s="187"/>
      <c r="FQ84" s="187"/>
      <c r="FR84" s="187"/>
      <c r="FS84" s="187"/>
      <c r="FT84" s="187"/>
      <c r="FU84" s="187"/>
      <c r="FV84" s="187"/>
      <c r="FW84" s="187"/>
      <c r="FX84" s="187"/>
      <c r="FY84" s="187"/>
      <c r="FZ84" s="187"/>
      <c r="GA84" s="187"/>
      <c r="GB84" s="187"/>
      <c r="GC84" s="187"/>
      <c r="GD84" s="187"/>
      <c r="GE84" s="187"/>
      <c r="GF84" s="187"/>
      <c r="GG84" s="187"/>
      <c r="GH84" s="187"/>
      <c r="GI84" s="187"/>
      <c r="GJ84" s="187"/>
      <c r="GK84" s="187"/>
      <c r="GL84" s="187"/>
      <c r="GM84" s="187"/>
      <c r="GN84" s="187"/>
      <c r="GO84" s="187"/>
      <c r="GP84" s="187"/>
      <c r="GQ84" s="187"/>
      <c r="GR84" s="187"/>
      <c r="GS84" s="187"/>
      <c r="GT84" s="187"/>
      <c r="GU84" s="187"/>
      <c r="GV84" s="187"/>
      <c r="GW84" s="187"/>
      <c r="GX84" s="187"/>
      <c r="GY84" s="187"/>
      <c r="GZ84" s="187"/>
      <c r="HA84" s="187"/>
      <c r="HB84" s="187"/>
      <c r="HC84" s="187"/>
      <c r="HD84" s="187"/>
      <c r="HE84" s="187"/>
      <c r="HF84" s="187"/>
      <c r="HG84" s="187"/>
      <c r="HH84" s="187"/>
      <c r="HI84" s="187"/>
      <c r="HJ84" s="187"/>
      <c r="HK84" s="187"/>
      <c r="HL84" s="187"/>
      <c r="HM84" s="187"/>
      <c r="HN84" s="187"/>
      <c r="HO84" s="187"/>
      <c r="HP84" s="187"/>
      <c r="HQ84" s="187"/>
      <c r="HR84" s="187"/>
      <c r="HS84" s="187"/>
      <c r="HT84" s="187"/>
      <c r="HU84" s="187"/>
      <c r="HV84" s="187"/>
      <c r="HW84" s="187"/>
      <c r="HX84" s="187"/>
      <c r="HY84" s="187"/>
      <c r="HZ84" s="187"/>
      <c r="IA84" s="187"/>
      <c r="IB84" s="187"/>
      <c r="IC84" s="187"/>
      <c r="ID84" s="187"/>
      <c r="IE84" s="187"/>
      <c r="IF84" s="187"/>
      <c r="IG84" s="187"/>
      <c r="IH84" s="187"/>
      <c r="II84" s="187"/>
      <c r="IJ84" s="187"/>
      <c r="IK84" s="187"/>
      <c r="IL84" s="187"/>
      <c r="IM84" s="187"/>
      <c r="IN84" s="187"/>
      <c r="IO84" s="187"/>
      <c r="IP84" s="187"/>
      <c r="IQ84" s="187"/>
      <c r="IR84" s="187"/>
      <c r="IS84" s="187"/>
      <c r="IT84" s="187"/>
      <c r="IU84" s="187"/>
    </row>
    <row r="85" spans="1:255" s="29" customFormat="1">
      <c r="A85" s="186"/>
      <c r="D85" s="209"/>
      <c r="I85" s="85"/>
      <c r="J85" s="95"/>
    </row>
    <row r="86" spans="1:255" s="29" customFormat="1">
      <c r="A86" s="90"/>
      <c r="B86" s="158" t="s">
        <v>15</v>
      </c>
      <c r="C86" s="170" t="s">
        <v>72</v>
      </c>
      <c r="D86" s="207">
        <v>0</v>
      </c>
      <c r="E86" s="87">
        <f>G86/F86</f>
        <v>0</v>
      </c>
      <c r="F86" s="184">
        <v>3</v>
      </c>
      <c r="G86" s="87">
        <f>$G$93*D86</f>
        <v>0</v>
      </c>
      <c r="H86" s="185">
        <f>HLOOKUP(C86,basistariefglas,47,FALSE)</f>
        <v>0</v>
      </c>
      <c r="I86" s="183">
        <f>H86*G86</f>
        <v>0</v>
      </c>
      <c r="J86" s="95"/>
    </row>
    <row r="87" spans="1:255" s="29" customFormat="1">
      <c r="A87" s="90"/>
      <c r="C87" s="187"/>
      <c r="D87" s="212"/>
      <c r="E87" s="187"/>
      <c r="F87" s="187"/>
      <c r="G87" s="187"/>
      <c r="H87" s="187"/>
      <c r="I87" s="187"/>
      <c r="J87" s="188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  <c r="AH87" s="187"/>
      <c r="AI87" s="187"/>
      <c r="AJ87" s="187"/>
      <c r="AK87" s="187"/>
      <c r="AL87" s="187"/>
      <c r="AM87" s="187"/>
      <c r="AN87" s="187"/>
      <c r="AO87" s="187"/>
      <c r="AP87" s="187"/>
      <c r="AQ87" s="187"/>
      <c r="AR87" s="187"/>
      <c r="AS87" s="187"/>
      <c r="AT87" s="187"/>
      <c r="AU87" s="187"/>
      <c r="AV87" s="187"/>
      <c r="AW87" s="187"/>
      <c r="AX87" s="187"/>
      <c r="AY87" s="187"/>
      <c r="AZ87" s="187"/>
      <c r="BA87" s="187"/>
      <c r="BB87" s="187"/>
      <c r="BC87" s="187"/>
      <c r="BD87" s="187"/>
      <c r="BE87" s="187"/>
      <c r="BF87" s="187"/>
      <c r="BG87" s="187"/>
      <c r="BH87" s="187"/>
      <c r="BI87" s="187"/>
      <c r="BJ87" s="187"/>
      <c r="BK87" s="187"/>
      <c r="BL87" s="187"/>
      <c r="BM87" s="187"/>
      <c r="BN87" s="187"/>
      <c r="BO87" s="187"/>
      <c r="BP87" s="187"/>
      <c r="BQ87" s="187"/>
      <c r="BR87" s="187"/>
      <c r="BS87" s="187"/>
      <c r="BT87" s="187"/>
      <c r="BU87" s="187"/>
      <c r="BV87" s="187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7"/>
      <c r="CK87" s="187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7"/>
      <c r="CZ87" s="187"/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7"/>
      <c r="DS87" s="187"/>
      <c r="DT87" s="187"/>
      <c r="DU87" s="187"/>
      <c r="DV87" s="187"/>
      <c r="DW87" s="187"/>
      <c r="DX87" s="187"/>
      <c r="DY87" s="187"/>
      <c r="DZ87" s="187"/>
      <c r="EA87" s="187"/>
      <c r="EB87" s="187"/>
      <c r="EC87" s="187"/>
      <c r="ED87" s="187"/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7"/>
      <c r="EU87" s="187"/>
      <c r="EV87" s="187"/>
      <c r="EW87" s="187"/>
      <c r="EX87" s="187"/>
      <c r="EY87" s="187"/>
      <c r="EZ87" s="187"/>
      <c r="FA87" s="187"/>
      <c r="FB87" s="187"/>
      <c r="FC87" s="187"/>
      <c r="FD87" s="187"/>
      <c r="FE87" s="187"/>
      <c r="FF87" s="187"/>
      <c r="FG87" s="187"/>
      <c r="FH87" s="187"/>
      <c r="FI87" s="187"/>
      <c r="FJ87" s="187"/>
      <c r="FK87" s="187"/>
      <c r="FL87" s="187"/>
      <c r="FM87" s="187"/>
      <c r="FN87" s="187"/>
      <c r="FO87" s="187"/>
      <c r="FP87" s="187"/>
      <c r="FQ87" s="187"/>
      <c r="FR87" s="187"/>
      <c r="FS87" s="187"/>
      <c r="FT87" s="187"/>
      <c r="FU87" s="187"/>
      <c r="FV87" s="187"/>
      <c r="FW87" s="187"/>
      <c r="FX87" s="187"/>
      <c r="FY87" s="187"/>
      <c r="FZ87" s="187"/>
      <c r="GA87" s="187"/>
      <c r="GB87" s="187"/>
      <c r="GC87" s="187"/>
      <c r="GD87" s="187"/>
      <c r="GE87" s="187"/>
      <c r="GF87" s="187"/>
      <c r="GG87" s="187"/>
      <c r="GH87" s="187"/>
      <c r="GI87" s="187"/>
      <c r="GJ87" s="187"/>
      <c r="GK87" s="187"/>
      <c r="GL87" s="187"/>
      <c r="GM87" s="187"/>
      <c r="GN87" s="187"/>
      <c r="GO87" s="187"/>
      <c r="GP87" s="187"/>
      <c r="GQ87" s="187"/>
      <c r="GR87" s="187"/>
      <c r="GS87" s="187"/>
      <c r="GT87" s="187"/>
      <c r="GU87" s="187"/>
      <c r="GV87" s="187"/>
      <c r="GW87" s="187"/>
      <c r="GX87" s="187"/>
      <c r="GY87" s="187"/>
      <c r="GZ87" s="187"/>
      <c r="HA87" s="187"/>
      <c r="HB87" s="187"/>
      <c r="HC87" s="187"/>
      <c r="HD87" s="187"/>
      <c r="HE87" s="187"/>
      <c r="HF87" s="187"/>
      <c r="HG87" s="187"/>
      <c r="HH87" s="187"/>
      <c r="HI87" s="187"/>
      <c r="HJ87" s="187"/>
      <c r="HK87" s="187"/>
      <c r="HL87" s="187"/>
      <c r="HM87" s="187"/>
      <c r="HN87" s="187"/>
      <c r="HO87" s="187"/>
      <c r="HP87" s="187"/>
      <c r="HQ87" s="187"/>
      <c r="HR87" s="187"/>
      <c r="HS87" s="187"/>
      <c r="HT87" s="187"/>
      <c r="HU87" s="187"/>
      <c r="HV87" s="187"/>
      <c r="HW87" s="187"/>
      <c r="HX87" s="187"/>
      <c r="HY87" s="187"/>
      <c r="HZ87" s="187"/>
      <c r="IA87" s="187"/>
      <c r="IB87" s="187"/>
      <c r="IC87" s="187"/>
      <c r="ID87" s="187"/>
      <c r="IE87" s="187"/>
      <c r="IF87" s="187"/>
      <c r="IG87" s="187"/>
      <c r="IH87" s="187"/>
      <c r="II87" s="187"/>
      <c r="IJ87" s="187"/>
      <c r="IK87" s="187"/>
      <c r="IL87" s="187"/>
      <c r="IM87" s="187"/>
      <c r="IN87" s="187"/>
      <c r="IO87" s="187"/>
      <c r="IP87" s="187"/>
      <c r="IQ87" s="187"/>
      <c r="IR87" s="187"/>
      <c r="IS87" s="187"/>
      <c r="IT87" s="187"/>
      <c r="IU87" s="187"/>
    </row>
    <row r="88" spans="1:255" s="29" customFormat="1">
      <c r="A88" s="90"/>
      <c r="D88" s="209"/>
      <c r="I88" s="85"/>
      <c r="J88" s="95"/>
    </row>
    <row r="89" spans="1:255" s="29" customFormat="1">
      <c r="A89" s="90"/>
      <c r="B89" s="158" t="s">
        <v>15</v>
      </c>
      <c r="C89" s="170" t="s">
        <v>72</v>
      </c>
      <c r="D89" s="207">
        <v>0</v>
      </c>
      <c r="E89" s="87">
        <f>G89/F89</f>
        <v>0</v>
      </c>
      <c r="F89" s="184">
        <v>3</v>
      </c>
      <c r="G89" s="87">
        <f>$G$93*D89</f>
        <v>0</v>
      </c>
      <c r="H89" s="185">
        <f>HLOOKUP(C89,basistariefglas,47,FALSE)</f>
        <v>0</v>
      </c>
      <c r="I89" s="183">
        <f>H89*G89</f>
        <v>0</v>
      </c>
      <c r="J89" s="95"/>
    </row>
    <row r="90" spans="1:255" s="29" customFormat="1">
      <c r="A90" s="90"/>
      <c r="C90" s="187"/>
      <c r="D90" s="212"/>
      <c r="E90" s="187"/>
      <c r="F90" s="187"/>
      <c r="G90" s="187"/>
      <c r="H90" s="187"/>
      <c r="I90" s="187"/>
      <c r="J90" s="188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  <c r="AH90" s="187"/>
      <c r="AI90" s="187"/>
      <c r="AJ90" s="187"/>
      <c r="AK90" s="187"/>
      <c r="AL90" s="187"/>
      <c r="AM90" s="187"/>
      <c r="AN90" s="187"/>
      <c r="AO90" s="187"/>
      <c r="AP90" s="187"/>
      <c r="AQ90" s="187"/>
      <c r="AR90" s="187"/>
      <c r="AS90" s="187"/>
      <c r="AT90" s="187"/>
      <c r="AU90" s="187"/>
      <c r="AV90" s="187"/>
      <c r="AW90" s="187"/>
      <c r="AX90" s="187"/>
      <c r="AY90" s="187"/>
      <c r="AZ90" s="187"/>
      <c r="BA90" s="187"/>
      <c r="BB90" s="187"/>
      <c r="BC90" s="187"/>
      <c r="BD90" s="187"/>
      <c r="BE90" s="187"/>
      <c r="BF90" s="187"/>
      <c r="BG90" s="187"/>
      <c r="BH90" s="187"/>
      <c r="BI90" s="187"/>
      <c r="BJ90" s="187"/>
      <c r="BK90" s="187"/>
      <c r="BL90" s="187"/>
      <c r="BM90" s="187"/>
      <c r="BN90" s="187"/>
      <c r="BO90" s="187"/>
      <c r="BP90" s="187"/>
      <c r="BQ90" s="187"/>
      <c r="BR90" s="187"/>
      <c r="BS90" s="187"/>
      <c r="BT90" s="187"/>
      <c r="BU90" s="187"/>
      <c r="BV90" s="187"/>
      <c r="BW90" s="187"/>
      <c r="BX90" s="187"/>
      <c r="BY90" s="187"/>
      <c r="BZ90" s="187"/>
      <c r="CA90" s="187"/>
      <c r="CB90" s="187"/>
      <c r="CC90" s="187"/>
      <c r="CD90" s="187"/>
      <c r="CE90" s="187"/>
      <c r="CF90" s="187"/>
      <c r="CG90" s="187"/>
      <c r="CH90" s="187"/>
      <c r="CI90" s="187"/>
      <c r="CJ90" s="187"/>
      <c r="CK90" s="187"/>
      <c r="CL90" s="187"/>
      <c r="CM90" s="187"/>
      <c r="CN90" s="187"/>
      <c r="CO90" s="187"/>
      <c r="CP90" s="187"/>
      <c r="CQ90" s="187"/>
      <c r="CR90" s="187"/>
      <c r="CS90" s="187"/>
      <c r="CT90" s="187"/>
      <c r="CU90" s="187"/>
      <c r="CV90" s="187"/>
      <c r="CW90" s="187"/>
      <c r="CX90" s="187"/>
      <c r="CY90" s="187"/>
      <c r="CZ90" s="187"/>
      <c r="DA90" s="187"/>
      <c r="DB90" s="187"/>
      <c r="DC90" s="187"/>
      <c r="DD90" s="187"/>
      <c r="DE90" s="187"/>
      <c r="DF90" s="187"/>
      <c r="DG90" s="187"/>
      <c r="DH90" s="187"/>
      <c r="DI90" s="187"/>
      <c r="DJ90" s="187"/>
      <c r="DK90" s="187"/>
      <c r="DL90" s="187"/>
      <c r="DM90" s="187"/>
      <c r="DN90" s="187"/>
      <c r="DO90" s="187"/>
      <c r="DP90" s="187"/>
      <c r="DQ90" s="187"/>
      <c r="DR90" s="187"/>
      <c r="DS90" s="187"/>
      <c r="DT90" s="187"/>
      <c r="DU90" s="187"/>
      <c r="DV90" s="187"/>
      <c r="DW90" s="187"/>
      <c r="DX90" s="187"/>
      <c r="DY90" s="187"/>
      <c r="DZ90" s="187"/>
      <c r="EA90" s="187"/>
      <c r="EB90" s="187"/>
      <c r="EC90" s="187"/>
      <c r="ED90" s="187"/>
      <c r="EE90" s="187"/>
      <c r="EF90" s="187"/>
      <c r="EG90" s="187"/>
      <c r="EH90" s="187"/>
      <c r="EI90" s="187"/>
      <c r="EJ90" s="187"/>
      <c r="EK90" s="187"/>
      <c r="EL90" s="187"/>
      <c r="EM90" s="187"/>
      <c r="EN90" s="187"/>
      <c r="EO90" s="187"/>
      <c r="EP90" s="187"/>
      <c r="EQ90" s="187"/>
      <c r="ER90" s="187"/>
      <c r="ES90" s="187"/>
      <c r="ET90" s="187"/>
      <c r="EU90" s="187"/>
      <c r="EV90" s="187"/>
      <c r="EW90" s="187"/>
      <c r="EX90" s="187"/>
      <c r="EY90" s="187"/>
      <c r="EZ90" s="187"/>
      <c r="FA90" s="187"/>
      <c r="FB90" s="187"/>
      <c r="FC90" s="187"/>
      <c r="FD90" s="187"/>
      <c r="FE90" s="187"/>
      <c r="FF90" s="187"/>
      <c r="FG90" s="187"/>
      <c r="FH90" s="187"/>
      <c r="FI90" s="187"/>
      <c r="FJ90" s="187"/>
      <c r="FK90" s="187"/>
      <c r="FL90" s="187"/>
      <c r="FM90" s="187"/>
      <c r="FN90" s="187"/>
      <c r="FO90" s="187"/>
      <c r="FP90" s="187"/>
      <c r="FQ90" s="187"/>
      <c r="FR90" s="187"/>
      <c r="FS90" s="187"/>
      <c r="FT90" s="187"/>
      <c r="FU90" s="187"/>
      <c r="FV90" s="187"/>
      <c r="FW90" s="187"/>
      <c r="FX90" s="187"/>
      <c r="FY90" s="187"/>
      <c r="FZ90" s="187"/>
      <c r="GA90" s="187"/>
      <c r="GB90" s="187"/>
      <c r="GC90" s="187"/>
      <c r="GD90" s="187"/>
      <c r="GE90" s="187"/>
      <c r="GF90" s="187"/>
      <c r="GG90" s="187"/>
      <c r="GH90" s="187"/>
      <c r="GI90" s="187"/>
      <c r="GJ90" s="187"/>
      <c r="GK90" s="187"/>
      <c r="GL90" s="187"/>
      <c r="GM90" s="187"/>
      <c r="GN90" s="187"/>
      <c r="GO90" s="187"/>
      <c r="GP90" s="187"/>
      <c r="GQ90" s="187"/>
      <c r="GR90" s="187"/>
      <c r="GS90" s="187"/>
      <c r="GT90" s="187"/>
      <c r="GU90" s="187"/>
      <c r="GV90" s="187"/>
      <c r="GW90" s="187"/>
      <c r="GX90" s="187"/>
      <c r="GY90" s="187"/>
      <c r="GZ90" s="187"/>
      <c r="HA90" s="187"/>
      <c r="HB90" s="187"/>
      <c r="HC90" s="187"/>
      <c r="HD90" s="187"/>
      <c r="HE90" s="187"/>
      <c r="HF90" s="187"/>
      <c r="HG90" s="187"/>
      <c r="HH90" s="187"/>
      <c r="HI90" s="187"/>
      <c r="HJ90" s="187"/>
      <c r="HK90" s="187"/>
      <c r="HL90" s="187"/>
      <c r="HM90" s="187"/>
      <c r="HN90" s="187"/>
      <c r="HO90" s="187"/>
      <c r="HP90" s="187"/>
      <c r="HQ90" s="187"/>
      <c r="HR90" s="187"/>
      <c r="HS90" s="187"/>
      <c r="HT90" s="187"/>
      <c r="HU90" s="187"/>
      <c r="HV90" s="187"/>
      <c r="HW90" s="187"/>
      <c r="HX90" s="187"/>
      <c r="HY90" s="187"/>
      <c r="HZ90" s="187"/>
      <c r="IA90" s="187"/>
      <c r="IB90" s="187"/>
      <c r="IC90" s="187"/>
      <c r="ID90" s="187"/>
      <c r="IE90" s="187"/>
      <c r="IF90" s="187"/>
      <c r="IG90" s="187"/>
      <c r="IH90" s="187"/>
      <c r="II90" s="187"/>
      <c r="IJ90" s="187"/>
      <c r="IK90" s="187"/>
      <c r="IL90" s="187"/>
      <c r="IM90" s="187"/>
      <c r="IN90" s="187"/>
      <c r="IO90" s="187"/>
      <c r="IP90" s="187"/>
      <c r="IQ90" s="187"/>
      <c r="IR90" s="187"/>
      <c r="IS90" s="187"/>
      <c r="IT90" s="187"/>
      <c r="IU90" s="187"/>
    </row>
    <row r="91" spans="1:255" s="29" customFormat="1">
      <c r="A91" s="90"/>
      <c r="D91" s="209"/>
      <c r="I91" s="85"/>
      <c r="J91" s="95"/>
    </row>
    <row r="92" spans="1:255" s="29" customFormat="1">
      <c r="A92" s="90"/>
      <c r="B92" s="158" t="s">
        <v>15</v>
      </c>
      <c r="C92" s="170" t="s">
        <v>72</v>
      </c>
      <c r="D92" s="207">
        <v>0</v>
      </c>
      <c r="E92" s="189" t="e">
        <f>G92/F92</f>
        <v>#VALUE!</v>
      </c>
      <c r="F92" s="184">
        <v>3</v>
      </c>
      <c r="G92" s="87" t="e">
        <f>$G$27*D92</f>
        <v>#VALUE!</v>
      </c>
      <c r="H92" s="185">
        <f>HLOOKUP(C92,basistariefglas,47,FALSE)</f>
        <v>0</v>
      </c>
      <c r="I92" s="183"/>
      <c r="J92" s="95"/>
    </row>
    <row r="93" spans="1:255" s="29" customFormat="1">
      <c r="A93" s="90"/>
      <c r="C93" s="230" t="str">
        <f>IF(D93&gt;100%,"Mag niet hoger zijn dan 100%","")</f>
        <v/>
      </c>
      <c r="D93" s="210">
        <f>D92+D89+D86+D83+D80</f>
        <v>0</v>
      </c>
      <c r="E93" s="82" t="e">
        <f>SUM(E80:E92)</f>
        <v>#VALUE!</v>
      </c>
      <c r="F93" s="79"/>
      <c r="G93" s="82">
        <f>SUM('1.6-Glasbewassing'!L15:N134)</f>
        <v>0</v>
      </c>
      <c r="H93" s="78">
        <v>0</v>
      </c>
      <c r="I93" s="311">
        <f>SUM(I80:I92)</f>
        <v>0</v>
      </c>
      <c r="J93" s="95"/>
      <c r="K93" s="16"/>
    </row>
    <row r="94" spans="1:255" s="29" customFormat="1">
      <c r="A94" s="90"/>
      <c r="C94" s="77"/>
      <c r="D94" s="210"/>
      <c r="E94" s="82"/>
      <c r="F94" s="79"/>
      <c r="G94" s="82"/>
      <c r="H94" s="78"/>
      <c r="I94" s="83"/>
      <c r="J94" s="95"/>
      <c r="K94" s="16"/>
    </row>
    <row r="95" spans="1:255" s="29" customFormat="1">
      <c r="A95" s="90"/>
      <c r="C95" s="77" t="s">
        <v>56</v>
      </c>
      <c r="D95" s="209"/>
      <c r="F95" s="79"/>
      <c r="G95" s="79"/>
      <c r="H95" s="79"/>
      <c r="I95" s="79"/>
      <c r="J95" s="95"/>
      <c r="K95" s="80"/>
    </row>
    <row r="96" spans="1:255" s="29" customFormat="1">
      <c r="A96" s="90"/>
      <c r="D96" s="209"/>
      <c r="I96" s="85"/>
      <c r="J96" s="95"/>
      <c r="K96" s="86"/>
    </row>
    <row r="97" spans="1:255" s="29" customFormat="1">
      <c r="A97" s="90"/>
      <c r="B97" s="158" t="s">
        <v>15</v>
      </c>
      <c r="C97" s="170" t="s">
        <v>72</v>
      </c>
      <c r="D97" s="207"/>
      <c r="E97" s="87">
        <f>G97/F97</f>
        <v>0</v>
      </c>
      <c r="F97" s="184">
        <v>3</v>
      </c>
      <c r="G97" s="87">
        <f>$G$93*D97</f>
        <v>0</v>
      </c>
      <c r="H97" s="185">
        <f>HLOOKUP(C97,basistariefglas,47,FALSE)</f>
        <v>0</v>
      </c>
      <c r="I97" s="183">
        <f>H97*G97</f>
        <v>0</v>
      </c>
      <c r="J97" s="95"/>
    </row>
    <row r="98" spans="1:255" s="29" customFormat="1">
      <c r="A98" s="90"/>
      <c r="C98" s="190"/>
      <c r="D98" s="209"/>
      <c r="E98" s="87"/>
      <c r="F98" s="184"/>
      <c r="G98" s="87"/>
      <c r="H98" s="185"/>
      <c r="I98" s="88"/>
      <c r="J98" s="95"/>
    </row>
    <row r="99" spans="1:255" s="29" customFormat="1">
      <c r="A99" s="90"/>
      <c r="D99" s="209"/>
      <c r="I99" s="85"/>
      <c r="J99" s="95"/>
      <c r="K99" s="86"/>
    </row>
    <row r="100" spans="1:255" s="29" customFormat="1">
      <c r="A100" s="90"/>
      <c r="B100" s="158" t="s">
        <v>15</v>
      </c>
      <c r="C100" s="170" t="s">
        <v>72</v>
      </c>
      <c r="D100" s="207">
        <v>0</v>
      </c>
      <c r="E100" s="87">
        <f>G100/F100</f>
        <v>0</v>
      </c>
      <c r="F100" s="184">
        <v>3</v>
      </c>
      <c r="G100" s="87">
        <f>$G$93*D100</f>
        <v>0</v>
      </c>
      <c r="H100" s="185">
        <f>HLOOKUP(C100,basistariefglas,47,FALSE)</f>
        <v>0</v>
      </c>
      <c r="I100" s="183">
        <f>H100*G100</f>
        <v>0</v>
      </c>
      <c r="J100" s="95"/>
    </row>
    <row r="101" spans="1:255" s="29" customFormat="1">
      <c r="A101" s="90"/>
      <c r="C101" s="190"/>
      <c r="D101" s="212"/>
      <c r="E101" s="187"/>
      <c r="F101" s="187"/>
      <c r="G101" s="187"/>
      <c r="H101" s="187"/>
      <c r="I101" s="187"/>
      <c r="J101" s="188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  <c r="DD101" s="187"/>
      <c r="DE101" s="187"/>
      <c r="DF101" s="187"/>
      <c r="DG101" s="187"/>
      <c r="DH101" s="187"/>
      <c r="DI101" s="187"/>
      <c r="DJ101" s="187"/>
      <c r="DK101" s="187"/>
      <c r="DL101" s="187"/>
      <c r="DM101" s="187"/>
      <c r="DN101" s="187"/>
      <c r="DO101" s="187"/>
      <c r="DP101" s="187"/>
      <c r="DQ101" s="187"/>
      <c r="DR101" s="187"/>
      <c r="DS101" s="187"/>
      <c r="DT101" s="187"/>
      <c r="DU101" s="187"/>
      <c r="DV101" s="187"/>
      <c r="DW101" s="187"/>
      <c r="DX101" s="187"/>
      <c r="DY101" s="187"/>
      <c r="DZ101" s="187"/>
      <c r="EA101" s="187"/>
      <c r="EB101" s="187"/>
      <c r="EC101" s="187"/>
      <c r="ED101" s="187"/>
      <c r="EE101" s="187"/>
      <c r="EF101" s="187"/>
      <c r="EG101" s="187"/>
      <c r="EH101" s="187"/>
      <c r="EI101" s="187"/>
      <c r="EJ101" s="187"/>
      <c r="EK101" s="187"/>
      <c r="EL101" s="187"/>
      <c r="EM101" s="187"/>
      <c r="EN101" s="187"/>
      <c r="EO101" s="187"/>
      <c r="EP101" s="187"/>
      <c r="EQ101" s="187"/>
      <c r="ER101" s="187"/>
      <c r="ES101" s="187"/>
      <c r="ET101" s="187"/>
      <c r="EU101" s="187"/>
      <c r="EV101" s="187"/>
      <c r="EW101" s="187"/>
      <c r="EX101" s="187"/>
      <c r="EY101" s="187"/>
      <c r="EZ101" s="187"/>
      <c r="FA101" s="187"/>
      <c r="FB101" s="187"/>
      <c r="FC101" s="187"/>
      <c r="FD101" s="187"/>
      <c r="FE101" s="187"/>
      <c r="FF101" s="187"/>
      <c r="FG101" s="187"/>
      <c r="FH101" s="187"/>
      <c r="FI101" s="187"/>
      <c r="FJ101" s="187"/>
      <c r="FK101" s="187"/>
      <c r="FL101" s="187"/>
      <c r="FM101" s="187"/>
      <c r="FN101" s="187"/>
      <c r="FO101" s="187"/>
      <c r="FP101" s="187"/>
      <c r="FQ101" s="187"/>
      <c r="FR101" s="187"/>
      <c r="FS101" s="187"/>
      <c r="FT101" s="187"/>
      <c r="FU101" s="187"/>
      <c r="FV101" s="187"/>
      <c r="FW101" s="187"/>
      <c r="FX101" s="187"/>
      <c r="FY101" s="187"/>
      <c r="FZ101" s="187"/>
      <c r="GA101" s="187"/>
      <c r="GB101" s="187"/>
      <c r="GC101" s="187"/>
      <c r="GD101" s="187"/>
      <c r="GE101" s="187"/>
      <c r="GF101" s="187"/>
      <c r="GG101" s="187"/>
      <c r="GH101" s="187"/>
      <c r="GI101" s="187"/>
      <c r="GJ101" s="187"/>
      <c r="GK101" s="187"/>
      <c r="GL101" s="187"/>
      <c r="GM101" s="187"/>
      <c r="GN101" s="187"/>
      <c r="GO101" s="187"/>
      <c r="GP101" s="187"/>
      <c r="GQ101" s="187"/>
      <c r="GR101" s="187"/>
      <c r="GS101" s="187"/>
      <c r="GT101" s="187"/>
      <c r="GU101" s="187"/>
      <c r="GV101" s="187"/>
      <c r="GW101" s="187"/>
      <c r="GX101" s="187"/>
      <c r="GY101" s="187"/>
      <c r="GZ101" s="187"/>
      <c r="HA101" s="187"/>
      <c r="HB101" s="187"/>
      <c r="HC101" s="187"/>
      <c r="HD101" s="187"/>
      <c r="HE101" s="187"/>
      <c r="HF101" s="187"/>
      <c r="HG101" s="187"/>
      <c r="HH101" s="187"/>
      <c r="HI101" s="187"/>
      <c r="HJ101" s="187"/>
      <c r="HK101" s="187"/>
      <c r="HL101" s="187"/>
      <c r="HM101" s="187"/>
      <c r="HN101" s="187"/>
      <c r="HO101" s="187"/>
      <c r="HP101" s="187"/>
      <c r="HQ101" s="187"/>
      <c r="HR101" s="187"/>
      <c r="HS101" s="187"/>
      <c r="HT101" s="187"/>
      <c r="HU101" s="187"/>
      <c r="HV101" s="187"/>
      <c r="HW101" s="187"/>
      <c r="HX101" s="187"/>
      <c r="HY101" s="187"/>
      <c r="HZ101" s="187"/>
      <c r="IA101" s="187"/>
      <c r="IB101" s="187"/>
      <c r="IC101" s="187"/>
      <c r="ID101" s="187"/>
      <c r="IE101" s="187"/>
      <c r="IF101" s="187"/>
      <c r="IG101" s="187"/>
      <c r="IH101" s="187"/>
      <c r="II101" s="187"/>
      <c r="IJ101" s="187"/>
      <c r="IK101" s="187"/>
      <c r="IL101" s="187"/>
      <c r="IM101" s="187"/>
      <c r="IN101" s="187"/>
      <c r="IO101" s="187"/>
      <c r="IP101" s="187"/>
      <c r="IQ101" s="187"/>
      <c r="IR101" s="187"/>
      <c r="IS101" s="187"/>
      <c r="IT101" s="187"/>
      <c r="IU101" s="187"/>
    </row>
    <row r="102" spans="1:255" s="29" customFormat="1">
      <c r="A102" s="90"/>
      <c r="D102" s="209"/>
      <c r="I102" s="85"/>
      <c r="J102" s="95"/>
    </row>
    <row r="103" spans="1:255" s="29" customFormat="1">
      <c r="A103" s="90"/>
      <c r="B103" s="158" t="s">
        <v>15</v>
      </c>
      <c r="C103" s="170" t="s">
        <v>72</v>
      </c>
      <c r="D103" s="207">
        <v>0</v>
      </c>
      <c r="E103" s="189">
        <f>G103/F103</f>
        <v>0</v>
      </c>
      <c r="F103" s="184">
        <v>3</v>
      </c>
      <c r="G103" s="87">
        <f>$G$93*D103</f>
        <v>0</v>
      </c>
      <c r="H103" s="185">
        <f>HLOOKUP(C103,basistariefglas,47,FALSE)</f>
        <v>0</v>
      </c>
      <c r="I103" s="183"/>
      <c r="J103" s="95"/>
    </row>
    <row r="104" spans="1:255">
      <c r="C104" s="76"/>
      <c r="D104" s="19">
        <f>D103+D100+D97</f>
        <v>0</v>
      </c>
      <c r="E104" s="20">
        <f>SUM(E97:E103)</f>
        <v>0</v>
      </c>
      <c r="F104" s="11"/>
      <c r="G104" s="20">
        <f>SUM(G97:G103)</f>
        <v>0</v>
      </c>
      <c r="H104" s="12"/>
      <c r="I104" s="311">
        <f>SUM(I95:I103)</f>
        <v>0</v>
      </c>
      <c r="J104" s="12"/>
      <c r="K104" s="116">
        <f>IF(G93=0,0,I106/G93)</f>
        <v>0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</row>
    <row r="105" spans="1:255">
      <c r="C105" s="76"/>
      <c r="D105" s="19"/>
      <c r="E105" s="20"/>
      <c r="F105" s="11"/>
      <c r="G105" s="20"/>
      <c r="H105" s="12"/>
      <c r="I105" s="22"/>
      <c r="J105" s="12"/>
      <c r="K105" s="16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</row>
    <row r="106" spans="1:255">
      <c r="C106" s="76"/>
      <c r="D106" s="19"/>
      <c r="E106" s="20"/>
      <c r="F106" s="11"/>
      <c r="G106" s="20"/>
      <c r="H106" s="12"/>
      <c r="I106" s="182">
        <f>I104+I93</f>
        <v>0</v>
      </c>
      <c r="J106" s="12"/>
      <c r="K106" s="16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</row>
    <row r="107" spans="1:255">
      <c r="C107" s="76"/>
      <c r="D107" s="19"/>
      <c r="E107" s="20"/>
      <c r="F107" s="11"/>
      <c r="G107" s="20"/>
      <c r="H107" s="12"/>
      <c r="I107" s="22"/>
      <c r="J107" s="12"/>
      <c r="K107" s="16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</row>
    <row r="108" spans="1:255">
      <c r="C108" s="75" t="s">
        <v>73</v>
      </c>
      <c r="D108" s="19"/>
      <c r="E108" s="20"/>
      <c r="F108" s="11"/>
      <c r="G108" s="20"/>
      <c r="H108" s="12"/>
      <c r="I108" s="22"/>
      <c r="J108" s="12"/>
      <c r="K108" s="16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</row>
    <row r="109" spans="1:255">
      <c r="C109" s="75"/>
      <c r="D109" s="23"/>
      <c r="E109" s="20"/>
      <c r="F109" s="11"/>
      <c r="G109" s="20"/>
      <c r="H109" s="21"/>
      <c r="I109" s="67"/>
      <c r="J109" s="95"/>
      <c r="K109" s="16"/>
    </row>
    <row r="110" spans="1:255">
      <c r="C110" s="10" t="s">
        <v>74</v>
      </c>
      <c r="D110" s="23"/>
      <c r="F110" s="11"/>
      <c r="G110" s="20"/>
      <c r="H110" s="21"/>
      <c r="I110" s="182">
        <f>SUM('1.6-Glasbewassing'!W19:W31)</f>
        <v>0</v>
      </c>
      <c r="K110" s="16"/>
    </row>
    <row r="111" spans="1:255">
      <c r="C111" s="75"/>
      <c r="D111" s="23"/>
      <c r="E111" s="20"/>
      <c r="F111" s="11"/>
      <c r="G111" s="20"/>
      <c r="H111" s="21"/>
      <c r="I111" s="22"/>
    </row>
    <row r="112" spans="1:255">
      <c r="C112" s="10" t="s">
        <v>75</v>
      </c>
      <c r="E112" s="104">
        <f>SUM('1.6-Glasbewassing'!D:D)+SUM('1.6-Glasbewassing'!F:F)+SUM('1.6-Glasbewassing'!H:H)</f>
        <v>4001.4399999999996</v>
      </c>
      <c r="F112" s="4" t="s">
        <v>76</v>
      </c>
    </row>
    <row r="113" spans="1:11"/>
    <row r="114" spans="1:11">
      <c r="C114" s="99"/>
      <c r="E114" s="314"/>
    </row>
    <row r="115" spans="1:11"/>
    <row r="116" spans="1:11" s="29" customFormat="1" ht="17.100000000000001" customHeight="1">
      <c r="A116" s="89"/>
      <c r="C116" s="10"/>
      <c r="D116" s="4"/>
      <c r="E116" s="4"/>
      <c r="F116" s="25" t="s">
        <v>67</v>
      </c>
      <c r="G116" s="4"/>
      <c r="H116" s="26"/>
      <c r="I116" s="182">
        <f>I104+I93+I110</f>
        <v>0</v>
      </c>
      <c r="J116" s="92"/>
      <c r="K116" s="98">
        <f>SUM('1.6-Glasbewassing'!X1:X126)</f>
        <v>0</v>
      </c>
    </row>
    <row r="117" spans="1:11" s="29" customFormat="1" ht="17.100000000000001" customHeight="1">
      <c r="A117" s="89"/>
      <c r="C117" s="10"/>
      <c r="D117" s="4"/>
      <c r="E117" s="4"/>
      <c r="F117" s="10" t="s">
        <v>68</v>
      </c>
      <c r="G117" s="4"/>
      <c r="H117" s="27">
        <v>0.21</v>
      </c>
      <c r="I117" s="17">
        <f>H117*I116</f>
        <v>0</v>
      </c>
      <c r="J117" s="92"/>
      <c r="K117" s="98"/>
    </row>
    <row r="118" spans="1:11" ht="17.100000000000001" customHeight="1">
      <c r="F118" s="10" t="s">
        <v>69</v>
      </c>
      <c r="H118" s="4" t="s">
        <v>77</v>
      </c>
      <c r="I118" s="428">
        <f>I117+I116</f>
        <v>0</v>
      </c>
      <c r="K118" s="98"/>
    </row>
    <row r="119" spans="1:11">
      <c r="K119" s="98"/>
    </row>
    <row r="120" spans="1:11"/>
    <row r="121" spans="1:11"/>
    <row r="122" spans="1:11"/>
    <row r="123" spans="1:11"/>
    <row r="124" spans="1:11"/>
    <row r="125" spans="1:11"/>
    <row r="126" spans="1:11"/>
    <row r="127" spans="1:11"/>
    <row r="128" spans="1:11"/>
    <row r="129" spans="9:9"/>
    <row r="130" spans="9:9"/>
    <row r="131" spans="9:9"/>
    <row r="132" spans="9:9"/>
    <row r="133" spans="9:9"/>
    <row r="134" spans="9:9"/>
    <row r="135" spans="9:9"/>
    <row r="136" spans="9:9"/>
    <row r="137" spans="9:9"/>
    <row r="138" spans="9:9"/>
    <row r="139" spans="9:9"/>
    <row r="140" spans="9:9"/>
    <row r="141" spans="9:9"/>
    <row r="142" spans="9:9"/>
    <row r="143" spans="9:9">
      <c r="I143" s="24"/>
    </row>
    <row r="144" spans="9:9"/>
    <row r="145" spans="7:9"/>
    <row r="146" spans="7:9">
      <c r="I146" s="315" t="s">
        <v>78</v>
      </c>
    </row>
    <row r="147" spans="7:9"/>
    <row r="148" spans="7:9"/>
    <row r="149" spans="7:9">
      <c r="G149" s="182"/>
      <c r="H149" s="314"/>
    </row>
    <row r="150" spans="7:9">
      <c r="G150" s="182"/>
      <c r="H150" s="314"/>
    </row>
    <row r="151" spans="7:9">
      <c r="G151" s="182"/>
      <c r="H151" s="314"/>
    </row>
    <row r="152" spans="7:9"/>
    <row r="153" spans="7:9"/>
    <row r="154" spans="7:9"/>
    <row r="155" spans="7:9"/>
    <row r="156" spans="7:9"/>
    <row r="157" spans="7:9"/>
    <row r="158" spans="7:9"/>
    <row r="159" spans="7:9"/>
    <row r="160" spans="7:9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</sheetData>
  <phoneticPr fontId="11"/>
  <conditionalFormatting sqref="D27:D29 D40:D50 D55 D52:D53">
    <cfRule type="cellIs" dxfId="602" priority="185" stopIfTrue="1" operator="greaterThan">
      <formula>1</formula>
    </cfRule>
  </conditionalFormatting>
  <conditionalFormatting sqref="D93:D94">
    <cfRule type="cellIs" dxfId="601" priority="144" stopIfTrue="1" operator="greaterThan">
      <formula>1</formula>
    </cfRule>
  </conditionalFormatting>
  <conditionalFormatting sqref="D17">
    <cfRule type="cellIs" dxfId="600" priority="134" operator="greaterThan">
      <formula>0</formula>
    </cfRule>
  </conditionalFormatting>
  <conditionalFormatting sqref="D26">
    <cfRule type="cellIs" dxfId="599" priority="97" operator="greaterThan">
      <formula>0</formula>
    </cfRule>
  </conditionalFormatting>
  <conditionalFormatting sqref="H66:H68">
    <cfRule type="cellIs" dxfId="598" priority="86" operator="greaterThan">
      <formula>0</formula>
    </cfRule>
  </conditionalFormatting>
  <conditionalFormatting sqref="D23">
    <cfRule type="cellIs" dxfId="597" priority="99" operator="greaterThan">
      <formula>0</formula>
    </cfRule>
  </conditionalFormatting>
  <conditionalFormatting sqref="G67">
    <cfRule type="cellIs" dxfId="596" priority="88" operator="greaterThan">
      <formula>0</formula>
    </cfRule>
  </conditionalFormatting>
  <conditionalFormatting sqref="D80">
    <cfRule type="cellIs" dxfId="595" priority="127" operator="greaterThan">
      <formula>0</formula>
    </cfRule>
  </conditionalFormatting>
  <conditionalFormatting sqref="D20">
    <cfRule type="cellIs" dxfId="594" priority="101" operator="greaterThan">
      <formula>0</formula>
    </cfRule>
  </conditionalFormatting>
  <conditionalFormatting sqref="I70">
    <cfRule type="cellIs" dxfId="593" priority="106" operator="greaterThan">
      <formula>0</formula>
    </cfRule>
  </conditionalFormatting>
  <conditionalFormatting sqref="I23">
    <cfRule type="cellIs" dxfId="592" priority="98" operator="greaterThan">
      <formula>0</formula>
    </cfRule>
  </conditionalFormatting>
  <conditionalFormatting sqref="I92">
    <cfRule type="cellIs" dxfId="591" priority="68" operator="greaterThan">
      <formula>0</formula>
    </cfRule>
  </conditionalFormatting>
  <conditionalFormatting sqref="I27:I29">
    <cfRule type="cellIs" dxfId="590" priority="113" operator="greaterThan">
      <formula>0</formula>
    </cfRule>
  </conditionalFormatting>
  <conditionalFormatting sqref="I14">
    <cfRule type="cellIs" dxfId="589" priority="102" operator="greaterThan">
      <formula>0</formula>
    </cfRule>
  </conditionalFormatting>
  <conditionalFormatting sqref="I39">
    <cfRule type="cellIs" dxfId="588" priority="109" operator="greaterThan">
      <formula>0</formula>
    </cfRule>
  </conditionalFormatting>
  <conditionalFormatting sqref="I41:I50 I52:I53">
    <cfRule type="cellIs" dxfId="587" priority="108" operator="greaterThan">
      <formula>0</formula>
    </cfRule>
  </conditionalFormatting>
  <conditionalFormatting sqref="I59">
    <cfRule type="cellIs" dxfId="586" priority="107" operator="greaterThan">
      <formula>0</formula>
    </cfRule>
  </conditionalFormatting>
  <conditionalFormatting sqref="I57">
    <cfRule type="cellIs" dxfId="585" priority="105" operator="greaterThan">
      <formula>0</formula>
    </cfRule>
  </conditionalFormatting>
  <conditionalFormatting sqref="D14">
    <cfRule type="cellIs" dxfId="584" priority="103" operator="greaterThan">
      <formula>0</formula>
    </cfRule>
  </conditionalFormatting>
  <conditionalFormatting sqref="G66">
    <cfRule type="cellIs" dxfId="583" priority="89" operator="greaterThan">
      <formula>0</formula>
    </cfRule>
  </conditionalFormatting>
  <conditionalFormatting sqref="I26">
    <cfRule type="cellIs" dxfId="582" priority="96" operator="greaterThan">
      <formula>0</formula>
    </cfRule>
  </conditionalFormatting>
  <conditionalFormatting sqref="D32">
    <cfRule type="cellIs" dxfId="581" priority="95" operator="greaterThan">
      <formula>0</formula>
    </cfRule>
  </conditionalFormatting>
  <conditionalFormatting sqref="I32">
    <cfRule type="cellIs" dxfId="580" priority="94" operator="greaterThan">
      <formula>0</formula>
    </cfRule>
  </conditionalFormatting>
  <conditionalFormatting sqref="D35">
    <cfRule type="cellIs" dxfId="579" priority="93" operator="greaterThan">
      <formula>0</formula>
    </cfRule>
  </conditionalFormatting>
  <conditionalFormatting sqref="I35">
    <cfRule type="cellIs" dxfId="578" priority="92" operator="greaterThan">
      <formula>0</formula>
    </cfRule>
  </conditionalFormatting>
  <conditionalFormatting sqref="D38">
    <cfRule type="cellIs" dxfId="577" priority="91" operator="greaterThan">
      <formula>0</formula>
    </cfRule>
  </conditionalFormatting>
  <conditionalFormatting sqref="I38">
    <cfRule type="cellIs" dxfId="576" priority="90" operator="greaterThan">
      <formula>0</formula>
    </cfRule>
  </conditionalFormatting>
  <conditionalFormatting sqref="I103">
    <cfRule type="cellIs" dxfId="575" priority="65" operator="greaterThan">
      <formula>0</formula>
    </cfRule>
  </conditionalFormatting>
  <conditionalFormatting sqref="I106">
    <cfRule type="cellIs" dxfId="574" priority="62" operator="greaterThan">
      <formula>0</formula>
    </cfRule>
  </conditionalFormatting>
  <conditionalFormatting sqref="I110">
    <cfRule type="cellIs" dxfId="573" priority="60" operator="greaterThan">
      <formula>0</formula>
    </cfRule>
  </conditionalFormatting>
  <conditionalFormatting sqref="D83">
    <cfRule type="cellIs" dxfId="572" priority="59" operator="greaterThan">
      <formula>0</formula>
    </cfRule>
  </conditionalFormatting>
  <conditionalFormatting sqref="D86">
    <cfRule type="cellIs" dxfId="571" priority="58" operator="greaterThan">
      <formula>0</formula>
    </cfRule>
  </conditionalFormatting>
  <conditionalFormatting sqref="D89">
    <cfRule type="cellIs" dxfId="570" priority="57" operator="greaterThan">
      <formula>0</formula>
    </cfRule>
  </conditionalFormatting>
  <conditionalFormatting sqref="D92">
    <cfRule type="cellIs" dxfId="569" priority="56" operator="greaterThan">
      <formula>0</formula>
    </cfRule>
  </conditionalFormatting>
  <conditionalFormatting sqref="D97">
    <cfRule type="cellIs" dxfId="568" priority="55" operator="greaterThan">
      <formula>0</formula>
    </cfRule>
  </conditionalFormatting>
  <conditionalFormatting sqref="D100">
    <cfRule type="cellIs" dxfId="567" priority="54" operator="greaterThan">
      <formula>0</formula>
    </cfRule>
  </conditionalFormatting>
  <conditionalFormatting sqref="D103">
    <cfRule type="cellIs" dxfId="566" priority="53" operator="greaterThan">
      <formula>0</formula>
    </cfRule>
  </conditionalFormatting>
  <conditionalFormatting sqref="H5">
    <cfRule type="cellIs" dxfId="565" priority="52" operator="greaterThan">
      <formula>0</formula>
    </cfRule>
  </conditionalFormatting>
  <conditionalFormatting sqref="H6">
    <cfRule type="cellIs" dxfId="564" priority="51" operator="greaterThan">
      <formula>0</formula>
    </cfRule>
  </conditionalFormatting>
  <conditionalFormatting sqref="B38">
    <cfRule type="cellIs" dxfId="563" priority="36" operator="greaterThan">
      <formula>0</formula>
    </cfRule>
  </conditionalFormatting>
  <conditionalFormatting sqref="B14">
    <cfRule type="cellIs" dxfId="562" priority="50" operator="greaterThan">
      <formula>0</formula>
    </cfRule>
  </conditionalFormatting>
  <conditionalFormatting sqref="B17">
    <cfRule type="cellIs" dxfId="561" priority="49" operator="greaterThan">
      <formula>0</formula>
    </cfRule>
  </conditionalFormatting>
  <conditionalFormatting sqref="B20">
    <cfRule type="cellIs" dxfId="560" priority="48" operator="greaterThan">
      <formula>0</formula>
    </cfRule>
  </conditionalFormatting>
  <conditionalFormatting sqref="B23">
    <cfRule type="cellIs" dxfId="559" priority="47" operator="greaterThan">
      <formula>0</formula>
    </cfRule>
  </conditionalFormatting>
  <conditionalFormatting sqref="B26">
    <cfRule type="cellIs" dxfId="558" priority="46" operator="greaterThan">
      <formula>0</formula>
    </cfRule>
  </conditionalFormatting>
  <conditionalFormatting sqref="B83">
    <cfRule type="cellIs" dxfId="557" priority="45" operator="greaterThan">
      <formula>0</formula>
    </cfRule>
  </conditionalFormatting>
  <conditionalFormatting sqref="B86">
    <cfRule type="cellIs" dxfId="556" priority="44" operator="greaterThan">
      <formula>0</formula>
    </cfRule>
  </conditionalFormatting>
  <conditionalFormatting sqref="B89">
    <cfRule type="cellIs" dxfId="555" priority="43" operator="greaterThan">
      <formula>0</formula>
    </cfRule>
  </conditionalFormatting>
  <conditionalFormatting sqref="B92">
    <cfRule type="cellIs" dxfId="554" priority="42" operator="greaterThan">
      <formula>0</formula>
    </cfRule>
  </conditionalFormatting>
  <conditionalFormatting sqref="B100">
    <cfRule type="cellIs" dxfId="553" priority="41" operator="greaterThan">
      <formula>0</formula>
    </cfRule>
  </conditionalFormatting>
  <conditionalFormatting sqref="B97">
    <cfRule type="cellIs" dxfId="552" priority="40" operator="greaterThan">
      <formula>0</formula>
    </cfRule>
  </conditionalFormatting>
  <conditionalFormatting sqref="B103">
    <cfRule type="cellIs" dxfId="551" priority="39" operator="greaterThan">
      <formula>0</formula>
    </cfRule>
  </conditionalFormatting>
  <conditionalFormatting sqref="B32">
    <cfRule type="cellIs" dxfId="550" priority="38" operator="greaterThan">
      <formula>0</formula>
    </cfRule>
  </conditionalFormatting>
  <conditionalFormatting sqref="B35">
    <cfRule type="cellIs" dxfId="549" priority="37" operator="greaterThan">
      <formula>0</formula>
    </cfRule>
  </conditionalFormatting>
  <conditionalFormatting sqref="B80">
    <cfRule type="cellIs" dxfId="548" priority="35" operator="greaterThan">
      <formula>0</formula>
    </cfRule>
  </conditionalFormatting>
  <conditionalFormatting sqref="G149">
    <cfRule type="cellIs" dxfId="547" priority="31" operator="greaterThan">
      <formula>0</formula>
    </cfRule>
  </conditionalFormatting>
  <conditionalFormatting sqref="G150">
    <cfRule type="cellIs" dxfId="546" priority="30" operator="greaterThan">
      <formula>0</formula>
    </cfRule>
  </conditionalFormatting>
  <conditionalFormatting sqref="G151">
    <cfRule type="cellIs" dxfId="545" priority="29" operator="greaterThan">
      <formula>0</formula>
    </cfRule>
  </conditionalFormatting>
  <conditionalFormatting sqref="I55">
    <cfRule type="cellIs" dxfId="544" priority="23" operator="greaterThan">
      <formula>0</formula>
    </cfRule>
  </conditionalFormatting>
  <conditionalFormatting sqref="G68">
    <cfRule type="cellIs" dxfId="543" priority="22" operator="greaterThan">
      <formula>0</formula>
    </cfRule>
  </conditionalFormatting>
  <conditionalFormatting sqref="I17">
    <cfRule type="cellIs" dxfId="542" priority="20" operator="greaterThan">
      <formula>0</formula>
    </cfRule>
  </conditionalFormatting>
  <conditionalFormatting sqref="I20">
    <cfRule type="cellIs" dxfId="541" priority="19" operator="greaterThan">
      <formula>0</formula>
    </cfRule>
  </conditionalFormatting>
  <conditionalFormatting sqref="I80">
    <cfRule type="cellIs" dxfId="540" priority="18" operator="greaterThan">
      <formula>0</formula>
    </cfRule>
  </conditionalFormatting>
  <conditionalFormatting sqref="I83">
    <cfRule type="cellIs" dxfId="539" priority="17" operator="greaterThan">
      <formula>0</formula>
    </cfRule>
  </conditionalFormatting>
  <conditionalFormatting sqref="I93">
    <cfRule type="cellIs" dxfId="538" priority="16" operator="greaterThan">
      <formula>0</formula>
    </cfRule>
  </conditionalFormatting>
  <conditionalFormatting sqref="I104">
    <cfRule type="cellIs" dxfId="537" priority="14" operator="greaterThan">
      <formula>0</formula>
    </cfRule>
  </conditionalFormatting>
  <conditionalFormatting sqref="I116">
    <cfRule type="cellIs" dxfId="536" priority="13" operator="greaterThan">
      <formula>0</formula>
    </cfRule>
  </conditionalFormatting>
  <conditionalFormatting sqref="I86">
    <cfRule type="cellIs" dxfId="535" priority="12" operator="greaterThan">
      <formula>0</formula>
    </cfRule>
  </conditionalFormatting>
  <conditionalFormatting sqref="I89">
    <cfRule type="cellIs" dxfId="534" priority="11" operator="greaterThan">
      <formula>0</formula>
    </cfRule>
  </conditionalFormatting>
  <conditionalFormatting sqref="I97">
    <cfRule type="cellIs" dxfId="533" priority="10" operator="greaterThan">
      <formula>0</formula>
    </cfRule>
  </conditionalFormatting>
  <conditionalFormatting sqref="I100">
    <cfRule type="cellIs" dxfId="532" priority="9" operator="greaterThan">
      <formula>0</formula>
    </cfRule>
  </conditionalFormatting>
  <conditionalFormatting sqref="D49">
    <cfRule type="cellIs" dxfId="531" priority="8" operator="greaterThan">
      <formula>0</formula>
    </cfRule>
  </conditionalFormatting>
  <conditionalFormatting sqref="I46">
    <cfRule type="cellIs" dxfId="530" priority="6" operator="greaterThan">
      <formula>0</formula>
    </cfRule>
  </conditionalFormatting>
  <conditionalFormatting sqref="D46">
    <cfRule type="cellIs" dxfId="529" priority="7" operator="greaterThan">
      <formula>0</formula>
    </cfRule>
  </conditionalFormatting>
  <conditionalFormatting sqref="B46">
    <cfRule type="cellIs" dxfId="528" priority="5" operator="greaterThan">
      <formula>0</formula>
    </cfRule>
  </conditionalFormatting>
  <conditionalFormatting sqref="B49">
    <cfRule type="cellIs" dxfId="527" priority="4" operator="greaterThan">
      <formula>0</formula>
    </cfRule>
  </conditionalFormatting>
  <conditionalFormatting sqref="I49">
    <cfRule type="cellIs" dxfId="526" priority="3" operator="greaterThan">
      <formula>0</formula>
    </cfRule>
  </conditionalFormatting>
  <conditionalFormatting sqref="I51">
    <cfRule type="cellIs" dxfId="525" priority="2" operator="greaterThan">
      <formula>0</formula>
    </cfRule>
  </conditionalFormatting>
  <conditionalFormatting sqref="D51">
    <cfRule type="cellIs" dxfId="524" priority="1" stopIfTrue="1" operator="greaterThan">
      <formula>1</formula>
    </cfRule>
  </conditionalFormatting>
  <dataValidations xWindow="213" yWindow="580" count="5">
    <dataValidation allowBlank="1" showInputMessage="1" showErrorMessage="1" promptTitle="Toelichting" prompt="Vul in deze gekleurde cellen de gevraagde informatie in (percentages inzet medewerkers). Let op: Het totale percentage mag niet hoger zijn dan 100%_x000d_" sqref="H5" xr:uid="{00000000-0002-0000-0200-000000000000}"/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14 B17 B20 B23 B26 B83 B86 B89 B92 B100 B97 B103 B32 B35 B38 B80 B46 B49" xr:uid="{00000000-0002-0000-0200-000001000000}"/>
    <dataValidation type="list" allowBlank="1" showInputMessage="1" showErrorMessage="1" sqref="C17 C23 C20 C49 C26 C46 C14" xr:uid="{00000000-0002-0000-0200-000002000000}">
      <formula1>tariefSMO</formula1>
    </dataValidation>
    <dataValidation type="list" allowBlank="1" showInputMessage="1" showErrorMessage="1" sqref="C38 C35 C32" xr:uid="{00000000-0002-0000-0200-000003000000}">
      <formula1>tariefTZ</formula1>
    </dataValidation>
    <dataValidation type="list" allowBlank="1" showInputMessage="1" showErrorMessage="1" sqref="C103 C83 C86 C89 C92 C97 C100 C80" xr:uid="{00000000-0002-0000-0200-000004000000}">
      <formula1>TariefGLAS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70" orientation="portrait" copies="2" r:id="rId1"/>
  <headerFooter>
    <oddHeader>&amp;L&amp;C&amp;R</oddHeader>
    <oddFooter>&amp;L&amp;"Verdana,Standaard"&amp;K000000&amp;F-&amp;A
&amp;R&amp;"Verdana,Standaard"&amp;K000000printversie &amp;D</oddFooter>
  </headerFooter>
  <rowBreaks count="1" manualBreakCount="1">
    <brk id="73" max="16383" man="1"/>
  </rowBreaks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U590"/>
  <sheetViews>
    <sheetView showZeros="0" showOutlineSymbols="0" topLeftCell="C131" zoomScale="85" zoomScaleNormal="100" zoomScaleSheetLayoutView="94" workbookViewId="0">
      <selection activeCell="K252" sqref="K252"/>
    </sheetView>
  </sheetViews>
  <sheetFormatPr defaultColWidth="22.140625" defaultRowHeight="12.75" zeroHeight="1"/>
  <cols>
    <col min="1" max="1" width="8.140625" style="97" customWidth="1"/>
    <col min="2" max="2" width="36.140625" style="2" customWidth="1"/>
    <col min="3" max="3" width="24.5703125" style="2" customWidth="1"/>
    <col min="4" max="4" width="25.85546875" style="2" customWidth="1"/>
    <col min="5" max="5" width="19.85546875" style="2" customWidth="1"/>
    <col min="6" max="6" width="19.42578125" style="2" customWidth="1"/>
    <col min="7" max="7" width="17.5703125" style="2" customWidth="1"/>
    <col min="8" max="8" width="16.5703125" style="2" customWidth="1"/>
    <col min="9" max="9" width="28.7109375" style="2" customWidth="1"/>
    <col min="10" max="10" width="28.140625" style="527" customWidth="1"/>
    <col min="11" max="11" width="23.5703125" style="2" customWidth="1"/>
    <col min="12" max="12" width="15" style="2" customWidth="1"/>
    <col min="13" max="13" width="28.85546875" style="2" customWidth="1"/>
    <col min="14" max="14" width="25.28515625" style="2" customWidth="1"/>
    <col min="15" max="15" width="12" style="2" customWidth="1"/>
    <col min="16" max="16" width="22.140625" style="84" customWidth="1"/>
    <col min="17" max="17" width="22.140625" style="2" customWidth="1"/>
    <col min="18" max="20" width="22.140625" style="97" customWidth="1"/>
    <col min="21" max="16384" width="22.140625" style="97"/>
  </cols>
  <sheetData>
    <row r="1" spans="1:16"/>
    <row r="2" spans="1:16" ht="15">
      <c r="B2" s="308" t="s">
        <v>40</v>
      </c>
      <c r="C2" s="60" t="s">
        <v>79</v>
      </c>
      <c r="D2" s="261"/>
    </row>
    <row r="3" spans="1:16" ht="15">
      <c r="A3" s="650"/>
      <c r="B3" s="308" t="s">
        <v>42</v>
      </c>
      <c r="C3" s="252" t="str">
        <f>Voorblad!$E$16</f>
        <v>HHNK bedrijfsgebouwen van werven en RWZI's</v>
      </c>
      <c r="D3" s="261"/>
    </row>
    <row r="4" spans="1:16" ht="15">
      <c r="A4" s="650"/>
      <c r="B4" s="308" t="s">
        <v>43</v>
      </c>
      <c r="C4" s="252" t="str">
        <f>'1.0-Contractblad'!$D$4</f>
        <v>Heerhugowaard</v>
      </c>
      <c r="D4" s="261"/>
    </row>
    <row r="5" spans="1:16" ht="15.95" customHeight="1">
      <c r="A5" s="650"/>
      <c r="B5" s="308" t="s">
        <v>37</v>
      </c>
      <c r="C5" s="323" t="str">
        <f>Voorblad!$E$25</f>
        <v>V1 15-06-2023</v>
      </c>
      <c r="D5" s="261"/>
      <c r="F5" s="263"/>
      <c r="G5" s="326"/>
      <c r="H5" s="326"/>
      <c r="I5" s="326"/>
      <c r="J5" s="658"/>
    </row>
    <row r="6" spans="1:16" ht="15.95" customHeight="1">
      <c r="A6" s="650"/>
      <c r="B6" s="308" t="s">
        <v>45</v>
      </c>
      <c r="C6" s="252" t="str">
        <f>Voorblad!$E$19</f>
        <v>Naam inschrijver</v>
      </c>
      <c r="G6" s="326"/>
      <c r="H6" s="326"/>
      <c r="I6" s="326"/>
      <c r="J6" s="658"/>
    </row>
    <row r="7" spans="1:16" ht="15">
      <c r="A7" s="650"/>
      <c r="B7" s="308" t="s">
        <v>36</v>
      </c>
      <c r="C7" s="264">
        <f>Voorblad!$E$22</f>
        <v>45261</v>
      </c>
    </row>
    <row r="8" spans="1:16" ht="15.75" thickBot="1">
      <c r="A8" s="650"/>
      <c r="B8" s="308"/>
      <c r="C8" s="264"/>
    </row>
    <row r="9" spans="1:16" ht="39" thickBot="1">
      <c r="A9" s="650"/>
      <c r="B9" s="451" t="s">
        <v>80</v>
      </c>
      <c r="C9" s="452" t="s">
        <v>81</v>
      </c>
      <c r="D9" s="453" t="s">
        <v>82</v>
      </c>
      <c r="E9" s="454" t="s">
        <v>83</v>
      </c>
      <c r="F9" s="454" t="s">
        <v>84</v>
      </c>
      <c r="G9" s="460"/>
      <c r="H9" s="452" t="s">
        <v>85</v>
      </c>
      <c r="I9" s="452" t="s">
        <v>86</v>
      </c>
      <c r="J9" s="713" t="s">
        <v>87</v>
      </c>
      <c r="K9" s="452" t="s">
        <v>88</v>
      </c>
      <c r="L9" s="452" t="s">
        <v>89</v>
      </c>
      <c r="M9" s="452" t="s">
        <v>90</v>
      </c>
      <c r="N9" s="452" t="s">
        <v>91</v>
      </c>
      <c r="P9" s="253"/>
    </row>
    <row r="10" spans="1:16" ht="18.95" hidden="1" customHeight="1">
      <c r="A10" s="651"/>
      <c r="E10" s="152"/>
      <c r="F10" s="152"/>
      <c r="G10" s="84"/>
      <c r="H10" s="281"/>
      <c r="I10" s="281"/>
      <c r="J10" s="659"/>
      <c r="K10" s="281"/>
      <c r="L10" s="282"/>
      <c r="M10" s="157"/>
      <c r="N10" s="648"/>
      <c r="O10" s="342"/>
      <c r="P10" s="435"/>
    </row>
    <row r="11" spans="1:16" ht="18.95" customHeight="1">
      <c r="A11" s="651">
        <f t="shared" ref="A11:A35" si="0">G11</f>
        <v>0</v>
      </c>
      <c r="B11" s="2" t="s">
        <v>92</v>
      </c>
      <c r="C11" s="2" t="s">
        <v>93</v>
      </c>
      <c r="D11" s="2" t="s">
        <v>94</v>
      </c>
      <c r="E11" s="152">
        <f ca="1">SUMIF('1.3-Basis ruimtestaat'!D:J,'1.1 Jaarprijzen'!B11,'1.3-Basis ruimtestaat'!J:J)</f>
        <v>113.44</v>
      </c>
      <c r="F11" s="152">
        <f ca="1">SUMIF('1.3-Basis ruimtestaat'!D:K,'1.1 Jaarprijzen'!B11,'1.3-Basis ruimtestaat'!K:K)</f>
        <v>69.91</v>
      </c>
      <c r="G11" s="84"/>
      <c r="H11" s="281">
        <f>SUMIF('1.3-Basis ruimtestaat'!D:D,'1.1 Jaarprijzen'!B11,'1.3-Basis ruimtestaat'!S:S)+SUMIF('1.3-Basis ruimtestaat'!D:D,'1.1 Jaarprijzen'!B11,'1.3-Basis ruimtestaat'!U:U)</f>
        <v>0</v>
      </c>
      <c r="I11" s="281">
        <f>SUMIF('1.3-Basis ruimtestaat'!D:D,'1.1 Jaarprijzen'!B11,'1.3-Basis ruimtestaat'!T:T)</f>
        <v>0</v>
      </c>
      <c r="J11" s="659">
        <f>SUMIF('1.3-Basis ruimtestaat'!D:D,'1.1 Jaarprijzen'!B11,'1.3-Basis ruimtestaat'!V:V)</f>
        <v>0</v>
      </c>
      <c r="K11" s="281"/>
      <c r="L11" s="282">
        <f>(H11+I11)*'1.0-Contractblad'!$D$39</f>
        <v>0</v>
      </c>
      <c r="M11" s="157">
        <f>SUMIF('1.6-Glasbewassing'!B:B,'1.1 Jaarprijzen'!B11,'1.6-Glasbewassing'!D:D)+SUMIF('1.6-Glasbewassing'!B:B,'1.1 Jaarprijzen'!B11,'1.6-Glasbewassing'!F:F)+SUMIF('1.6-Glasbewassing'!B:B,'1.1 Jaarprijzen'!B11,'1.6-Glasbewassing'!H:H)</f>
        <v>62.57</v>
      </c>
      <c r="N11" s="648" t="e">
        <f ca="1">IF(E11=0,0,SUMIF('1.3-Basis ruimtestaat'!D:D,'1.1 Jaarprijzen'!B11,'1.3-Basis ruimtestaat'!AF:AF)/SUM(H11+I11))</f>
        <v>#DIV/0!</v>
      </c>
      <c r="O11" s="342"/>
      <c r="P11" s="435"/>
    </row>
    <row r="12" spans="1:16" ht="18.95" customHeight="1">
      <c r="A12" s="651">
        <f t="shared" si="0"/>
        <v>0</v>
      </c>
      <c r="B12" s="159" t="s">
        <v>95</v>
      </c>
      <c r="C12" s="159" t="s">
        <v>96</v>
      </c>
      <c r="D12" s="159" t="s">
        <v>97</v>
      </c>
      <c r="E12" s="152">
        <f ca="1">SUMIF('1.3-Basis ruimtestaat'!D:J,'1.1 Jaarprijzen'!B12,'1.3-Basis ruimtestaat'!J:J)</f>
        <v>278.39000000000004</v>
      </c>
      <c r="F12" s="152">
        <f ca="1">SUMIF('1.3-Basis ruimtestaat'!D:K,'1.1 Jaarprijzen'!B12,'1.3-Basis ruimtestaat'!K:K)</f>
        <v>0</v>
      </c>
      <c r="G12" s="84"/>
      <c r="H12" s="281">
        <f>SUMIF('1.3-Basis ruimtestaat'!D:D,'1.1 Jaarprijzen'!B12,'1.3-Basis ruimtestaat'!S:S)+SUMIF('1.3-Basis ruimtestaat'!D:D,'1.1 Jaarprijzen'!B12,'1.3-Basis ruimtestaat'!U:U)</f>
        <v>0</v>
      </c>
      <c r="I12" s="281">
        <f>SUMIF('1.3-Basis ruimtestaat'!D:D,'1.1 Jaarprijzen'!B12,'1.3-Basis ruimtestaat'!T:T)</f>
        <v>0</v>
      </c>
      <c r="J12" s="659">
        <f>SUMIF('1.3-Basis ruimtestaat'!D:D,'1.1 Jaarprijzen'!B12,'1.3-Basis ruimtestaat'!V:V)</f>
        <v>0</v>
      </c>
      <c r="K12" s="281"/>
      <c r="L12" s="282">
        <f>(H12+I12)*'1.0-Contractblad'!$D$39</f>
        <v>0</v>
      </c>
      <c r="M12" s="157">
        <f>SUMIF('1.6-Glasbewassing'!B:B,'1.1 Jaarprijzen'!B12,'1.6-Glasbewassing'!D:D)+SUMIF('1.6-Glasbewassing'!B:B,'1.1 Jaarprijzen'!B12,'1.6-Glasbewassing'!F:F)+SUMIF('1.6-Glasbewassing'!B:B,'1.1 Jaarprijzen'!B12,'1.6-Glasbewassing'!H:H)</f>
        <v>174.81</v>
      </c>
      <c r="N12" s="648" t="e">
        <f ca="1">IF(E12=0,0,SUMIF('1.3-Basis ruimtestaat'!D:D,'1.1 Jaarprijzen'!B12,'1.3-Basis ruimtestaat'!AF:AF)/SUM(H12+I12))</f>
        <v>#DIV/0!</v>
      </c>
      <c r="O12" s="342"/>
      <c r="P12" s="435"/>
    </row>
    <row r="13" spans="1:16" ht="18.95" customHeight="1">
      <c r="A13" s="651">
        <f t="shared" si="0"/>
        <v>0</v>
      </c>
      <c r="B13" s="2" t="s">
        <v>98</v>
      </c>
      <c r="C13" s="2" t="s">
        <v>99</v>
      </c>
      <c r="D13" s="2" t="s">
        <v>100</v>
      </c>
      <c r="E13" s="152">
        <f ca="1">SUMIF('1.3-Basis ruimtestaat'!D:J,'1.1 Jaarprijzen'!B13,'1.3-Basis ruimtestaat'!J:J)</f>
        <v>466.86000000000018</v>
      </c>
      <c r="F13" s="152">
        <f ca="1">SUMIF('1.3-Basis ruimtestaat'!D:K,'1.1 Jaarprijzen'!B13,'1.3-Basis ruimtestaat'!K:K)</f>
        <v>69.3</v>
      </c>
      <c r="G13" s="84"/>
      <c r="H13" s="281">
        <f>SUMIF('1.3-Basis ruimtestaat'!D:D,'1.1 Jaarprijzen'!B13,'1.3-Basis ruimtestaat'!S:S)+SUMIF('1.3-Basis ruimtestaat'!D:D,'1.1 Jaarprijzen'!B13,'1.3-Basis ruimtestaat'!U:U)</f>
        <v>0</v>
      </c>
      <c r="I13" s="281">
        <f>SUMIF('1.3-Basis ruimtestaat'!D:D,'1.1 Jaarprijzen'!B13,'1.3-Basis ruimtestaat'!T:T)</f>
        <v>0</v>
      </c>
      <c r="J13" s="659">
        <f>SUMIF('1.3-Basis ruimtestaat'!D:D,'1.1 Jaarprijzen'!B13,'1.3-Basis ruimtestaat'!V:V)</f>
        <v>0</v>
      </c>
      <c r="K13" s="281"/>
      <c r="L13" s="282">
        <f>(H13+I13)*'1.0-Contractblad'!$D$39</f>
        <v>0</v>
      </c>
      <c r="M13" s="157">
        <f>SUMIF('1.6-Glasbewassing'!B:B,'1.1 Jaarprijzen'!B13,'1.6-Glasbewassing'!D:D)+SUMIF('1.6-Glasbewassing'!B:B,'1.1 Jaarprijzen'!B13,'1.6-Glasbewassing'!F:F)+SUMIF('1.6-Glasbewassing'!B:B,'1.1 Jaarprijzen'!B13,'1.6-Glasbewassing'!H:H)</f>
        <v>215.51999999999998</v>
      </c>
      <c r="N13" s="648" t="e">
        <f ca="1">IF(E13=0,0,SUMIF('1.3-Basis ruimtestaat'!D:D,'1.1 Jaarprijzen'!B13,'1.3-Basis ruimtestaat'!AF:AF)/SUM(H13+I13))</f>
        <v>#DIV/0!</v>
      </c>
      <c r="O13" s="342"/>
      <c r="P13" s="435"/>
    </row>
    <row r="14" spans="1:16" ht="18.95" customHeight="1">
      <c r="A14" s="651">
        <f t="shared" si="0"/>
        <v>0</v>
      </c>
      <c r="B14" s="2" t="s">
        <v>101</v>
      </c>
      <c r="C14" s="159" t="s">
        <v>102</v>
      </c>
      <c r="D14" s="2" t="s">
        <v>103</v>
      </c>
      <c r="E14" s="152">
        <f ca="1">SUMIF('1.3-Basis ruimtestaat'!D:J,'1.1 Jaarprijzen'!B14,'1.3-Basis ruimtestaat'!J:J)</f>
        <v>15.110000000000001</v>
      </c>
      <c r="F14" s="152">
        <f ca="1">SUMIF('1.3-Basis ruimtestaat'!D:K,'1.1 Jaarprijzen'!B14,'1.3-Basis ruimtestaat'!K:K)</f>
        <v>7.9</v>
      </c>
      <c r="G14" s="84"/>
      <c r="H14" s="281">
        <f>SUMIF('1.3-Basis ruimtestaat'!D:D,'1.1 Jaarprijzen'!B14,'1.3-Basis ruimtestaat'!S:S)+SUMIF('1.3-Basis ruimtestaat'!D:D,'1.1 Jaarprijzen'!B14,'1.3-Basis ruimtestaat'!U:U)</f>
        <v>0</v>
      </c>
      <c r="I14" s="281">
        <f>SUMIF('1.3-Basis ruimtestaat'!D:D,'1.1 Jaarprijzen'!B14,'1.3-Basis ruimtestaat'!T:T)</f>
        <v>0</v>
      </c>
      <c r="J14" s="659">
        <f>SUMIF('1.3-Basis ruimtestaat'!D:D,'1.1 Jaarprijzen'!B14,'1.3-Basis ruimtestaat'!V:V)</f>
        <v>0</v>
      </c>
      <c r="K14" s="281"/>
      <c r="L14" s="282">
        <f>(H14+I14)*'1.0-Contractblad'!$D$39</f>
        <v>0</v>
      </c>
      <c r="M14" s="157">
        <f>SUMIF('1.6-Glasbewassing'!B:B,'1.1 Jaarprijzen'!B14,'1.6-Glasbewassing'!D:D)+SUMIF('1.6-Glasbewassing'!B:B,'1.1 Jaarprijzen'!B14,'1.6-Glasbewassing'!F:F)+SUMIF('1.6-Glasbewassing'!B:B,'1.1 Jaarprijzen'!B14,'1.6-Glasbewassing'!H:H)</f>
        <v>23.68</v>
      </c>
      <c r="N14" s="648" t="e">
        <f ca="1">IF(E14=0,0,SUMIF('1.3-Basis ruimtestaat'!D:D,'1.1 Jaarprijzen'!B14,'1.3-Basis ruimtestaat'!AF:AF)/SUM(H14+I14))</f>
        <v>#DIV/0!</v>
      </c>
      <c r="O14" s="342"/>
      <c r="P14" s="435"/>
    </row>
    <row r="15" spans="1:16" ht="18.95" customHeight="1">
      <c r="A15" s="651">
        <f t="shared" si="0"/>
        <v>0</v>
      </c>
      <c r="B15" s="159" t="s">
        <v>104</v>
      </c>
      <c r="C15" s="159" t="s">
        <v>105</v>
      </c>
      <c r="D15" s="159" t="s">
        <v>106</v>
      </c>
      <c r="E15" s="152">
        <f ca="1">SUMIF('1.3-Basis ruimtestaat'!D:J,'1.1 Jaarprijzen'!B15,'1.3-Basis ruimtestaat'!J:J)</f>
        <v>115.29</v>
      </c>
      <c r="F15" s="152">
        <f ca="1">SUMIF('1.3-Basis ruimtestaat'!D:K,'1.1 Jaarprijzen'!B15,'1.3-Basis ruimtestaat'!K:K)</f>
        <v>2.7</v>
      </c>
      <c r="G15" s="84"/>
      <c r="H15" s="281">
        <f>SUMIF('1.3-Basis ruimtestaat'!D:D,'1.1 Jaarprijzen'!B15,'1.3-Basis ruimtestaat'!S:S)+SUMIF('1.3-Basis ruimtestaat'!D:D,'1.1 Jaarprijzen'!B15,'1.3-Basis ruimtestaat'!U:U)</f>
        <v>0</v>
      </c>
      <c r="I15" s="281">
        <f>SUMIF('1.3-Basis ruimtestaat'!D:D,'1.1 Jaarprijzen'!B15,'1.3-Basis ruimtestaat'!T:T)</f>
        <v>0</v>
      </c>
      <c r="J15" s="659">
        <f>SUMIF('1.3-Basis ruimtestaat'!D:D,'1.1 Jaarprijzen'!B15,'1.3-Basis ruimtestaat'!V:V)</f>
        <v>0</v>
      </c>
      <c r="K15" s="281"/>
      <c r="L15" s="282">
        <f>(H15+I15)*'1.0-Contractblad'!$D$39</f>
        <v>0</v>
      </c>
      <c r="M15" s="157">
        <f>SUMIF('1.6-Glasbewassing'!B:B,'1.1 Jaarprijzen'!B15,'1.6-Glasbewassing'!D:D)+SUMIF('1.6-Glasbewassing'!B:B,'1.1 Jaarprijzen'!B15,'1.6-Glasbewassing'!F:F)+SUMIF('1.6-Glasbewassing'!B:B,'1.1 Jaarprijzen'!B15,'1.6-Glasbewassing'!H:H)</f>
        <v>0</v>
      </c>
      <c r="N15" s="648" t="e">
        <f ca="1">IF(E15=0,0,SUMIF('1.3-Basis ruimtestaat'!D:D,'1.1 Jaarprijzen'!B15,'1.3-Basis ruimtestaat'!AF:AF)/SUM(H15+I15))</f>
        <v>#DIV/0!</v>
      </c>
      <c r="O15" s="342"/>
      <c r="P15" s="435"/>
    </row>
    <row r="16" spans="1:16" ht="18.95" customHeight="1">
      <c r="A16" s="651">
        <f t="shared" si="0"/>
        <v>0</v>
      </c>
      <c r="B16" s="262" t="s">
        <v>107</v>
      </c>
      <c r="C16" s="159" t="s">
        <v>108</v>
      </c>
      <c r="D16" s="159" t="s">
        <v>106</v>
      </c>
      <c r="E16" s="152">
        <f ca="1">SUMIF('1.3-Basis ruimtestaat'!D:J,'1.1 Jaarprijzen'!B16,'1.3-Basis ruimtestaat'!J:J)</f>
        <v>165.92999999999998</v>
      </c>
      <c r="F16" s="152">
        <f ca="1">SUMIF('1.3-Basis ruimtestaat'!D:K,'1.1 Jaarprijzen'!B16,'1.3-Basis ruimtestaat'!K:K)</f>
        <v>49.69</v>
      </c>
      <c r="G16" s="84"/>
      <c r="H16" s="281">
        <f>SUMIF('1.3-Basis ruimtestaat'!D:D,'1.1 Jaarprijzen'!B16,'1.3-Basis ruimtestaat'!S:S)+SUMIF('1.3-Basis ruimtestaat'!D:D,'1.1 Jaarprijzen'!B16,'1.3-Basis ruimtestaat'!U:U)</f>
        <v>0</v>
      </c>
      <c r="I16" s="281">
        <f>SUMIF('1.3-Basis ruimtestaat'!D:D,'1.1 Jaarprijzen'!B16,'1.3-Basis ruimtestaat'!T:T)</f>
        <v>0</v>
      </c>
      <c r="J16" s="659">
        <f>SUMIF('1.3-Basis ruimtestaat'!D:D,'1.1 Jaarprijzen'!B16,'1.3-Basis ruimtestaat'!V:V)</f>
        <v>0</v>
      </c>
      <c r="K16" s="281"/>
      <c r="L16" s="282">
        <f>(H16+I16)*'1.0-Contractblad'!$D$39</f>
        <v>0</v>
      </c>
      <c r="M16" s="157">
        <f>SUMIF('1.6-Glasbewassing'!B:B,'1.1 Jaarprijzen'!B16,'1.6-Glasbewassing'!D:D)+SUMIF('1.6-Glasbewassing'!B:B,'1.1 Jaarprijzen'!B16,'1.6-Glasbewassing'!F:F)+SUMIF('1.6-Glasbewassing'!B:B,'1.1 Jaarprijzen'!B16,'1.6-Glasbewassing'!H:H)</f>
        <v>77.53</v>
      </c>
      <c r="N16" s="648" t="e">
        <f ca="1">IF(E16=0,0,SUMIF('1.3-Basis ruimtestaat'!D:D,'1.1 Jaarprijzen'!B16,'1.3-Basis ruimtestaat'!AF:AF)/SUM(H16+I16))</f>
        <v>#DIV/0!</v>
      </c>
      <c r="O16" s="342"/>
      <c r="P16" s="435"/>
    </row>
    <row r="17" spans="1:16" ht="18.95" customHeight="1">
      <c r="A17" s="651">
        <f t="shared" si="0"/>
        <v>0</v>
      </c>
      <c r="B17" s="2" t="s">
        <v>109</v>
      </c>
      <c r="C17" s="159" t="s">
        <v>110</v>
      </c>
      <c r="D17" s="2" t="s">
        <v>111</v>
      </c>
      <c r="E17" s="152">
        <f ca="1">SUMIF('1.3-Basis ruimtestaat'!D:J,'1.1 Jaarprijzen'!B17,'1.3-Basis ruimtestaat'!J:J)</f>
        <v>135.34</v>
      </c>
      <c r="F17" s="152">
        <f ca="1">SUMIF('1.3-Basis ruimtestaat'!D:K,'1.1 Jaarprijzen'!B17,'1.3-Basis ruimtestaat'!K:K)</f>
        <v>70.39</v>
      </c>
      <c r="G17" s="84"/>
      <c r="H17" s="281">
        <f>SUMIF('1.3-Basis ruimtestaat'!D:D,'1.1 Jaarprijzen'!B17,'1.3-Basis ruimtestaat'!S:S)+SUMIF('1.3-Basis ruimtestaat'!D:D,'1.1 Jaarprijzen'!B17,'1.3-Basis ruimtestaat'!U:U)</f>
        <v>0</v>
      </c>
      <c r="I17" s="281">
        <f>SUMIF('1.3-Basis ruimtestaat'!D:D,'1.1 Jaarprijzen'!B17,'1.3-Basis ruimtestaat'!T:T)</f>
        <v>0</v>
      </c>
      <c r="J17" s="659">
        <f>SUMIF('1.3-Basis ruimtestaat'!D:D,'1.1 Jaarprijzen'!B17,'1.3-Basis ruimtestaat'!V:V)</f>
        <v>0</v>
      </c>
      <c r="K17" s="281"/>
      <c r="L17" s="282">
        <f>(H17+I17)*'1.0-Contractblad'!$D$39</f>
        <v>0</v>
      </c>
      <c r="M17" s="157">
        <f>SUMIF('1.6-Glasbewassing'!B:B,'1.1 Jaarprijzen'!B17,'1.6-Glasbewassing'!D:D)+SUMIF('1.6-Glasbewassing'!B:B,'1.1 Jaarprijzen'!B17,'1.6-Glasbewassing'!F:F)+SUMIF('1.6-Glasbewassing'!B:B,'1.1 Jaarprijzen'!B17,'1.6-Glasbewassing'!H:H)</f>
        <v>55.84</v>
      </c>
      <c r="N17" s="648" t="e">
        <f ca="1">IF(E17=0,0,SUMIF('1.3-Basis ruimtestaat'!D:D,'1.1 Jaarprijzen'!B17,'1.3-Basis ruimtestaat'!AF:AF)/SUM(H17+I17))</f>
        <v>#DIV/0!</v>
      </c>
      <c r="O17" s="342"/>
      <c r="P17" s="435"/>
    </row>
    <row r="18" spans="1:16" ht="18.95" customHeight="1">
      <c r="A18" s="651">
        <f t="shared" si="0"/>
        <v>0</v>
      </c>
      <c r="B18" s="2" t="s">
        <v>112</v>
      </c>
      <c r="C18" s="159" t="s">
        <v>113</v>
      </c>
      <c r="D18" s="159" t="s">
        <v>114</v>
      </c>
      <c r="E18" s="152">
        <f ca="1">SUMIF('1.3-Basis ruimtestaat'!D:J,'1.1 Jaarprijzen'!B18,'1.3-Basis ruimtestaat'!J:J)</f>
        <v>624.37</v>
      </c>
      <c r="F18" s="152">
        <f ca="1">SUMIF('1.3-Basis ruimtestaat'!D:K,'1.1 Jaarprijzen'!B18,'1.3-Basis ruimtestaat'!K:K)</f>
        <v>42.03</v>
      </c>
      <c r="G18" s="84"/>
      <c r="H18" s="281">
        <f>SUMIF('1.3-Basis ruimtestaat'!D:D,'1.1 Jaarprijzen'!B18,'1.3-Basis ruimtestaat'!S:S)+SUMIF('1.3-Basis ruimtestaat'!D:D,'1.1 Jaarprijzen'!B18,'1.3-Basis ruimtestaat'!U:U)</f>
        <v>0</v>
      </c>
      <c r="I18" s="281">
        <f>SUMIF('1.3-Basis ruimtestaat'!D:D,'1.1 Jaarprijzen'!B18,'1.3-Basis ruimtestaat'!T:T)</f>
        <v>0</v>
      </c>
      <c r="J18" s="659">
        <f>SUMIF('1.3-Basis ruimtestaat'!D:D,'1.1 Jaarprijzen'!B18,'1.3-Basis ruimtestaat'!V:V)</f>
        <v>0</v>
      </c>
      <c r="K18" s="281"/>
      <c r="L18" s="282">
        <f>(H18+I18)*'1.0-Contractblad'!$D$39</f>
        <v>0</v>
      </c>
      <c r="M18" s="157">
        <f>SUMIF('1.6-Glasbewassing'!B:B,'1.1 Jaarprijzen'!B18,'1.6-Glasbewassing'!D:D)+SUMIF('1.6-Glasbewassing'!B:B,'1.1 Jaarprijzen'!B18,'1.6-Glasbewassing'!F:F)+SUMIF('1.6-Glasbewassing'!B:B,'1.1 Jaarprijzen'!B18,'1.6-Glasbewassing'!H:H)</f>
        <v>601</v>
      </c>
      <c r="N18" s="648" t="e">
        <f ca="1">IF(E18=0,0,SUMIF('1.3-Basis ruimtestaat'!D:D,'1.1 Jaarprijzen'!B18,'1.3-Basis ruimtestaat'!AF:AF)/SUM(H18+I18))</f>
        <v>#DIV/0!</v>
      </c>
      <c r="O18" s="342"/>
      <c r="P18" s="435"/>
    </row>
    <row r="19" spans="1:16" ht="18.95" customHeight="1">
      <c r="A19" s="651">
        <f t="shared" si="0"/>
        <v>0</v>
      </c>
      <c r="B19" s="262" t="s">
        <v>115</v>
      </c>
      <c r="C19" s="159" t="s">
        <v>116</v>
      </c>
      <c r="D19" s="159" t="s">
        <v>117</v>
      </c>
      <c r="E19" s="152">
        <f ca="1">SUMIF('1.3-Basis ruimtestaat'!D:J,'1.1 Jaarprijzen'!B19,'1.3-Basis ruimtestaat'!J:J)</f>
        <v>319.92999999999995</v>
      </c>
      <c r="F19" s="152">
        <f ca="1">SUMIF('1.3-Basis ruimtestaat'!D:K,'1.1 Jaarprijzen'!B19,'1.3-Basis ruimtestaat'!K:K)</f>
        <v>188.22</v>
      </c>
      <c r="G19" s="84"/>
      <c r="H19" s="281" t="e">
        <f>SUMIF('1.3-Basis ruimtestaat'!D:D,'1.1 Jaarprijzen'!B19,'1.3-Basis ruimtestaat'!S:S)+SUMIF('1.3-Basis ruimtestaat'!D:D,'1.1 Jaarprijzen'!B19,'1.3-Basis ruimtestaat'!U:U)</f>
        <v>#VALUE!</v>
      </c>
      <c r="I19" s="281" t="e">
        <f>SUMIF('1.3-Basis ruimtestaat'!D:D,'1.1 Jaarprijzen'!B19,'1.3-Basis ruimtestaat'!T:T)</f>
        <v>#VALUE!</v>
      </c>
      <c r="J19" s="659" t="e">
        <f>SUMIF('1.3-Basis ruimtestaat'!D:D,'1.1 Jaarprijzen'!B19,'1.3-Basis ruimtestaat'!V:V)</f>
        <v>#VALUE!</v>
      </c>
      <c r="K19" s="281"/>
      <c r="L19" s="282" t="e">
        <f>(H19+I19)*'1.0-Contractblad'!$D$39</f>
        <v>#VALUE!</v>
      </c>
      <c r="M19" s="157">
        <f>SUMIF('1.6-Glasbewassing'!B:B,'1.1 Jaarprijzen'!B19,'1.6-Glasbewassing'!D:D)+SUMIF('1.6-Glasbewassing'!B:B,'1.1 Jaarprijzen'!B19,'1.6-Glasbewassing'!F:F)+SUMIF('1.6-Glasbewassing'!B:B,'1.1 Jaarprijzen'!B19,'1.6-Glasbewassing'!H:H)</f>
        <v>159.65</v>
      </c>
      <c r="N19" s="648" t="e">
        <f ca="1">IF(E19=0,0,SUMIF('1.3-Basis ruimtestaat'!D:D,'1.1 Jaarprijzen'!B19,'1.3-Basis ruimtestaat'!AF:AF)/SUM(H19+I19))</f>
        <v>#VALUE!</v>
      </c>
      <c r="O19" s="342"/>
      <c r="P19" s="435"/>
    </row>
    <row r="20" spans="1:16" ht="18.95" customHeight="1">
      <c r="A20" s="651">
        <f t="shared" si="0"/>
        <v>0</v>
      </c>
      <c r="B20" s="2" t="s">
        <v>118</v>
      </c>
      <c r="C20" s="2" t="s">
        <v>119</v>
      </c>
      <c r="D20" s="2" t="s">
        <v>120</v>
      </c>
      <c r="E20" s="152">
        <f ca="1">SUMIF('1.3-Basis ruimtestaat'!D:J,'1.1 Jaarprijzen'!B20,'1.3-Basis ruimtestaat'!J:J)</f>
        <v>253.35</v>
      </c>
      <c r="F20" s="152">
        <f ca="1">SUMIF('1.3-Basis ruimtestaat'!D:K,'1.1 Jaarprijzen'!B20,'1.3-Basis ruimtestaat'!K:K)</f>
        <v>1509.69</v>
      </c>
      <c r="G20" s="84"/>
      <c r="H20" s="281">
        <f>SUMIF('1.3-Basis ruimtestaat'!D:D,'1.1 Jaarprijzen'!B20,'1.3-Basis ruimtestaat'!S:S)+SUMIF('1.3-Basis ruimtestaat'!D:D,'1.1 Jaarprijzen'!B20,'1.3-Basis ruimtestaat'!U:U)</f>
        <v>0</v>
      </c>
      <c r="I20" s="281">
        <f>SUMIF('1.3-Basis ruimtestaat'!D:D,'1.1 Jaarprijzen'!B20,'1.3-Basis ruimtestaat'!T:T)</f>
        <v>0</v>
      </c>
      <c r="J20" s="659">
        <f>SUMIF('1.3-Basis ruimtestaat'!D:D,'1.1 Jaarprijzen'!B20,'1.3-Basis ruimtestaat'!V:V)</f>
        <v>0</v>
      </c>
      <c r="K20" s="281"/>
      <c r="L20" s="282">
        <f>(H20+I20)*'1.0-Contractblad'!$D$39</f>
        <v>0</v>
      </c>
      <c r="M20" s="157">
        <f>SUMIF('1.6-Glasbewassing'!B:B,'1.1 Jaarprijzen'!B20,'1.6-Glasbewassing'!D:D)+SUMIF('1.6-Glasbewassing'!B:B,'1.1 Jaarprijzen'!B20,'1.6-Glasbewassing'!F:F)+SUMIF('1.6-Glasbewassing'!B:B,'1.1 Jaarprijzen'!B20,'1.6-Glasbewassing'!H:H)</f>
        <v>136.76</v>
      </c>
      <c r="N20" s="648" t="e">
        <f ca="1">IF(E20=0,0,SUMIF('1.3-Basis ruimtestaat'!D:D,'1.1 Jaarprijzen'!B20,'1.3-Basis ruimtestaat'!AF:AF)/SUM(H20+I20))</f>
        <v>#DIV/0!</v>
      </c>
      <c r="O20" s="342"/>
      <c r="P20" s="435"/>
    </row>
    <row r="21" spans="1:16" ht="18.95" customHeight="1">
      <c r="A21" s="651">
        <f t="shared" si="0"/>
        <v>0</v>
      </c>
      <c r="B21" s="2" t="s">
        <v>121</v>
      </c>
      <c r="C21" s="2" t="s">
        <v>122</v>
      </c>
      <c r="D21" s="2" t="s">
        <v>123</v>
      </c>
      <c r="E21" s="152">
        <f ca="1">SUMIF('1.3-Basis ruimtestaat'!D:J,'1.1 Jaarprijzen'!B21,'1.3-Basis ruimtestaat'!J:J)</f>
        <v>431.64</v>
      </c>
      <c r="F21" s="152">
        <f ca="1">SUMIF('1.3-Basis ruimtestaat'!D:K,'1.1 Jaarprijzen'!B21,'1.3-Basis ruimtestaat'!K:K)</f>
        <v>22.77</v>
      </c>
      <c r="G21" s="84"/>
      <c r="H21" s="281">
        <f>SUMIF('1.3-Basis ruimtestaat'!D:D,'1.1 Jaarprijzen'!B21,'1.3-Basis ruimtestaat'!S:S)+SUMIF('1.3-Basis ruimtestaat'!D:D,'1.1 Jaarprijzen'!B21,'1.3-Basis ruimtestaat'!U:U)</f>
        <v>0</v>
      </c>
      <c r="I21" s="281">
        <f>SUMIF('1.3-Basis ruimtestaat'!D:D,'1.1 Jaarprijzen'!B21,'1.3-Basis ruimtestaat'!T:T)</f>
        <v>0</v>
      </c>
      <c r="J21" s="659">
        <f>SUMIF('1.3-Basis ruimtestaat'!D:D,'1.1 Jaarprijzen'!B21,'1.3-Basis ruimtestaat'!V:V)</f>
        <v>0</v>
      </c>
      <c r="K21" s="281"/>
      <c r="L21" s="282">
        <f>(H21+I21)*'1.0-Contractblad'!$D$39</f>
        <v>0</v>
      </c>
      <c r="M21" s="157">
        <f>SUMIF('1.6-Glasbewassing'!B:B,'1.1 Jaarprijzen'!B21,'1.6-Glasbewassing'!D:D)+SUMIF('1.6-Glasbewassing'!B:B,'1.1 Jaarprijzen'!B21,'1.6-Glasbewassing'!F:F)+SUMIF('1.6-Glasbewassing'!B:B,'1.1 Jaarprijzen'!B21,'1.6-Glasbewassing'!H:H)</f>
        <v>256.71000000000004</v>
      </c>
      <c r="N21" s="648" t="e">
        <f ca="1">IF(E21=0,0,SUMIF('1.3-Basis ruimtestaat'!D:D,'1.1 Jaarprijzen'!B21,'1.3-Basis ruimtestaat'!AF:AF)/SUM(H21+I21))</f>
        <v>#DIV/0!</v>
      </c>
      <c r="O21" s="342"/>
      <c r="P21" s="435"/>
    </row>
    <row r="22" spans="1:16" ht="18.95" customHeight="1">
      <c r="A22" s="651">
        <f t="shared" si="0"/>
        <v>0</v>
      </c>
      <c r="B22" s="2" t="s">
        <v>124</v>
      </c>
      <c r="C22" s="159" t="s">
        <v>125</v>
      </c>
      <c r="D22" s="2" t="s">
        <v>126</v>
      </c>
      <c r="E22" s="152">
        <f ca="1">SUMIF('1.3-Basis ruimtestaat'!D:J,'1.1 Jaarprijzen'!B22,'1.3-Basis ruimtestaat'!J:J)</f>
        <v>54.429999999999993</v>
      </c>
      <c r="F22" s="152">
        <f ca="1">SUMIF('1.3-Basis ruimtestaat'!D:K,'1.1 Jaarprijzen'!B22,'1.3-Basis ruimtestaat'!K:K)</f>
        <v>130.36000000000001</v>
      </c>
      <c r="G22" s="84"/>
      <c r="H22" s="281">
        <f>SUMIF('1.3-Basis ruimtestaat'!D:D,'1.1 Jaarprijzen'!B22,'1.3-Basis ruimtestaat'!S:S)+SUMIF('1.3-Basis ruimtestaat'!D:D,'1.1 Jaarprijzen'!B22,'1.3-Basis ruimtestaat'!U:U)</f>
        <v>0</v>
      </c>
      <c r="I22" s="281">
        <f>SUMIF('1.3-Basis ruimtestaat'!D:D,'1.1 Jaarprijzen'!B22,'1.3-Basis ruimtestaat'!T:T)</f>
        <v>0</v>
      </c>
      <c r="J22" s="659">
        <f>SUMIF('1.3-Basis ruimtestaat'!D:D,'1.1 Jaarprijzen'!B22,'1.3-Basis ruimtestaat'!V:V)</f>
        <v>0</v>
      </c>
      <c r="K22" s="281"/>
      <c r="L22" s="282">
        <f>(H22+I22)*'1.0-Contractblad'!$D$39</f>
        <v>0</v>
      </c>
      <c r="M22" s="157">
        <f>SUMIF('1.6-Glasbewassing'!B:B,'1.1 Jaarprijzen'!B22,'1.6-Glasbewassing'!D:D)+SUMIF('1.6-Glasbewassing'!B:B,'1.1 Jaarprijzen'!B22,'1.6-Glasbewassing'!F:F)+SUMIF('1.6-Glasbewassing'!B:B,'1.1 Jaarprijzen'!B22,'1.6-Glasbewassing'!H:H)</f>
        <v>76.64</v>
      </c>
      <c r="N22" s="648" t="e">
        <f ca="1">IF(E22=0,0,SUMIF('1.3-Basis ruimtestaat'!D:D,'1.1 Jaarprijzen'!B22,'1.3-Basis ruimtestaat'!AF:AF)/SUM(H22+I22))</f>
        <v>#DIV/0!</v>
      </c>
      <c r="O22" s="342"/>
      <c r="P22" s="435"/>
    </row>
    <row r="23" spans="1:16" ht="18.95" customHeight="1">
      <c r="A23" s="651">
        <f t="shared" si="0"/>
        <v>0</v>
      </c>
      <c r="B23" s="2" t="s">
        <v>127</v>
      </c>
      <c r="C23" s="159" t="s">
        <v>128</v>
      </c>
      <c r="D23" s="159" t="s">
        <v>129</v>
      </c>
      <c r="E23" s="152">
        <f ca="1">SUMIF('1.3-Basis ruimtestaat'!D:J,'1.1 Jaarprijzen'!B23,'1.3-Basis ruimtestaat'!J:J)</f>
        <v>41.2</v>
      </c>
      <c r="F23" s="152">
        <f ca="1">SUMIF('1.3-Basis ruimtestaat'!D:K,'1.1 Jaarprijzen'!B23,'1.3-Basis ruimtestaat'!K:K)</f>
        <v>134.5</v>
      </c>
      <c r="G23" s="84"/>
      <c r="H23" s="281">
        <f>SUMIF('1.3-Basis ruimtestaat'!D:D,'1.1 Jaarprijzen'!B23,'1.3-Basis ruimtestaat'!S:S)+SUMIF('1.3-Basis ruimtestaat'!D:D,'1.1 Jaarprijzen'!B23,'1.3-Basis ruimtestaat'!U:U)</f>
        <v>0</v>
      </c>
      <c r="I23" s="281">
        <f>SUMIF('1.3-Basis ruimtestaat'!D:D,'1.1 Jaarprijzen'!B23,'1.3-Basis ruimtestaat'!T:T)</f>
        <v>0</v>
      </c>
      <c r="J23" s="659">
        <f>SUMIF('1.3-Basis ruimtestaat'!D:D,'1.1 Jaarprijzen'!B23,'1.3-Basis ruimtestaat'!V:V)</f>
        <v>0</v>
      </c>
      <c r="K23" s="281"/>
      <c r="L23" s="282">
        <f>(H23+I23)*'1.0-Contractblad'!$D$39</f>
        <v>0</v>
      </c>
      <c r="M23" s="157">
        <f>SUMIF('1.6-Glasbewassing'!B:B,'1.1 Jaarprijzen'!B23,'1.6-Glasbewassing'!D:D)+SUMIF('1.6-Glasbewassing'!B:B,'1.1 Jaarprijzen'!B23,'1.6-Glasbewassing'!F:F)+SUMIF('1.6-Glasbewassing'!B:B,'1.1 Jaarprijzen'!B23,'1.6-Glasbewassing'!H:H)</f>
        <v>0</v>
      </c>
      <c r="N23" s="648" t="e">
        <f ca="1">IF(E23=0,0,SUMIF('1.3-Basis ruimtestaat'!D:D,'1.1 Jaarprijzen'!B23,'1.3-Basis ruimtestaat'!AF:AF)/SUM(H23+I23))</f>
        <v>#DIV/0!</v>
      </c>
      <c r="O23" s="342"/>
      <c r="P23" s="435"/>
    </row>
    <row r="24" spans="1:16" ht="18.95" customHeight="1">
      <c r="A24" s="651">
        <f t="shared" si="0"/>
        <v>0</v>
      </c>
      <c r="B24" s="2" t="s">
        <v>130</v>
      </c>
      <c r="C24" s="159" t="s">
        <v>131</v>
      </c>
      <c r="D24" s="159" t="s">
        <v>132</v>
      </c>
      <c r="E24" s="152">
        <f ca="1">SUMIF('1.3-Basis ruimtestaat'!D:J,'1.1 Jaarprijzen'!B24,'1.3-Basis ruimtestaat'!J:J)</f>
        <v>22.22</v>
      </c>
      <c r="F24" s="152">
        <f ca="1">SUMIF('1.3-Basis ruimtestaat'!D:K,'1.1 Jaarprijzen'!B24,'1.3-Basis ruimtestaat'!K:K)</f>
        <v>0</v>
      </c>
      <c r="G24" s="84"/>
      <c r="H24" s="281">
        <f>SUMIF('1.3-Basis ruimtestaat'!D:D,'1.1 Jaarprijzen'!B24,'1.3-Basis ruimtestaat'!S:S)+SUMIF('1.3-Basis ruimtestaat'!D:D,'1.1 Jaarprijzen'!B24,'1.3-Basis ruimtestaat'!U:U)</f>
        <v>0</v>
      </c>
      <c r="I24" s="281">
        <f>SUMIF('1.3-Basis ruimtestaat'!D:D,'1.1 Jaarprijzen'!B24,'1.3-Basis ruimtestaat'!T:T)</f>
        <v>0</v>
      </c>
      <c r="J24" s="659">
        <f>SUMIF('1.3-Basis ruimtestaat'!D:D,'1.1 Jaarprijzen'!B24,'1.3-Basis ruimtestaat'!V:V)</f>
        <v>0</v>
      </c>
      <c r="K24" s="281"/>
      <c r="L24" s="282">
        <f>(H24+I24)*'1.0-Contractblad'!$D$39</f>
        <v>0</v>
      </c>
      <c r="M24" s="157">
        <f>SUMIF('1.6-Glasbewassing'!B:B,'1.1 Jaarprijzen'!B24,'1.6-Glasbewassing'!D:D)+SUMIF('1.6-Glasbewassing'!B:B,'1.1 Jaarprijzen'!B24,'1.6-Glasbewassing'!F:F)+SUMIF('1.6-Glasbewassing'!B:B,'1.1 Jaarprijzen'!B24,'1.6-Glasbewassing'!H:H)</f>
        <v>46.18</v>
      </c>
      <c r="N24" s="648" t="e">
        <f ca="1">IF(E24=0,0,SUMIF('1.3-Basis ruimtestaat'!D:D,'1.1 Jaarprijzen'!B24,'1.3-Basis ruimtestaat'!AF:AF)/SUM(H24+I24))</f>
        <v>#DIV/0!</v>
      </c>
      <c r="O24" s="342"/>
      <c r="P24" s="435"/>
    </row>
    <row r="25" spans="1:16" ht="18.95" customHeight="1">
      <c r="A25" s="651">
        <f t="shared" si="0"/>
        <v>0</v>
      </c>
      <c r="B25" s="2" t="s">
        <v>133</v>
      </c>
      <c r="C25" s="159" t="s">
        <v>134</v>
      </c>
      <c r="D25" s="159" t="s">
        <v>135</v>
      </c>
      <c r="E25" s="152">
        <f ca="1">SUMIF('1.3-Basis ruimtestaat'!D:J,'1.1 Jaarprijzen'!B25,'1.3-Basis ruimtestaat'!J:J)</f>
        <v>51.440000000000005</v>
      </c>
      <c r="F25" s="152">
        <f ca="1">SUMIF('1.3-Basis ruimtestaat'!D:K,'1.1 Jaarprijzen'!B25,'1.3-Basis ruimtestaat'!K:K)</f>
        <v>63.6</v>
      </c>
      <c r="G25" s="84"/>
      <c r="H25" s="281">
        <f>SUMIF('1.3-Basis ruimtestaat'!D:D,'1.1 Jaarprijzen'!B25,'1.3-Basis ruimtestaat'!S:S)+SUMIF('1.3-Basis ruimtestaat'!D:D,'1.1 Jaarprijzen'!B25,'1.3-Basis ruimtestaat'!U:U)</f>
        <v>0</v>
      </c>
      <c r="I25" s="281">
        <f>SUMIF('1.3-Basis ruimtestaat'!D:D,'1.1 Jaarprijzen'!B25,'1.3-Basis ruimtestaat'!T:T)</f>
        <v>0</v>
      </c>
      <c r="J25" s="659">
        <f>SUMIF('1.3-Basis ruimtestaat'!D:D,'1.1 Jaarprijzen'!B25,'1.3-Basis ruimtestaat'!V:V)</f>
        <v>0</v>
      </c>
      <c r="K25" s="281"/>
      <c r="L25" s="282">
        <f>(H25+I25)*'1.0-Contractblad'!$D$39</f>
        <v>0</v>
      </c>
      <c r="M25" s="157">
        <f>SUMIF('1.6-Glasbewassing'!B:B,'1.1 Jaarprijzen'!B25,'1.6-Glasbewassing'!D:D)+SUMIF('1.6-Glasbewassing'!B:B,'1.1 Jaarprijzen'!B25,'1.6-Glasbewassing'!F:F)+SUMIF('1.6-Glasbewassing'!B:B,'1.1 Jaarprijzen'!B25,'1.6-Glasbewassing'!H:H)</f>
        <v>63.910000000000004</v>
      </c>
      <c r="N25" s="648" t="e">
        <f ca="1">IF(E25=0,0,SUMIF('1.3-Basis ruimtestaat'!D:D,'1.1 Jaarprijzen'!B25,'1.3-Basis ruimtestaat'!AF:AF)/SUM(H25+I25))</f>
        <v>#DIV/0!</v>
      </c>
      <c r="O25" s="342"/>
      <c r="P25" s="435"/>
    </row>
    <row r="26" spans="1:16" ht="18.95" customHeight="1">
      <c r="A26" s="651">
        <f t="shared" si="0"/>
        <v>0</v>
      </c>
      <c r="B26" s="2" t="s">
        <v>136</v>
      </c>
      <c r="C26" s="2" t="s">
        <v>137</v>
      </c>
      <c r="D26" s="2" t="s">
        <v>138</v>
      </c>
      <c r="E26" s="152">
        <f ca="1">SUMIF('1.3-Basis ruimtestaat'!D:J,'1.1 Jaarprijzen'!B26,'1.3-Basis ruimtestaat'!J:J)</f>
        <v>25.330000000000002</v>
      </c>
      <c r="F26" s="152">
        <f ca="1">SUMIF('1.3-Basis ruimtestaat'!D:K,'1.1 Jaarprijzen'!B26,'1.3-Basis ruimtestaat'!K:K)</f>
        <v>0</v>
      </c>
      <c r="G26" s="84"/>
      <c r="H26" s="281">
        <f>SUMIF('1.3-Basis ruimtestaat'!D:D,'1.1 Jaarprijzen'!B26,'1.3-Basis ruimtestaat'!S:S)+SUMIF('1.3-Basis ruimtestaat'!D:D,'1.1 Jaarprijzen'!B26,'1.3-Basis ruimtestaat'!U:U)</f>
        <v>0</v>
      </c>
      <c r="I26" s="281">
        <f>SUMIF('1.3-Basis ruimtestaat'!D:D,'1.1 Jaarprijzen'!B26,'1.3-Basis ruimtestaat'!T:T)</f>
        <v>0</v>
      </c>
      <c r="J26" s="659">
        <f>SUMIF('1.3-Basis ruimtestaat'!D:D,'1.1 Jaarprijzen'!B26,'1.3-Basis ruimtestaat'!V:V)</f>
        <v>0</v>
      </c>
      <c r="K26" s="281"/>
      <c r="L26" s="282">
        <f>(H26+I26)*'1.0-Contractblad'!$D$39</f>
        <v>0</v>
      </c>
      <c r="M26" s="157">
        <f>SUMIF('1.6-Glasbewassing'!B:B,'1.1 Jaarprijzen'!B26,'1.6-Glasbewassing'!D:D)+SUMIF('1.6-Glasbewassing'!B:B,'1.1 Jaarprijzen'!B26,'1.6-Glasbewassing'!F:F)+SUMIF('1.6-Glasbewassing'!B:B,'1.1 Jaarprijzen'!B26,'1.6-Glasbewassing'!H:H)</f>
        <v>22.8</v>
      </c>
      <c r="N26" s="648" t="e">
        <f ca="1">IF(E26=0,0,SUMIF('1.3-Basis ruimtestaat'!D:D,'1.1 Jaarprijzen'!B26,'1.3-Basis ruimtestaat'!AF:AF)/SUM(H26+I26))</f>
        <v>#DIV/0!</v>
      </c>
      <c r="O26" s="342"/>
      <c r="P26" s="435"/>
    </row>
    <row r="27" spans="1:16" ht="18.95" customHeight="1">
      <c r="A27" s="651">
        <f t="shared" si="0"/>
        <v>0</v>
      </c>
      <c r="B27" s="2" t="s">
        <v>139</v>
      </c>
      <c r="C27" s="159" t="s">
        <v>140</v>
      </c>
      <c r="D27" s="159" t="s">
        <v>141</v>
      </c>
      <c r="E27" s="152">
        <f ca="1">SUMIF('1.3-Basis ruimtestaat'!D:J,'1.1 Jaarprijzen'!B27,'1.3-Basis ruimtestaat'!J:J)</f>
        <v>25.270000000000003</v>
      </c>
      <c r="F27" s="152">
        <f ca="1">SUMIF('1.3-Basis ruimtestaat'!D:K,'1.1 Jaarprijzen'!B27,'1.3-Basis ruimtestaat'!K:K)</f>
        <v>47.67</v>
      </c>
      <c r="G27" s="84"/>
      <c r="H27" s="281">
        <f>SUMIF('1.3-Basis ruimtestaat'!D:D,'1.1 Jaarprijzen'!B27,'1.3-Basis ruimtestaat'!S:S)+SUMIF('1.3-Basis ruimtestaat'!D:D,'1.1 Jaarprijzen'!B27,'1.3-Basis ruimtestaat'!U:U)</f>
        <v>0</v>
      </c>
      <c r="I27" s="281">
        <f>SUMIF('1.3-Basis ruimtestaat'!D:D,'1.1 Jaarprijzen'!B27,'1.3-Basis ruimtestaat'!T:T)</f>
        <v>0</v>
      </c>
      <c r="J27" s="659">
        <f>SUMIF('1.3-Basis ruimtestaat'!D:D,'1.1 Jaarprijzen'!B27,'1.3-Basis ruimtestaat'!V:V)</f>
        <v>0</v>
      </c>
      <c r="K27" s="281"/>
      <c r="L27" s="282">
        <f>(H27+I27)*'1.0-Contractblad'!$D$39</f>
        <v>0</v>
      </c>
      <c r="M27" s="157">
        <f>SUMIF('1.6-Glasbewassing'!B:B,'1.1 Jaarprijzen'!B27,'1.6-Glasbewassing'!D:D)+SUMIF('1.6-Glasbewassing'!B:B,'1.1 Jaarprijzen'!B27,'1.6-Glasbewassing'!F:F)+SUMIF('1.6-Glasbewassing'!B:B,'1.1 Jaarprijzen'!B27,'1.6-Glasbewassing'!H:H)</f>
        <v>6.5</v>
      </c>
      <c r="N27" s="648" t="e">
        <f ca="1">IF(E27=0,0,SUMIF('1.3-Basis ruimtestaat'!D:D,'1.1 Jaarprijzen'!B27,'1.3-Basis ruimtestaat'!AF:AF)/SUM(H27+I27))</f>
        <v>#DIV/0!</v>
      </c>
      <c r="O27" s="342"/>
      <c r="P27" s="435"/>
    </row>
    <row r="28" spans="1:16" ht="18.95" customHeight="1">
      <c r="A28" s="651">
        <f t="shared" si="0"/>
        <v>0</v>
      </c>
      <c r="B28" s="2" t="s">
        <v>142</v>
      </c>
      <c r="C28" s="159" t="s">
        <v>143</v>
      </c>
      <c r="D28" s="2" t="s">
        <v>144</v>
      </c>
      <c r="E28" s="152">
        <f ca="1">SUMIF('1.3-Basis ruimtestaat'!D:J,'1.1 Jaarprijzen'!B28,'1.3-Basis ruimtestaat'!J:J)</f>
        <v>405.50000000000006</v>
      </c>
      <c r="F28" s="152">
        <f ca="1">SUMIF('1.3-Basis ruimtestaat'!D:K,'1.1 Jaarprijzen'!B28,'1.3-Basis ruimtestaat'!K:K)</f>
        <v>79.600000000000009</v>
      </c>
      <c r="G28" s="84"/>
      <c r="H28" s="281">
        <f>SUMIF('1.3-Basis ruimtestaat'!D:D,'1.1 Jaarprijzen'!B28,'1.3-Basis ruimtestaat'!S:S)+SUMIF('1.3-Basis ruimtestaat'!D:D,'1.1 Jaarprijzen'!B28,'1.3-Basis ruimtestaat'!U:U)</f>
        <v>0</v>
      </c>
      <c r="I28" s="281">
        <f>SUMIF('1.3-Basis ruimtestaat'!D:D,'1.1 Jaarprijzen'!B28,'1.3-Basis ruimtestaat'!T:T)</f>
        <v>0</v>
      </c>
      <c r="J28" s="659">
        <f>SUMIF('1.3-Basis ruimtestaat'!D:D,'1.1 Jaarprijzen'!B28,'1.3-Basis ruimtestaat'!V:V)</f>
        <v>0</v>
      </c>
      <c r="K28" s="281"/>
      <c r="L28" s="282">
        <f>(H28+I28)*'1.0-Contractblad'!$D$39</f>
        <v>0</v>
      </c>
      <c r="M28" s="157">
        <f>SUMIF('1.6-Glasbewassing'!B:B,'1.1 Jaarprijzen'!B28,'1.6-Glasbewassing'!D:D)+SUMIF('1.6-Glasbewassing'!B:B,'1.1 Jaarprijzen'!B28,'1.6-Glasbewassing'!F:F)+SUMIF('1.6-Glasbewassing'!B:B,'1.1 Jaarprijzen'!B28,'1.6-Glasbewassing'!H:H)</f>
        <v>206.93</v>
      </c>
      <c r="N28" s="648" t="e">
        <f ca="1">IF(E28=0,0,SUMIF('1.3-Basis ruimtestaat'!D:D,'1.1 Jaarprijzen'!B28,'1.3-Basis ruimtestaat'!AF:AF)/SUM(H28+I28))</f>
        <v>#DIV/0!</v>
      </c>
      <c r="O28" s="342"/>
      <c r="P28" s="435"/>
    </row>
    <row r="29" spans="1:16" ht="18.95" customHeight="1">
      <c r="A29" s="651">
        <f t="shared" si="0"/>
        <v>0</v>
      </c>
      <c r="B29" s="2" t="s">
        <v>145</v>
      </c>
      <c r="C29" s="2" t="s">
        <v>146</v>
      </c>
      <c r="D29" s="2" t="s">
        <v>147</v>
      </c>
      <c r="E29" s="152">
        <f ca="1">SUMIF('1.3-Basis ruimtestaat'!D:J,'1.1 Jaarprijzen'!B29,'1.3-Basis ruimtestaat'!J:J)</f>
        <v>161.21999999999997</v>
      </c>
      <c r="F29" s="152">
        <f ca="1">SUMIF('1.3-Basis ruimtestaat'!D:K,'1.1 Jaarprijzen'!B29,'1.3-Basis ruimtestaat'!K:K)</f>
        <v>0</v>
      </c>
      <c r="G29" s="84"/>
      <c r="H29" s="281">
        <f>SUMIF('1.3-Basis ruimtestaat'!D:D,'1.1 Jaarprijzen'!B29,'1.3-Basis ruimtestaat'!S:S)+SUMIF('1.3-Basis ruimtestaat'!D:D,'1.1 Jaarprijzen'!B29,'1.3-Basis ruimtestaat'!U:U)</f>
        <v>0</v>
      </c>
      <c r="I29" s="281">
        <f>SUMIF('1.3-Basis ruimtestaat'!D:D,'1.1 Jaarprijzen'!B29,'1.3-Basis ruimtestaat'!T:T)</f>
        <v>0</v>
      </c>
      <c r="J29" s="659">
        <f>SUMIF('1.3-Basis ruimtestaat'!D:D,'1.1 Jaarprijzen'!B29,'1.3-Basis ruimtestaat'!V:V)</f>
        <v>0</v>
      </c>
      <c r="K29" s="281"/>
      <c r="L29" s="282">
        <f>(H29+I29)*'1.0-Contractblad'!$D$39</f>
        <v>0</v>
      </c>
      <c r="M29" s="157">
        <f>SUMIF('1.6-Glasbewassing'!B:B,'1.1 Jaarprijzen'!B29,'1.6-Glasbewassing'!D:D)+SUMIF('1.6-Glasbewassing'!B:B,'1.1 Jaarprijzen'!B29,'1.6-Glasbewassing'!F:F)+SUMIF('1.6-Glasbewassing'!B:B,'1.1 Jaarprijzen'!B29,'1.6-Glasbewassing'!H:H)</f>
        <v>259</v>
      </c>
      <c r="N29" s="648" t="e">
        <f ca="1">IF(E29=0,0,SUMIF('1.3-Basis ruimtestaat'!D:D,'1.1 Jaarprijzen'!B29,'1.3-Basis ruimtestaat'!AF:AF)/SUM(H29+I29))</f>
        <v>#DIV/0!</v>
      </c>
      <c r="O29" s="342"/>
      <c r="P29" s="435"/>
    </row>
    <row r="30" spans="1:16" ht="18.95" customHeight="1">
      <c r="A30" s="651">
        <f t="shared" si="0"/>
        <v>0</v>
      </c>
      <c r="B30" s="2" t="s">
        <v>148</v>
      </c>
      <c r="C30" s="2" t="s">
        <v>149</v>
      </c>
      <c r="D30" s="2" t="s">
        <v>150</v>
      </c>
      <c r="E30" s="152">
        <f ca="1">SUMIF('1.3-Basis ruimtestaat'!D:J,'1.1 Jaarprijzen'!B30,'1.3-Basis ruimtestaat'!J:J)</f>
        <v>257.94</v>
      </c>
      <c r="F30" s="152">
        <f ca="1">SUMIF('1.3-Basis ruimtestaat'!D:K,'1.1 Jaarprijzen'!B30,'1.3-Basis ruimtestaat'!K:K)</f>
        <v>45.02</v>
      </c>
      <c r="G30" s="84"/>
      <c r="H30" s="281">
        <f>SUMIF('1.3-Basis ruimtestaat'!D:D,'1.1 Jaarprijzen'!B30,'1.3-Basis ruimtestaat'!S:S)+SUMIF('1.3-Basis ruimtestaat'!D:D,'1.1 Jaarprijzen'!B30,'1.3-Basis ruimtestaat'!U:U)</f>
        <v>0</v>
      </c>
      <c r="I30" s="281">
        <f>SUMIF('1.3-Basis ruimtestaat'!D:D,'1.1 Jaarprijzen'!B30,'1.3-Basis ruimtestaat'!T:T)</f>
        <v>0</v>
      </c>
      <c r="J30" s="659">
        <f>SUMIF('1.3-Basis ruimtestaat'!D:D,'1.1 Jaarprijzen'!B30,'1.3-Basis ruimtestaat'!V:V)</f>
        <v>0</v>
      </c>
      <c r="K30" s="281"/>
      <c r="L30" s="282">
        <f>(H30+I30)*'1.0-Contractblad'!$D$39</f>
        <v>0</v>
      </c>
      <c r="M30" s="157">
        <f>SUMIF('1.6-Glasbewassing'!B:B,'1.1 Jaarprijzen'!B30,'1.6-Glasbewassing'!D:D)+SUMIF('1.6-Glasbewassing'!B:B,'1.1 Jaarprijzen'!B30,'1.6-Glasbewassing'!F:F)+SUMIF('1.6-Glasbewassing'!B:B,'1.1 Jaarprijzen'!B30,'1.6-Glasbewassing'!H:H)</f>
        <v>203.44</v>
      </c>
      <c r="N30" s="648" t="e">
        <f ca="1">IF(E30=0,0,SUMIF('1.3-Basis ruimtestaat'!D:D,'1.1 Jaarprijzen'!B30,'1.3-Basis ruimtestaat'!AF:AF)/SUM(H30+I30))</f>
        <v>#DIV/0!</v>
      </c>
      <c r="O30" s="439"/>
      <c r="P30" s="435"/>
    </row>
    <row r="31" spans="1:16" ht="18.95" customHeight="1">
      <c r="A31" s="651">
        <f t="shared" si="0"/>
        <v>0</v>
      </c>
      <c r="B31" s="2" t="s">
        <v>151</v>
      </c>
      <c r="C31" s="2" t="s">
        <v>152</v>
      </c>
      <c r="D31" s="2" t="s">
        <v>153</v>
      </c>
      <c r="E31" s="152">
        <f ca="1">SUMIF('1.3-Basis ruimtestaat'!D:J,'1.1 Jaarprijzen'!B31,'1.3-Basis ruimtestaat'!J:J)</f>
        <v>312.84000000000003</v>
      </c>
      <c r="F31" s="152">
        <f ca="1">SUMIF('1.3-Basis ruimtestaat'!D:K,'1.1 Jaarprijzen'!B31,'1.3-Basis ruimtestaat'!K:K)</f>
        <v>258.89</v>
      </c>
      <c r="G31" s="84"/>
      <c r="H31" s="281">
        <f>SUMIF('1.3-Basis ruimtestaat'!D:D,'1.1 Jaarprijzen'!B31,'1.3-Basis ruimtestaat'!S:S)+SUMIF('1.3-Basis ruimtestaat'!D:D,'1.1 Jaarprijzen'!B31,'1.3-Basis ruimtestaat'!U:U)</f>
        <v>0</v>
      </c>
      <c r="I31" s="281">
        <f>SUMIF('1.3-Basis ruimtestaat'!D:D,'1.1 Jaarprijzen'!B31,'1.3-Basis ruimtestaat'!T:T)</f>
        <v>0</v>
      </c>
      <c r="J31" s="659">
        <f>SUMIF('1.3-Basis ruimtestaat'!D:D,'1.1 Jaarprijzen'!B31,'1.3-Basis ruimtestaat'!V:V)</f>
        <v>0</v>
      </c>
      <c r="K31" s="281"/>
      <c r="L31" s="282">
        <f>(H31+I31)*'1.0-Contractblad'!$D$39</f>
        <v>0</v>
      </c>
      <c r="M31" s="157">
        <f>SUMIF('1.6-Glasbewassing'!B:B,'1.1 Jaarprijzen'!B31,'1.6-Glasbewassing'!D:D)+SUMIF('1.6-Glasbewassing'!B:B,'1.1 Jaarprijzen'!B31,'1.6-Glasbewassing'!F:F)+SUMIF('1.6-Glasbewassing'!B:B,'1.1 Jaarprijzen'!B31,'1.6-Glasbewassing'!H:H)</f>
        <v>107.57000000000001</v>
      </c>
      <c r="N31" s="648" t="e">
        <f ca="1">IF(E31=0,0,SUMIF('1.3-Basis ruimtestaat'!D:D,'1.1 Jaarprijzen'!B31,'1.3-Basis ruimtestaat'!AF:AF)/SUM(H31+I31))</f>
        <v>#DIV/0!</v>
      </c>
      <c r="O31" s="342"/>
      <c r="P31" s="435"/>
    </row>
    <row r="32" spans="1:16" ht="18.95" customHeight="1">
      <c r="A32" s="651">
        <f t="shared" si="0"/>
        <v>0</v>
      </c>
      <c r="B32" s="2" t="s">
        <v>154</v>
      </c>
      <c r="C32" s="159" t="s">
        <v>155</v>
      </c>
      <c r="D32" s="159" t="s">
        <v>156</v>
      </c>
      <c r="E32" s="152">
        <f ca="1">SUMIF('1.3-Basis ruimtestaat'!D:J,'1.1 Jaarprijzen'!B32,'1.3-Basis ruimtestaat'!J:J)</f>
        <v>276.24</v>
      </c>
      <c r="F32" s="152">
        <f ca="1">SUMIF('1.3-Basis ruimtestaat'!D:K,'1.1 Jaarprijzen'!B32,'1.3-Basis ruimtestaat'!K:K)</f>
        <v>0</v>
      </c>
      <c r="G32" s="84"/>
      <c r="H32" s="281">
        <f>SUMIF('1.3-Basis ruimtestaat'!D:D,'1.1 Jaarprijzen'!B32,'1.3-Basis ruimtestaat'!S:S)+SUMIF('1.3-Basis ruimtestaat'!D:D,'1.1 Jaarprijzen'!B32,'1.3-Basis ruimtestaat'!U:U)</f>
        <v>0</v>
      </c>
      <c r="I32" s="281">
        <f>SUMIF('1.3-Basis ruimtestaat'!D:D,'1.1 Jaarprijzen'!B32,'1.3-Basis ruimtestaat'!T:T)</f>
        <v>0</v>
      </c>
      <c r="J32" s="659">
        <f>SUMIF('1.3-Basis ruimtestaat'!D:D,'1.1 Jaarprijzen'!B32,'1.3-Basis ruimtestaat'!V:V)</f>
        <v>0</v>
      </c>
      <c r="K32" s="281"/>
      <c r="L32" s="282">
        <f>(H32+I32)*'1.0-Contractblad'!$D$39</f>
        <v>0</v>
      </c>
      <c r="M32" s="157">
        <f>SUMIF('1.6-Glasbewassing'!B:B,'1.1 Jaarprijzen'!B32,'1.6-Glasbewassing'!D:D)+SUMIF('1.6-Glasbewassing'!B:B,'1.1 Jaarprijzen'!B32,'1.6-Glasbewassing'!F:F)+SUMIF('1.6-Glasbewassing'!B:B,'1.1 Jaarprijzen'!B32,'1.6-Glasbewassing'!H:H)</f>
        <v>520.15</v>
      </c>
      <c r="N32" s="648" t="e">
        <f ca="1">IF(E32=0,0,SUMIF('1.3-Basis ruimtestaat'!D:D,'1.1 Jaarprijzen'!B32,'1.3-Basis ruimtestaat'!AF:AF)/SUM(H32+I32))</f>
        <v>#DIV/0!</v>
      </c>
      <c r="O32" s="342"/>
      <c r="P32" s="435"/>
    </row>
    <row r="33" spans="1:21" ht="18.95" customHeight="1">
      <c r="A33" s="651">
        <f t="shared" si="0"/>
        <v>0</v>
      </c>
      <c r="B33" s="2" t="s">
        <v>157</v>
      </c>
      <c r="C33" s="159" t="s">
        <v>158</v>
      </c>
      <c r="D33" s="2" t="s">
        <v>159</v>
      </c>
      <c r="E33" s="152">
        <f ca="1">SUMIF('1.3-Basis ruimtestaat'!D:J,'1.1 Jaarprijzen'!B33,'1.3-Basis ruimtestaat'!J:J)</f>
        <v>501.59</v>
      </c>
      <c r="F33" s="152">
        <f ca="1">SUMIF('1.3-Basis ruimtestaat'!D:K,'1.1 Jaarprijzen'!B33,'1.3-Basis ruimtestaat'!K:K)</f>
        <v>40.89</v>
      </c>
      <c r="G33" s="84"/>
      <c r="H33" s="281">
        <f>SUMIF('1.3-Basis ruimtestaat'!D:D,'1.1 Jaarprijzen'!B33,'1.3-Basis ruimtestaat'!S:S)+SUMIF('1.3-Basis ruimtestaat'!D:D,'1.1 Jaarprijzen'!B33,'1.3-Basis ruimtestaat'!U:U)</f>
        <v>0</v>
      </c>
      <c r="I33" s="281">
        <f>SUMIF('1.3-Basis ruimtestaat'!D:D,'1.1 Jaarprijzen'!B33,'1.3-Basis ruimtestaat'!T:T)</f>
        <v>0</v>
      </c>
      <c r="J33" s="659">
        <f>SUMIF('1.3-Basis ruimtestaat'!D:D,'1.1 Jaarprijzen'!B33,'1.3-Basis ruimtestaat'!V:V)</f>
        <v>0</v>
      </c>
      <c r="K33" s="281"/>
      <c r="L33" s="282">
        <f>(H33+I33)*'1.0-Contractblad'!$D$39</f>
        <v>0</v>
      </c>
      <c r="M33" s="157">
        <f>SUMIF('1.6-Glasbewassing'!B:B,'1.1 Jaarprijzen'!B33,'1.6-Glasbewassing'!D:D)+SUMIF('1.6-Glasbewassing'!B:B,'1.1 Jaarprijzen'!B33,'1.6-Glasbewassing'!F:F)+SUMIF('1.6-Glasbewassing'!B:B,'1.1 Jaarprijzen'!B33,'1.6-Glasbewassing'!H:H)</f>
        <v>259.47999999999996</v>
      </c>
      <c r="N33" s="648" t="e">
        <f ca="1">IF(E33=0,0,SUMIF('1.3-Basis ruimtestaat'!D:D,'1.1 Jaarprijzen'!B33,'1.3-Basis ruimtestaat'!AF:AF)/SUM(H33+I33))</f>
        <v>#DIV/0!</v>
      </c>
      <c r="O33" s="342"/>
      <c r="P33" s="435"/>
    </row>
    <row r="34" spans="1:21" ht="18.95" customHeight="1">
      <c r="A34" s="651">
        <f t="shared" si="0"/>
        <v>0</v>
      </c>
      <c r="B34" s="2" t="s">
        <v>160</v>
      </c>
      <c r="C34" s="2" t="s">
        <v>158</v>
      </c>
      <c r="D34" s="2" t="s">
        <v>159</v>
      </c>
      <c r="E34" s="152">
        <f ca="1">SUMIF('1.3-Basis ruimtestaat'!D:J,'1.1 Jaarprijzen'!B34,'1.3-Basis ruimtestaat'!J:J)</f>
        <v>267.10999999999996</v>
      </c>
      <c r="F34" s="152">
        <f ca="1">SUMIF('1.3-Basis ruimtestaat'!D:K,'1.1 Jaarprijzen'!B34,'1.3-Basis ruimtestaat'!K:K)</f>
        <v>0</v>
      </c>
      <c r="G34" s="84"/>
      <c r="H34" s="281">
        <f>SUMIF('1.3-Basis ruimtestaat'!D:D,'1.1 Jaarprijzen'!B34,'1.3-Basis ruimtestaat'!S:S)+SUMIF('1.3-Basis ruimtestaat'!D:D,'1.1 Jaarprijzen'!B34,'1.3-Basis ruimtestaat'!U:U)</f>
        <v>0</v>
      </c>
      <c r="I34" s="281">
        <f>SUMIF('1.3-Basis ruimtestaat'!D:D,'1.1 Jaarprijzen'!B34,'1.3-Basis ruimtestaat'!T:T)</f>
        <v>0</v>
      </c>
      <c r="J34" s="659">
        <f>SUMIF('1.3-Basis ruimtestaat'!D:D,'1.1 Jaarprijzen'!B34,'1.3-Basis ruimtestaat'!V:V)</f>
        <v>0</v>
      </c>
      <c r="K34" s="281"/>
      <c r="L34" s="282">
        <f>(H34+I34)*'1.0-Contractblad'!$D$39</f>
        <v>0</v>
      </c>
      <c r="M34" s="157">
        <f>SUMIF('1.6-Glasbewassing'!B:B,'1.1 Jaarprijzen'!B34,'1.6-Glasbewassing'!D:D)+SUMIF('1.6-Glasbewassing'!B:B,'1.1 Jaarprijzen'!B34,'1.6-Glasbewassing'!F:F)+SUMIF('1.6-Glasbewassing'!B:B,'1.1 Jaarprijzen'!B34,'1.6-Glasbewassing'!H:H)</f>
        <v>109.64</v>
      </c>
      <c r="N34" s="648" t="e">
        <f ca="1">IF(E34=0,0,SUMIF('1.3-Basis ruimtestaat'!D:D,'1.1 Jaarprijzen'!B34,'1.3-Basis ruimtestaat'!AF:AF)/SUM(H34+I34))</f>
        <v>#DIV/0!</v>
      </c>
      <c r="O34" s="342"/>
      <c r="P34" s="435"/>
    </row>
    <row r="35" spans="1:21" ht="18.95" customHeight="1">
      <c r="A35" s="651">
        <f t="shared" si="0"/>
        <v>0</v>
      </c>
      <c r="B35" s="629" t="s">
        <v>161</v>
      </c>
      <c r="C35" s="2" t="s">
        <v>162</v>
      </c>
      <c r="D35" s="2" t="s">
        <v>159</v>
      </c>
      <c r="E35" s="152">
        <f ca="1">SUMIF('1.3-Basis ruimtestaat'!D:J,'1.1 Jaarprijzen'!B35,'1.3-Basis ruimtestaat'!J:J)</f>
        <v>188.18</v>
      </c>
      <c r="F35" s="152">
        <f ca="1">SUMIF('1.3-Basis ruimtestaat'!D:K,'1.1 Jaarprijzen'!B35,'1.3-Basis ruimtestaat'!K:K)</f>
        <v>0</v>
      </c>
      <c r="G35" s="84"/>
      <c r="H35" s="281">
        <f>SUMIF('1.3-Basis ruimtestaat'!D:D,'1.1 Jaarprijzen'!B35,'1.3-Basis ruimtestaat'!S:S)+SUMIF('1.3-Basis ruimtestaat'!D:D,'1.1 Jaarprijzen'!B35,'1.3-Basis ruimtestaat'!U:U)</f>
        <v>0</v>
      </c>
      <c r="I35" s="281">
        <f>SUMIF('1.3-Basis ruimtestaat'!D:D,'1.1 Jaarprijzen'!B35,'1.3-Basis ruimtestaat'!T:T)</f>
        <v>0</v>
      </c>
      <c r="J35" s="659">
        <f>SUMIF('1.3-Basis ruimtestaat'!D:D,'1.1 Jaarprijzen'!B35,'1.3-Basis ruimtestaat'!V:V)</f>
        <v>0</v>
      </c>
      <c r="K35" s="281"/>
      <c r="L35" s="282">
        <f>(H35+I35)*'1.0-Contractblad'!$D$39</f>
        <v>0</v>
      </c>
      <c r="M35" s="157">
        <f>SUMIF('1.6-Glasbewassing'!B:B,'1.1 Jaarprijzen'!B35,'1.6-Glasbewassing'!D:D)+SUMIF('1.6-Glasbewassing'!B:B,'1.1 Jaarprijzen'!B35,'1.6-Glasbewassing'!F:F)+SUMIF('1.6-Glasbewassing'!B:B,'1.1 Jaarprijzen'!B35,'1.6-Glasbewassing'!H:H)</f>
        <v>61.599999999999994</v>
      </c>
      <c r="N35" s="648" t="e">
        <f ca="1">IF(E35=0,0,SUMIF('1.3-Basis ruimtestaat'!D:D,'1.1 Jaarprijzen'!B35,'1.3-Basis ruimtestaat'!AF:AF)/SUM(H35+I35))</f>
        <v>#DIV/0!</v>
      </c>
      <c r="O35" s="342"/>
      <c r="P35" s="435"/>
    </row>
    <row r="36" spans="1:21" ht="18.95" customHeight="1">
      <c r="A36" s="651">
        <f>G36</f>
        <v>0</v>
      </c>
      <c r="B36" s="629" t="s">
        <v>163</v>
      </c>
      <c r="C36" s="2" t="s">
        <v>162</v>
      </c>
      <c r="D36" s="2" t="s">
        <v>159</v>
      </c>
      <c r="E36" s="152">
        <f ca="1">SUMIF('1.3-Basis ruimtestaat'!D:J,'1.1 Jaarprijzen'!B36,'1.3-Basis ruimtestaat'!J:J)</f>
        <v>509.62000000000006</v>
      </c>
      <c r="F36" s="152">
        <f ca="1">SUMIF('1.3-Basis ruimtestaat'!D:K,'1.1 Jaarprijzen'!B36,'1.3-Basis ruimtestaat'!K:K)</f>
        <v>0</v>
      </c>
      <c r="G36" s="84"/>
      <c r="H36" s="281">
        <f>SUMIF('1.3-Basis ruimtestaat'!D:D,'1.1 Jaarprijzen'!B36,'1.3-Basis ruimtestaat'!S:S)+SUMIF('1.3-Basis ruimtestaat'!D:D,'1.1 Jaarprijzen'!B36,'1.3-Basis ruimtestaat'!U:U)</f>
        <v>0</v>
      </c>
      <c r="I36" s="281">
        <f>SUMIF('1.3-Basis ruimtestaat'!D:D,'1.1 Jaarprijzen'!B36,'1.3-Basis ruimtestaat'!T:T)</f>
        <v>0</v>
      </c>
      <c r="J36" s="659">
        <f>SUMIF('1.3-Basis ruimtestaat'!D:D,'1.1 Jaarprijzen'!B36,'1.3-Basis ruimtestaat'!V:V)</f>
        <v>0</v>
      </c>
      <c r="K36" s="281"/>
      <c r="L36" s="282">
        <f>(H36+I36)*'1.0-Contractblad'!$D$39</f>
        <v>0</v>
      </c>
      <c r="M36" s="157">
        <f>SUMIF('1.6-Glasbewassing'!B:B,'1.1 Jaarprijzen'!B36,'1.6-Glasbewassing'!D:D)+SUMIF('1.6-Glasbewassing'!B:B,'1.1 Jaarprijzen'!B36,'1.6-Glasbewassing'!F:F)+SUMIF('1.6-Glasbewassing'!B:B,'1.1 Jaarprijzen'!B36,'1.6-Glasbewassing'!H:H)</f>
        <v>293.52999999999997</v>
      </c>
      <c r="N36" s="648" t="e">
        <f ca="1">IF(E36=0,0,SUMIF('1.3-Basis ruimtestaat'!D:D,'1.1 Jaarprijzen'!B36,'1.3-Basis ruimtestaat'!AF:AF)/SUM(H36+I36))</f>
        <v>#DIV/0!</v>
      </c>
      <c r="O36" s="342"/>
      <c r="P36" s="435"/>
    </row>
    <row r="37" spans="1:21" ht="18.95" hidden="1" customHeight="1">
      <c r="A37" s="651"/>
      <c r="B37" s="527"/>
      <c r="C37" s="527"/>
      <c r="D37" s="527"/>
      <c r="E37" s="152"/>
      <c r="F37" s="152"/>
      <c r="G37" s="356"/>
      <c r="H37" s="281"/>
      <c r="I37" s="281"/>
      <c r="J37" s="659"/>
      <c r="K37" s="281"/>
      <c r="L37" s="282"/>
      <c r="M37" s="157"/>
      <c r="N37" s="648"/>
      <c r="O37" s="342"/>
      <c r="P37" s="354"/>
      <c r="Q37" s="354"/>
      <c r="R37" s="354"/>
      <c r="S37" s="354"/>
      <c r="T37" s="354"/>
      <c r="U37" s="354"/>
    </row>
    <row r="38" spans="1:21" ht="18.95" hidden="1" customHeight="1">
      <c r="A38" s="651"/>
      <c r="B38" s="527"/>
      <c r="C38" s="527"/>
      <c r="D38" s="527"/>
      <c r="E38" s="152"/>
      <c r="F38" s="152"/>
      <c r="G38" s="356"/>
      <c r="H38" s="281"/>
      <c r="I38" s="281"/>
      <c r="J38" s="659"/>
      <c r="K38" s="281"/>
      <c r="L38" s="282"/>
      <c r="M38" s="157"/>
      <c r="N38" s="648"/>
      <c r="O38" s="342"/>
      <c r="P38" s="354"/>
      <c r="Q38" s="354"/>
      <c r="R38" s="354"/>
      <c r="S38" s="354"/>
      <c r="T38" s="354"/>
      <c r="U38" s="354"/>
    </row>
    <row r="39" spans="1:21" ht="18.95" hidden="1" customHeight="1">
      <c r="A39" s="651"/>
      <c r="B39" s="527"/>
      <c r="C39" s="527"/>
      <c r="D39" s="527"/>
      <c r="E39" s="152"/>
      <c r="F39" s="152"/>
      <c r="G39" s="356"/>
      <c r="H39" s="281"/>
      <c r="I39" s="281"/>
      <c r="J39" s="659"/>
      <c r="K39" s="281"/>
      <c r="L39" s="282"/>
      <c r="M39" s="157"/>
      <c r="N39" s="648"/>
      <c r="O39" s="342"/>
      <c r="P39" s="354"/>
      <c r="Q39" s="354"/>
      <c r="R39" s="354"/>
      <c r="S39" s="354"/>
      <c r="T39" s="354"/>
      <c r="U39" s="354"/>
    </row>
    <row r="40" spans="1:21" ht="18.95" hidden="1" customHeight="1">
      <c r="A40" s="651"/>
      <c r="B40" s="527"/>
      <c r="C40" s="527"/>
      <c r="D40" s="527"/>
      <c r="E40" s="152"/>
      <c r="F40" s="152"/>
      <c r="G40" s="356"/>
      <c r="H40" s="281"/>
      <c r="I40" s="281"/>
      <c r="J40" s="659"/>
      <c r="K40" s="281"/>
      <c r="L40" s="282"/>
      <c r="M40" s="157"/>
      <c r="N40" s="648"/>
      <c r="O40" s="342"/>
      <c r="P40" s="354"/>
      <c r="Q40" s="354"/>
      <c r="R40" s="354"/>
      <c r="S40" s="354"/>
      <c r="T40" s="354"/>
      <c r="U40" s="354"/>
    </row>
    <row r="41" spans="1:21" ht="18.95" hidden="1" customHeight="1">
      <c r="A41" s="651"/>
      <c r="B41" s="527"/>
      <c r="C41" s="527"/>
      <c r="D41" s="527"/>
      <c r="E41" s="152"/>
      <c r="F41" s="152"/>
      <c r="G41" s="356"/>
      <c r="H41" s="281"/>
      <c r="I41" s="281"/>
      <c r="J41" s="659"/>
      <c r="K41" s="281"/>
      <c r="L41" s="282"/>
      <c r="M41" s="157"/>
      <c r="N41" s="648"/>
      <c r="O41" s="342"/>
      <c r="P41" s="354"/>
      <c r="Q41" s="354"/>
      <c r="R41" s="354"/>
      <c r="S41" s="354"/>
      <c r="T41" s="354"/>
      <c r="U41" s="354"/>
    </row>
    <row r="42" spans="1:21" ht="18.95" hidden="1" customHeight="1">
      <c r="A42" s="651"/>
      <c r="B42" s="527"/>
      <c r="C42" s="527"/>
      <c r="D42" s="527"/>
      <c r="E42" s="152"/>
      <c r="F42" s="152"/>
      <c r="G42" s="356"/>
      <c r="H42" s="281"/>
      <c r="I42" s="281"/>
      <c r="J42" s="659"/>
      <c r="K42" s="281"/>
      <c r="L42" s="282"/>
      <c r="M42" s="157"/>
      <c r="N42" s="648"/>
      <c r="O42" s="342"/>
      <c r="P42" s="354"/>
      <c r="Q42" s="354"/>
      <c r="R42" s="354"/>
      <c r="S42" s="354"/>
      <c r="T42" s="354"/>
      <c r="U42" s="354"/>
    </row>
    <row r="43" spans="1:21" ht="18.95" hidden="1" customHeight="1">
      <c r="A43" s="651"/>
      <c r="B43" s="527"/>
      <c r="C43" s="527"/>
      <c r="D43" s="527"/>
      <c r="E43" s="152"/>
      <c r="F43" s="152"/>
      <c r="G43" s="356"/>
      <c r="H43" s="281"/>
      <c r="I43" s="281"/>
      <c r="J43" s="659"/>
      <c r="K43" s="281"/>
      <c r="L43" s="282"/>
      <c r="M43" s="157"/>
      <c r="N43" s="648"/>
      <c r="O43" s="342"/>
      <c r="P43" s="354"/>
      <c r="Q43" s="354"/>
      <c r="R43" s="354"/>
      <c r="S43" s="354"/>
      <c r="T43" s="354"/>
      <c r="U43" s="354"/>
    </row>
    <row r="44" spans="1:21" ht="18.95" hidden="1" customHeight="1">
      <c r="A44" s="651"/>
      <c r="B44" s="527"/>
      <c r="C44" s="527"/>
      <c r="D44" s="527"/>
      <c r="E44" s="152"/>
      <c r="F44" s="152"/>
      <c r="G44" s="356"/>
      <c r="H44" s="281"/>
      <c r="I44" s="281"/>
      <c r="J44" s="659"/>
      <c r="K44" s="281"/>
      <c r="L44" s="282"/>
      <c r="M44" s="157"/>
      <c r="N44" s="648"/>
      <c r="O44" s="342"/>
      <c r="P44" s="354"/>
      <c r="Q44" s="354"/>
      <c r="R44" s="354"/>
      <c r="S44" s="354"/>
      <c r="T44" s="354"/>
      <c r="U44" s="354"/>
    </row>
    <row r="45" spans="1:21" ht="18.95" hidden="1" customHeight="1">
      <c r="A45" s="651"/>
      <c r="B45" s="527"/>
      <c r="C45" s="527"/>
      <c r="D45" s="527"/>
      <c r="E45" s="152"/>
      <c r="F45" s="152"/>
      <c r="G45" s="356"/>
      <c r="H45" s="281"/>
      <c r="I45" s="281"/>
      <c r="J45" s="659"/>
      <c r="K45" s="281"/>
      <c r="L45" s="282"/>
      <c r="M45" s="157"/>
      <c r="N45" s="648"/>
      <c r="O45" s="342"/>
      <c r="P45" s="354"/>
      <c r="Q45" s="354"/>
      <c r="R45" s="354"/>
      <c r="S45" s="354"/>
      <c r="T45" s="354"/>
      <c r="U45" s="354"/>
    </row>
    <row r="46" spans="1:21" ht="18.95" hidden="1" customHeight="1">
      <c r="A46" s="651"/>
      <c r="B46" s="527"/>
      <c r="C46" s="527"/>
      <c r="D46" s="527"/>
      <c r="E46" s="152"/>
      <c r="F46" s="152"/>
      <c r="G46" s="356"/>
      <c r="H46" s="281"/>
      <c r="I46" s="281"/>
      <c r="J46" s="659"/>
      <c r="K46" s="281"/>
      <c r="L46" s="282"/>
      <c r="M46" s="157"/>
      <c r="N46" s="648"/>
      <c r="O46" s="342"/>
      <c r="P46" s="354"/>
      <c r="Q46" s="354"/>
      <c r="R46" s="354"/>
      <c r="S46" s="354"/>
      <c r="T46" s="354"/>
      <c r="U46" s="354"/>
    </row>
    <row r="47" spans="1:21" ht="18.95" hidden="1" customHeight="1">
      <c r="A47" s="651"/>
      <c r="B47" s="527"/>
      <c r="C47" s="527"/>
      <c r="D47" s="527"/>
      <c r="E47" s="152"/>
      <c r="F47" s="152"/>
      <c r="G47" s="356"/>
      <c r="H47" s="281"/>
      <c r="I47" s="281"/>
      <c r="J47" s="659"/>
      <c r="K47" s="281"/>
      <c r="L47" s="282"/>
      <c r="M47" s="157"/>
      <c r="N47" s="648"/>
      <c r="O47" s="342"/>
      <c r="P47" s="354"/>
      <c r="Q47" s="354"/>
      <c r="R47" s="354"/>
      <c r="S47" s="354"/>
      <c r="T47" s="354"/>
      <c r="U47" s="354"/>
    </row>
    <row r="48" spans="1:21" ht="18.95" hidden="1" customHeight="1">
      <c r="A48" s="651"/>
      <c r="B48" s="527"/>
      <c r="C48" s="527"/>
      <c r="D48" s="527"/>
      <c r="E48" s="152"/>
      <c r="F48" s="152"/>
      <c r="G48" s="356"/>
      <c r="H48" s="281"/>
      <c r="I48" s="281"/>
      <c r="J48" s="659"/>
      <c r="K48" s="281"/>
      <c r="L48" s="282"/>
      <c r="M48" s="157"/>
      <c r="N48" s="648"/>
      <c r="O48" s="342"/>
      <c r="P48" s="354"/>
      <c r="Q48" s="354"/>
      <c r="R48" s="354"/>
      <c r="S48" s="354"/>
      <c r="T48" s="354"/>
      <c r="U48" s="354"/>
    </row>
    <row r="49" spans="1:21" ht="18.95" hidden="1" customHeight="1">
      <c r="A49" s="651"/>
      <c r="B49" s="527"/>
      <c r="C49" s="527"/>
      <c r="D49" s="527"/>
      <c r="E49" s="152"/>
      <c r="F49" s="152"/>
      <c r="G49" s="356"/>
      <c r="H49" s="281"/>
      <c r="I49" s="281"/>
      <c r="J49" s="659"/>
      <c r="K49" s="281"/>
      <c r="L49" s="282"/>
      <c r="M49" s="157"/>
      <c r="N49" s="648"/>
      <c r="O49" s="342"/>
      <c r="P49" s="354"/>
      <c r="Q49" s="354"/>
      <c r="R49" s="354"/>
      <c r="S49" s="354"/>
      <c r="T49" s="354"/>
      <c r="U49" s="354"/>
    </row>
    <row r="50" spans="1:21" ht="18.95" hidden="1" customHeight="1">
      <c r="A50" s="651"/>
      <c r="B50" s="527"/>
      <c r="C50" s="527"/>
      <c r="D50" s="527"/>
      <c r="E50" s="152"/>
      <c r="F50" s="152"/>
      <c r="G50" s="356"/>
      <c r="H50" s="281"/>
      <c r="I50" s="281"/>
      <c r="J50" s="659"/>
      <c r="K50" s="281"/>
      <c r="L50" s="282"/>
      <c r="M50" s="157"/>
      <c r="N50" s="648"/>
      <c r="O50" s="342"/>
      <c r="P50" s="354"/>
      <c r="Q50" s="354"/>
      <c r="R50" s="354"/>
      <c r="S50" s="354"/>
      <c r="T50" s="354"/>
      <c r="U50" s="354"/>
    </row>
    <row r="51" spans="1:21" ht="18.95" hidden="1" customHeight="1">
      <c r="A51" s="651"/>
      <c r="B51" s="527"/>
      <c r="C51" s="527"/>
      <c r="D51" s="527"/>
      <c r="E51" s="152"/>
      <c r="F51" s="152"/>
      <c r="G51" s="356"/>
      <c r="H51" s="281"/>
      <c r="I51" s="281"/>
      <c r="J51" s="659"/>
      <c r="K51" s="281"/>
      <c r="L51" s="282"/>
      <c r="M51" s="157"/>
      <c r="N51" s="648"/>
      <c r="O51" s="342"/>
      <c r="P51" s="354"/>
      <c r="Q51" s="354"/>
      <c r="R51" s="354"/>
      <c r="S51" s="354"/>
      <c r="T51" s="354"/>
      <c r="U51" s="354"/>
    </row>
    <row r="52" spans="1:21" ht="18.95" hidden="1" customHeight="1">
      <c r="A52" s="651"/>
      <c r="B52" s="527"/>
      <c r="C52" s="527"/>
      <c r="D52" s="527"/>
      <c r="E52" s="152"/>
      <c r="F52" s="152"/>
      <c r="G52" s="356"/>
      <c r="H52" s="281"/>
      <c r="I52" s="281"/>
      <c r="J52" s="659"/>
      <c r="K52" s="281"/>
      <c r="L52" s="282"/>
      <c r="M52" s="157"/>
      <c r="N52" s="648"/>
      <c r="O52" s="342"/>
      <c r="P52" s="354"/>
      <c r="Q52" s="354"/>
      <c r="R52" s="354"/>
      <c r="S52" s="354"/>
      <c r="T52" s="354"/>
      <c r="U52" s="354"/>
    </row>
    <row r="53" spans="1:21" ht="18.95" hidden="1" customHeight="1">
      <c r="A53" s="651"/>
      <c r="B53" s="527"/>
      <c r="C53" s="527"/>
      <c r="D53" s="527"/>
      <c r="E53" s="152"/>
      <c r="F53" s="152"/>
      <c r="G53" s="356"/>
      <c r="H53" s="281"/>
      <c r="I53" s="281"/>
      <c r="J53" s="659"/>
      <c r="K53" s="281"/>
      <c r="L53" s="282"/>
      <c r="M53" s="157"/>
      <c r="N53" s="648"/>
      <c r="O53" s="342"/>
      <c r="P53" s="354"/>
      <c r="Q53" s="354"/>
      <c r="R53" s="354"/>
      <c r="S53" s="354"/>
      <c r="T53" s="354"/>
      <c r="U53" s="354"/>
    </row>
    <row r="54" spans="1:21" ht="18.95" hidden="1" customHeight="1">
      <c r="A54" s="651"/>
      <c r="B54" s="527"/>
      <c r="C54" s="527"/>
      <c r="D54" s="527"/>
      <c r="E54" s="152"/>
      <c r="F54" s="152"/>
      <c r="G54" s="356"/>
      <c r="H54" s="281"/>
      <c r="I54" s="281"/>
      <c r="J54" s="659"/>
      <c r="K54" s="281"/>
      <c r="L54" s="282"/>
      <c r="M54" s="157"/>
      <c r="N54" s="648"/>
      <c r="O54" s="342"/>
      <c r="P54" s="354"/>
      <c r="Q54" s="354"/>
      <c r="R54" s="354"/>
      <c r="S54" s="354"/>
      <c r="T54" s="354"/>
      <c r="U54" s="354"/>
    </row>
    <row r="55" spans="1:21" ht="18.95" hidden="1" customHeight="1">
      <c r="A55" s="651"/>
      <c r="B55" s="527"/>
      <c r="C55" s="527"/>
      <c r="D55" s="527"/>
      <c r="E55" s="152"/>
      <c r="F55" s="152"/>
      <c r="G55" s="356"/>
      <c r="H55" s="281"/>
      <c r="I55" s="281"/>
      <c r="J55" s="659"/>
      <c r="K55" s="281"/>
      <c r="L55" s="282"/>
      <c r="M55" s="157"/>
      <c r="N55" s="648"/>
      <c r="O55" s="342"/>
      <c r="P55" s="354"/>
      <c r="Q55" s="354"/>
      <c r="R55" s="354"/>
      <c r="S55" s="354"/>
      <c r="T55" s="354"/>
      <c r="U55" s="354"/>
    </row>
    <row r="56" spans="1:21" ht="18.95" hidden="1" customHeight="1">
      <c r="A56" s="651"/>
      <c r="B56" s="527"/>
      <c r="C56" s="527"/>
      <c r="D56" s="527"/>
      <c r="E56" s="152"/>
      <c r="F56" s="152"/>
      <c r="G56" s="356"/>
      <c r="H56" s="281"/>
      <c r="I56" s="281"/>
      <c r="J56" s="659"/>
      <c r="K56" s="281"/>
      <c r="L56" s="282"/>
      <c r="M56" s="157"/>
      <c r="N56" s="648"/>
      <c r="O56" s="342"/>
      <c r="P56" s="354"/>
      <c r="Q56" s="354"/>
      <c r="R56" s="354"/>
      <c r="S56" s="354"/>
      <c r="T56" s="354"/>
      <c r="U56" s="354"/>
    </row>
    <row r="57" spans="1:21" ht="18.95" hidden="1" customHeight="1">
      <c r="A57" s="651"/>
      <c r="B57" s="527"/>
      <c r="C57" s="527"/>
      <c r="D57" s="527"/>
      <c r="E57" s="152"/>
      <c r="F57" s="152"/>
      <c r="G57" s="356"/>
      <c r="H57" s="281"/>
      <c r="I57" s="281"/>
      <c r="J57" s="659"/>
      <c r="K57" s="281"/>
      <c r="L57" s="282"/>
      <c r="M57" s="157"/>
      <c r="N57" s="648"/>
      <c r="O57" s="342"/>
      <c r="P57" s="354"/>
      <c r="Q57" s="354"/>
      <c r="R57" s="354"/>
      <c r="S57" s="354"/>
      <c r="T57" s="354"/>
      <c r="U57" s="354"/>
    </row>
    <row r="58" spans="1:21" ht="18.95" hidden="1" customHeight="1">
      <c r="A58" s="651"/>
      <c r="B58" s="527"/>
      <c r="C58" s="527"/>
      <c r="D58" s="527"/>
      <c r="E58" s="152"/>
      <c r="F58" s="152"/>
      <c r="G58" s="356"/>
      <c r="H58" s="281"/>
      <c r="I58" s="281"/>
      <c r="J58" s="659"/>
      <c r="K58" s="281"/>
      <c r="L58" s="282"/>
      <c r="M58" s="157"/>
      <c r="N58" s="648"/>
      <c r="O58" s="342"/>
      <c r="P58" s="354"/>
      <c r="Q58" s="354"/>
      <c r="R58" s="354"/>
      <c r="S58" s="354"/>
      <c r="T58" s="354"/>
      <c r="U58" s="354"/>
    </row>
    <row r="59" spans="1:21" ht="18.95" hidden="1" customHeight="1">
      <c r="A59" s="651"/>
      <c r="B59" s="527"/>
      <c r="C59" s="527"/>
      <c r="D59" s="527"/>
      <c r="E59" s="152"/>
      <c r="F59" s="152"/>
      <c r="G59" s="356"/>
      <c r="H59" s="281"/>
      <c r="I59" s="281"/>
      <c r="J59" s="659"/>
      <c r="K59" s="281"/>
      <c r="L59" s="282"/>
      <c r="M59" s="157"/>
      <c r="N59" s="648"/>
      <c r="O59" s="342"/>
      <c r="P59" s="354"/>
      <c r="Q59" s="354"/>
      <c r="R59" s="354"/>
      <c r="S59" s="354"/>
      <c r="T59" s="354"/>
      <c r="U59" s="354"/>
    </row>
    <row r="60" spans="1:21" ht="18.95" hidden="1" customHeight="1">
      <c r="A60" s="651"/>
      <c r="E60" s="152"/>
      <c r="F60" s="152"/>
      <c r="G60" s="356"/>
      <c r="H60" s="281"/>
      <c r="I60" s="281"/>
      <c r="J60" s="659"/>
      <c r="K60" s="281"/>
      <c r="L60" s="282"/>
      <c r="M60" s="157"/>
      <c r="N60" s="648"/>
      <c r="O60" s="342"/>
      <c r="P60" s="435"/>
    </row>
    <row r="61" spans="1:21" ht="18.95" hidden="1" customHeight="1">
      <c r="A61" s="651"/>
      <c r="E61" s="152"/>
      <c r="F61" s="152"/>
      <c r="G61" s="356"/>
      <c r="H61" s="281"/>
      <c r="I61" s="281"/>
      <c r="J61" s="659"/>
      <c r="K61" s="281"/>
      <c r="L61" s="282"/>
      <c r="M61" s="157"/>
      <c r="N61" s="648"/>
      <c r="O61" s="342"/>
      <c r="P61" s="435"/>
    </row>
    <row r="62" spans="1:21" ht="18.95" hidden="1" customHeight="1">
      <c r="A62" s="651"/>
      <c r="C62" s="159"/>
      <c r="E62" s="152"/>
      <c r="F62" s="152"/>
      <c r="G62" s="356"/>
      <c r="H62" s="281"/>
      <c r="I62" s="281"/>
      <c r="J62" s="659"/>
      <c r="K62" s="281"/>
      <c r="L62" s="282"/>
      <c r="M62" s="157"/>
      <c r="N62" s="648"/>
      <c r="O62" s="342"/>
      <c r="P62" s="435"/>
    </row>
    <row r="63" spans="1:21" ht="18.95" hidden="1" customHeight="1">
      <c r="A63" s="651"/>
      <c r="E63" s="152"/>
      <c r="F63" s="152"/>
      <c r="G63" s="356"/>
      <c r="H63" s="281"/>
      <c r="I63" s="281"/>
      <c r="J63" s="659"/>
      <c r="K63" s="281"/>
      <c r="L63" s="282"/>
      <c r="M63" s="157"/>
      <c r="N63" s="648"/>
      <c r="O63" s="342"/>
      <c r="P63" s="435"/>
    </row>
    <row r="64" spans="1:21" ht="18.95" hidden="1" customHeight="1">
      <c r="A64" s="651"/>
      <c r="E64" s="152"/>
      <c r="F64" s="152"/>
      <c r="G64" s="356"/>
      <c r="H64" s="281"/>
      <c r="I64" s="281"/>
      <c r="J64" s="659"/>
      <c r="K64" s="281"/>
      <c r="L64" s="282"/>
      <c r="M64" s="157"/>
      <c r="N64" s="648"/>
      <c r="O64" s="342"/>
      <c r="P64" s="435"/>
    </row>
    <row r="65" spans="1:21" ht="18.95" hidden="1" customHeight="1">
      <c r="A65" s="651"/>
      <c r="E65" s="152"/>
      <c r="F65" s="152"/>
      <c r="G65" s="356"/>
      <c r="H65" s="281"/>
      <c r="I65" s="281"/>
      <c r="J65" s="659"/>
      <c r="K65" s="281"/>
      <c r="L65" s="282"/>
      <c r="M65" s="157"/>
      <c r="N65" s="648"/>
      <c r="O65" s="342"/>
      <c r="P65" s="435"/>
    </row>
    <row r="66" spans="1:21" ht="18.95" hidden="1" customHeight="1">
      <c r="A66" s="651"/>
      <c r="E66" s="152"/>
      <c r="F66" s="152"/>
      <c r="G66" s="356"/>
      <c r="H66" s="281"/>
      <c r="I66" s="281"/>
      <c r="J66" s="659"/>
      <c r="K66" s="281"/>
      <c r="L66" s="282"/>
      <c r="M66" s="157"/>
      <c r="N66" s="648"/>
      <c r="O66" s="342"/>
      <c r="P66" s="435"/>
    </row>
    <row r="67" spans="1:21" ht="18.95" hidden="1" customHeight="1">
      <c r="A67" s="651"/>
      <c r="E67" s="152"/>
      <c r="F67" s="152"/>
      <c r="G67" s="356"/>
      <c r="H67" s="281"/>
      <c r="I67" s="281"/>
      <c r="J67" s="659"/>
      <c r="K67" s="281"/>
      <c r="L67" s="282"/>
      <c r="M67" s="157"/>
      <c r="N67" s="648"/>
      <c r="O67" s="342"/>
      <c r="P67" s="435"/>
    </row>
    <row r="68" spans="1:21" ht="18.95" hidden="1" customHeight="1">
      <c r="A68" s="651"/>
      <c r="E68" s="152"/>
      <c r="F68" s="152"/>
      <c r="G68" s="356"/>
      <c r="H68" s="281"/>
      <c r="I68" s="281"/>
      <c r="J68" s="659"/>
      <c r="K68" s="281"/>
      <c r="L68" s="282"/>
      <c r="M68" s="157"/>
      <c r="N68" s="648"/>
      <c r="O68" s="342"/>
      <c r="P68" s="435"/>
    </row>
    <row r="69" spans="1:21" ht="18.95" hidden="1" customHeight="1">
      <c r="A69" s="651"/>
      <c r="B69" s="527"/>
      <c r="C69" s="527"/>
      <c r="D69" s="527"/>
      <c r="E69" s="152"/>
      <c r="F69" s="152"/>
      <c r="G69" s="356"/>
      <c r="H69" s="281"/>
      <c r="I69" s="281"/>
      <c r="J69" s="659"/>
      <c r="K69" s="281"/>
      <c r="L69" s="282"/>
      <c r="M69" s="157"/>
      <c r="N69" s="648"/>
      <c r="O69" s="342"/>
      <c r="P69" s="354"/>
      <c r="Q69" s="354"/>
      <c r="R69" s="354"/>
      <c r="S69" s="354"/>
      <c r="T69" s="354"/>
      <c r="U69" s="354"/>
    </row>
    <row r="70" spans="1:21" ht="18.95" hidden="1" customHeight="1">
      <c r="A70" s="651"/>
      <c r="B70" s="527"/>
      <c r="C70" s="527"/>
      <c r="D70" s="527"/>
      <c r="E70" s="152"/>
      <c r="F70" s="152"/>
      <c r="G70" s="356"/>
      <c r="H70" s="281"/>
      <c r="I70" s="281"/>
      <c r="J70" s="659"/>
      <c r="K70" s="281"/>
      <c r="L70" s="282"/>
      <c r="M70" s="157"/>
      <c r="N70" s="648"/>
      <c r="O70" s="342"/>
      <c r="P70" s="354"/>
      <c r="Q70" s="354"/>
      <c r="R70" s="354"/>
      <c r="S70" s="354"/>
      <c r="T70" s="354"/>
      <c r="U70" s="354"/>
    </row>
    <row r="71" spans="1:21" ht="18.95" hidden="1" customHeight="1">
      <c r="A71" s="651"/>
      <c r="B71" s="527"/>
      <c r="C71" s="527"/>
      <c r="D71" s="527"/>
      <c r="E71" s="152"/>
      <c r="F71" s="152"/>
      <c r="G71" s="356"/>
      <c r="H71" s="281"/>
      <c r="I71" s="281"/>
      <c r="J71" s="659"/>
      <c r="K71" s="281"/>
      <c r="L71" s="282"/>
      <c r="M71" s="157"/>
      <c r="N71" s="648"/>
      <c r="O71" s="342"/>
      <c r="P71" s="354"/>
      <c r="Q71" s="354"/>
      <c r="R71" s="354"/>
      <c r="S71" s="354"/>
      <c r="T71" s="354"/>
      <c r="U71" s="354"/>
    </row>
    <row r="72" spans="1:21" ht="18.95" hidden="1" customHeight="1">
      <c r="A72" s="651"/>
      <c r="E72" s="152"/>
      <c r="F72" s="152"/>
      <c r="G72" s="356"/>
      <c r="H72" s="281"/>
      <c r="I72" s="281"/>
      <c r="J72" s="659"/>
      <c r="K72" s="281"/>
      <c r="L72" s="282"/>
      <c r="M72" s="157"/>
      <c r="N72" s="648"/>
      <c r="O72" s="342"/>
    </row>
    <row r="73" spans="1:21" ht="18.95" hidden="1" customHeight="1">
      <c r="A73" s="651"/>
      <c r="E73" s="152"/>
      <c r="F73" s="152"/>
      <c r="G73" s="356"/>
      <c r="H73" s="281"/>
      <c r="I73" s="281"/>
      <c r="J73" s="659"/>
      <c r="K73" s="281"/>
      <c r="L73" s="282"/>
      <c r="M73" s="157"/>
      <c r="N73" s="648"/>
      <c r="O73" s="342"/>
    </row>
    <row r="74" spans="1:21" ht="18.95" hidden="1" customHeight="1">
      <c r="A74" s="651"/>
      <c r="E74" s="152"/>
      <c r="F74" s="152"/>
      <c r="G74" s="356"/>
      <c r="H74" s="281"/>
      <c r="I74" s="281"/>
      <c r="J74" s="659"/>
      <c r="K74" s="281"/>
      <c r="L74" s="282"/>
      <c r="M74" s="157"/>
      <c r="N74" s="648"/>
      <c r="O74" s="342"/>
    </row>
    <row r="75" spans="1:21" ht="18.95" hidden="1" customHeight="1">
      <c r="A75" s="651"/>
      <c r="B75" s="527"/>
      <c r="C75" s="527"/>
      <c r="D75" s="527"/>
      <c r="E75" s="152"/>
      <c r="F75" s="152"/>
      <c r="G75" s="356"/>
      <c r="H75" s="281"/>
      <c r="I75" s="281"/>
      <c r="J75" s="659"/>
      <c r="K75" s="281"/>
      <c r="L75" s="282"/>
      <c r="M75" s="157"/>
      <c r="N75" s="648"/>
      <c r="O75" s="342"/>
      <c r="P75" s="354"/>
      <c r="Q75" s="354"/>
      <c r="R75" s="354"/>
      <c r="S75" s="354"/>
      <c r="T75" s="354"/>
      <c r="U75" s="354"/>
    </row>
    <row r="76" spans="1:21" ht="18.95" hidden="1" customHeight="1">
      <c r="A76" s="651"/>
      <c r="B76" s="527"/>
      <c r="C76" s="527"/>
      <c r="D76" s="527"/>
      <c r="E76" s="152"/>
      <c r="F76" s="152"/>
      <c r="G76" s="356"/>
      <c r="H76" s="281"/>
      <c r="I76" s="281"/>
      <c r="J76" s="659"/>
      <c r="K76" s="281"/>
      <c r="L76" s="282"/>
      <c r="M76" s="157"/>
      <c r="N76" s="648"/>
      <c r="O76" s="342"/>
      <c r="P76" s="354"/>
      <c r="Q76" s="354"/>
      <c r="R76" s="354"/>
      <c r="S76" s="354"/>
      <c r="T76" s="354"/>
      <c r="U76" s="354"/>
    </row>
    <row r="77" spans="1:21" ht="18.95" hidden="1" customHeight="1">
      <c r="A77" s="651"/>
      <c r="B77" s="527"/>
      <c r="C77" s="527"/>
      <c r="D77" s="527"/>
      <c r="E77" s="152"/>
      <c r="F77" s="152"/>
      <c r="G77" s="356"/>
      <c r="H77" s="281"/>
      <c r="I77" s="281"/>
      <c r="J77" s="659"/>
      <c r="K77" s="281"/>
      <c r="L77" s="282"/>
      <c r="M77" s="157"/>
      <c r="N77" s="648"/>
      <c r="O77" s="342"/>
      <c r="P77" s="354"/>
      <c r="Q77" s="354"/>
      <c r="R77" s="354"/>
      <c r="S77" s="354"/>
      <c r="T77" s="354"/>
      <c r="U77" s="354"/>
    </row>
    <row r="78" spans="1:21" ht="18.95" hidden="1" customHeight="1">
      <c r="A78" s="651"/>
      <c r="B78" s="527"/>
      <c r="C78" s="527"/>
      <c r="D78" s="527"/>
      <c r="E78" s="152"/>
      <c r="F78" s="152"/>
      <c r="G78" s="356"/>
      <c r="H78" s="281"/>
      <c r="I78" s="281"/>
      <c r="J78" s="659"/>
      <c r="K78" s="281"/>
      <c r="L78" s="282"/>
      <c r="M78" s="157"/>
      <c r="N78" s="648"/>
      <c r="O78" s="342"/>
      <c r="P78" s="354"/>
      <c r="Q78" s="354"/>
      <c r="R78" s="354"/>
      <c r="S78" s="354"/>
      <c r="T78" s="354"/>
      <c r="U78" s="354"/>
    </row>
    <row r="79" spans="1:21" ht="18.95" hidden="1" customHeight="1">
      <c r="A79" s="651"/>
      <c r="B79" s="527"/>
      <c r="C79" s="527"/>
      <c r="D79" s="527"/>
      <c r="E79" s="152"/>
      <c r="F79" s="152"/>
      <c r="G79" s="356"/>
      <c r="H79" s="281"/>
      <c r="I79" s="281"/>
      <c r="J79" s="659"/>
      <c r="K79" s="281"/>
      <c r="L79" s="282"/>
      <c r="M79" s="157"/>
      <c r="N79" s="648"/>
      <c r="O79" s="342"/>
      <c r="P79" s="354"/>
      <c r="Q79" s="354"/>
      <c r="R79" s="354"/>
      <c r="S79" s="354"/>
      <c r="T79" s="354"/>
      <c r="U79" s="354"/>
    </row>
    <row r="80" spans="1:21" ht="18.95" hidden="1" customHeight="1">
      <c r="A80" s="651"/>
      <c r="B80" s="527"/>
      <c r="C80" s="527"/>
      <c r="D80" s="527"/>
      <c r="E80" s="152"/>
      <c r="F80" s="152"/>
      <c r="G80" s="356"/>
      <c r="H80" s="281"/>
      <c r="I80" s="281"/>
      <c r="J80" s="659"/>
      <c r="K80" s="281"/>
      <c r="L80" s="282"/>
      <c r="M80" s="157"/>
      <c r="N80" s="648"/>
      <c r="O80" s="342"/>
      <c r="P80" s="354"/>
      <c r="Q80" s="354"/>
      <c r="R80" s="354"/>
      <c r="S80" s="354"/>
      <c r="T80" s="354"/>
      <c r="U80" s="354"/>
    </row>
    <row r="81" spans="1:21" ht="18.95" hidden="1" customHeight="1">
      <c r="A81" s="651"/>
      <c r="B81" s="527"/>
      <c r="C81" s="527"/>
      <c r="D81" s="527"/>
      <c r="E81" s="152"/>
      <c r="F81" s="152"/>
      <c r="G81" s="356"/>
      <c r="H81" s="281"/>
      <c r="I81" s="281"/>
      <c r="J81" s="659"/>
      <c r="K81" s="281"/>
      <c r="L81" s="282"/>
      <c r="M81" s="157"/>
      <c r="N81" s="648"/>
      <c r="O81" s="342"/>
      <c r="P81" s="354"/>
      <c r="Q81" s="354"/>
      <c r="R81" s="354"/>
      <c r="S81" s="354"/>
      <c r="T81" s="354"/>
      <c r="U81" s="354"/>
    </row>
    <row r="82" spans="1:21" ht="18.95" hidden="1" customHeight="1">
      <c r="A82" s="651"/>
      <c r="B82" s="527"/>
      <c r="C82" s="527"/>
      <c r="D82" s="527"/>
      <c r="E82" s="152"/>
      <c r="F82" s="152"/>
      <c r="G82" s="356"/>
      <c r="H82" s="281"/>
      <c r="I82" s="281"/>
      <c r="J82" s="659"/>
      <c r="K82" s="281"/>
      <c r="L82" s="282"/>
      <c r="M82" s="157"/>
      <c r="N82" s="648"/>
      <c r="O82" s="342"/>
      <c r="P82" s="354"/>
      <c r="Q82" s="354"/>
      <c r="R82" s="354"/>
      <c r="S82" s="354"/>
      <c r="T82" s="354"/>
      <c r="U82" s="354"/>
    </row>
    <row r="83" spans="1:21" ht="18.95" hidden="1" customHeight="1">
      <c r="A83" s="651"/>
      <c r="B83" s="527"/>
      <c r="C83" s="527"/>
      <c r="D83" s="527"/>
      <c r="E83" s="152"/>
      <c r="F83" s="152"/>
      <c r="G83" s="356"/>
      <c r="H83" s="281"/>
      <c r="I83" s="281"/>
      <c r="J83" s="659"/>
      <c r="K83" s="281"/>
      <c r="L83" s="282"/>
      <c r="M83" s="157"/>
      <c r="N83" s="648"/>
      <c r="O83" s="342"/>
      <c r="P83" s="354"/>
      <c r="Q83" s="354"/>
      <c r="R83" s="354"/>
      <c r="S83" s="354"/>
      <c r="T83" s="354"/>
      <c r="U83" s="354"/>
    </row>
    <row r="84" spans="1:21" ht="18.95" hidden="1" customHeight="1">
      <c r="A84" s="651"/>
      <c r="B84" s="527"/>
      <c r="C84" s="527"/>
      <c r="D84" s="527"/>
      <c r="E84" s="152"/>
      <c r="F84" s="152"/>
      <c r="G84" s="356"/>
      <c r="H84" s="281"/>
      <c r="I84" s="281"/>
      <c r="J84" s="659"/>
      <c r="K84" s="281"/>
      <c r="L84" s="282"/>
      <c r="M84" s="157"/>
      <c r="N84" s="648"/>
      <c r="O84" s="342"/>
      <c r="P84" s="354"/>
      <c r="Q84" s="354"/>
      <c r="R84" s="354"/>
      <c r="S84" s="354"/>
      <c r="T84" s="354"/>
      <c r="U84" s="354"/>
    </row>
    <row r="85" spans="1:21" ht="18.95" hidden="1" customHeight="1">
      <c r="A85" s="651"/>
      <c r="B85" s="527"/>
      <c r="C85" s="527"/>
      <c r="D85" s="527"/>
      <c r="E85" s="152"/>
      <c r="F85" s="152"/>
      <c r="G85" s="356"/>
      <c r="H85" s="281"/>
      <c r="I85" s="281"/>
      <c r="J85" s="659"/>
      <c r="K85" s="281"/>
      <c r="L85" s="282"/>
      <c r="M85" s="157"/>
      <c r="N85" s="648"/>
      <c r="O85" s="342"/>
      <c r="P85" s="354"/>
      <c r="Q85" s="354"/>
      <c r="R85" s="354"/>
      <c r="S85" s="354"/>
      <c r="T85" s="354"/>
      <c r="U85" s="354"/>
    </row>
    <row r="86" spans="1:21" ht="18.95" hidden="1" customHeight="1">
      <c r="A86" s="651"/>
      <c r="B86" s="527"/>
      <c r="C86" s="527"/>
      <c r="D86" s="527"/>
      <c r="E86" s="152"/>
      <c r="F86" s="152"/>
      <c r="G86" s="356"/>
      <c r="H86" s="281"/>
      <c r="I86" s="281"/>
      <c r="J86" s="659"/>
      <c r="K86" s="281"/>
      <c r="L86" s="282"/>
      <c r="M86" s="157"/>
      <c r="N86" s="648"/>
      <c r="O86" s="342"/>
      <c r="P86" s="354"/>
      <c r="Q86" s="354"/>
      <c r="R86" s="354"/>
      <c r="S86" s="354"/>
      <c r="T86" s="354"/>
      <c r="U86" s="354"/>
    </row>
    <row r="87" spans="1:21" ht="18.95" hidden="1" customHeight="1">
      <c r="A87" s="651"/>
      <c r="B87" s="527"/>
      <c r="C87" s="527"/>
      <c r="D87" s="527"/>
      <c r="E87" s="152"/>
      <c r="F87" s="152"/>
      <c r="G87" s="356"/>
      <c r="H87" s="281"/>
      <c r="I87" s="281"/>
      <c r="J87" s="659"/>
      <c r="K87" s="281"/>
      <c r="L87" s="282"/>
      <c r="M87" s="157"/>
      <c r="N87" s="648"/>
      <c r="O87" s="342"/>
      <c r="P87" s="354"/>
      <c r="Q87" s="354"/>
      <c r="R87" s="354"/>
      <c r="S87" s="354"/>
      <c r="T87" s="354"/>
      <c r="U87" s="354"/>
    </row>
    <row r="88" spans="1:21" ht="18.95" hidden="1" customHeight="1">
      <c r="A88" s="651"/>
      <c r="B88" s="527"/>
      <c r="C88" s="527"/>
      <c r="D88" s="527"/>
      <c r="E88" s="152"/>
      <c r="F88" s="152"/>
      <c r="G88" s="356"/>
      <c r="H88" s="281"/>
      <c r="I88" s="281"/>
      <c r="J88" s="659"/>
      <c r="K88" s="281"/>
      <c r="L88" s="282"/>
      <c r="M88" s="157"/>
      <c r="N88" s="648"/>
      <c r="O88" s="342"/>
      <c r="P88" s="354"/>
      <c r="Q88" s="354"/>
      <c r="R88" s="354"/>
      <c r="S88" s="354"/>
      <c r="T88" s="354"/>
      <c r="U88" s="354"/>
    </row>
    <row r="89" spans="1:21" ht="18.95" hidden="1" customHeight="1">
      <c r="A89" s="651"/>
      <c r="B89" s="527"/>
      <c r="C89" s="527"/>
      <c r="D89" s="527"/>
      <c r="E89" s="152"/>
      <c r="F89" s="152"/>
      <c r="G89" s="356"/>
      <c r="H89" s="281"/>
      <c r="I89" s="281"/>
      <c r="J89" s="659"/>
      <c r="K89" s="281"/>
      <c r="L89" s="282"/>
      <c r="M89" s="157"/>
      <c r="N89" s="648"/>
      <c r="O89" s="342"/>
      <c r="P89" s="354"/>
      <c r="Q89" s="354"/>
      <c r="R89" s="354"/>
      <c r="S89" s="354"/>
      <c r="T89" s="354"/>
      <c r="U89" s="354"/>
    </row>
    <row r="90" spans="1:21" ht="18.95" hidden="1" customHeight="1">
      <c r="A90" s="651"/>
      <c r="B90" s="527"/>
      <c r="C90" s="527"/>
      <c r="D90" s="527"/>
      <c r="E90" s="152"/>
      <c r="F90" s="152"/>
      <c r="G90" s="356"/>
      <c r="H90" s="281"/>
      <c r="I90" s="281"/>
      <c r="J90" s="659"/>
      <c r="K90" s="281"/>
      <c r="L90" s="282"/>
      <c r="M90" s="157"/>
      <c r="N90" s="648"/>
      <c r="O90" s="342"/>
      <c r="P90" s="354"/>
      <c r="Q90" s="354"/>
      <c r="R90" s="354"/>
      <c r="S90" s="354"/>
      <c r="T90" s="354"/>
      <c r="U90" s="354"/>
    </row>
    <row r="91" spans="1:21" ht="18.95" hidden="1" customHeight="1">
      <c r="A91" s="651"/>
      <c r="B91" s="527"/>
      <c r="C91" s="527"/>
      <c r="D91" s="527"/>
      <c r="E91" s="152"/>
      <c r="F91" s="152"/>
      <c r="G91" s="356"/>
      <c r="H91" s="281"/>
      <c r="I91" s="281"/>
      <c r="J91" s="659"/>
      <c r="K91" s="281"/>
      <c r="L91" s="282"/>
      <c r="M91" s="157"/>
      <c r="N91" s="648"/>
      <c r="O91" s="342"/>
      <c r="P91" s="354"/>
      <c r="Q91" s="354"/>
      <c r="R91" s="354"/>
      <c r="S91" s="354"/>
      <c r="T91" s="354"/>
      <c r="U91" s="354"/>
    </row>
    <row r="92" spans="1:21" ht="18.95" hidden="1" customHeight="1">
      <c r="A92" s="651"/>
      <c r="B92" s="527"/>
      <c r="C92" s="527"/>
      <c r="D92" s="527"/>
      <c r="E92" s="152"/>
      <c r="F92" s="152"/>
      <c r="G92" s="356"/>
      <c r="H92" s="281"/>
      <c r="I92" s="281"/>
      <c r="J92" s="659"/>
      <c r="K92" s="281"/>
      <c r="L92" s="282"/>
      <c r="M92" s="157"/>
      <c r="N92" s="648"/>
      <c r="O92" s="342"/>
      <c r="P92" s="354"/>
      <c r="Q92" s="354"/>
      <c r="R92" s="354"/>
      <c r="S92" s="354"/>
      <c r="T92" s="354"/>
      <c r="U92" s="354"/>
    </row>
    <row r="93" spans="1:21" ht="18.95" hidden="1" customHeight="1">
      <c r="A93" s="651"/>
      <c r="B93" s="527"/>
      <c r="C93" s="527"/>
      <c r="D93" s="527"/>
      <c r="E93" s="152"/>
      <c r="F93" s="152"/>
      <c r="G93" s="356"/>
      <c r="H93" s="281"/>
      <c r="I93" s="281"/>
      <c r="J93" s="659"/>
      <c r="K93" s="281"/>
      <c r="L93" s="282"/>
      <c r="M93" s="157"/>
      <c r="N93" s="648"/>
      <c r="O93" s="342"/>
      <c r="P93" s="354"/>
      <c r="Q93" s="354"/>
      <c r="R93" s="354"/>
      <c r="S93" s="354"/>
      <c r="T93" s="354"/>
      <c r="U93" s="354"/>
    </row>
    <row r="94" spans="1:21" ht="18.95" hidden="1" customHeight="1">
      <c r="A94" s="651"/>
      <c r="B94" s="527"/>
      <c r="C94" s="527"/>
      <c r="D94" s="527"/>
      <c r="E94" s="152"/>
      <c r="F94" s="152"/>
      <c r="G94" s="356"/>
      <c r="H94" s="281"/>
      <c r="I94" s="281"/>
      <c r="J94" s="659"/>
      <c r="K94" s="281"/>
      <c r="L94" s="282"/>
      <c r="M94" s="157"/>
      <c r="N94" s="648"/>
      <c r="O94" s="342"/>
      <c r="P94" s="354"/>
      <c r="Q94" s="354"/>
      <c r="R94" s="354"/>
      <c r="S94" s="354"/>
      <c r="T94" s="354"/>
      <c r="U94" s="354"/>
    </row>
    <row r="95" spans="1:21" ht="18.95" hidden="1" customHeight="1">
      <c r="A95" s="651"/>
      <c r="B95" s="527"/>
      <c r="C95" s="527"/>
      <c r="D95" s="527"/>
      <c r="E95" s="152"/>
      <c r="F95" s="152"/>
      <c r="G95" s="356"/>
      <c r="H95" s="281"/>
      <c r="I95" s="281"/>
      <c r="J95" s="659"/>
      <c r="K95" s="281"/>
      <c r="L95" s="282"/>
      <c r="M95" s="157"/>
      <c r="N95" s="648"/>
      <c r="O95" s="342"/>
      <c r="P95" s="354"/>
      <c r="Q95" s="354"/>
      <c r="R95" s="354"/>
      <c r="S95" s="354"/>
      <c r="T95" s="354"/>
      <c r="U95" s="354"/>
    </row>
    <row r="96" spans="1:21" ht="18.95" hidden="1" customHeight="1">
      <c r="A96" s="651"/>
      <c r="B96" s="527"/>
      <c r="C96" s="527"/>
      <c r="D96" s="527"/>
      <c r="E96" s="152"/>
      <c r="F96" s="152"/>
      <c r="G96" s="356"/>
      <c r="H96" s="281"/>
      <c r="I96" s="281"/>
      <c r="J96" s="659"/>
      <c r="K96" s="281"/>
      <c r="L96" s="282"/>
      <c r="M96" s="157"/>
      <c r="N96" s="648"/>
      <c r="O96" s="342"/>
      <c r="P96" s="354"/>
      <c r="Q96" s="354"/>
      <c r="R96" s="354"/>
      <c r="S96" s="354"/>
      <c r="T96" s="354"/>
      <c r="U96" s="354"/>
    </row>
    <row r="97" spans="1:21" ht="18.95" hidden="1" customHeight="1">
      <c r="A97" s="651"/>
      <c r="B97" s="527"/>
      <c r="C97" s="527"/>
      <c r="D97" s="527"/>
      <c r="E97" s="152"/>
      <c r="F97" s="152"/>
      <c r="G97" s="356"/>
      <c r="H97" s="281"/>
      <c r="I97" s="281"/>
      <c r="J97" s="659"/>
      <c r="K97" s="281"/>
      <c r="L97" s="282"/>
      <c r="M97" s="157"/>
      <c r="N97" s="648"/>
      <c r="O97" s="342"/>
      <c r="P97" s="354"/>
      <c r="Q97" s="354"/>
      <c r="R97" s="354"/>
      <c r="S97" s="354"/>
      <c r="T97" s="354"/>
      <c r="U97" s="354"/>
    </row>
    <row r="98" spans="1:21" ht="18.95" hidden="1" customHeight="1">
      <c r="A98" s="651"/>
      <c r="B98" s="527"/>
      <c r="C98" s="527"/>
      <c r="D98" s="527"/>
      <c r="E98" s="152"/>
      <c r="F98" s="152"/>
      <c r="G98" s="356"/>
      <c r="H98" s="281"/>
      <c r="I98" s="281"/>
      <c r="J98" s="659"/>
      <c r="K98" s="281"/>
      <c r="L98" s="282"/>
      <c r="M98" s="157"/>
      <c r="N98" s="648"/>
      <c r="O98" s="342"/>
      <c r="P98" s="354"/>
      <c r="Q98" s="354"/>
      <c r="R98" s="354"/>
      <c r="S98" s="354"/>
      <c r="T98" s="354"/>
      <c r="U98" s="354"/>
    </row>
    <row r="99" spans="1:21" ht="18.95" hidden="1" customHeight="1">
      <c r="A99" s="651"/>
      <c r="B99" s="527"/>
      <c r="C99" s="527"/>
      <c r="D99" s="527"/>
      <c r="E99" s="152"/>
      <c r="F99" s="152"/>
      <c r="G99" s="356"/>
      <c r="H99" s="281"/>
      <c r="I99" s="281"/>
      <c r="J99" s="659"/>
      <c r="K99" s="281"/>
      <c r="L99" s="282"/>
      <c r="M99" s="157"/>
      <c r="N99" s="648"/>
      <c r="O99" s="342"/>
      <c r="P99" s="354"/>
      <c r="Q99" s="354"/>
      <c r="R99" s="354"/>
      <c r="S99" s="354"/>
      <c r="T99" s="354"/>
      <c r="U99" s="354"/>
    </row>
    <row r="100" spans="1:21" ht="18.95" hidden="1" customHeight="1">
      <c r="A100" s="651"/>
      <c r="B100" s="527"/>
      <c r="C100" s="527"/>
      <c r="D100" s="527"/>
      <c r="E100" s="152"/>
      <c r="F100" s="152"/>
      <c r="G100" s="356"/>
      <c r="H100" s="281"/>
      <c r="I100" s="281"/>
      <c r="J100" s="659"/>
      <c r="K100" s="281"/>
      <c r="L100" s="282"/>
      <c r="M100" s="157"/>
      <c r="N100" s="648"/>
      <c r="O100" s="342"/>
      <c r="P100" s="354"/>
      <c r="Q100" s="354"/>
      <c r="R100" s="354"/>
      <c r="S100" s="354"/>
      <c r="T100" s="354"/>
      <c r="U100" s="354"/>
    </row>
    <row r="101" spans="1:21" ht="18.95" hidden="1" customHeight="1">
      <c r="A101" s="651"/>
      <c r="B101" s="527"/>
      <c r="C101" s="527"/>
      <c r="D101" s="527"/>
      <c r="E101" s="152"/>
      <c r="F101" s="152"/>
      <c r="G101" s="356"/>
      <c r="H101" s="281"/>
      <c r="I101" s="281"/>
      <c r="J101" s="659"/>
      <c r="K101" s="281"/>
      <c r="L101" s="282"/>
      <c r="M101" s="157"/>
      <c r="N101" s="648"/>
      <c r="O101" s="342"/>
      <c r="P101" s="354"/>
      <c r="Q101" s="354"/>
      <c r="R101" s="354"/>
      <c r="S101" s="354"/>
      <c r="T101" s="354"/>
      <c r="U101" s="354"/>
    </row>
    <row r="102" spans="1:21" ht="18.95" hidden="1" customHeight="1">
      <c r="A102" s="651"/>
      <c r="B102" s="527"/>
      <c r="C102" s="527"/>
      <c r="D102" s="527"/>
      <c r="E102" s="152"/>
      <c r="F102" s="152"/>
      <c r="G102" s="356"/>
      <c r="H102" s="281"/>
      <c r="I102" s="281"/>
      <c r="J102" s="659"/>
      <c r="K102" s="281"/>
      <c r="L102" s="282"/>
      <c r="M102" s="157"/>
      <c r="N102" s="648"/>
      <c r="O102" s="342"/>
      <c r="P102" s="354"/>
      <c r="Q102" s="354"/>
      <c r="R102" s="354"/>
      <c r="S102" s="354"/>
      <c r="T102" s="354"/>
      <c r="U102" s="354"/>
    </row>
    <row r="103" spans="1:21" ht="18.95" hidden="1" customHeight="1">
      <c r="A103" s="651"/>
      <c r="B103" s="527"/>
      <c r="C103" s="527"/>
      <c r="D103" s="527"/>
      <c r="E103" s="152"/>
      <c r="F103" s="152"/>
      <c r="G103" s="356"/>
      <c r="H103" s="281"/>
      <c r="I103" s="281"/>
      <c r="J103" s="659"/>
      <c r="K103" s="281"/>
      <c r="L103" s="282"/>
      <c r="M103" s="157"/>
      <c r="N103" s="648"/>
      <c r="O103" s="342"/>
      <c r="P103" s="354"/>
      <c r="Q103" s="354"/>
      <c r="R103" s="354"/>
      <c r="S103" s="354"/>
      <c r="T103" s="354"/>
      <c r="U103" s="354"/>
    </row>
    <row r="104" spans="1:21" ht="18.95" hidden="1" customHeight="1">
      <c r="A104" s="651"/>
      <c r="B104" s="527"/>
      <c r="C104" s="527"/>
      <c r="D104" s="527"/>
      <c r="E104" s="152"/>
      <c r="F104" s="152"/>
      <c r="G104" s="356"/>
      <c r="H104" s="281"/>
      <c r="I104" s="281"/>
      <c r="J104" s="659"/>
      <c r="K104" s="281"/>
      <c r="L104" s="282"/>
      <c r="M104" s="157"/>
      <c r="N104" s="648"/>
      <c r="O104" s="342"/>
      <c r="P104" s="354"/>
      <c r="Q104" s="354"/>
      <c r="R104" s="354"/>
      <c r="S104" s="354"/>
      <c r="T104" s="354"/>
      <c r="U104" s="354"/>
    </row>
    <row r="105" spans="1:21" ht="18.95" hidden="1" customHeight="1">
      <c r="A105" s="651"/>
      <c r="B105" s="527"/>
      <c r="C105" s="527"/>
      <c r="D105" s="527"/>
      <c r="E105" s="152"/>
      <c r="F105" s="152"/>
      <c r="G105" s="356"/>
      <c r="H105" s="281"/>
      <c r="I105" s="281"/>
      <c r="J105" s="659"/>
      <c r="K105" s="281"/>
      <c r="L105" s="282"/>
      <c r="M105" s="157"/>
      <c r="N105" s="648"/>
      <c r="O105" s="342"/>
      <c r="P105" s="354"/>
      <c r="Q105" s="354"/>
      <c r="R105" s="354"/>
      <c r="S105" s="354"/>
      <c r="T105" s="354"/>
      <c r="U105" s="354"/>
    </row>
    <row r="106" spans="1:21" ht="18.95" hidden="1" customHeight="1">
      <c r="A106" s="651"/>
      <c r="B106" s="527"/>
      <c r="C106" s="527"/>
      <c r="D106" s="527"/>
      <c r="E106" s="152"/>
      <c r="F106" s="152"/>
      <c r="G106" s="356"/>
      <c r="H106" s="281"/>
      <c r="I106" s="281"/>
      <c r="J106" s="659"/>
      <c r="K106" s="281"/>
      <c r="L106" s="282"/>
      <c r="M106" s="157"/>
      <c r="N106" s="648"/>
      <c r="O106" s="342"/>
      <c r="P106" s="354"/>
      <c r="Q106" s="354"/>
      <c r="R106" s="354"/>
      <c r="S106" s="354"/>
      <c r="T106" s="354"/>
      <c r="U106" s="354"/>
    </row>
    <row r="107" spans="1:21" ht="18.95" hidden="1" customHeight="1">
      <c r="A107" s="651"/>
      <c r="B107" s="527"/>
      <c r="C107" s="527"/>
      <c r="D107" s="527"/>
      <c r="E107" s="152"/>
      <c r="F107" s="152"/>
      <c r="G107" s="356"/>
      <c r="H107" s="281"/>
      <c r="I107" s="281"/>
      <c r="J107" s="659"/>
      <c r="K107" s="281"/>
      <c r="L107" s="282"/>
      <c r="M107" s="157"/>
      <c r="N107" s="648"/>
      <c r="O107" s="342"/>
      <c r="P107" s="354"/>
      <c r="Q107" s="354"/>
      <c r="R107" s="354"/>
      <c r="S107" s="354"/>
      <c r="T107" s="354"/>
      <c r="U107" s="354"/>
    </row>
    <row r="108" spans="1:21" ht="18.95" hidden="1" customHeight="1">
      <c r="A108" s="651"/>
      <c r="B108" s="527"/>
      <c r="C108" s="527"/>
      <c r="D108" s="527"/>
      <c r="E108" s="152"/>
      <c r="F108" s="152"/>
      <c r="G108" s="356"/>
      <c r="H108" s="281"/>
      <c r="I108" s="281"/>
      <c r="J108" s="659"/>
      <c r="K108" s="281"/>
      <c r="L108" s="282"/>
      <c r="M108" s="157"/>
      <c r="N108" s="648"/>
      <c r="O108" s="342"/>
      <c r="P108" s="354"/>
      <c r="Q108" s="354"/>
      <c r="R108" s="354"/>
      <c r="S108" s="354"/>
      <c r="T108" s="354"/>
      <c r="U108" s="354"/>
    </row>
    <row r="109" spans="1:21" ht="18.95" hidden="1" customHeight="1">
      <c r="A109" s="651"/>
      <c r="B109" s="527"/>
      <c r="C109" s="527"/>
      <c r="D109" s="527"/>
      <c r="E109" s="152"/>
      <c r="F109" s="152"/>
      <c r="G109" s="356"/>
      <c r="H109" s="281"/>
      <c r="I109" s="281"/>
      <c r="J109" s="659"/>
      <c r="K109" s="281"/>
      <c r="L109" s="282"/>
      <c r="M109" s="157"/>
      <c r="N109" s="648"/>
      <c r="O109" s="342"/>
      <c r="P109" s="354"/>
      <c r="Q109" s="354"/>
      <c r="R109" s="354"/>
      <c r="S109" s="354"/>
      <c r="T109" s="354"/>
      <c r="U109" s="354"/>
    </row>
    <row r="110" spans="1:21" ht="18.95" hidden="1" customHeight="1">
      <c r="A110" s="651"/>
      <c r="B110" s="527"/>
      <c r="C110" s="527"/>
      <c r="D110" s="527"/>
      <c r="E110" s="152"/>
      <c r="F110" s="152"/>
      <c r="G110" s="356"/>
      <c r="H110" s="281"/>
      <c r="I110" s="281"/>
      <c r="J110" s="659"/>
      <c r="K110" s="281"/>
      <c r="L110" s="282"/>
      <c r="M110" s="157"/>
      <c r="N110" s="648"/>
      <c r="O110" s="342"/>
      <c r="P110" s="354"/>
      <c r="Q110" s="354"/>
      <c r="R110" s="354"/>
      <c r="S110" s="354"/>
      <c r="T110" s="354"/>
      <c r="U110" s="354"/>
    </row>
    <row r="111" spans="1:21" ht="18.95" hidden="1" customHeight="1">
      <c r="A111" s="651"/>
      <c r="B111" s="527"/>
      <c r="C111" s="527"/>
      <c r="D111" s="527"/>
      <c r="E111" s="152"/>
      <c r="F111" s="152"/>
      <c r="G111" s="356"/>
      <c r="H111" s="281"/>
      <c r="I111" s="281"/>
      <c r="J111" s="659"/>
      <c r="K111" s="281"/>
      <c r="L111" s="282"/>
      <c r="M111" s="157"/>
      <c r="N111" s="648"/>
      <c r="O111" s="342"/>
      <c r="P111" s="354"/>
      <c r="Q111" s="354"/>
      <c r="R111" s="354"/>
      <c r="S111" s="354"/>
      <c r="T111" s="354"/>
      <c r="U111" s="354"/>
    </row>
    <row r="112" spans="1:21" ht="18.95" hidden="1" customHeight="1">
      <c r="A112" s="651"/>
      <c r="B112" s="527"/>
      <c r="C112" s="527"/>
      <c r="D112" s="527"/>
      <c r="E112" s="152"/>
      <c r="F112" s="152"/>
      <c r="G112" s="356"/>
      <c r="H112" s="281"/>
      <c r="I112" s="281"/>
      <c r="J112" s="659"/>
      <c r="K112" s="281"/>
      <c r="L112" s="282"/>
      <c r="M112" s="157"/>
      <c r="N112" s="648"/>
      <c r="O112" s="342"/>
      <c r="P112" s="354"/>
      <c r="Q112" s="354"/>
      <c r="R112" s="354"/>
      <c r="S112" s="354"/>
      <c r="T112" s="354"/>
      <c r="U112" s="354"/>
    </row>
    <row r="113" spans="1:21" ht="18.95" hidden="1" customHeight="1">
      <c r="A113" s="651"/>
      <c r="B113" s="527"/>
      <c r="C113" s="527"/>
      <c r="D113" s="527"/>
      <c r="E113" s="152"/>
      <c r="F113" s="152"/>
      <c r="G113" s="356"/>
      <c r="H113" s="281"/>
      <c r="I113" s="281"/>
      <c r="J113" s="659"/>
      <c r="K113" s="281"/>
      <c r="L113" s="282"/>
      <c r="M113" s="157"/>
      <c r="N113" s="648"/>
      <c r="O113" s="342"/>
      <c r="P113" s="354"/>
      <c r="Q113" s="354"/>
      <c r="R113" s="354"/>
      <c r="S113" s="354"/>
      <c r="T113" s="354"/>
      <c r="U113" s="354"/>
    </row>
    <row r="114" spans="1:21" ht="18.95" hidden="1" customHeight="1">
      <c r="A114" s="651"/>
      <c r="B114" s="527"/>
      <c r="C114" s="527"/>
      <c r="D114" s="527"/>
      <c r="E114" s="152"/>
      <c r="F114" s="152"/>
      <c r="G114" s="356"/>
      <c r="H114" s="281"/>
      <c r="I114" s="281"/>
      <c r="J114" s="659"/>
      <c r="K114" s="281"/>
      <c r="L114" s="282"/>
      <c r="M114" s="157"/>
      <c r="N114" s="648"/>
      <c r="O114" s="342"/>
      <c r="P114" s="354"/>
      <c r="Q114" s="354"/>
      <c r="R114" s="354"/>
      <c r="S114" s="354"/>
      <c r="T114" s="354"/>
      <c r="U114" s="354"/>
    </row>
    <row r="115" spans="1:21" ht="18.95" hidden="1" customHeight="1">
      <c r="A115" s="651"/>
      <c r="B115" s="527"/>
      <c r="C115" s="527"/>
      <c r="D115" s="527"/>
      <c r="E115" s="152"/>
      <c r="F115" s="152"/>
      <c r="G115" s="356"/>
      <c r="H115" s="281"/>
      <c r="I115" s="281"/>
      <c r="J115" s="659"/>
      <c r="K115" s="281"/>
      <c r="L115" s="282"/>
      <c r="M115" s="157"/>
      <c r="N115" s="648"/>
      <c r="O115" s="342"/>
      <c r="P115" s="354"/>
      <c r="Q115" s="354"/>
      <c r="R115" s="354"/>
      <c r="S115" s="354"/>
      <c r="T115" s="354"/>
      <c r="U115" s="354"/>
    </row>
    <row r="116" spans="1:21" ht="18.95" hidden="1" customHeight="1">
      <c r="A116" s="651"/>
      <c r="B116" s="527"/>
      <c r="C116" s="527"/>
      <c r="D116" s="527"/>
      <c r="E116" s="152"/>
      <c r="F116" s="152"/>
      <c r="G116" s="356"/>
      <c r="H116" s="281"/>
      <c r="I116" s="281"/>
      <c r="J116" s="659"/>
      <c r="K116" s="281"/>
      <c r="L116" s="282"/>
      <c r="M116" s="157"/>
      <c r="N116" s="648"/>
      <c r="O116" s="342"/>
      <c r="P116" s="354"/>
      <c r="Q116" s="354"/>
      <c r="R116" s="354"/>
      <c r="S116" s="354"/>
      <c r="T116" s="354"/>
      <c r="U116" s="354"/>
    </row>
    <row r="117" spans="1:21" ht="18.95" hidden="1" customHeight="1">
      <c r="A117" s="651"/>
      <c r="B117" s="527"/>
      <c r="C117" s="527"/>
      <c r="D117" s="527"/>
      <c r="E117" s="152"/>
      <c r="F117" s="152"/>
      <c r="G117" s="356"/>
      <c r="H117" s="281"/>
      <c r="I117" s="281"/>
      <c r="J117" s="659"/>
      <c r="K117" s="281"/>
      <c r="L117" s="282"/>
      <c r="M117" s="157"/>
      <c r="N117" s="648"/>
      <c r="O117" s="342"/>
      <c r="P117" s="354"/>
      <c r="Q117" s="354"/>
      <c r="R117" s="354"/>
      <c r="S117" s="354"/>
      <c r="T117" s="354"/>
      <c r="U117" s="354"/>
    </row>
    <row r="118" spans="1:21" ht="18.95" hidden="1" customHeight="1">
      <c r="A118" s="651"/>
      <c r="B118" s="527"/>
      <c r="C118" s="527"/>
      <c r="D118" s="527"/>
      <c r="E118" s="152"/>
      <c r="F118" s="152"/>
      <c r="G118" s="356"/>
      <c r="H118" s="281"/>
      <c r="I118" s="281"/>
      <c r="J118" s="659"/>
      <c r="K118" s="281"/>
      <c r="L118" s="282"/>
      <c r="M118" s="157"/>
      <c r="N118" s="648"/>
      <c r="O118" s="342"/>
      <c r="P118" s="354"/>
      <c r="Q118" s="354"/>
      <c r="R118" s="354"/>
      <c r="S118" s="354"/>
      <c r="T118" s="354"/>
      <c r="U118" s="354"/>
    </row>
    <row r="119" spans="1:21" ht="18.95" hidden="1" customHeight="1">
      <c r="A119" s="651"/>
      <c r="B119" s="527"/>
      <c r="C119" s="527"/>
      <c r="D119" s="527"/>
      <c r="E119" s="152"/>
      <c r="F119" s="152"/>
      <c r="G119" s="356"/>
      <c r="H119" s="281"/>
      <c r="I119" s="281"/>
      <c r="J119" s="659"/>
      <c r="K119" s="281"/>
      <c r="L119" s="282"/>
      <c r="M119" s="157"/>
      <c r="N119" s="648"/>
      <c r="O119" s="342"/>
      <c r="P119" s="354"/>
      <c r="Q119" s="354"/>
      <c r="R119" s="354"/>
      <c r="S119" s="354"/>
      <c r="T119" s="354"/>
      <c r="U119" s="354"/>
    </row>
    <row r="120" spans="1:21" ht="18.95" hidden="1" customHeight="1">
      <c r="A120" s="651"/>
      <c r="B120" s="527"/>
      <c r="C120" s="527"/>
      <c r="D120" s="527"/>
      <c r="E120" s="152"/>
      <c r="F120" s="152"/>
      <c r="G120" s="356"/>
      <c r="H120" s="281"/>
      <c r="I120" s="281"/>
      <c r="J120" s="659"/>
      <c r="K120" s="281"/>
      <c r="L120" s="282"/>
      <c r="M120" s="157"/>
      <c r="N120" s="648"/>
      <c r="O120" s="342"/>
      <c r="P120" s="354"/>
      <c r="Q120" s="354"/>
      <c r="R120" s="354"/>
      <c r="S120" s="354"/>
      <c r="T120" s="354"/>
      <c r="U120" s="354"/>
    </row>
    <row r="121" spans="1:21" ht="18.95" hidden="1" customHeight="1">
      <c r="A121" s="651"/>
      <c r="B121" s="527"/>
      <c r="C121" s="527"/>
      <c r="D121" s="527"/>
      <c r="E121" s="152"/>
      <c r="F121" s="152"/>
      <c r="G121" s="356"/>
      <c r="H121" s="281"/>
      <c r="I121" s="281"/>
      <c r="J121" s="659"/>
      <c r="K121" s="281"/>
      <c r="L121" s="282"/>
      <c r="M121" s="157"/>
      <c r="N121" s="648"/>
      <c r="O121" s="342"/>
      <c r="P121" s="354"/>
      <c r="Q121" s="354"/>
      <c r="R121" s="354"/>
      <c r="S121" s="354"/>
      <c r="T121" s="354"/>
      <c r="U121" s="354"/>
    </row>
    <row r="122" spans="1:21" ht="18.95" hidden="1" customHeight="1">
      <c r="A122" s="651"/>
      <c r="B122" s="527"/>
      <c r="C122" s="527"/>
      <c r="D122" s="527"/>
      <c r="E122" s="152"/>
      <c r="F122" s="152"/>
      <c r="G122" s="356"/>
      <c r="H122" s="281"/>
      <c r="I122" s="281"/>
      <c r="J122" s="659"/>
      <c r="K122" s="281"/>
      <c r="L122" s="282"/>
      <c r="M122" s="157"/>
      <c r="N122" s="648"/>
      <c r="O122" s="342"/>
      <c r="P122" s="354"/>
      <c r="Q122" s="354"/>
      <c r="R122" s="354"/>
      <c r="S122" s="354"/>
      <c r="T122" s="354"/>
      <c r="U122" s="354"/>
    </row>
    <row r="123" spans="1:21" ht="18.95" customHeight="1">
      <c r="A123" s="650"/>
      <c r="E123" s="152"/>
      <c r="F123" s="152"/>
      <c r="G123" s="152"/>
      <c r="H123" s="152"/>
      <c r="I123" s="281"/>
      <c r="J123" s="659"/>
      <c r="K123" s="281"/>
      <c r="L123" s="282"/>
      <c r="M123" s="157"/>
      <c r="N123" s="395"/>
      <c r="O123" s="342"/>
    </row>
    <row r="124" spans="1:21" ht="18.95" hidden="1" customHeight="1">
      <c r="A124" s="650"/>
      <c r="E124" s="152"/>
      <c r="F124" s="152"/>
      <c r="G124" s="152"/>
      <c r="H124" s="152"/>
      <c r="I124" s="281"/>
      <c r="J124" s="659"/>
      <c r="K124" s="281"/>
      <c r="L124" s="282"/>
      <c r="M124" s="157"/>
      <c r="N124" s="395"/>
      <c r="O124" s="342"/>
    </row>
    <row r="125" spans="1:21" ht="18.95" hidden="1" customHeight="1">
      <c r="A125" s="650"/>
      <c r="E125" s="152"/>
      <c r="F125" s="152"/>
      <c r="G125" s="152"/>
      <c r="H125" s="152"/>
      <c r="I125" s="281"/>
      <c r="J125" s="659"/>
      <c r="K125" s="281"/>
      <c r="L125" s="282"/>
      <c r="M125" s="157"/>
      <c r="N125" s="395"/>
      <c r="O125" s="342"/>
    </row>
    <row r="126" spans="1:21" ht="18.95" hidden="1" customHeight="1">
      <c r="A126" s="650"/>
      <c r="B126" s="280"/>
      <c r="E126" s="139"/>
      <c r="F126" s="139"/>
      <c r="H126" s="341" t="e">
        <f>'1.0-Contractblad'!$K$27</f>
        <v>#VALUE!</v>
      </c>
      <c r="I126" s="341" t="e">
        <f>H126</f>
        <v>#VALUE!</v>
      </c>
      <c r="J126" s="660" t="e">
        <f>'1.0-Contractblad'!K51</f>
        <v>#VALUE!</v>
      </c>
      <c r="K126" s="341"/>
      <c r="L126" s="341" t="e">
        <f>'1.0-Contractblad'!$K$39</f>
        <v>#VALUE!</v>
      </c>
      <c r="M126" s="265"/>
      <c r="N126" s="265"/>
    </row>
    <row r="127" spans="1:21" ht="13.5" thickBot="1">
      <c r="A127" s="650"/>
      <c r="B127" s="280"/>
      <c r="D127" s="140"/>
      <c r="E127" s="266"/>
      <c r="F127" s="266"/>
      <c r="G127" s="140"/>
      <c r="H127" s="140"/>
    </row>
    <row r="128" spans="1:21" s="141" customFormat="1" ht="36" customHeight="1" thickBot="1">
      <c r="A128" s="652">
        <f>A9</f>
        <v>0</v>
      </c>
      <c r="B128" s="451" t="s">
        <v>80</v>
      </c>
      <c r="C128" s="453" t="s">
        <v>81</v>
      </c>
      <c r="D128" s="453" t="s">
        <v>164</v>
      </c>
      <c r="E128" s="452"/>
      <c r="F128" s="452" t="s">
        <v>165</v>
      </c>
      <c r="G128" s="452" t="s">
        <v>166</v>
      </c>
      <c r="H128" s="452" t="s">
        <v>167</v>
      </c>
      <c r="I128" s="452" t="s">
        <v>168</v>
      </c>
      <c r="J128" s="664" t="s">
        <v>169</v>
      </c>
      <c r="K128" s="452" t="s">
        <v>170</v>
      </c>
      <c r="L128" s="452" t="s">
        <v>171</v>
      </c>
      <c r="M128" s="452" t="s">
        <v>33</v>
      </c>
      <c r="N128" s="455" t="s">
        <v>172</v>
      </c>
      <c r="O128" s="140"/>
      <c r="P128" s="253"/>
      <c r="Q128" s="2"/>
      <c r="R128" s="97"/>
      <c r="S128" s="97"/>
      <c r="T128" s="97"/>
    </row>
    <row r="129" spans="1:16" ht="18.95" hidden="1" customHeight="1">
      <c r="A129" s="653"/>
      <c r="B129" s="280"/>
      <c r="D129" s="145"/>
      <c r="E129" s="126"/>
      <c r="F129" s="126"/>
      <c r="G129" s="126"/>
      <c r="H129" s="126"/>
      <c r="I129" s="126"/>
      <c r="J129" s="661"/>
      <c r="K129" s="154"/>
      <c r="L129" s="155"/>
      <c r="M129" s="373"/>
      <c r="N129" s="126"/>
      <c r="O129" s="325"/>
      <c r="P129" s="260"/>
    </row>
    <row r="130" spans="1:16" ht="18.95" customHeight="1">
      <c r="A130" s="653">
        <f t="shared" ref="A130:C155" si="1">A11</f>
        <v>0</v>
      </c>
      <c r="B130" s="280" t="str">
        <f t="shared" si="1"/>
        <v xml:space="preserve">RWZI Katwoude </v>
      </c>
      <c r="C130" s="2" t="str">
        <f t="shared" si="1"/>
        <v>Wagenweg 11</v>
      </c>
      <c r="D130" s="145">
        <f>SUMIF('1.0-Contractblad'!$F$65:$F$68,'1.1 Jaarprijzen'!B130,'1.0-Contractblad'!$I$65:$I$68)</f>
        <v>0</v>
      </c>
      <c r="E130" s="710"/>
      <c r="F130" s="126" t="e">
        <f t="shared" ref="F130:F155" si="2">$H$126*H11+$I$126*I11</f>
        <v>#VALUE!</v>
      </c>
      <c r="G130" s="126" t="e">
        <f t="shared" ref="G130:G155" si="3">$J$126*J11</f>
        <v>#VALUE!</v>
      </c>
      <c r="H130" s="126" t="e">
        <f t="shared" ref="H130:H155" si="4">$L$126*L11</f>
        <v>#VALUE!</v>
      </c>
      <c r="I130" s="126" t="e">
        <f t="shared" ref="I130:I155" si="5">$H$126*K11</f>
        <v>#VALUE!</v>
      </c>
      <c r="J130" s="661" t="e">
        <f t="shared" ref="J130:J153" si="6">E130+F130+H130+D130+I130+G130</f>
        <v>#VALUE!</v>
      </c>
      <c r="K130" s="154">
        <f>SUMIF('1.3a-Mutaties'!E:E,'1.1 Jaarprijzen'!B130,'1.3a-Mutaties'!AB:AB)</f>
        <v>0</v>
      </c>
      <c r="L130" s="155"/>
      <c r="M130" s="373">
        <f>SUMIF('1.6-Glasbewassing'!B:B,B130,'1.6-Glasbewassing'!X:X)+SUMIF('1.6-Glasbewassing'!B:B,B130,'1.6-Glasbewassing'!W:W)</f>
        <v>0</v>
      </c>
      <c r="N130" s="126" t="e">
        <f t="shared" ref="N130:N154" si="7">IF(L130="ja",M130+J130,J130+K130+M130)</f>
        <v>#VALUE!</v>
      </c>
      <c r="O130" s="325" t="e">
        <f ca="1">N130/(E11)</f>
        <v>#VALUE!</v>
      </c>
      <c r="P130" s="260"/>
    </row>
    <row r="131" spans="1:16" ht="18.95" customHeight="1">
      <c r="A131" s="653">
        <f t="shared" si="1"/>
        <v>0</v>
      </c>
      <c r="B131" s="280" t="str">
        <f t="shared" si="1"/>
        <v>Werf Kwadijk</v>
      </c>
      <c r="C131" s="2" t="str">
        <f t="shared" si="1"/>
        <v>Kwadijkerweg 3</v>
      </c>
      <c r="D131" s="145">
        <f>SUMIF('1.0-Contractblad'!$F$65:$F$68,'1.1 Jaarprijzen'!B131,'1.0-Contractblad'!$I$65:$I$68)</f>
        <v>0</v>
      </c>
      <c r="E131" s="710"/>
      <c r="F131" s="126" t="e">
        <f t="shared" si="2"/>
        <v>#VALUE!</v>
      </c>
      <c r="G131" s="126" t="e">
        <f t="shared" si="3"/>
        <v>#VALUE!</v>
      </c>
      <c r="H131" s="126" t="e">
        <f t="shared" si="4"/>
        <v>#VALUE!</v>
      </c>
      <c r="I131" s="126" t="e">
        <f t="shared" si="5"/>
        <v>#VALUE!</v>
      </c>
      <c r="J131" s="661" t="e">
        <f t="shared" si="6"/>
        <v>#VALUE!</v>
      </c>
      <c r="K131" s="154">
        <f>SUMIF('1.3a-Mutaties'!E:E,'1.1 Jaarprijzen'!B131,'1.3a-Mutaties'!AB:AB)</f>
        <v>0</v>
      </c>
      <c r="L131" s="155"/>
      <c r="M131" s="373">
        <f>SUMIF('1.6-Glasbewassing'!B:B,B131,'1.6-Glasbewassing'!X:X)+SUMIF('1.6-Glasbewassing'!B:B,B131,'1.6-Glasbewassing'!W:W)</f>
        <v>0</v>
      </c>
      <c r="N131" s="126" t="e">
        <f t="shared" si="7"/>
        <v>#VALUE!</v>
      </c>
      <c r="O131" s="325" t="e">
        <f t="shared" ref="O131:O155" ca="1" si="8">N131/(E12+F12)</f>
        <v>#VALUE!</v>
      </c>
      <c r="P131" s="260"/>
    </row>
    <row r="132" spans="1:16" ht="18.95" customHeight="1">
      <c r="A132" s="653">
        <f t="shared" si="1"/>
        <v>0</v>
      </c>
      <c r="B132" s="280" t="str">
        <f t="shared" si="1"/>
        <v>RWZI Zuidoostbeemster</v>
      </c>
      <c r="C132" s="2" t="str">
        <f t="shared" si="1"/>
        <v>Zuiderweg 44</v>
      </c>
      <c r="D132" s="145">
        <f>SUMIF('1.0-Contractblad'!$F$65:$F$68,'1.1 Jaarprijzen'!B132,'1.0-Contractblad'!$I$65:$I$68)</f>
        <v>0</v>
      </c>
      <c r="E132" s="710"/>
      <c r="F132" s="126" t="e">
        <f t="shared" si="2"/>
        <v>#VALUE!</v>
      </c>
      <c r="G132" s="126" t="e">
        <f t="shared" si="3"/>
        <v>#VALUE!</v>
      </c>
      <c r="H132" s="126" t="e">
        <f t="shared" si="4"/>
        <v>#VALUE!</v>
      </c>
      <c r="I132" s="126" t="e">
        <f t="shared" si="5"/>
        <v>#VALUE!</v>
      </c>
      <c r="J132" s="661" t="e">
        <f t="shared" si="6"/>
        <v>#VALUE!</v>
      </c>
      <c r="K132" s="154">
        <f>SUMIF('1.3a-Mutaties'!E:E,'1.1 Jaarprijzen'!B132,'1.3a-Mutaties'!AB:AB)</f>
        <v>0</v>
      </c>
      <c r="L132" s="155"/>
      <c r="M132" s="373">
        <f>SUMIF('1.6-Glasbewassing'!B:B,B132,'1.6-Glasbewassing'!X:X)+SUMIF('1.6-Glasbewassing'!B:B,B132,'1.6-Glasbewassing'!W:W)</f>
        <v>0</v>
      </c>
      <c r="N132" s="126" t="e">
        <f t="shared" si="7"/>
        <v>#VALUE!</v>
      </c>
      <c r="O132" s="325" t="e">
        <f t="shared" ca="1" si="8"/>
        <v>#VALUE!</v>
      </c>
      <c r="P132" s="260"/>
    </row>
    <row r="133" spans="1:16" ht="18.95" customHeight="1">
      <c r="A133" s="653">
        <f t="shared" si="1"/>
        <v>0</v>
      </c>
      <c r="B133" s="280" t="str">
        <f t="shared" si="1"/>
        <v>RWZI Oosthuizen</v>
      </c>
      <c r="C133" s="2" t="str">
        <f t="shared" si="1"/>
        <v>Beetsdijkje 2</v>
      </c>
      <c r="D133" s="145">
        <f>SUMIF('1.0-Contractblad'!$F$65:$F$68,'1.1 Jaarprijzen'!B133,'1.0-Contractblad'!$I$65:$I$68)</f>
        <v>0</v>
      </c>
      <c r="E133" s="710"/>
      <c r="F133" s="126" t="e">
        <f t="shared" si="2"/>
        <v>#VALUE!</v>
      </c>
      <c r="G133" s="126" t="e">
        <f t="shared" si="3"/>
        <v>#VALUE!</v>
      </c>
      <c r="H133" s="126" t="e">
        <f t="shared" si="4"/>
        <v>#VALUE!</v>
      </c>
      <c r="I133" s="126" t="e">
        <f t="shared" si="5"/>
        <v>#VALUE!</v>
      </c>
      <c r="J133" s="661" t="e">
        <f>E133+F133+H133+D133+I133+G133</f>
        <v>#VALUE!</v>
      </c>
      <c r="K133" s="154">
        <f>SUMIF('1.3a-Mutaties'!E:E,'1.1 Jaarprijzen'!B133,'1.3a-Mutaties'!AB:AB)</f>
        <v>0</v>
      </c>
      <c r="L133" s="155"/>
      <c r="M133" s="373">
        <f>SUMIF('1.6-Glasbewassing'!B:B,B133,'1.6-Glasbewassing'!X:X)+SUMIF('1.6-Glasbewassing'!B:B,B133,'1.6-Glasbewassing'!W:W)</f>
        <v>0</v>
      </c>
      <c r="N133" s="126" t="e">
        <f t="shared" si="7"/>
        <v>#VALUE!</v>
      </c>
      <c r="O133" s="325" t="e">
        <f t="shared" ca="1" si="8"/>
        <v>#VALUE!</v>
      </c>
      <c r="P133" s="260"/>
    </row>
    <row r="134" spans="1:16" ht="18.95" customHeight="1">
      <c r="A134" s="653">
        <f t="shared" si="1"/>
        <v>0</v>
      </c>
      <c r="B134" s="280" t="str">
        <f t="shared" si="1"/>
        <v>RWZI Zaandam Oost Slibgistinggebouw</v>
      </c>
      <c r="C134" s="2" t="str">
        <f t="shared" si="1"/>
        <v>Poelenburg 467</v>
      </c>
      <c r="D134" s="145">
        <f>SUMIF('1.0-Contractblad'!$F$65:$F$68,'1.1 Jaarprijzen'!B134,'1.0-Contractblad'!$I$65:$I$68)</f>
        <v>0</v>
      </c>
      <c r="E134" s="710"/>
      <c r="F134" s="126" t="e">
        <f t="shared" si="2"/>
        <v>#VALUE!</v>
      </c>
      <c r="G134" s="126" t="e">
        <f t="shared" si="3"/>
        <v>#VALUE!</v>
      </c>
      <c r="H134" s="126" t="e">
        <f t="shared" si="4"/>
        <v>#VALUE!</v>
      </c>
      <c r="I134" s="126" t="e">
        <f t="shared" si="5"/>
        <v>#VALUE!</v>
      </c>
      <c r="J134" s="661" t="e">
        <f t="shared" si="6"/>
        <v>#VALUE!</v>
      </c>
      <c r="K134" s="154">
        <f>SUMIF('1.3a-Mutaties'!E:E,'1.1 Jaarprijzen'!B134,'1.3a-Mutaties'!AB:AB)</f>
        <v>0</v>
      </c>
      <c r="L134" s="155"/>
      <c r="M134" s="373">
        <f>SUMIF('1.6-Glasbewassing'!B:B,B134,'1.6-Glasbewassing'!X:X)+SUMIF('1.6-Glasbewassing'!B:B,B134,'1.6-Glasbewassing'!W:W)</f>
        <v>0</v>
      </c>
      <c r="N134" s="126" t="e">
        <f t="shared" si="7"/>
        <v>#VALUE!</v>
      </c>
      <c r="O134" s="325" t="e">
        <f t="shared" ca="1" si="8"/>
        <v>#VALUE!</v>
      </c>
      <c r="P134" s="260"/>
    </row>
    <row r="135" spans="1:16" ht="18.95" customHeight="1">
      <c r="A135" s="653">
        <f t="shared" si="1"/>
        <v>0</v>
      </c>
      <c r="B135" s="280" t="str">
        <f t="shared" si="1"/>
        <v>RWZI Zaandam-Oost</v>
      </c>
      <c r="C135" s="2" t="str">
        <f t="shared" si="1"/>
        <v>Poelenburg 46</v>
      </c>
      <c r="D135" s="145">
        <f>SUMIF('1.0-Contractblad'!$F$65:$F$68,'1.1 Jaarprijzen'!B135,'1.0-Contractblad'!$I$65:$I$68)</f>
        <v>0</v>
      </c>
      <c r="E135" s="710"/>
      <c r="F135" s="126" t="e">
        <f t="shared" si="2"/>
        <v>#VALUE!</v>
      </c>
      <c r="G135" s="126" t="e">
        <f t="shared" si="3"/>
        <v>#VALUE!</v>
      </c>
      <c r="H135" s="126" t="e">
        <f t="shared" si="4"/>
        <v>#VALUE!</v>
      </c>
      <c r="I135" s="126" t="e">
        <f t="shared" si="5"/>
        <v>#VALUE!</v>
      </c>
      <c r="J135" s="661" t="e">
        <f t="shared" si="6"/>
        <v>#VALUE!</v>
      </c>
      <c r="K135" s="154">
        <f>SUMIF('1.3a-Mutaties'!E:E,'1.1 Jaarprijzen'!B135,'1.3a-Mutaties'!AB:AB)</f>
        <v>0</v>
      </c>
      <c r="L135" s="155"/>
      <c r="M135" s="373">
        <f>SUMIF('1.6-Glasbewassing'!B:B,B135,'1.6-Glasbewassing'!X:X)+SUMIF('1.6-Glasbewassing'!B:B,B135,'1.6-Glasbewassing'!W:W)</f>
        <v>0</v>
      </c>
      <c r="N135" s="126" t="e">
        <f t="shared" si="7"/>
        <v>#VALUE!</v>
      </c>
      <c r="O135" s="325" t="e">
        <f t="shared" ca="1" si="8"/>
        <v>#VALUE!</v>
      </c>
      <c r="P135" s="260"/>
    </row>
    <row r="136" spans="1:16" ht="18.95" customHeight="1">
      <c r="A136" s="653">
        <f t="shared" si="1"/>
        <v>0</v>
      </c>
      <c r="B136" s="280" t="str">
        <f t="shared" si="1"/>
        <v>RWZI Ursem</v>
      </c>
      <c r="C136" s="2" t="str">
        <f t="shared" si="1"/>
        <v>Het Gors 1</v>
      </c>
      <c r="D136" s="145">
        <f>SUMIF('1.0-Contractblad'!$F$65:$F$68,'1.1 Jaarprijzen'!B136,'1.0-Contractblad'!$I$65:$I$68)</f>
        <v>0</v>
      </c>
      <c r="E136" s="710"/>
      <c r="F136" s="126" t="e">
        <f t="shared" si="2"/>
        <v>#VALUE!</v>
      </c>
      <c r="G136" s="126" t="e">
        <f t="shared" si="3"/>
        <v>#VALUE!</v>
      </c>
      <c r="H136" s="126" t="e">
        <f t="shared" si="4"/>
        <v>#VALUE!</v>
      </c>
      <c r="I136" s="126" t="e">
        <f t="shared" si="5"/>
        <v>#VALUE!</v>
      </c>
      <c r="J136" s="661" t="e">
        <f t="shared" si="6"/>
        <v>#VALUE!</v>
      </c>
      <c r="K136" s="154">
        <f>SUMIF('1.3a-Mutaties'!E:E,'1.1 Jaarprijzen'!B136,'1.3a-Mutaties'!AB:AB)</f>
        <v>0</v>
      </c>
      <c r="L136" s="155"/>
      <c r="M136" s="373">
        <f>SUMIF('1.6-Glasbewassing'!B:B,B136,'1.6-Glasbewassing'!X:X)+SUMIF('1.6-Glasbewassing'!B:B,B136,'1.6-Glasbewassing'!W:W)</f>
        <v>0</v>
      </c>
      <c r="N136" s="126" t="e">
        <f t="shared" si="7"/>
        <v>#VALUE!</v>
      </c>
      <c r="O136" s="325" t="e">
        <f t="shared" ca="1" si="8"/>
        <v>#VALUE!</v>
      </c>
      <c r="P136" s="260"/>
    </row>
    <row r="137" spans="1:16" ht="18.95" customHeight="1">
      <c r="A137" s="653">
        <f t="shared" si="1"/>
        <v>0</v>
      </c>
      <c r="B137" s="280" t="str">
        <f t="shared" si="1"/>
        <v>Werf Zwaagdijk</v>
      </c>
      <c r="C137" s="2" t="str">
        <f t="shared" si="1"/>
        <v>Zwaagdijk 390</v>
      </c>
      <c r="D137" s="145">
        <f>SUMIF('1.0-Contractblad'!$F$65:$F$68,'1.1 Jaarprijzen'!B137,'1.0-Contractblad'!$I$65:$I$68)</f>
        <v>0</v>
      </c>
      <c r="E137" s="710"/>
      <c r="F137" s="126" t="e">
        <f t="shared" si="2"/>
        <v>#VALUE!</v>
      </c>
      <c r="G137" s="126" t="e">
        <f t="shared" si="3"/>
        <v>#VALUE!</v>
      </c>
      <c r="H137" s="126" t="e">
        <f t="shared" si="4"/>
        <v>#VALUE!</v>
      </c>
      <c r="I137" s="126" t="e">
        <f t="shared" si="5"/>
        <v>#VALUE!</v>
      </c>
      <c r="J137" s="661" t="e">
        <f t="shared" si="6"/>
        <v>#VALUE!</v>
      </c>
      <c r="K137" s="154">
        <f>SUMIF('1.3a-Mutaties'!E:E,'1.1 Jaarprijzen'!B137,'1.3a-Mutaties'!AB:AB)</f>
        <v>0</v>
      </c>
      <c r="L137" s="155"/>
      <c r="M137" s="373">
        <f>SUMIF('1.6-Glasbewassing'!B:B,B137,'1.6-Glasbewassing'!X:X)+SUMIF('1.6-Glasbewassing'!B:B,B137,'1.6-Glasbewassing'!W:W)</f>
        <v>0</v>
      </c>
      <c r="N137" s="126" t="e">
        <f t="shared" si="7"/>
        <v>#VALUE!</v>
      </c>
      <c r="O137" s="325" t="e">
        <f t="shared" ca="1" si="8"/>
        <v>#VALUE!</v>
      </c>
      <c r="P137" s="260"/>
    </row>
    <row r="138" spans="1:16" ht="18.95" customHeight="1">
      <c r="A138" s="653">
        <f t="shared" si="1"/>
        <v>0</v>
      </c>
      <c r="B138" s="280" t="str">
        <f t="shared" si="1"/>
        <v>RWZI Wervershoof</v>
      </c>
      <c r="C138" s="2" t="str">
        <f t="shared" si="1"/>
        <v>Ketellap 1</v>
      </c>
      <c r="D138" s="145">
        <f>SUMIF('1.0-Contractblad'!$F$65:$F$68,'1.1 Jaarprijzen'!B138,'1.0-Contractblad'!$I$65:$I$68)</f>
        <v>0</v>
      </c>
      <c r="E138" s="710"/>
      <c r="F138" s="126" t="e">
        <f t="shared" si="2"/>
        <v>#VALUE!</v>
      </c>
      <c r="G138" s="126" t="e">
        <f t="shared" si="3"/>
        <v>#VALUE!</v>
      </c>
      <c r="H138" s="126" t="e">
        <f t="shared" si="4"/>
        <v>#VALUE!</v>
      </c>
      <c r="I138" s="126" t="e">
        <f t="shared" si="5"/>
        <v>#VALUE!</v>
      </c>
      <c r="J138" s="661" t="e">
        <f t="shared" si="6"/>
        <v>#VALUE!</v>
      </c>
      <c r="K138" s="154">
        <f>SUMIF('1.3a-Mutaties'!E:E,'1.1 Jaarprijzen'!B138,'1.3a-Mutaties'!AB:AB)</f>
        <v>0</v>
      </c>
      <c r="L138" s="155"/>
      <c r="M138" s="373">
        <f>SUMIF('1.6-Glasbewassing'!B:B,B138,'1.6-Glasbewassing'!X:X)+SUMIF('1.6-Glasbewassing'!B:B,B138,'1.6-Glasbewassing'!W:W)</f>
        <v>0</v>
      </c>
      <c r="N138" s="126" t="e">
        <f t="shared" si="7"/>
        <v>#VALUE!</v>
      </c>
      <c r="O138" s="325" t="e">
        <f t="shared" ca="1" si="8"/>
        <v>#VALUE!</v>
      </c>
      <c r="P138" s="260"/>
    </row>
    <row r="139" spans="1:16" ht="18.95" customHeight="1">
      <c r="A139" s="653">
        <f t="shared" si="1"/>
        <v>0</v>
      </c>
      <c r="B139" s="280" t="str">
        <f t="shared" si="1"/>
        <v>Werf Dirkshorn</v>
      </c>
      <c r="C139" s="2" t="str">
        <f t="shared" si="1"/>
        <v>C. de Vriesweg 11-13</v>
      </c>
      <c r="D139" s="145">
        <f>SUMIF('1.0-Contractblad'!$F$65:$F$68,'1.1 Jaarprijzen'!B139,'1.0-Contractblad'!$I$65:$I$68)</f>
        <v>0</v>
      </c>
      <c r="E139" s="710"/>
      <c r="F139" s="126" t="e">
        <f t="shared" si="2"/>
        <v>#VALUE!</v>
      </c>
      <c r="G139" s="126" t="e">
        <f t="shared" si="3"/>
        <v>#VALUE!</v>
      </c>
      <c r="H139" s="126" t="e">
        <f t="shared" si="4"/>
        <v>#VALUE!</v>
      </c>
      <c r="I139" s="126" t="e">
        <f t="shared" si="5"/>
        <v>#VALUE!</v>
      </c>
      <c r="J139" s="661" t="e">
        <f t="shared" si="6"/>
        <v>#VALUE!</v>
      </c>
      <c r="K139" s="154">
        <f>SUMIF('1.3a-Mutaties'!E:E,'1.1 Jaarprijzen'!B139,'1.3a-Mutaties'!AB:AB)</f>
        <v>0</v>
      </c>
      <c r="L139" s="155"/>
      <c r="M139" s="373">
        <f>SUMIF('1.6-Glasbewassing'!B:B,B139,'1.6-Glasbewassing'!X:X)+SUMIF('1.6-Glasbewassing'!B:B,B139,'1.6-Glasbewassing'!W:W)</f>
        <v>0</v>
      </c>
      <c r="N139" s="126" t="e">
        <f t="shared" si="7"/>
        <v>#VALUE!</v>
      </c>
      <c r="O139" s="325" t="e">
        <f t="shared" ca="1" si="8"/>
        <v>#VALUE!</v>
      </c>
      <c r="P139" s="260"/>
    </row>
    <row r="140" spans="1:16" ht="18.95" customHeight="1">
      <c r="A140" s="653">
        <f t="shared" si="1"/>
        <v>0</v>
      </c>
      <c r="B140" s="280" t="str">
        <f t="shared" si="1"/>
        <v>RWZI Geestmerambacht</v>
      </c>
      <c r="C140" s="2" t="str">
        <f t="shared" si="1"/>
        <v>Huiskebuurtweg 4</v>
      </c>
      <c r="D140" s="145">
        <f>SUMIF('1.0-Contractblad'!$F$65:$F$68,'1.1 Jaarprijzen'!B140,'1.0-Contractblad'!$I$65:$I$68)</f>
        <v>0</v>
      </c>
      <c r="E140" s="710"/>
      <c r="F140" s="126" t="e">
        <f t="shared" si="2"/>
        <v>#VALUE!</v>
      </c>
      <c r="G140" s="126" t="e">
        <f t="shared" si="3"/>
        <v>#VALUE!</v>
      </c>
      <c r="H140" s="126" t="e">
        <f t="shared" si="4"/>
        <v>#VALUE!</v>
      </c>
      <c r="I140" s="126" t="e">
        <f t="shared" si="5"/>
        <v>#VALUE!</v>
      </c>
      <c r="J140" s="661" t="e">
        <f t="shared" si="6"/>
        <v>#VALUE!</v>
      </c>
      <c r="K140" s="154">
        <f>SUMIF('1.3a-Mutaties'!E:E,'1.1 Jaarprijzen'!B140,'1.3a-Mutaties'!AB:AB)</f>
        <v>0</v>
      </c>
      <c r="L140" s="155"/>
      <c r="M140" s="373">
        <f>SUMIF('1.6-Glasbewassing'!B:B,B140,'1.6-Glasbewassing'!X:X)+SUMIF('1.6-Glasbewassing'!B:B,B140,'1.6-Glasbewassing'!W:W)</f>
        <v>0</v>
      </c>
      <c r="N140" s="126" t="e">
        <f t="shared" si="7"/>
        <v>#VALUE!</v>
      </c>
      <c r="O140" s="325" t="e">
        <f t="shared" ca="1" si="8"/>
        <v>#VALUE!</v>
      </c>
      <c r="P140" s="260"/>
    </row>
    <row r="141" spans="1:16" ht="18.95" customHeight="1">
      <c r="A141" s="653">
        <f t="shared" si="1"/>
        <v>0</v>
      </c>
      <c r="B141" s="280" t="str">
        <f t="shared" si="1"/>
        <v>Werf Anna Paulowna</v>
      </c>
      <c r="C141" s="2" t="str">
        <f t="shared" si="1"/>
        <v>Van Ewijcksvaart 3a</v>
      </c>
      <c r="D141" s="145">
        <f>SUMIF('1.0-Contractblad'!$F$65:$F$68,'1.1 Jaarprijzen'!B141,'1.0-Contractblad'!$I$65:$I$68)</f>
        <v>0</v>
      </c>
      <c r="E141" s="710"/>
      <c r="F141" s="126" t="e">
        <f t="shared" si="2"/>
        <v>#VALUE!</v>
      </c>
      <c r="G141" s="126" t="e">
        <f t="shared" si="3"/>
        <v>#VALUE!</v>
      </c>
      <c r="H141" s="126" t="e">
        <f t="shared" si="4"/>
        <v>#VALUE!</v>
      </c>
      <c r="I141" s="126" t="e">
        <f t="shared" si="5"/>
        <v>#VALUE!</v>
      </c>
      <c r="J141" s="661" t="e">
        <f>E141+F141+H141+D141+I141+G141</f>
        <v>#VALUE!</v>
      </c>
      <c r="K141" s="154">
        <f>SUMIF('1.3a-Mutaties'!E:E,'1.1 Jaarprijzen'!B141,'1.3a-Mutaties'!AB:AB)</f>
        <v>0</v>
      </c>
      <c r="L141" s="155"/>
      <c r="M141" s="373">
        <f>SUMIF('1.6-Glasbewassing'!B:B,B141,'1.6-Glasbewassing'!X:X)+SUMIF('1.6-Glasbewassing'!B:B,B141,'1.6-Glasbewassing'!W:W)</f>
        <v>0</v>
      </c>
      <c r="N141" s="126" t="e">
        <f t="shared" si="7"/>
        <v>#VALUE!</v>
      </c>
      <c r="O141" s="325" t="e">
        <f t="shared" ca="1" si="8"/>
        <v>#VALUE!</v>
      </c>
      <c r="P141" s="260"/>
    </row>
    <row r="142" spans="1:16" ht="18.95" customHeight="1">
      <c r="A142" s="653">
        <f t="shared" si="1"/>
        <v>0</v>
      </c>
      <c r="B142" s="280" t="str">
        <f t="shared" si="1"/>
        <v>Oude Zeug Muskusrattenbestrijders</v>
      </c>
      <c r="C142" s="2" t="str">
        <f t="shared" si="1"/>
        <v>Noorderdijkweg 12</v>
      </c>
      <c r="D142" s="145">
        <f>SUMIF('1.0-Contractblad'!$F$65:$F$68,'1.1 Jaarprijzen'!B142,'1.0-Contractblad'!$I$65:$I$68)</f>
        <v>0</v>
      </c>
      <c r="E142" s="710"/>
      <c r="F142" s="126" t="e">
        <f t="shared" si="2"/>
        <v>#VALUE!</v>
      </c>
      <c r="G142" s="126" t="e">
        <f t="shared" si="3"/>
        <v>#VALUE!</v>
      </c>
      <c r="H142" s="126" t="e">
        <f t="shared" si="4"/>
        <v>#VALUE!</v>
      </c>
      <c r="I142" s="126" t="e">
        <f t="shared" si="5"/>
        <v>#VALUE!</v>
      </c>
      <c r="J142" s="661" t="e">
        <f>E142+F142+H142+D142+I142+G142</f>
        <v>#VALUE!</v>
      </c>
      <c r="K142" s="154">
        <f>SUMIF('1.3a-Mutaties'!E:E,'1.1 Jaarprijzen'!B142,'1.3a-Mutaties'!AB:AB)</f>
        <v>0</v>
      </c>
      <c r="L142" s="155"/>
      <c r="M142" s="373">
        <f>SUMIF('1.6-Glasbewassing'!B:B,B142,'1.6-Glasbewassing'!X:X)+SUMIF('1.6-Glasbewassing'!B:B,B142,'1.6-Glasbewassing'!W:W)</f>
        <v>0</v>
      </c>
      <c r="N142" s="126" t="e">
        <f t="shared" si="7"/>
        <v>#VALUE!</v>
      </c>
      <c r="O142" s="325" t="e">
        <f t="shared" ca="1" si="8"/>
        <v>#VALUE!</v>
      </c>
      <c r="P142" s="260"/>
    </row>
    <row r="143" spans="1:16" ht="18.95" customHeight="1">
      <c r="A143" s="653">
        <f t="shared" si="1"/>
        <v>0</v>
      </c>
      <c r="B143" s="280" t="str">
        <f t="shared" si="1"/>
        <v>Betonloods Ulkesluis</v>
      </c>
      <c r="C143" s="2" t="str">
        <f t="shared" si="1"/>
        <v>Amstelmeerweg 5</v>
      </c>
      <c r="D143" s="145">
        <f>SUMIF('1.0-Contractblad'!$F$65:$F$68,'1.1 Jaarprijzen'!B143,'1.0-Contractblad'!$I$65:$I$68)</f>
        <v>0</v>
      </c>
      <c r="E143" s="710"/>
      <c r="F143" s="126" t="e">
        <f t="shared" si="2"/>
        <v>#VALUE!</v>
      </c>
      <c r="G143" s="126" t="e">
        <f t="shared" si="3"/>
        <v>#VALUE!</v>
      </c>
      <c r="H143" s="126" t="e">
        <f t="shared" si="4"/>
        <v>#VALUE!</v>
      </c>
      <c r="I143" s="126" t="e">
        <f t="shared" si="5"/>
        <v>#VALUE!</v>
      </c>
      <c r="J143" s="661" t="e">
        <f t="shared" si="6"/>
        <v>#VALUE!</v>
      </c>
      <c r="K143" s="154">
        <f>SUMIF('1.3a-Mutaties'!E:E,'1.1 Jaarprijzen'!B143,'1.3a-Mutaties'!AB:AB)</f>
        <v>0</v>
      </c>
      <c r="L143" s="155"/>
      <c r="M143" s="373">
        <f>SUMIF('1.6-Glasbewassing'!B:B,B143,'1.6-Glasbewassing'!X:X)+SUMIF('1.6-Glasbewassing'!B:B,B143,'1.6-Glasbewassing'!W:W)</f>
        <v>0</v>
      </c>
      <c r="N143" s="126" t="e">
        <f t="shared" si="7"/>
        <v>#VALUE!</v>
      </c>
      <c r="O143" s="325" t="e">
        <f t="shared" ca="1" si="8"/>
        <v>#VALUE!</v>
      </c>
      <c r="P143" s="260"/>
    </row>
    <row r="144" spans="1:16" ht="18.95" customHeight="1">
      <c r="A144" s="653">
        <f t="shared" si="1"/>
        <v>0</v>
      </c>
      <c r="B144" s="280" t="str">
        <f t="shared" si="1"/>
        <v>RWZI De Stolpen</v>
      </c>
      <c r="C144" s="2" t="str">
        <f t="shared" si="1"/>
        <v>Schagerweg 2</v>
      </c>
      <c r="D144" s="145">
        <f>SUMIF('1.0-Contractblad'!$F$65:$F$68,'1.1 Jaarprijzen'!B144,'1.0-Contractblad'!$I$65:$I$68)</f>
        <v>0</v>
      </c>
      <c r="E144" s="710"/>
      <c r="F144" s="126" t="e">
        <f t="shared" si="2"/>
        <v>#VALUE!</v>
      </c>
      <c r="G144" s="126" t="e">
        <f t="shared" si="3"/>
        <v>#VALUE!</v>
      </c>
      <c r="H144" s="126" t="e">
        <f t="shared" si="4"/>
        <v>#VALUE!</v>
      </c>
      <c r="I144" s="126" t="e">
        <f t="shared" si="5"/>
        <v>#VALUE!</v>
      </c>
      <c r="J144" s="661" t="e">
        <f t="shared" si="6"/>
        <v>#VALUE!</v>
      </c>
      <c r="K144" s="154">
        <f>SUMIF('1.3a-Mutaties'!E:E,'1.1 Jaarprijzen'!B144,'1.3a-Mutaties'!AB:AB)</f>
        <v>0</v>
      </c>
      <c r="L144" s="155"/>
      <c r="M144" s="373">
        <f>SUMIF('1.6-Glasbewassing'!B:B,B144,'1.6-Glasbewassing'!X:X)+SUMIF('1.6-Glasbewassing'!B:B,B144,'1.6-Glasbewassing'!W:W)</f>
        <v>0</v>
      </c>
      <c r="N144" s="126" t="e">
        <f t="shared" si="7"/>
        <v>#VALUE!</v>
      </c>
      <c r="O144" s="325" t="e">
        <f t="shared" ca="1" si="8"/>
        <v>#VALUE!</v>
      </c>
      <c r="P144" s="260"/>
    </row>
    <row r="145" spans="1:16" ht="18.95" customHeight="1">
      <c r="A145" s="653">
        <f t="shared" si="1"/>
        <v>0</v>
      </c>
      <c r="B145" s="280" t="str">
        <f t="shared" si="1"/>
        <v>RWZI Wieringermeer</v>
      </c>
      <c r="C145" s="2" t="str">
        <f t="shared" si="1"/>
        <v>Flevoweg 2</v>
      </c>
      <c r="D145" s="145">
        <f>SUMIF('1.0-Contractblad'!$F$65:$F$68,'1.1 Jaarprijzen'!B145,'1.0-Contractblad'!$I$65:$I$68)</f>
        <v>0</v>
      </c>
      <c r="E145" s="710"/>
      <c r="F145" s="126" t="e">
        <f t="shared" si="2"/>
        <v>#VALUE!</v>
      </c>
      <c r="G145" s="126" t="e">
        <f t="shared" si="3"/>
        <v>#VALUE!</v>
      </c>
      <c r="H145" s="126" t="e">
        <f t="shared" si="4"/>
        <v>#VALUE!</v>
      </c>
      <c r="I145" s="126" t="e">
        <f t="shared" si="5"/>
        <v>#VALUE!</v>
      </c>
      <c r="J145" s="661" t="e">
        <f t="shared" si="6"/>
        <v>#VALUE!</v>
      </c>
      <c r="K145" s="154">
        <f>SUMIF('1.3a-Mutaties'!E:E,'1.1 Jaarprijzen'!B145,'1.3a-Mutaties'!AB:AB)</f>
        <v>0</v>
      </c>
      <c r="L145" s="155"/>
      <c r="M145" s="373">
        <f>SUMIF('1.6-Glasbewassing'!B:B,B145,'1.6-Glasbewassing'!X:X)+SUMIF('1.6-Glasbewassing'!B:B,B145,'1.6-Glasbewassing'!W:W)</f>
        <v>0</v>
      </c>
      <c r="N145" s="126" t="e">
        <f t="shared" si="7"/>
        <v>#VALUE!</v>
      </c>
      <c r="O145" s="325" t="e">
        <f t="shared" ca="1" si="8"/>
        <v>#VALUE!</v>
      </c>
      <c r="P145" s="260"/>
    </row>
    <row r="146" spans="1:16" ht="18.95" customHeight="1">
      <c r="A146" s="653">
        <f t="shared" si="1"/>
        <v>0</v>
      </c>
      <c r="B146" s="280" t="str">
        <f t="shared" si="1"/>
        <v>RWZI Wieringen</v>
      </c>
      <c r="C146" s="2" t="str">
        <f t="shared" si="1"/>
        <v>Rijksweg 9</v>
      </c>
      <c r="D146" s="145">
        <f>SUMIF('1.0-Contractblad'!$F$65:$F$68,'1.1 Jaarprijzen'!B146,'1.0-Contractblad'!$I$65:$I$68)</f>
        <v>0</v>
      </c>
      <c r="E146" s="710"/>
      <c r="F146" s="126" t="e">
        <f t="shared" si="2"/>
        <v>#VALUE!</v>
      </c>
      <c r="G146" s="126" t="e">
        <f t="shared" si="3"/>
        <v>#VALUE!</v>
      </c>
      <c r="H146" s="126" t="e">
        <f t="shared" si="4"/>
        <v>#VALUE!</v>
      </c>
      <c r="I146" s="126" t="e">
        <f t="shared" si="5"/>
        <v>#VALUE!</v>
      </c>
      <c r="J146" s="661" t="e">
        <f t="shared" si="6"/>
        <v>#VALUE!</v>
      </c>
      <c r="K146" s="154">
        <f>SUMIF('1.3a-Mutaties'!E:E,'1.1 Jaarprijzen'!B146,'1.3a-Mutaties'!AB:AB)</f>
        <v>0</v>
      </c>
      <c r="L146" s="155"/>
      <c r="M146" s="373">
        <f>SUMIF('1.6-Glasbewassing'!B:B,B146,'1.6-Glasbewassing'!X:X)+SUMIF('1.6-Glasbewassing'!B:B,B146,'1.6-Glasbewassing'!W:W)</f>
        <v>0</v>
      </c>
      <c r="N146" s="126" t="e">
        <f t="shared" si="7"/>
        <v>#VALUE!</v>
      </c>
      <c r="O146" s="325" t="e">
        <f t="shared" ca="1" si="8"/>
        <v>#VALUE!</v>
      </c>
      <c r="P146" s="260"/>
    </row>
    <row r="147" spans="1:16" ht="18.95" customHeight="1">
      <c r="A147" s="653">
        <f t="shared" si="1"/>
        <v>0</v>
      </c>
      <c r="B147" s="280" t="str">
        <f t="shared" si="1"/>
        <v>RWZI Den Helder</v>
      </c>
      <c r="C147" s="2" t="str">
        <f t="shared" si="1"/>
        <v>Oostoeverweg 70</v>
      </c>
      <c r="D147" s="145">
        <f>SUMIF('1.0-Contractblad'!$F$65:$F$68,'1.1 Jaarprijzen'!B147,'1.0-Contractblad'!$I$65:$I$68)</f>
        <v>0</v>
      </c>
      <c r="E147" s="710"/>
      <c r="F147" s="126" t="e">
        <f t="shared" si="2"/>
        <v>#VALUE!</v>
      </c>
      <c r="G147" s="126" t="e">
        <f t="shared" si="3"/>
        <v>#VALUE!</v>
      </c>
      <c r="H147" s="126" t="e">
        <f t="shared" si="4"/>
        <v>#VALUE!</v>
      </c>
      <c r="I147" s="126" t="e">
        <f t="shared" si="5"/>
        <v>#VALUE!</v>
      </c>
      <c r="J147" s="661" t="e">
        <f t="shared" si="6"/>
        <v>#VALUE!</v>
      </c>
      <c r="K147" s="154">
        <f>SUMIF('1.3a-Mutaties'!E:E,'1.1 Jaarprijzen'!B147,'1.3a-Mutaties'!AB:AB)</f>
        <v>0</v>
      </c>
      <c r="L147" s="155"/>
      <c r="M147" s="373">
        <f>SUMIF('1.6-Glasbewassing'!B:B,B147,'1.6-Glasbewassing'!X:X)+SUMIF('1.6-Glasbewassing'!B:B,B147,'1.6-Glasbewassing'!W:W)</f>
        <v>0</v>
      </c>
      <c r="N147" s="126" t="e">
        <f t="shared" si="7"/>
        <v>#VALUE!</v>
      </c>
      <c r="O147" s="325" t="e">
        <f t="shared" ca="1" si="8"/>
        <v>#VALUE!</v>
      </c>
      <c r="P147" s="260"/>
    </row>
    <row r="148" spans="1:16" ht="18.95" customHeight="1">
      <c r="A148" s="653">
        <f t="shared" si="1"/>
        <v>0</v>
      </c>
      <c r="B148" s="280" t="str">
        <f t="shared" si="1"/>
        <v>RWZI/Werf Evertsekoog</v>
      </c>
      <c r="C148" s="2" t="str">
        <f t="shared" si="1"/>
        <v>Pontweg 150</v>
      </c>
      <c r="D148" s="145">
        <f>SUMIF('1.0-Contractblad'!$F$65:$F$68,'1.1 Jaarprijzen'!B148,'1.0-Contractblad'!$I$65:$I$68)</f>
        <v>0</v>
      </c>
      <c r="E148" s="710"/>
      <c r="F148" s="126" t="e">
        <f t="shared" si="2"/>
        <v>#VALUE!</v>
      </c>
      <c r="G148" s="126" t="e">
        <f t="shared" si="3"/>
        <v>#VALUE!</v>
      </c>
      <c r="H148" s="126" t="e">
        <f t="shared" si="4"/>
        <v>#VALUE!</v>
      </c>
      <c r="I148" s="126" t="e">
        <f t="shared" si="5"/>
        <v>#VALUE!</v>
      </c>
      <c r="J148" s="661" t="e">
        <f>F148+H148+D148+I148+G148</f>
        <v>#VALUE!</v>
      </c>
      <c r="K148" s="154">
        <f>SUMIF('1.3a-Mutaties'!E:E,'1.1 Jaarprijzen'!B148,'1.3a-Mutaties'!AB:AB)</f>
        <v>0</v>
      </c>
      <c r="L148" s="155"/>
      <c r="M148" s="373">
        <f>SUMIF('1.6-Glasbewassing'!B:B,B148,'1.6-Glasbewassing'!X:X)+SUMIF('1.6-Glasbewassing'!B:B,B148,'1.6-Glasbewassing'!W:W)</f>
        <v>0</v>
      </c>
      <c r="N148" s="126" t="e">
        <f t="shared" si="7"/>
        <v>#VALUE!</v>
      </c>
      <c r="O148" s="325" t="e">
        <f t="shared" ca="1" si="8"/>
        <v>#VALUE!</v>
      </c>
      <c r="P148" s="260"/>
    </row>
    <row r="149" spans="1:16" ht="18.95" customHeight="1">
      <c r="A149" s="653">
        <f t="shared" si="1"/>
        <v>0</v>
      </c>
      <c r="B149" s="280" t="str">
        <f t="shared" si="1"/>
        <v>RWZI Alkmaar Bedrijfsgebouw</v>
      </c>
      <c r="C149" s="2" t="str">
        <f t="shared" si="1"/>
        <v>Jan van Scorelkade 6</v>
      </c>
      <c r="D149" s="145">
        <f>SUMIF('1.0-Contractblad'!$F$65:$F$68,'1.1 Jaarprijzen'!B149,'1.0-Contractblad'!$I$65:$I$68)</f>
        <v>0</v>
      </c>
      <c r="E149" s="710"/>
      <c r="F149" s="126" t="e">
        <f t="shared" si="2"/>
        <v>#VALUE!</v>
      </c>
      <c r="G149" s="126" t="e">
        <f t="shared" si="3"/>
        <v>#VALUE!</v>
      </c>
      <c r="H149" s="126" t="e">
        <f t="shared" si="4"/>
        <v>#VALUE!</v>
      </c>
      <c r="I149" s="126" t="e">
        <f t="shared" si="5"/>
        <v>#VALUE!</v>
      </c>
      <c r="J149" s="661" t="e">
        <f t="shared" si="6"/>
        <v>#VALUE!</v>
      </c>
      <c r="K149" s="154">
        <f>SUMIF('1.3a-Mutaties'!E:E,'1.1 Jaarprijzen'!B149,'1.3a-Mutaties'!AB:AB)</f>
        <v>0</v>
      </c>
      <c r="L149" s="155"/>
      <c r="M149" s="373">
        <f>SUMIF('1.6-Glasbewassing'!B:B,B149,'1.6-Glasbewassing'!X:X)+SUMIF('1.6-Glasbewassing'!B:B,B149,'1.6-Glasbewassing'!W:W)</f>
        <v>0</v>
      </c>
      <c r="N149" s="126" t="e">
        <f t="shared" si="7"/>
        <v>#VALUE!</v>
      </c>
      <c r="O149" s="325" t="e">
        <f t="shared" ca="1" si="8"/>
        <v>#VALUE!</v>
      </c>
      <c r="P149" s="260"/>
    </row>
    <row r="150" spans="1:16" ht="18.95" customHeight="1">
      <c r="A150" s="653">
        <f t="shared" si="1"/>
        <v>0</v>
      </c>
      <c r="B150" s="280" t="str">
        <f t="shared" si="1"/>
        <v>Noorderpolderhuis</v>
      </c>
      <c r="C150" s="2" t="str">
        <f t="shared" si="1"/>
        <v>Molendijk 11</v>
      </c>
      <c r="D150" s="145">
        <f>SUMIF('1.0-Contractblad'!$F$65:$F$68,'1.1 Jaarprijzen'!B150,'1.0-Contractblad'!$I$65:$I$68)</f>
        <v>0</v>
      </c>
      <c r="E150" s="710"/>
      <c r="F150" s="126" t="e">
        <f t="shared" si="2"/>
        <v>#VALUE!</v>
      </c>
      <c r="G150" s="126" t="e">
        <f t="shared" si="3"/>
        <v>#VALUE!</v>
      </c>
      <c r="H150" s="126" t="e">
        <f t="shared" si="4"/>
        <v>#VALUE!</v>
      </c>
      <c r="I150" s="126" t="e">
        <f t="shared" si="5"/>
        <v>#VALUE!</v>
      </c>
      <c r="J150" s="661" t="e">
        <f t="shared" si="6"/>
        <v>#VALUE!</v>
      </c>
      <c r="K150" s="154">
        <f>SUMIF('1.3a-Mutaties'!E:E,'1.1 Jaarprijzen'!B150,'1.3a-Mutaties'!AB:AB)</f>
        <v>0</v>
      </c>
      <c r="L150" s="155"/>
      <c r="M150" s="373">
        <f>SUMIF('1.6-Glasbewassing'!B:B,B150,'1.6-Glasbewassing'!X:X)+SUMIF('1.6-Glasbewassing'!B:B,B150,'1.6-Glasbewassing'!W:W)</f>
        <v>0</v>
      </c>
      <c r="N150" s="126" t="e">
        <f t="shared" si="7"/>
        <v>#VALUE!</v>
      </c>
      <c r="O150" s="325" t="e">
        <f t="shared" ca="1" si="8"/>
        <v>#VALUE!</v>
      </c>
      <c r="P150" s="260"/>
    </row>
    <row r="151" spans="1:16" ht="18.95" customHeight="1">
      <c r="A151" s="653">
        <f t="shared" si="1"/>
        <v>0</v>
      </c>
      <c r="B151" s="280" t="str">
        <f t="shared" si="1"/>
        <v>RWZI Heiloo</v>
      </c>
      <c r="C151" s="2" t="str">
        <f t="shared" si="1"/>
        <v>Kanaalstraat 11</v>
      </c>
      <c r="D151" s="145">
        <f>SUMIF('1.0-Contractblad'!$F$65:$F$68,'1.1 Jaarprijzen'!B151,'1.0-Contractblad'!$I$65:$I$68)</f>
        <v>0</v>
      </c>
      <c r="E151" s="710"/>
      <c r="F151" s="126" t="e">
        <f t="shared" si="2"/>
        <v>#VALUE!</v>
      </c>
      <c r="G151" s="126" t="e">
        <f t="shared" si="3"/>
        <v>#VALUE!</v>
      </c>
      <c r="H151" s="126" t="e">
        <f t="shared" si="4"/>
        <v>#VALUE!</v>
      </c>
      <c r="I151" s="126" t="e">
        <f t="shared" si="5"/>
        <v>#VALUE!</v>
      </c>
      <c r="J151" s="661" t="e">
        <f t="shared" si="6"/>
        <v>#VALUE!</v>
      </c>
      <c r="K151" s="154">
        <f>SUMIF('1.3a-Mutaties'!E:E,'1.1 Jaarprijzen'!B151,'1.3a-Mutaties'!AB:AB)</f>
        <v>0</v>
      </c>
      <c r="L151" s="155"/>
      <c r="M151" s="373">
        <f>SUMIF('1.6-Glasbewassing'!B:B,B151,'1.6-Glasbewassing'!X:X)+SUMIF('1.6-Glasbewassing'!B:B,B151,'1.6-Glasbewassing'!W:W)</f>
        <v>0</v>
      </c>
      <c r="N151" s="126" t="e">
        <f t="shared" si="7"/>
        <v>#VALUE!</v>
      </c>
      <c r="O151" s="325" t="e">
        <f t="shared" ca="1" si="8"/>
        <v>#VALUE!</v>
      </c>
      <c r="P151" s="260"/>
    </row>
    <row r="152" spans="1:16" ht="18.95" customHeight="1">
      <c r="A152" s="653">
        <f t="shared" si="1"/>
        <v>0</v>
      </c>
      <c r="B152" s="280" t="str">
        <f t="shared" si="1"/>
        <v>RWZI Beverwijk Bedrijfsgebouw</v>
      </c>
      <c r="C152" s="2" t="str">
        <f t="shared" si="1"/>
        <v>Randweg 2</v>
      </c>
      <c r="D152" s="145">
        <f>SUMIF('1.0-Contractblad'!$F$65:$F$68,'1.1 Jaarprijzen'!B152,'1.0-Contractblad'!$I$65:$I$68)</f>
        <v>0</v>
      </c>
      <c r="E152" s="710"/>
      <c r="F152" s="126" t="e">
        <f t="shared" si="2"/>
        <v>#VALUE!</v>
      </c>
      <c r="G152" s="126" t="e">
        <f t="shared" si="3"/>
        <v>#VALUE!</v>
      </c>
      <c r="H152" s="126" t="e">
        <f t="shared" si="4"/>
        <v>#VALUE!</v>
      </c>
      <c r="I152" s="126" t="e">
        <f t="shared" si="5"/>
        <v>#VALUE!</v>
      </c>
      <c r="J152" s="661" t="e">
        <f t="shared" si="6"/>
        <v>#VALUE!</v>
      </c>
      <c r="K152" s="154">
        <f>SUMIF('1.3a-Mutaties'!E:E,'1.1 Jaarprijzen'!B152,'1.3a-Mutaties'!AB:AB)</f>
        <v>0</v>
      </c>
      <c r="L152" s="155"/>
      <c r="M152" s="373">
        <f>SUMIF('1.6-Glasbewassing'!B:B,B152,'1.6-Glasbewassing'!X:X)+SUMIF('1.6-Glasbewassing'!B:B,B152,'1.6-Glasbewassing'!W:W)</f>
        <v>0</v>
      </c>
      <c r="N152" s="126" t="e">
        <f t="shared" si="7"/>
        <v>#VALUE!</v>
      </c>
      <c r="O152" s="325" t="e">
        <f t="shared" ca="1" si="8"/>
        <v>#VALUE!</v>
      </c>
      <c r="P152" s="260"/>
    </row>
    <row r="153" spans="1:16" ht="18.95" customHeight="1">
      <c r="A153" s="653">
        <f t="shared" si="1"/>
        <v>0</v>
      </c>
      <c r="B153" s="280" t="str">
        <f t="shared" si="1"/>
        <v>RWZI Beverwijk, Slibgebouw</v>
      </c>
      <c r="C153" s="2" t="str">
        <f t="shared" si="1"/>
        <v>Randweg 2</v>
      </c>
      <c r="D153" s="145">
        <f>SUMIF('1.0-Contractblad'!$F$65:$F$68,'1.1 Jaarprijzen'!B153,'1.0-Contractblad'!$I$65:$I$68)</f>
        <v>0</v>
      </c>
      <c r="E153" s="710"/>
      <c r="F153" s="126" t="e">
        <f t="shared" si="2"/>
        <v>#VALUE!</v>
      </c>
      <c r="G153" s="126" t="e">
        <f t="shared" si="3"/>
        <v>#VALUE!</v>
      </c>
      <c r="H153" s="126" t="e">
        <f t="shared" si="4"/>
        <v>#VALUE!</v>
      </c>
      <c r="I153" s="126" t="e">
        <f t="shared" si="5"/>
        <v>#VALUE!</v>
      </c>
      <c r="J153" s="661" t="e">
        <f t="shared" si="6"/>
        <v>#VALUE!</v>
      </c>
      <c r="K153" s="154">
        <f>SUMIF('1.3a-Mutaties'!E:E,'1.1 Jaarprijzen'!B153,'1.3a-Mutaties'!AB:AB)</f>
        <v>0</v>
      </c>
      <c r="L153" s="155"/>
      <c r="M153" s="373">
        <f>SUMIF('1.6-Glasbewassing'!B:B,B153,'1.6-Glasbewassing'!X:X)+SUMIF('1.6-Glasbewassing'!B:B,B153,'1.6-Glasbewassing'!W:W)</f>
        <v>0</v>
      </c>
      <c r="N153" s="126" t="e">
        <f t="shared" si="7"/>
        <v>#VALUE!</v>
      </c>
      <c r="O153" s="325" t="e">
        <f t="shared" ca="1" si="8"/>
        <v>#VALUE!</v>
      </c>
      <c r="P153" s="260"/>
    </row>
    <row r="154" spans="1:16" ht="18.95" customHeight="1">
      <c r="A154" s="653">
        <f t="shared" si="1"/>
        <v>0</v>
      </c>
      <c r="B154" s="280" t="str">
        <f t="shared" si="1"/>
        <v>SDI Beverwijk Sanitairgebouw</v>
      </c>
      <c r="C154" s="2" t="str">
        <f t="shared" si="1"/>
        <v>Randweg 17</v>
      </c>
      <c r="D154" s="145">
        <f>SUMIF('1.0-Contractblad'!$F$65:$F$68,'1.1 Jaarprijzen'!B154,'1.0-Contractblad'!$I$65:$I$68)</f>
        <v>0</v>
      </c>
      <c r="E154" s="710"/>
      <c r="F154" s="126" t="e">
        <f t="shared" si="2"/>
        <v>#VALUE!</v>
      </c>
      <c r="G154" s="126" t="e">
        <f t="shared" si="3"/>
        <v>#VALUE!</v>
      </c>
      <c r="H154" s="126" t="e">
        <f t="shared" si="4"/>
        <v>#VALUE!</v>
      </c>
      <c r="I154" s="126" t="e">
        <f t="shared" si="5"/>
        <v>#VALUE!</v>
      </c>
      <c r="J154" s="661" t="e">
        <f>F154+H154+D154+I154+G154</f>
        <v>#VALUE!</v>
      </c>
      <c r="K154" s="154">
        <f>SUMIF('1.3a-Mutaties'!E:E,'1.1 Jaarprijzen'!B154,'1.3a-Mutaties'!AB:AB)</f>
        <v>0</v>
      </c>
      <c r="L154" s="155"/>
      <c r="M154" s="373">
        <f>SUMIF('1.6-Glasbewassing'!B:B,B154,'1.6-Glasbewassing'!X:X)+SUMIF('1.6-Glasbewassing'!B:B,B154,'1.6-Glasbewassing'!W:W)</f>
        <v>0</v>
      </c>
      <c r="N154" s="126" t="e">
        <f t="shared" si="7"/>
        <v>#VALUE!</v>
      </c>
      <c r="O154" s="325" t="e">
        <f t="shared" ca="1" si="8"/>
        <v>#VALUE!</v>
      </c>
      <c r="P154" s="260"/>
    </row>
    <row r="155" spans="1:16" ht="18.95" customHeight="1">
      <c r="A155" s="653">
        <f t="shared" si="1"/>
        <v>0</v>
      </c>
      <c r="B155" s="280" t="str">
        <f t="shared" si="1"/>
        <v>SDI Beverwijk Bedrijfsgebouw</v>
      </c>
      <c r="C155" s="2" t="str">
        <f t="shared" si="1"/>
        <v>Randweg 17</v>
      </c>
      <c r="D155" s="145">
        <f>SUMIF('1.0-Contractblad'!$F$65:$F$68,'1.1 Jaarprijzen'!B155,'1.0-Contractblad'!$I$65:$I$68)</f>
        <v>0</v>
      </c>
      <c r="E155" s="710"/>
      <c r="F155" s="126" t="e">
        <f t="shared" si="2"/>
        <v>#VALUE!</v>
      </c>
      <c r="G155" s="126" t="e">
        <f t="shared" si="3"/>
        <v>#VALUE!</v>
      </c>
      <c r="H155" s="126" t="e">
        <f t="shared" si="4"/>
        <v>#VALUE!</v>
      </c>
      <c r="I155" s="126" t="e">
        <f t="shared" si="5"/>
        <v>#VALUE!</v>
      </c>
      <c r="J155" s="661" t="e">
        <f>F155+H155+D155+I155+G155</f>
        <v>#VALUE!</v>
      </c>
      <c r="K155" s="154">
        <f>SUMIF('1.3a-Mutaties'!E:E,'1.1 Jaarprijzen'!B155,'1.3a-Mutaties'!AB:AB)</f>
        <v>0</v>
      </c>
      <c r="L155" s="155"/>
      <c r="M155" s="373">
        <f>SUMIF('1.6-Glasbewassing'!B:B,B155,'1.6-Glasbewassing'!X:X)+SUMIF('1.6-Glasbewassing'!B:B,B155,'1.6-Glasbewassing'!W:W)</f>
        <v>0</v>
      </c>
      <c r="N155" s="126" t="e">
        <f>IF(L155="ja",M155+J155,J155+K155+M155)</f>
        <v>#VALUE!</v>
      </c>
      <c r="O155" s="325" t="e">
        <f t="shared" ca="1" si="8"/>
        <v>#VALUE!</v>
      </c>
      <c r="P155" s="260"/>
    </row>
    <row r="156" spans="1:16" ht="18.95" hidden="1" customHeight="1">
      <c r="A156" s="653"/>
      <c r="B156" s="280">
        <f t="shared" ref="B156:C175" si="9">B37</f>
        <v>0</v>
      </c>
      <c r="C156" s="2">
        <f t="shared" si="9"/>
        <v>0</v>
      </c>
      <c r="D156" s="145"/>
      <c r="E156" s="126"/>
      <c r="F156" s="126"/>
      <c r="G156" s="126"/>
      <c r="H156" s="126"/>
      <c r="I156" s="126"/>
      <c r="J156" s="661"/>
      <c r="K156" s="154"/>
      <c r="L156" s="155"/>
      <c r="M156" s="373"/>
      <c r="N156" s="126"/>
      <c r="O156" s="325"/>
      <c r="P156" s="260"/>
    </row>
    <row r="157" spans="1:16" ht="18.95" hidden="1" customHeight="1">
      <c r="A157" s="653"/>
      <c r="B157" s="280">
        <f t="shared" si="9"/>
        <v>0</v>
      </c>
      <c r="C157" s="2">
        <f t="shared" si="9"/>
        <v>0</v>
      </c>
      <c r="D157" s="145"/>
      <c r="E157" s="126"/>
      <c r="F157" s="126"/>
      <c r="G157" s="126"/>
      <c r="H157" s="126"/>
      <c r="I157" s="126"/>
      <c r="J157" s="661"/>
      <c r="K157" s="154"/>
      <c r="L157" s="155"/>
      <c r="M157" s="373"/>
      <c r="N157" s="126"/>
      <c r="O157" s="325"/>
      <c r="P157" s="260"/>
    </row>
    <row r="158" spans="1:16" ht="18.95" hidden="1" customHeight="1">
      <c r="A158" s="653"/>
      <c r="B158" s="280">
        <f t="shared" si="9"/>
        <v>0</v>
      </c>
      <c r="C158" s="2">
        <f t="shared" si="9"/>
        <v>0</v>
      </c>
      <c r="D158" s="145"/>
      <c r="E158" s="126"/>
      <c r="F158" s="126"/>
      <c r="G158" s="126"/>
      <c r="H158" s="126"/>
      <c r="I158" s="126"/>
      <c r="J158" s="661"/>
      <c r="K158" s="154"/>
      <c r="L158" s="155"/>
      <c r="M158" s="373"/>
      <c r="N158" s="126"/>
      <c r="O158" s="325"/>
      <c r="P158" s="260"/>
    </row>
    <row r="159" spans="1:16" ht="18.95" hidden="1" customHeight="1">
      <c r="A159" s="653"/>
      <c r="B159" s="280">
        <f t="shared" si="9"/>
        <v>0</v>
      </c>
      <c r="C159" s="2">
        <f t="shared" si="9"/>
        <v>0</v>
      </c>
      <c r="D159" s="145"/>
      <c r="E159" s="126"/>
      <c r="F159" s="126"/>
      <c r="G159" s="126"/>
      <c r="H159" s="126"/>
      <c r="I159" s="126"/>
      <c r="J159" s="661"/>
      <c r="K159" s="154"/>
      <c r="L159" s="155"/>
      <c r="M159" s="373"/>
      <c r="N159" s="126"/>
      <c r="O159" s="325"/>
      <c r="P159" s="260"/>
    </row>
    <row r="160" spans="1:16" ht="18.95" hidden="1" customHeight="1">
      <c r="A160" s="653"/>
      <c r="B160" s="280">
        <f t="shared" si="9"/>
        <v>0</v>
      </c>
      <c r="C160" s="2">
        <f t="shared" si="9"/>
        <v>0</v>
      </c>
      <c r="D160" s="145"/>
      <c r="E160" s="126"/>
      <c r="F160" s="126"/>
      <c r="G160" s="126"/>
      <c r="H160" s="126"/>
      <c r="I160" s="126"/>
      <c r="J160" s="661"/>
      <c r="K160" s="154"/>
      <c r="L160" s="155"/>
      <c r="M160" s="373"/>
      <c r="N160" s="126"/>
      <c r="O160" s="325"/>
      <c r="P160" s="260"/>
    </row>
    <row r="161" spans="1:16" ht="18.95" hidden="1" customHeight="1">
      <c r="A161" s="653"/>
      <c r="B161" s="280">
        <f t="shared" si="9"/>
        <v>0</v>
      </c>
      <c r="C161" s="2">
        <f t="shared" si="9"/>
        <v>0</v>
      </c>
      <c r="D161" s="145"/>
      <c r="E161" s="126"/>
      <c r="F161" s="126"/>
      <c r="G161" s="126"/>
      <c r="H161" s="126"/>
      <c r="I161" s="126"/>
      <c r="J161" s="661"/>
      <c r="K161" s="154"/>
      <c r="L161" s="155"/>
      <c r="M161" s="373"/>
      <c r="N161" s="126"/>
      <c r="O161" s="325"/>
      <c r="P161" s="260"/>
    </row>
    <row r="162" spans="1:16" ht="18.95" hidden="1" customHeight="1">
      <c r="A162" s="653"/>
      <c r="B162" s="280">
        <f t="shared" si="9"/>
        <v>0</v>
      </c>
      <c r="C162" s="2">
        <f t="shared" si="9"/>
        <v>0</v>
      </c>
      <c r="D162" s="145"/>
      <c r="E162" s="126"/>
      <c r="F162" s="126"/>
      <c r="G162" s="126"/>
      <c r="H162" s="126"/>
      <c r="I162" s="126"/>
      <c r="J162" s="661"/>
      <c r="K162" s="154"/>
      <c r="L162" s="155"/>
      <c r="M162" s="373"/>
      <c r="N162" s="126"/>
      <c r="O162" s="325"/>
      <c r="P162" s="260"/>
    </row>
    <row r="163" spans="1:16" ht="18.95" hidden="1" customHeight="1">
      <c r="A163" s="653"/>
      <c r="B163" s="280">
        <f t="shared" si="9"/>
        <v>0</v>
      </c>
      <c r="C163" s="2">
        <f t="shared" si="9"/>
        <v>0</v>
      </c>
      <c r="D163" s="145"/>
      <c r="E163" s="126"/>
      <c r="F163" s="126"/>
      <c r="G163" s="126"/>
      <c r="H163" s="126"/>
      <c r="I163" s="126"/>
      <c r="J163" s="661"/>
      <c r="K163" s="154"/>
      <c r="L163" s="155"/>
      <c r="M163" s="373"/>
      <c r="N163" s="126"/>
      <c r="O163" s="325"/>
      <c r="P163" s="260"/>
    </row>
    <row r="164" spans="1:16" ht="18.95" hidden="1" customHeight="1">
      <c r="A164" s="653"/>
      <c r="B164" s="280">
        <f t="shared" si="9"/>
        <v>0</v>
      </c>
      <c r="C164" s="2">
        <f t="shared" si="9"/>
        <v>0</v>
      </c>
      <c r="D164" s="145"/>
      <c r="E164" s="126"/>
      <c r="F164" s="126"/>
      <c r="G164" s="126"/>
      <c r="H164" s="126"/>
      <c r="I164" s="126"/>
      <c r="J164" s="661"/>
      <c r="K164" s="154"/>
      <c r="L164" s="155"/>
      <c r="M164" s="373"/>
      <c r="N164" s="126"/>
      <c r="O164" s="325"/>
      <c r="P164" s="260"/>
    </row>
    <row r="165" spans="1:16" ht="18.95" hidden="1" customHeight="1">
      <c r="A165" s="653"/>
      <c r="B165" s="280">
        <f t="shared" si="9"/>
        <v>0</v>
      </c>
      <c r="C165" s="2">
        <f t="shared" si="9"/>
        <v>0</v>
      </c>
      <c r="D165" s="145"/>
      <c r="E165" s="126"/>
      <c r="F165" s="126"/>
      <c r="G165" s="126"/>
      <c r="H165" s="126"/>
      <c r="I165" s="126"/>
      <c r="J165" s="661"/>
      <c r="K165" s="154"/>
      <c r="L165" s="155"/>
      <c r="M165" s="373"/>
      <c r="N165" s="126"/>
      <c r="O165" s="325"/>
      <c r="P165" s="260"/>
    </row>
    <row r="166" spans="1:16" ht="18.95" hidden="1" customHeight="1">
      <c r="A166" s="653"/>
      <c r="B166" s="280">
        <f t="shared" si="9"/>
        <v>0</v>
      </c>
      <c r="C166" s="2">
        <f t="shared" si="9"/>
        <v>0</v>
      </c>
      <c r="D166" s="145"/>
      <c r="E166" s="126"/>
      <c r="F166" s="126"/>
      <c r="G166" s="126"/>
      <c r="H166" s="126"/>
      <c r="I166" s="126"/>
      <c r="J166" s="661"/>
      <c r="K166" s="154"/>
      <c r="L166" s="155"/>
      <c r="M166" s="373"/>
      <c r="N166" s="126"/>
      <c r="O166" s="325"/>
      <c r="P166" s="260"/>
    </row>
    <row r="167" spans="1:16" ht="18.95" hidden="1" customHeight="1">
      <c r="A167" s="653"/>
      <c r="B167" s="280">
        <f t="shared" si="9"/>
        <v>0</v>
      </c>
      <c r="C167" s="2">
        <f t="shared" si="9"/>
        <v>0</v>
      </c>
      <c r="D167" s="145"/>
      <c r="E167" s="126"/>
      <c r="F167" s="126"/>
      <c r="G167" s="126"/>
      <c r="H167" s="126"/>
      <c r="I167" s="126"/>
      <c r="J167" s="661"/>
      <c r="K167" s="154"/>
      <c r="L167" s="155"/>
      <c r="M167" s="373"/>
      <c r="N167" s="126"/>
      <c r="O167" s="325"/>
      <c r="P167" s="260"/>
    </row>
    <row r="168" spans="1:16" ht="18.95" hidden="1" customHeight="1">
      <c r="A168" s="653"/>
      <c r="B168" s="280">
        <f t="shared" si="9"/>
        <v>0</v>
      </c>
      <c r="C168" s="2">
        <f t="shared" si="9"/>
        <v>0</v>
      </c>
      <c r="D168" s="145"/>
      <c r="E168" s="126"/>
      <c r="F168" s="126"/>
      <c r="G168" s="126"/>
      <c r="H168" s="126"/>
      <c r="I168" s="126"/>
      <c r="J168" s="661"/>
      <c r="K168" s="154"/>
      <c r="L168" s="155"/>
      <c r="M168" s="373"/>
      <c r="N168" s="126"/>
      <c r="O168" s="325"/>
      <c r="P168" s="260"/>
    </row>
    <row r="169" spans="1:16" ht="18.95" hidden="1" customHeight="1">
      <c r="A169" s="653"/>
      <c r="B169" s="280">
        <f t="shared" si="9"/>
        <v>0</v>
      </c>
      <c r="C169" s="2">
        <f t="shared" si="9"/>
        <v>0</v>
      </c>
      <c r="D169" s="145"/>
      <c r="E169" s="126"/>
      <c r="F169" s="126"/>
      <c r="G169" s="126"/>
      <c r="H169" s="126"/>
      <c r="I169" s="126"/>
      <c r="J169" s="661"/>
      <c r="K169" s="154"/>
      <c r="L169" s="155"/>
      <c r="M169" s="373"/>
      <c r="N169" s="126"/>
      <c r="O169" s="325"/>
      <c r="P169" s="260"/>
    </row>
    <row r="170" spans="1:16" ht="18.95" hidden="1" customHeight="1">
      <c r="A170" s="653"/>
      <c r="B170" s="280">
        <f t="shared" si="9"/>
        <v>0</v>
      </c>
      <c r="C170" s="2">
        <f t="shared" si="9"/>
        <v>0</v>
      </c>
      <c r="D170" s="145"/>
      <c r="E170" s="126"/>
      <c r="F170" s="126"/>
      <c r="G170" s="126"/>
      <c r="H170" s="126"/>
      <c r="I170" s="126"/>
      <c r="J170" s="661"/>
      <c r="K170" s="154"/>
      <c r="L170" s="155"/>
      <c r="M170" s="373"/>
      <c r="N170" s="126"/>
      <c r="O170" s="325"/>
      <c r="P170" s="260"/>
    </row>
    <row r="171" spans="1:16" ht="18.95" hidden="1" customHeight="1">
      <c r="A171" s="653"/>
      <c r="B171" s="280">
        <f t="shared" si="9"/>
        <v>0</v>
      </c>
      <c r="C171" s="2">
        <f t="shared" si="9"/>
        <v>0</v>
      </c>
      <c r="D171" s="145"/>
      <c r="E171" s="126"/>
      <c r="F171" s="126"/>
      <c r="G171" s="126"/>
      <c r="H171" s="126"/>
      <c r="I171" s="126"/>
      <c r="J171" s="661"/>
      <c r="K171" s="154"/>
      <c r="L171" s="155"/>
      <c r="M171" s="373"/>
      <c r="N171" s="126"/>
      <c r="O171" s="325"/>
      <c r="P171" s="260"/>
    </row>
    <row r="172" spans="1:16" ht="18.95" hidden="1" customHeight="1">
      <c r="A172" s="653"/>
      <c r="B172" s="280">
        <f t="shared" si="9"/>
        <v>0</v>
      </c>
      <c r="C172" s="2">
        <f t="shared" si="9"/>
        <v>0</v>
      </c>
      <c r="D172" s="145"/>
      <c r="E172" s="126"/>
      <c r="F172" s="126"/>
      <c r="G172" s="126"/>
      <c r="H172" s="126"/>
      <c r="I172" s="126"/>
      <c r="J172" s="661"/>
      <c r="K172" s="154"/>
      <c r="L172" s="155"/>
      <c r="M172" s="373"/>
      <c r="N172" s="126"/>
      <c r="O172" s="325"/>
      <c r="P172" s="260"/>
    </row>
    <row r="173" spans="1:16" ht="18.95" hidden="1" customHeight="1">
      <c r="A173" s="653"/>
      <c r="B173" s="280">
        <f t="shared" si="9"/>
        <v>0</v>
      </c>
      <c r="C173" s="2">
        <f t="shared" si="9"/>
        <v>0</v>
      </c>
      <c r="D173" s="145"/>
      <c r="E173" s="126"/>
      <c r="F173" s="126"/>
      <c r="G173" s="126"/>
      <c r="H173" s="126"/>
      <c r="I173" s="126"/>
      <c r="J173" s="661"/>
      <c r="K173" s="154"/>
      <c r="L173" s="155"/>
      <c r="M173" s="373"/>
      <c r="N173" s="126"/>
      <c r="O173" s="325"/>
      <c r="P173" s="260"/>
    </row>
    <row r="174" spans="1:16" ht="18.95" hidden="1" customHeight="1">
      <c r="A174" s="653"/>
      <c r="B174" s="280">
        <f t="shared" si="9"/>
        <v>0</v>
      </c>
      <c r="C174" s="2">
        <f t="shared" si="9"/>
        <v>0</v>
      </c>
      <c r="D174" s="145"/>
      <c r="E174" s="126"/>
      <c r="F174" s="126"/>
      <c r="G174" s="126"/>
      <c r="H174" s="126"/>
      <c r="I174" s="126"/>
      <c r="J174" s="661"/>
      <c r="K174" s="154"/>
      <c r="L174" s="155"/>
      <c r="M174" s="373"/>
      <c r="N174" s="126"/>
      <c r="O174" s="325"/>
      <c r="P174" s="260"/>
    </row>
    <row r="175" spans="1:16" ht="18.95" hidden="1" customHeight="1">
      <c r="A175" s="653"/>
      <c r="B175" s="280">
        <f t="shared" si="9"/>
        <v>0</v>
      </c>
      <c r="C175" s="2">
        <f t="shared" si="9"/>
        <v>0</v>
      </c>
      <c r="D175" s="145"/>
      <c r="E175" s="126"/>
      <c r="F175" s="126"/>
      <c r="G175" s="126"/>
      <c r="H175" s="126"/>
      <c r="I175" s="126"/>
      <c r="J175" s="661"/>
      <c r="K175" s="154"/>
      <c r="L175" s="155"/>
      <c r="M175" s="373"/>
      <c r="N175" s="126"/>
      <c r="O175" s="325"/>
      <c r="P175" s="260"/>
    </row>
    <row r="176" spans="1:16" ht="18.95" hidden="1" customHeight="1">
      <c r="A176" s="653"/>
      <c r="B176" s="280">
        <f t="shared" ref="B176:C195" si="10">B57</f>
        <v>0</v>
      </c>
      <c r="C176" s="2">
        <f t="shared" si="10"/>
        <v>0</v>
      </c>
      <c r="D176" s="145"/>
      <c r="E176" s="126"/>
      <c r="F176" s="126"/>
      <c r="G176" s="126"/>
      <c r="H176" s="126"/>
      <c r="I176" s="126"/>
      <c r="J176" s="661"/>
      <c r="K176" s="154"/>
      <c r="L176" s="155"/>
      <c r="M176" s="373"/>
      <c r="N176" s="126"/>
      <c r="O176" s="325"/>
      <c r="P176" s="260"/>
    </row>
    <row r="177" spans="1:16" ht="18.95" hidden="1" customHeight="1">
      <c r="A177" s="653"/>
      <c r="B177" s="280">
        <f t="shared" si="10"/>
        <v>0</v>
      </c>
      <c r="C177" s="2">
        <f t="shared" si="10"/>
        <v>0</v>
      </c>
      <c r="D177" s="145"/>
      <c r="E177" s="126"/>
      <c r="F177" s="126"/>
      <c r="G177" s="126"/>
      <c r="H177" s="126"/>
      <c r="I177" s="126"/>
      <c r="J177" s="661"/>
      <c r="K177" s="154"/>
      <c r="L177" s="155"/>
      <c r="M177" s="373"/>
      <c r="N177" s="126"/>
      <c r="O177" s="325"/>
      <c r="P177" s="260"/>
    </row>
    <row r="178" spans="1:16" ht="18.95" hidden="1" customHeight="1">
      <c r="A178" s="653"/>
      <c r="B178" s="280">
        <f t="shared" si="10"/>
        <v>0</v>
      </c>
      <c r="C178" s="2">
        <f t="shared" si="10"/>
        <v>0</v>
      </c>
      <c r="D178" s="145"/>
      <c r="E178" s="126"/>
      <c r="F178" s="126"/>
      <c r="G178" s="126"/>
      <c r="H178" s="126"/>
      <c r="I178" s="126"/>
      <c r="J178" s="661"/>
      <c r="K178" s="154"/>
      <c r="L178" s="155"/>
      <c r="M178" s="373"/>
      <c r="N178" s="126"/>
      <c r="O178" s="325"/>
      <c r="P178" s="260"/>
    </row>
    <row r="179" spans="1:16" ht="18.95" hidden="1" customHeight="1">
      <c r="A179" s="653"/>
      <c r="B179" s="280">
        <f t="shared" si="10"/>
        <v>0</v>
      </c>
      <c r="C179" s="2">
        <f t="shared" si="10"/>
        <v>0</v>
      </c>
      <c r="D179" s="145"/>
      <c r="E179" s="126"/>
      <c r="F179" s="126"/>
      <c r="G179" s="126"/>
      <c r="H179" s="126"/>
      <c r="I179" s="126"/>
      <c r="J179" s="661"/>
      <c r="K179" s="154"/>
      <c r="L179" s="155"/>
      <c r="M179" s="373"/>
      <c r="N179" s="126"/>
      <c r="O179" s="325"/>
      <c r="P179" s="260"/>
    </row>
    <row r="180" spans="1:16" ht="18.95" hidden="1" customHeight="1">
      <c r="A180" s="653"/>
      <c r="B180" s="280">
        <f t="shared" si="10"/>
        <v>0</v>
      </c>
      <c r="C180" s="2">
        <f t="shared" si="10"/>
        <v>0</v>
      </c>
      <c r="D180" s="145"/>
      <c r="E180" s="126"/>
      <c r="F180" s="126"/>
      <c r="G180" s="126"/>
      <c r="H180" s="126"/>
      <c r="I180" s="126"/>
      <c r="J180" s="661"/>
      <c r="K180" s="154"/>
      <c r="L180" s="155"/>
      <c r="M180" s="373"/>
      <c r="N180" s="126"/>
      <c r="O180" s="325"/>
      <c r="P180" s="260"/>
    </row>
    <row r="181" spans="1:16" ht="18.95" hidden="1" customHeight="1">
      <c r="A181" s="653"/>
      <c r="B181" s="280">
        <f t="shared" si="10"/>
        <v>0</v>
      </c>
      <c r="C181" s="2">
        <f t="shared" si="10"/>
        <v>0</v>
      </c>
      <c r="D181" s="145"/>
      <c r="E181" s="126"/>
      <c r="F181" s="126"/>
      <c r="G181" s="126"/>
      <c r="H181" s="126"/>
      <c r="I181" s="126"/>
      <c r="J181" s="661"/>
      <c r="K181" s="154"/>
      <c r="L181" s="155"/>
      <c r="M181" s="373"/>
      <c r="N181" s="126"/>
      <c r="O181" s="325"/>
      <c r="P181" s="260"/>
    </row>
    <row r="182" spans="1:16" ht="18.95" hidden="1" customHeight="1">
      <c r="A182" s="653"/>
      <c r="B182" s="280">
        <f t="shared" si="10"/>
        <v>0</v>
      </c>
      <c r="C182" s="2">
        <f t="shared" si="10"/>
        <v>0</v>
      </c>
      <c r="D182" s="145"/>
      <c r="E182" s="126"/>
      <c r="F182" s="126"/>
      <c r="G182" s="126"/>
      <c r="H182" s="126"/>
      <c r="I182" s="126"/>
      <c r="J182" s="661"/>
      <c r="K182" s="154"/>
      <c r="L182" s="155"/>
      <c r="M182" s="373"/>
      <c r="N182" s="126"/>
      <c r="O182" s="325"/>
      <c r="P182" s="260"/>
    </row>
    <row r="183" spans="1:16" ht="18.95" hidden="1" customHeight="1">
      <c r="A183" s="653"/>
      <c r="B183" s="280">
        <f t="shared" si="10"/>
        <v>0</v>
      </c>
      <c r="C183" s="2">
        <f t="shared" si="10"/>
        <v>0</v>
      </c>
      <c r="D183" s="145"/>
      <c r="E183" s="126"/>
      <c r="F183" s="126"/>
      <c r="G183" s="126"/>
      <c r="H183" s="126"/>
      <c r="I183" s="126"/>
      <c r="J183" s="661"/>
      <c r="K183" s="154"/>
      <c r="L183" s="155"/>
      <c r="M183" s="373"/>
      <c r="N183" s="126"/>
      <c r="O183" s="325"/>
      <c r="P183" s="260"/>
    </row>
    <row r="184" spans="1:16" ht="18.95" hidden="1" customHeight="1">
      <c r="A184" s="653"/>
      <c r="B184" s="280">
        <f t="shared" si="10"/>
        <v>0</v>
      </c>
      <c r="C184" s="2">
        <f t="shared" si="10"/>
        <v>0</v>
      </c>
      <c r="D184" s="145"/>
      <c r="E184" s="126"/>
      <c r="F184" s="126"/>
      <c r="G184" s="126"/>
      <c r="H184" s="126"/>
      <c r="I184" s="126"/>
      <c r="J184" s="661"/>
      <c r="K184" s="154"/>
      <c r="L184" s="155"/>
      <c r="M184" s="373"/>
      <c r="N184" s="126"/>
      <c r="O184" s="325"/>
      <c r="P184" s="260"/>
    </row>
    <row r="185" spans="1:16" ht="18.95" hidden="1" customHeight="1">
      <c r="A185" s="653"/>
      <c r="B185" s="280">
        <f t="shared" si="10"/>
        <v>0</v>
      </c>
      <c r="C185" s="2">
        <f t="shared" si="10"/>
        <v>0</v>
      </c>
      <c r="D185" s="145"/>
      <c r="E185" s="126"/>
      <c r="F185" s="126"/>
      <c r="G185" s="126"/>
      <c r="H185" s="126"/>
      <c r="I185" s="126"/>
      <c r="J185" s="661"/>
      <c r="K185" s="154"/>
      <c r="L185" s="155"/>
      <c r="M185" s="373"/>
      <c r="N185" s="126"/>
      <c r="O185" s="325"/>
      <c r="P185" s="260"/>
    </row>
    <row r="186" spans="1:16" ht="18.95" hidden="1" customHeight="1">
      <c r="A186" s="653"/>
      <c r="B186" s="280">
        <f t="shared" si="10"/>
        <v>0</v>
      </c>
      <c r="C186" s="2">
        <f t="shared" si="10"/>
        <v>0</v>
      </c>
      <c r="D186" s="145"/>
      <c r="E186" s="126"/>
      <c r="F186" s="126"/>
      <c r="G186" s="126"/>
      <c r="H186" s="126"/>
      <c r="I186" s="126"/>
      <c r="J186" s="661"/>
      <c r="K186" s="154"/>
      <c r="L186" s="155"/>
      <c r="M186" s="373"/>
      <c r="N186" s="126"/>
      <c r="O186" s="325"/>
      <c r="P186" s="260"/>
    </row>
    <row r="187" spans="1:16" ht="18.95" hidden="1" customHeight="1">
      <c r="A187" s="653"/>
      <c r="B187" s="280">
        <f t="shared" si="10"/>
        <v>0</v>
      </c>
      <c r="C187" s="2">
        <f t="shared" si="10"/>
        <v>0</v>
      </c>
      <c r="D187" s="145"/>
      <c r="E187" s="126"/>
      <c r="F187" s="126"/>
      <c r="G187" s="126"/>
      <c r="H187" s="126"/>
      <c r="I187" s="126"/>
      <c r="J187" s="661"/>
      <c r="K187" s="154"/>
      <c r="L187" s="155"/>
      <c r="M187" s="373"/>
      <c r="N187" s="126"/>
      <c r="O187" s="325"/>
      <c r="P187" s="260"/>
    </row>
    <row r="188" spans="1:16" ht="18.95" hidden="1" customHeight="1">
      <c r="A188" s="653"/>
      <c r="B188" s="280">
        <f t="shared" si="10"/>
        <v>0</v>
      </c>
      <c r="C188" s="2">
        <f t="shared" si="10"/>
        <v>0</v>
      </c>
      <c r="D188" s="145"/>
      <c r="E188" s="126"/>
      <c r="F188" s="126"/>
      <c r="G188" s="126"/>
      <c r="H188" s="126"/>
      <c r="I188" s="126"/>
      <c r="J188" s="661"/>
      <c r="K188" s="154"/>
      <c r="L188" s="155"/>
      <c r="M188" s="373"/>
      <c r="N188" s="126"/>
      <c r="O188" s="325"/>
      <c r="P188" s="260"/>
    </row>
    <row r="189" spans="1:16" ht="18.95" hidden="1" customHeight="1">
      <c r="A189" s="653"/>
      <c r="B189" s="280">
        <f t="shared" si="10"/>
        <v>0</v>
      </c>
      <c r="C189" s="2">
        <f t="shared" si="10"/>
        <v>0</v>
      </c>
      <c r="D189" s="145"/>
      <c r="E189" s="126"/>
      <c r="F189" s="126"/>
      <c r="G189" s="126"/>
      <c r="H189" s="126"/>
      <c r="I189" s="126"/>
      <c r="J189" s="661"/>
      <c r="K189" s="154"/>
      <c r="L189" s="155"/>
      <c r="M189" s="373"/>
      <c r="N189" s="126"/>
      <c r="O189" s="325"/>
      <c r="P189" s="260"/>
    </row>
    <row r="190" spans="1:16" ht="18.95" hidden="1" customHeight="1">
      <c r="A190" s="653"/>
      <c r="B190" s="280">
        <f t="shared" si="10"/>
        <v>0</v>
      </c>
      <c r="C190" s="2">
        <f t="shared" si="10"/>
        <v>0</v>
      </c>
      <c r="D190" s="145"/>
      <c r="E190" s="126"/>
      <c r="F190" s="126"/>
      <c r="G190" s="126"/>
      <c r="H190" s="126"/>
      <c r="I190" s="126"/>
      <c r="J190" s="661"/>
      <c r="K190" s="154"/>
      <c r="L190" s="155"/>
      <c r="M190" s="373"/>
      <c r="N190" s="126"/>
      <c r="O190" s="325"/>
      <c r="P190" s="260"/>
    </row>
    <row r="191" spans="1:16" ht="18.95" hidden="1" customHeight="1">
      <c r="A191" s="653"/>
      <c r="B191" s="280">
        <f t="shared" si="10"/>
        <v>0</v>
      </c>
      <c r="C191" s="2">
        <f t="shared" si="10"/>
        <v>0</v>
      </c>
      <c r="D191" s="145"/>
      <c r="E191" s="126"/>
      <c r="F191" s="126"/>
      <c r="G191" s="126"/>
      <c r="H191" s="126"/>
      <c r="I191" s="126"/>
      <c r="J191" s="661"/>
      <c r="K191" s="154"/>
      <c r="L191" s="155"/>
      <c r="M191" s="373"/>
      <c r="N191" s="126"/>
      <c r="O191" s="325"/>
      <c r="P191" s="260"/>
    </row>
    <row r="192" spans="1:16" ht="18.95" hidden="1" customHeight="1">
      <c r="A192" s="653"/>
      <c r="B192" s="280">
        <f t="shared" si="10"/>
        <v>0</v>
      </c>
      <c r="C192" s="2">
        <f t="shared" si="10"/>
        <v>0</v>
      </c>
      <c r="D192" s="145"/>
      <c r="E192" s="126"/>
      <c r="F192" s="126"/>
      <c r="G192" s="126"/>
      <c r="H192" s="126"/>
      <c r="I192" s="126"/>
      <c r="J192" s="661"/>
      <c r="K192" s="154"/>
      <c r="L192" s="155"/>
      <c r="M192" s="373"/>
      <c r="N192" s="126"/>
      <c r="O192" s="325"/>
      <c r="P192" s="260"/>
    </row>
    <row r="193" spans="1:16" ht="18.95" hidden="1" customHeight="1">
      <c r="A193" s="653"/>
      <c r="B193" s="280">
        <f t="shared" si="10"/>
        <v>0</v>
      </c>
      <c r="C193" s="2">
        <f t="shared" si="10"/>
        <v>0</v>
      </c>
      <c r="D193" s="145"/>
      <c r="E193" s="126"/>
      <c r="F193" s="126"/>
      <c r="G193" s="126"/>
      <c r="H193" s="126"/>
      <c r="I193" s="126"/>
      <c r="J193" s="661"/>
      <c r="K193" s="154"/>
      <c r="L193" s="155"/>
      <c r="M193" s="373"/>
      <c r="N193" s="126"/>
      <c r="O193" s="325"/>
      <c r="P193" s="260"/>
    </row>
    <row r="194" spans="1:16" ht="18.95" hidden="1" customHeight="1">
      <c r="A194" s="653"/>
      <c r="B194" s="280">
        <f t="shared" si="10"/>
        <v>0</v>
      </c>
      <c r="C194" s="2">
        <f t="shared" si="10"/>
        <v>0</v>
      </c>
      <c r="D194" s="145"/>
      <c r="E194" s="126"/>
      <c r="F194" s="126"/>
      <c r="G194" s="126"/>
      <c r="H194" s="126"/>
      <c r="I194" s="126"/>
      <c r="J194" s="661"/>
      <c r="K194" s="154"/>
      <c r="L194" s="155"/>
      <c r="M194" s="373"/>
      <c r="N194" s="126"/>
      <c r="O194" s="325"/>
      <c r="P194" s="260"/>
    </row>
    <row r="195" spans="1:16" ht="18.95" hidden="1" customHeight="1">
      <c r="A195" s="653"/>
      <c r="B195" s="280">
        <f t="shared" si="10"/>
        <v>0</v>
      </c>
      <c r="C195" s="2">
        <f t="shared" si="10"/>
        <v>0</v>
      </c>
      <c r="D195" s="145"/>
      <c r="E195" s="126"/>
      <c r="F195" s="126"/>
      <c r="G195" s="126"/>
      <c r="H195" s="126"/>
      <c r="I195" s="126"/>
      <c r="J195" s="661"/>
      <c r="K195" s="154"/>
      <c r="L195" s="155"/>
      <c r="M195" s="373"/>
      <c r="N195" s="126"/>
      <c r="O195" s="325"/>
      <c r="P195" s="260"/>
    </row>
    <row r="196" spans="1:16" ht="18.95" hidden="1" customHeight="1">
      <c r="A196" s="653"/>
      <c r="B196" s="280">
        <f t="shared" ref="B196:C215" si="11">B77</f>
        <v>0</v>
      </c>
      <c r="C196" s="2">
        <f t="shared" si="11"/>
        <v>0</v>
      </c>
      <c r="D196" s="145"/>
      <c r="E196" s="126"/>
      <c r="F196" s="126"/>
      <c r="G196" s="126"/>
      <c r="H196" s="126"/>
      <c r="I196" s="126"/>
      <c r="J196" s="661"/>
      <c r="K196" s="154"/>
      <c r="L196" s="155"/>
      <c r="M196" s="373"/>
      <c r="N196" s="126"/>
      <c r="O196" s="325"/>
      <c r="P196" s="260"/>
    </row>
    <row r="197" spans="1:16" ht="18.95" hidden="1" customHeight="1">
      <c r="A197" s="653"/>
      <c r="B197" s="280">
        <f t="shared" si="11"/>
        <v>0</v>
      </c>
      <c r="C197" s="2">
        <f t="shared" si="11"/>
        <v>0</v>
      </c>
      <c r="D197" s="145"/>
      <c r="E197" s="126"/>
      <c r="F197" s="126"/>
      <c r="G197" s="126"/>
      <c r="H197" s="126"/>
      <c r="I197" s="126"/>
      <c r="J197" s="661"/>
      <c r="K197" s="154"/>
      <c r="L197" s="155"/>
      <c r="M197" s="373"/>
      <c r="N197" s="126"/>
      <c r="O197" s="325"/>
      <c r="P197" s="260"/>
    </row>
    <row r="198" spans="1:16" ht="18.95" hidden="1" customHeight="1">
      <c r="A198" s="653"/>
      <c r="B198" s="280">
        <f t="shared" si="11"/>
        <v>0</v>
      </c>
      <c r="C198" s="2">
        <f t="shared" si="11"/>
        <v>0</v>
      </c>
      <c r="D198" s="145"/>
      <c r="E198" s="126"/>
      <c r="F198" s="126"/>
      <c r="G198" s="126"/>
      <c r="H198" s="126"/>
      <c r="I198" s="126"/>
      <c r="J198" s="661"/>
      <c r="K198" s="154"/>
      <c r="L198" s="155"/>
      <c r="M198" s="373"/>
      <c r="N198" s="126"/>
      <c r="O198" s="325"/>
      <c r="P198" s="260"/>
    </row>
    <row r="199" spans="1:16" ht="18.95" hidden="1" customHeight="1">
      <c r="A199" s="653"/>
      <c r="B199" s="280">
        <f t="shared" si="11"/>
        <v>0</v>
      </c>
      <c r="C199" s="2">
        <f t="shared" si="11"/>
        <v>0</v>
      </c>
      <c r="D199" s="145"/>
      <c r="E199" s="126"/>
      <c r="F199" s="126"/>
      <c r="G199" s="126"/>
      <c r="H199" s="126"/>
      <c r="I199" s="126"/>
      <c r="J199" s="661"/>
      <c r="K199" s="154"/>
      <c r="L199" s="155"/>
      <c r="M199" s="373"/>
      <c r="N199" s="126"/>
      <c r="O199" s="325"/>
      <c r="P199" s="260"/>
    </row>
    <row r="200" spans="1:16" ht="18.95" hidden="1" customHeight="1">
      <c r="A200" s="653"/>
      <c r="B200" s="280">
        <f t="shared" si="11"/>
        <v>0</v>
      </c>
      <c r="C200" s="2">
        <f t="shared" si="11"/>
        <v>0</v>
      </c>
      <c r="D200" s="145"/>
      <c r="E200" s="126"/>
      <c r="F200" s="126"/>
      <c r="G200" s="126"/>
      <c r="H200" s="126"/>
      <c r="I200" s="126"/>
      <c r="J200" s="661"/>
      <c r="K200" s="154"/>
      <c r="L200" s="155"/>
      <c r="M200" s="373"/>
      <c r="N200" s="126"/>
      <c r="O200" s="325"/>
      <c r="P200" s="260"/>
    </row>
    <row r="201" spans="1:16" ht="18.95" hidden="1" customHeight="1">
      <c r="A201" s="653"/>
      <c r="B201" s="280">
        <f t="shared" si="11"/>
        <v>0</v>
      </c>
      <c r="C201" s="2">
        <f t="shared" si="11"/>
        <v>0</v>
      </c>
      <c r="D201" s="145"/>
      <c r="E201" s="126"/>
      <c r="F201" s="126"/>
      <c r="G201" s="126"/>
      <c r="H201" s="126"/>
      <c r="I201" s="126"/>
      <c r="J201" s="661"/>
      <c r="K201" s="154"/>
      <c r="L201" s="155"/>
      <c r="M201" s="373"/>
      <c r="N201" s="126"/>
      <c r="O201" s="325"/>
      <c r="P201" s="260"/>
    </row>
    <row r="202" spans="1:16" ht="18.95" hidden="1" customHeight="1">
      <c r="A202" s="653"/>
      <c r="B202" s="280">
        <f t="shared" si="11"/>
        <v>0</v>
      </c>
      <c r="C202" s="2">
        <f t="shared" si="11"/>
        <v>0</v>
      </c>
      <c r="D202" s="145"/>
      <c r="E202" s="126"/>
      <c r="F202" s="126"/>
      <c r="G202" s="126"/>
      <c r="H202" s="126"/>
      <c r="I202" s="126"/>
      <c r="J202" s="661"/>
      <c r="K202" s="154"/>
      <c r="L202" s="155"/>
      <c r="M202" s="373"/>
      <c r="N202" s="126"/>
      <c r="O202" s="325"/>
      <c r="P202" s="260"/>
    </row>
    <row r="203" spans="1:16" ht="18.95" hidden="1" customHeight="1">
      <c r="A203" s="653"/>
      <c r="B203" s="280">
        <f t="shared" si="11"/>
        <v>0</v>
      </c>
      <c r="C203" s="2">
        <f t="shared" si="11"/>
        <v>0</v>
      </c>
      <c r="D203" s="145"/>
      <c r="E203" s="126"/>
      <c r="F203" s="126"/>
      <c r="G203" s="126"/>
      <c r="H203" s="126"/>
      <c r="I203" s="126"/>
      <c r="J203" s="661"/>
      <c r="K203" s="154"/>
      <c r="L203" s="155"/>
      <c r="M203" s="373"/>
      <c r="N203" s="126"/>
      <c r="O203" s="325"/>
      <c r="P203" s="260"/>
    </row>
    <row r="204" spans="1:16" ht="18.95" hidden="1" customHeight="1">
      <c r="A204" s="653"/>
      <c r="B204" s="280">
        <f t="shared" si="11"/>
        <v>0</v>
      </c>
      <c r="C204" s="2">
        <f t="shared" si="11"/>
        <v>0</v>
      </c>
      <c r="D204" s="145"/>
      <c r="E204" s="126"/>
      <c r="F204" s="126"/>
      <c r="G204" s="126"/>
      <c r="H204" s="126"/>
      <c r="I204" s="126"/>
      <c r="J204" s="661"/>
      <c r="K204" s="154"/>
      <c r="L204" s="155"/>
      <c r="M204" s="373"/>
      <c r="N204" s="126"/>
      <c r="O204" s="325"/>
      <c r="P204" s="260"/>
    </row>
    <row r="205" spans="1:16" ht="18.95" hidden="1" customHeight="1">
      <c r="A205" s="653"/>
      <c r="B205" s="280">
        <f t="shared" si="11"/>
        <v>0</v>
      </c>
      <c r="C205" s="2">
        <f t="shared" si="11"/>
        <v>0</v>
      </c>
      <c r="D205" s="145"/>
      <c r="E205" s="126"/>
      <c r="F205" s="126"/>
      <c r="G205" s="126"/>
      <c r="H205" s="126"/>
      <c r="I205" s="126"/>
      <c r="J205" s="661"/>
      <c r="K205" s="154"/>
      <c r="L205" s="155"/>
      <c r="M205" s="373"/>
      <c r="N205" s="126"/>
      <c r="O205" s="325"/>
      <c r="P205" s="260"/>
    </row>
    <row r="206" spans="1:16" ht="18.95" hidden="1" customHeight="1">
      <c r="A206" s="653"/>
      <c r="B206" s="280">
        <f t="shared" si="11"/>
        <v>0</v>
      </c>
      <c r="C206" s="2">
        <f t="shared" si="11"/>
        <v>0</v>
      </c>
      <c r="D206" s="145"/>
      <c r="E206" s="126"/>
      <c r="F206" s="126"/>
      <c r="G206" s="126"/>
      <c r="H206" s="126"/>
      <c r="I206" s="126"/>
      <c r="J206" s="661"/>
      <c r="K206" s="154"/>
      <c r="L206" s="155"/>
      <c r="M206" s="373"/>
      <c r="N206" s="126"/>
      <c r="O206" s="325"/>
      <c r="P206" s="260"/>
    </row>
    <row r="207" spans="1:16" ht="18.95" hidden="1" customHeight="1">
      <c r="A207" s="653"/>
      <c r="B207" s="280">
        <f t="shared" si="11"/>
        <v>0</v>
      </c>
      <c r="C207" s="2">
        <f t="shared" si="11"/>
        <v>0</v>
      </c>
      <c r="D207" s="145"/>
      <c r="E207" s="126"/>
      <c r="F207" s="126"/>
      <c r="G207" s="126"/>
      <c r="H207" s="126"/>
      <c r="I207" s="126"/>
      <c r="J207" s="661"/>
      <c r="K207" s="154"/>
      <c r="L207" s="155"/>
      <c r="M207" s="373"/>
      <c r="N207" s="126"/>
      <c r="O207" s="325"/>
      <c r="P207" s="260"/>
    </row>
    <row r="208" spans="1:16" ht="18.95" hidden="1" customHeight="1">
      <c r="A208" s="653"/>
      <c r="B208" s="280">
        <f t="shared" si="11"/>
        <v>0</v>
      </c>
      <c r="C208" s="2">
        <f t="shared" si="11"/>
        <v>0</v>
      </c>
      <c r="D208" s="145"/>
      <c r="E208" s="126"/>
      <c r="F208" s="126"/>
      <c r="G208" s="126"/>
      <c r="H208" s="126"/>
      <c r="I208" s="126"/>
      <c r="J208" s="661"/>
      <c r="K208" s="154"/>
      <c r="L208" s="155"/>
      <c r="M208" s="373"/>
      <c r="N208" s="126"/>
      <c r="O208" s="325"/>
      <c r="P208" s="260"/>
    </row>
    <row r="209" spans="1:16" ht="18.95" hidden="1" customHeight="1">
      <c r="A209" s="653"/>
      <c r="B209" s="280">
        <f t="shared" si="11"/>
        <v>0</v>
      </c>
      <c r="C209" s="2">
        <f t="shared" si="11"/>
        <v>0</v>
      </c>
      <c r="D209" s="145"/>
      <c r="E209" s="126"/>
      <c r="F209" s="126"/>
      <c r="G209" s="126"/>
      <c r="H209" s="126"/>
      <c r="I209" s="126"/>
      <c r="J209" s="661"/>
      <c r="K209" s="154"/>
      <c r="L209" s="155"/>
      <c r="M209" s="373"/>
      <c r="N209" s="126"/>
      <c r="O209" s="325"/>
      <c r="P209" s="260"/>
    </row>
    <row r="210" spans="1:16" ht="18.95" hidden="1" customHeight="1">
      <c r="A210" s="653"/>
      <c r="B210" s="280">
        <f t="shared" si="11"/>
        <v>0</v>
      </c>
      <c r="C210" s="2">
        <f t="shared" si="11"/>
        <v>0</v>
      </c>
      <c r="D210" s="145"/>
      <c r="E210" s="126"/>
      <c r="F210" s="126"/>
      <c r="G210" s="126"/>
      <c r="H210" s="126"/>
      <c r="I210" s="126"/>
      <c r="J210" s="661"/>
      <c r="K210" s="154"/>
      <c r="L210" s="155"/>
      <c r="M210" s="373"/>
      <c r="N210" s="126"/>
      <c r="O210" s="325"/>
      <c r="P210" s="260"/>
    </row>
    <row r="211" spans="1:16" ht="18.95" hidden="1" customHeight="1">
      <c r="A211" s="653"/>
      <c r="B211" s="280">
        <f t="shared" si="11"/>
        <v>0</v>
      </c>
      <c r="C211" s="2">
        <f t="shared" si="11"/>
        <v>0</v>
      </c>
      <c r="D211" s="145"/>
      <c r="E211" s="126"/>
      <c r="F211" s="126"/>
      <c r="G211" s="126"/>
      <c r="H211" s="126"/>
      <c r="I211" s="126"/>
      <c r="J211" s="661"/>
      <c r="K211" s="154"/>
      <c r="L211" s="155"/>
      <c r="M211" s="373"/>
      <c r="N211" s="126"/>
      <c r="O211" s="325"/>
      <c r="P211" s="260"/>
    </row>
    <row r="212" spans="1:16" ht="18.95" hidden="1" customHeight="1">
      <c r="A212" s="653"/>
      <c r="B212" s="280">
        <f t="shared" si="11"/>
        <v>0</v>
      </c>
      <c r="C212" s="2">
        <f t="shared" si="11"/>
        <v>0</v>
      </c>
      <c r="D212" s="145"/>
      <c r="E212" s="126"/>
      <c r="F212" s="126"/>
      <c r="G212" s="126"/>
      <c r="H212" s="126"/>
      <c r="I212" s="126"/>
      <c r="J212" s="661"/>
      <c r="K212" s="154"/>
      <c r="L212" s="155"/>
      <c r="M212" s="373"/>
      <c r="N212" s="126"/>
      <c r="O212" s="325"/>
      <c r="P212" s="260"/>
    </row>
    <row r="213" spans="1:16" ht="18.95" hidden="1" customHeight="1">
      <c r="A213" s="653"/>
      <c r="B213" s="280">
        <f t="shared" si="11"/>
        <v>0</v>
      </c>
      <c r="C213" s="2">
        <f t="shared" si="11"/>
        <v>0</v>
      </c>
      <c r="D213" s="145"/>
      <c r="E213" s="126"/>
      <c r="F213" s="126"/>
      <c r="G213" s="126"/>
      <c r="H213" s="126"/>
      <c r="I213" s="126"/>
      <c r="J213" s="661"/>
      <c r="K213" s="154"/>
      <c r="L213" s="155"/>
      <c r="M213" s="373"/>
      <c r="N213" s="126"/>
      <c r="O213" s="325"/>
      <c r="P213" s="260"/>
    </row>
    <row r="214" spans="1:16" ht="18.95" hidden="1" customHeight="1">
      <c r="A214" s="653"/>
      <c r="B214" s="280">
        <f t="shared" si="11"/>
        <v>0</v>
      </c>
      <c r="C214" s="2">
        <f t="shared" si="11"/>
        <v>0</v>
      </c>
      <c r="D214" s="145"/>
      <c r="E214" s="126"/>
      <c r="F214" s="126"/>
      <c r="G214" s="126"/>
      <c r="H214" s="126"/>
      <c r="I214" s="126"/>
      <c r="J214" s="661"/>
      <c r="K214" s="154"/>
      <c r="L214" s="155"/>
      <c r="M214" s="373"/>
      <c r="N214" s="126"/>
      <c r="O214" s="325"/>
      <c r="P214" s="260"/>
    </row>
    <row r="215" spans="1:16" ht="18.95" hidden="1" customHeight="1">
      <c r="A215" s="653"/>
      <c r="B215" s="280">
        <f t="shared" si="11"/>
        <v>0</v>
      </c>
      <c r="C215" s="2">
        <f t="shared" si="11"/>
        <v>0</v>
      </c>
      <c r="D215" s="145"/>
      <c r="E215" s="126"/>
      <c r="F215" s="126"/>
      <c r="G215" s="126"/>
      <c r="H215" s="126"/>
      <c r="I215" s="126"/>
      <c r="J215" s="661"/>
      <c r="K215" s="154"/>
      <c r="L215" s="155"/>
      <c r="M215" s="373"/>
      <c r="N215" s="126"/>
      <c r="O215" s="325"/>
      <c r="P215" s="260"/>
    </row>
    <row r="216" spans="1:16" ht="18.95" hidden="1" customHeight="1">
      <c r="A216" s="653"/>
      <c r="B216" s="280">
        <f t="shared" ref="B216:C235" si="12">B97</f>
        <v>0</v>
      </c>
      <c r="C216" s="2">
        <f t="shared" si="12"/>
        <v>0</v>
      </c>
      <c r="D216" s="145"/>
      <c r="E216" s="126"/>
      <c r="F216" s="126"/>
      <c r="G216" s="126"/>
      <c r="H216" s="126"/>
      <c r="I216" s="126"/>
      <c r="J216" s="661"/>
      <c r="K216" s="154"/>
      <c r="L216" s="155"/>
      <c r="M216" s="373"/>
      <c r="N216" s="126"/>
      <c r="O216" s="325"/>
      <c r="P216" s="260"/>
    </row>
    <row r="217" spans="1:16" ht="18.95" hidden="1" customHeight="1">
      <c r="A217" s="653"/>
      <c r="B217" s="280">
        <f t="shared" si="12"/>
        <v>0</v>
      </c>
      <c r="C217" s="2">
        <f t="shared" si="12"/>
        <v>0</v>
      </c>
      <c r="D217" s="145"/>
      <c r="E217" s="126"/>
      <c r="F217" s="126"/>
      <c r="G217" s="126"/>
      <c r="H217" s="126"/>
      <c r="I217" s="126"/>
      <c r="J217" s="661"/>
      <c r="K217" s="154"/>
      <c r="L217" s="155"/>
      <c r="M217" s="373"/>
      <c r="N217" s="126"/>
      <c r="O217" s="325"/>
      <c r="P217" s="260"/>
    </row>
    <row r="218" spans="1:16" ht="18.95" hidden="1" customHeight="1">
      <c r="A218" s="653"/>
      <c r="B218" s="280">
        <f t="shared" si="12"/>
        <v>0</v>
      </c>
      <c r="C218" s="2">
        <f t="shared" si="12"/>
        <v>0</v>
      </c>
      <c r="D218" s="145"/>
      <c r="E218" s="126"/>
      <c r="F218" s="126"/>
      <c r="G218" s="126"/>
      <c r="H218" s="126"/>
      <c r="I218" s="126"/>
      <c r="J218" s="661"/>
      <c r="K218" s="154"/>
      <c r="L218" s="155"/>
      <c r="M218" s="373"/>
      <c r="N218" s="126"/>
      <c r="O218" s="325"/>
      <c r="P218" s="260"/>
    </row>
    <row r="219" spans="1:16" ht="18.95" hidden="1" customHeight="1">
      <c r="A219" s="653"/>
      <c r="B219" s="280">
        <f t="shared" si="12"/>
        <v>0</v>
      </c>
      <c r="C219" s="2">
        <f t="shared" si="12"/>
        <v>0</v>
      </c>
      <c r="D219" s="145"/>
      <c r="E219" s="126"/>
      <c r="F219" s="126"/>
      <c r="G219" s="126"/>
      <c r="H219" s="126"/>
      <c r="I219" s="126"/>
      <c r="J219" s="661"/>
      <c r="K219" s="154"/>
      <c r="L219" s="155"/>
      <c r="M219" s="373"/>
      <c r="N219" s="126"/>
      <c r="O219" s="325"/>
      <c r="P219" s="260"/>
    </row>
    <row r="220" spans="1:16" ht="18.95" hidden="1" customHeight="1">
      <c r="A220" s="653"/>
      <c r="B220" s="280">
        <f t="shared" si="12"/>
        <v>0</v>
      </c>
      <c r="C220" s="2">
        <f t="shared" si="12"/>
        <v>0</v>
      </c>
      <c r="D220" s="145"/>
      <c r="E220" s="126"/>
      <c r="F220" s="126"/>
      <c r="G220" s="126"/>
      <c r="H220" s="126"/>
      <c r="I220" s="126"/>
      <c r="J220" s="661"/>
      <c r="K220" s="154"/>
      <c r="L220" s="155"/>
      <c r="M220" s="373"/>
      <c r="N220" s="126"/>
      <c r="O220" s="325"/>
      <c r="P220" s="260"/>
    </row>
    <row r="221" spans="1:16" ht="18.95" hidden="1" customHeight="1">
      <c r="A221" s="653"/>
      <c r="B221" s="280">
        <f t="shared" si="12"/>
        <v>0</v>
      </c>
      <c r="C221" s="2">
        <f t="shared" si="12"/>
        <v>0</v>
      </c>
      <c r="D221" s="145"/>
      <c r="E221" s="126"/>
      <c r="F221" s="126"/>
      <c r="G221" s="126"/>
      <c r="H221" s="126"/>
      <c r="I221" s="126"/>
      <c r="J221" s="661"/>
      <c r="K221" s="154"/>
      <c r="L221" s="155"/>
      <c r="M221" s="373"/>
      <c r="N221" s="126"/>
      <c r="O221" s="325"/>
      <c r="P221" s="260"/>
    </row>
    <row r="222" spans="1:16" ht="18.95" hidden="1" customHeight="1">
      <c r="A222" s="653"/>
      <c r="B222" s="280">
        <f t="shared" si="12"/>
        <v>0</v>
      </c>
      <c r="C222" s="2">
        <f t="shared" si="12"/>
        <v>0</v>
      </c>
      <c r="D222" s="145"/>
      <c r="E222" s="126"/>
      <c r="F222" s="126"/>
      <c r="G222" s="126"/>
      <c r="H222" s="126"/>
      <c r="I222" s="126"/>
      <c r="J222" s="661"/>
      <c r="K222" s="154"/>
      <c r="L222" s="155"/>
      <c r="M222" s="373"/>
      <c r="N222" s="126"/>
      <c r="O222" s="325"/>
      <c r="P222" s="260"/>
    </row>
    <row r="223" spans="1:16" ht="18.95" hidden="1" customHeight="1">
      <c r="A223" s="653"/>
      <c r="B223" s="280">
        <f t="shared" si="12"/>
        <v>0</v>
      </c>
      <c r="C223" s="2">
        <f t="shared" si="12"/>
        <v>0</v>
      </c>
      <c r="D223" s="145"/>
      <c r="E223" s="126"/>
      <c r="F223" s="126"/>
      <c r="G223" s="126"/>
      <c r="H223" s="126"/>
      <c r="I223" s="126"/>
      <c r="J223" s="661"/>
      <c r="K223" s="154"/>
      <c r="L223" s="155"/>
      <c r="M223" s="373"/>
      <c r="N223" s="126"/>
      <c r="O223" s="325"/>
      <c r="P223" s="260"/>
    </row>
    <row r="224" spans="1:16" ht="18.95" hidden="1" customHeight="1">
      <c r="A224" s="653"/>
      <c r="B224" s="280">
        <f t="shared" si="12"/>
        <v>0</v>
      </c>
      <c r="C224" s="2">
        <f t="shared" si="12"/>
        <v>0</v>
      </c>
      <c r="D224" s="145"/>
      <c r="E224" s="126"/>
      <c r="F224" s="126"/>
      <c r="G224" s="126"/>
      <c r="H224" s="126"/>
      <c r="I224" s="126"/>
      <c r="J224" s="661"/>
      <c r="K224" s="154"/>
      <c r="L224" s="155"/>
      <c r="M224" s="373"/>
      <c r="N224" s="126"/>
      <c r="O224" s="325"/>
      <c r="P224" s="260"/>
    </row>
    <row r="225" spans="1:16" ht="18.95" hidden="1" customHeight="1">
      <c r="A225" s="653"/>
      <c r="B225" s="280">
        <f t="shared" si="12"/>
        <v>0</v>
      </c>
      <c r="C225" s="2">
        <f t="shared" si="12"/>
        <v>0</v>
      </c>
      <c r="D225" s="145"/>
      <c r="E225" s="126"/>
      <c r="F225" s="126"/>
      <c r="G225" s="126"/>
      <c r="H225" s="126"/>
      <c r="I225" s="126"/>
      <c r="J225" s="661"/>
      <c r="K225" s="154"/>
      <c r="L225" s="155"/>
      <c r="M225" s="373"/>
      <c r="N225" s="126"/>
      <c r="O225" s="325"/>
      <c r="P225" s="260"/>
    </row>
    <row r="226" spans="1:16" ht="18.95" hidden="1" customHeight="1">
      <c r="A226" s="653"/>
      <c r="B226" s="280">
        <f t="shared" si="12"/>
        <v>0</v>
      </c>
      <c r="C226" s="2">
        <f t="shared" si="12"/>
        <v>0</v>
      </c>
      <c r="D226" s="145"/>
      <c r="E226" s="126"/>
      <c r="F226" s="126"/>
      <c r="G226" s="126"/>
      <c r="H226" s="126"/>
      <c r="I226" s="126"/>
      <c r="J226" s="661"/>
      <c r="K226" s="154"/>
      <c r="L226" s="155"/>
      <c r="M226" s="373"/>
      <c r="N226" s="126"/>
      <c r="O226" s="325"/>
      <c r="P226" s="260"/>
    </row>
    <row r="227" spans="1:16" ht="18.95" hidden="1" customHeight="1">
      <c r="A227" s="653"/>
      <c r="B227" s="280">
        <f t="shared" si="12"/>
        <v>0</v>
      </c>
      <c r="C227" s="2">
        <f t="shared" si="12"/>
        <v>0</v>
      </c>
      <c r="D227" s="145"/>
      <c r="E227" s="126"/>
      <c r="F227" s="126"/>
      <c r="G227" s="126"/>
      <c r="H227" s="126"/>
      <c r="I227" s="126"/>
      <c r="J227" s="661"/>
      <c r="K227" s="154"/>
      <c r="L227" s="155"/>
      <c r="M227" s="373"/>
      <c r="N227" s="126"/>
      <c r="O227" s="325"/>
      <c r="P227" s="260"/>
    </row>
    <row r="228" spans="1:16" ht="18.95" hidden="1" customHeight="1">
      <c r="A228" s="653"/>
      <c r="B228" s="280">
        <f t="shared" si="12"/>
        <v>0</v>
      </c>
      <c r="C228" s="2">
        <f t="shared" si="12"/>
        <v>0</v>
      </c>
      <c r="D228" s="145"/>
      <c r="E228" s="126"/>
      <c r="F228" s="126"/>
      <c r="G228" s="126"/>
      <c r="H228" s="126"/>
      <c r="I228" s="126"/>
      <c r="J228" s="661"/>
      <c r="K228" s="154"/>
      <c r="L228" s="155"/>
      <c r="M228" s="373"/>
      <c r="N228" s="126"/>
      <c r="O228" s="325"/>
      <c r="P228" s="260"/>
    </row>
    <row r="229" spans="1:16" ht="18.95" hidden="1" customHeight="1">
      <c r="A229" s="653"/>
      <c r="B229" s="280">
        <f t="shared" si="12"/>
        <v>0</v>
      </c>
      <c r="C229" s="2">
        <f t="shared" si="12"/>
        <v>0</v>
      </c>
      <c r="D229" s="145"/>
      <c r="E229" s="126"/>
      <c r="F229" s="126"/>
      <c r="G229" s="126"/>
      <c r="H229" s="126"/>
      <c r="I229" s="126"/>
      <c r="J229" s="661"/>
      <c r="K229" s="154"/>
      <c r="L229" s="155"/>
      <c r="M229" s="373"/>
      <c r="N229" s="126"/>
      <c r="O229" s="325"/>
      <c r="P229" s="260"/>
    </row>
    <row r="230" spans="1:16" ht="18.95" hidden="1" customHeight="1">
      <c r="A230" s="653"/>
      <c r="B230" s="280">
        <f t="shared" si="12"/>
        <v>0</v>
      </c>
      <c r="C230" s="2">
        <f t="shared" si="12"/>
        <v>0</v>
      </c>
      <c r="D230" s="145"/>
      <c r="E230" s="126"/>
      <c r="F230" s="126"/>
      <c r="G230" s="126"/>
      <c r="H230" s="126"/>
      <c r="I230" s="126"/>
      <c r="J230" s="661"/>
      <c r="K230" s="154"/>
      <c r="L230" s="155"/>
      <c r="M230" s="373"/>
      <c r="N230" s="126"/>
      <c r="O230" s="325"/>
      <c r="P230" s="260"/>
    </row>
    <row r="231" spans="1:16" ht="18.95" hidden="1" customHeight="1">
      <c r="A231" s="653"/>
      <c r="B231" s="280">
        <f t="shared" si="12"/>
        <v>0</v>
      </c>
      <c r="C231" s="2">
        <f t="shared" si="12"/>
        <v>0</v>
      </c>
      <c r="D231" s="145"/>
      <c r="E231" s="126"/>
      <c r="F231" s="126"/>
      <c r="G231" s="126"/>
      <c r="H231" s="126"/>
      <c r="I231" s="126"/>
      <c r="J231" s="661"/>
      <c r="K231" s="154"/>
      <c r="L231" s="155"/>
      <c r="M231" s="373"/>
      <c r="N231" s="126"/>
      <c r="O231" s="325"/>
      <c r="P231" s="260"/>
    </row>
    <row r="232" spans="1:16" ht="18.95" hidden="1" customHeight="1">
      <c r="A232" s="653"/>
      <c r="B232" s="280">
        <f t="shared" si="12"/>
        <v>0</v>
      </c>
      <c r="C232" s="2">
        <f t="shared" si="12"/>
        <v>0</v>
      </c>
      <c r="D232" s="145"/>
      <c r="E232" s="126"/>
      <c r="F232" s="126"/>
      <c r="G232" s="126"/>
      <c r="H232" s="126"/>
      <c r="I232" s="126"/>
      <c r="J232" s="661"/>
      <c r="K232" s="154"/>
      <c r="L232" s="155"/>
      <c r="M232" s="373"/>
      <c r="N232" s="126"/>
      <c r="O232" s="325"/>
      <c r="P232" s="260"/>
    </row>
    <row r="233" spans="1:16" ht="18.95" hidden="1" customHeight="1">
      <c r="A233" s="653"/>
      <c r="B233" s="280">
        <f t="shared" si="12"/>
        <v>0</v>
      </c>
      <c r="C233" s="2">
        <f t="shared" si="12"/>
        <v>0</v>
      </c>
      <c r="D233" s="145"/>
      <c r="E233" s="126"/>
      <c r="F233" s="126"/>
      <c r="G233" s="126"/>
      <c r="H233" s="126"/>
      <c r="I233" s="126"/>
      <c r="J233" s="661"/>
      <c r="K233" s="154"/>
      <c r="L233" s="155"/>
      <c r="M233" s="373"/>
      <c r="N233" s="126"/>
      <c r="O233" s="325"/>
      <c r="P233" s="260"/>
    </row>
    <row r="234" spans="1:16" ht="18.95" hidden="1" customHeight="1">
      <c r="A234" s="653"/>
      <c r="B234" s="280">
        <f t="shared" si="12"/>
        <v>0</v>
      </c>
      <c r="C234" s="2">
        <f t="shared" si="12"/>
        <v>0</v>
      </c>
      <c r="D234" s="145"/>
      <c r="E234" s="126"/>
      <c r="F234" s="126"/>
      <c r="G234" s="126"/>
      <c r="H234" s="126"/>
      <c r="I234" s="126"/>
      <c r="J234" s="661"/>
      <c r="K234" s="154"/>
      <c r="L234" s="155"/>
      <c r="M234" s="373"/>
      <c r="N234" s="126"/>
      <c r="O234" s="325"/>
      <c r="P234" s="260"/>
    </row>
    <row r="235" spans="1:16" ht="18.95" hidden="1" customHeight="1">
      <c r="A235" s="653"/>
      <c r="B235" s="280">
        <f t="shared" si="12"/>
        <v>0</v>
      </c>
      <c r="C235" s="2">
        <f t="shared" si="12"/>
        <v>0</v>
      </c>
      <c r="D235" s="145"/>
      <c r="E235" s="126"/>
      <c r="F235" s="126"/>
      <c r="G235" s="126"/>
      <c r="H235" s="126"/>
      <c r="I235" s="126"/>
      <c r="J235" s="661"/>
      <c r="K235" s="154"/>
      <c r="L235" s="155"/>
      <c r="M235" s="373"/>
      <c r="N235" s="126"/>
      <c r="O235" s="325"/>
      <c r="P235" s="260"/>
    </row>
    <row r="236" spans="1:16" ht="18.95" hidden="1" customHeight="1">
      <c r="A236" s="653"/>
      <c r="B236" s="280">
        <f t="shared" ref="B236:C241" si="13">B117</f>
        <v>0</v>
      </c>
      <c r="C236" s="2">
        <f t="shared" si="13"/>
        <v>0</v>
      </c>
      <c r="D236" s="145"/>
      <c r="E236" s="126"/>
      <c r="F236" s="126"/>
      <c r="G236" s="126"/>
      <c r="H236" s="126"/>
      <c r="I236" s="126"/>
      <c r="J236" s="661"/>
      <c r="K236" s="154"/>
      <c r="L236" s="155"/>
      <c r="M236" s="373"/>
      <c r="N236" s="126"/>
      <c r="O236" s="325"/>
      <c r="P236" s="260"/>
    </row>
    <row r="237" spans="1:16" ht="18.95" hidden="1" customHeight="1">
      <c r="A237" s="653"/>
      <c r="B237" s="280">
        <f t="shared" si="13"/>
        <v>0</v>
      </c>
      <c r="C237" s="2">
        <f t="shared" si="13"/>
        <v>0</v>
      </c>
      <c r="D237" s="145"/>
      <c r="E237" s="126"/>
      <c r="F237" s="126"/>
      <c r="G237" s="126"/>
      <c r="H237" s="126"/>
      <c r="I237" s="126"/>
      <c r="J237" s="661"/>
      <c r="K237" s="154"/>
      <c r="L237" s="155"/>
      <c r="M237" s="373"/>
      <c r="N237" s="126"/>
      <c r="O237" s="325"/>
      <c r="P237" s="260"/>
    </row>
    <row r="238" spans="1:16" ht="18.95" hidden="1" customHeight="1">
      <c r="A238" s="653"/>
      <c r="B238" s="280">
        <f t="shared" si="13"/>
        <v>0</v>
      </c>
      <c r="C238" s="2">
        <f t="shared" si="13"/>
        <v>0</v>
      </c>
      <c r="D238" s="145"/>
      <c r="E238" s="126"/>
      <c r="F238" s="126"/>
      <c r="G238" s="126"/>
      <c r="H238" s="126"/>
      <c r="I238" s="126"/>
      <c r="J238" s="661"/>
      <c r="K238" s="154"/>
      <c r="L238" s="155"/>
      <c r="M238" s="373"/>
      <c r="N238" s="126"/>
      <c r="O238" s="325"/>
      <c r="P238" s="260"/>
    </row>
    <row r="239" spans="1:16" ht="18.95" hidden="1" customHeight="1">
      <c r="A239" s="653"/>
      <c r="B239" s="280">
        <f t="shared" si="13"/>
        <v>0</v>
      </c>
      <c r="C239" s="2">
        <f t="shared" si="13"/>
        <v>0</v>
      </c>
      <c r="D239" s="145"/>
      <c r="E239" s="126"/>
      <c r="F239" s="126"/>
      <c r="G239" s="126"/>
      <c r="H239" s="126"/>
      <c r="I239" s="126"/>
      <c r="J239" s="661"/>
      <c r="K239" s="154"/>
      <c r="L239" s="155"/>
      <c r="M239" s="373"/>
      <c r="N239" s="126"/>
      <c r="O239" s="325"/>
      <c r="P239" s="260"/>
    </row>
    <row r="240" spans="1:16" ht="18.95" hidden="1" customHeight="1">
      <c r="A240" s="653"/>
      <c r="B240" s="280">
        <f t="shared" si="13"/>
        <v>0</v>
      </c>
      <c r="C240" s="2">
        <f t="shared" si="13"/>
        <v>0</v>
      </c>
      <c r="D240" s="145"/>
      <c r="E240" s="126"/>
      <c r="F240" s="126"/>
      <c r="G240" s="126"/>
      <c r="H240" s="126"/>
      <c r="I240" s="126"/>
      <c r="J240" s="661"/>
      <c r="K240" s="154"/>
      <c r="L240" s="155"/>
      <c r="M240" s="373"/>
      <c r="N240" s="126"/>
      <c r="O240" s="325"/>
      <c r="P240" s="260"/>
    </row>
    <row r="241" spans="1:20" ht="18.95" hidden="1" customHeight="1">
      <c r="A241" s="653"/>
      <c r="B241" s="280">
        <f t="shared" si="13"/>
        <v>0</v>
      </c>
      <c r="C241" s="2">
        <f t="shared" si="13"/>
        <v>0</v>
      </c>
      <c r="D241" s="145"/>
      <c r="E241" s="126"/>
      <c r="F241" s="126"/>
      <c r="G241" s="126"/>
      <c r="H241" s="126"/>
      <c r="I241" s="126"/>
      <c r="J241" s="661"/>
      <c r="K241" s="154"/>
      <c r="L241" s="155"/>
      <c r="M241" s="373"/>
      <c r="N241" s="126"/>
      <c r="O241" s="325"/>
      <c r="P241" s="260"/>
    </row>
    <row r="242" spans="1:20" ht="18.95" customHeight="1">
      <c r="A242" s="653"/>
      <c r="B242" s="280"/>
      <c r="E242" s="126"/>
      <c r="G242" s="736"/>
      <c r="K242" s="154"/>
      <c r="L242" s="155"/>
      <c r="M242" s="373"/>
      <c r="N242" s="126"/>
      <c r="O242" s="325"/>
      <c r="P242" s="260"/>
    </row>
    <row r="243" spans="1:20" ht="15">
      <c r="A243" s="355"/>
      <c r="E243" s="139"/>
      <c r="F243" s="139"/>
      <c r="I243" s="142" t="s">
        <v>173</v>
      </c>
      <c r="J243" s="662" t="e">
        <f>SUM(J130:J241)</f>
        <v>#VALUE!</v>
      </c>
      <c r="K243" s="143">
        <f>SUM(K128:K241)</f>
        <v>0</v>
      </c>
      <c r="L243" s="144"/>
      <c r="M243" s="143">
        <f>SUM(M128:M241)</f>
        <v>0</v>
      </c>
      <c r="N243" s="143" t="e">
        <f>SUM(N128:N241)</f>
        <v>#VALUE!</v>
      </c>
      <c r="O243" s="320"/>
      <c r="P243" s="321"/>
      <c r="R243" s="2"/>
    </row>
    <row r="244" spans="1:20">
      <c r="A244" s="307"/>
      <c r="E244" s="139"/>
      <c r="F244" s="139"/>
      <c r="N244" s="156"/>
      <c r="O244" s="140"/>
      <c r="R244" s="2"/>
    </row>
    <row r="245" spans="1:20" ht="13.5" thickBot="1">
      <c r="A245" s="306"/>
      <c r="E245" s="139"/>
      <c r="F245" s="139"/>
      <c r="N245" s="156"/>
      <c r="O245" s="140"/>
      <c r="R245" s="2"/>
    </row>
    <row r="246" spans="1:20" s="458" customFormat="1" ht="42" customHeight="1" thickBot="1">
      <c r="A246" s="457"/>
      <c r="B246" s="708"/>
      <c r="C246" s="454"/>
      <c r="D246" s="454" t="s">
        <v>174</v>
      </c>
      <c r="E246" s="452"/>
      <c r="F246" s="452" t="s">
        <v>175</v>
      </c>
      <c r="G246" s="452" t="s">
        <v>176</v>
      </c>
      <c r="H246" s="452" t="s">
        <v>177</v>
      </c>
      <c r="I246" s="452" t="s">
        <v>178</v>
      </c>
      <c r="J246" s="713"/>
      <c r="K246" s="452"/>
      <c r="L246" s="452"/>
      <c r="M246" s="452" t="s">
        <v>179</v>
      </c>
      <c r="N246" s="455" t="s">
        <v>180</v>
      </c>
      <c r="O246" s="256"/>
      <c r="P246" s="256"/>
      <c r="Q246" s="256"/>
      <c r="R246" s="256"/>
      <c r="S246" s="256"/>
      <c r="T246" s="256"/>
    </row>
    <row r="247" spans="1:20">
      <c r="A247" s="306"/>
      <c r="B247" s="709"/>
      <c r="E247" s="711"/>
      <c r="F247" s="139"/>
      <c r="R247" s="2"/>
    </row>
    <row r="248" spans="1:20">
      <c r="A248" s="306"/>
      <c r="B248" s="709"/>
      <c r="C248" s="259"/>
      <c r="D248" s="737">
        <f>SUM(D130:D155)</f>
        <v>0</v>
      </c>
      <c r="E248" s="712"/>
      <c r="F248" s="736" t="e">
        <f>SUM(F130:F155)</f>
        <v>#VALUE!</v>
      </c>
      <c r="G248" s="736" t="e">
        <f>SUM(H130:H155)</f>
        <v>#VALUE!</v>
      </c>
      <c r="H248" s="736" t="e">
        <f>SUM(I130:I155)</f>
        <v>#VALUE!</v>
      </c>
      <c r="I248" s="735" t="e">
        <f>SUM(J130:J155)</f>
        <v>#VALUE!</v>
      </c>
      <c r="J248" s="663"/>
      <c r="K248" s="145"/>
      <c r="L248" s="145"/>
      <c r="M248" s="145">
        <f ca="1">SUMIF($A$129:$N$241,$B248,$M$129:$M$241)</f>
        <v>0</v>
      </c>
      <c r="N248" s="145" t="e">
        <f ca="1">SUMIF($A$129:$N$241,$B248,$N$129:$N$241)</f>
        <v>#VALUE!</v>
      </c>
      <c r="P248" s="256"/>
      <c r="R248" s="2"/>
    </row>
    <row r="249" spans="1:20">
      <c r="A249" s="306"/>
      <c r="B249" s="84"/>
      <c r="C249" s="259"/>
      <c r="D249" s="145"/>
      <c r="E249" s="145"/>
      <c r="F249" s="145"/>
      <c r="G249" s="145"/>
      <c r="H249" s="145"/>
      <c r="I249" s="145"/>
      <c r="J249" s="663"/>
      <c r="K249" s="145"/>
      <c r="L249" s="145"/>
      <c r="M249" s="145"/>
      <c r="N249" s="145"/>
      <c r="P249" s="256"/>
      <c r="R249" s="2"/>
    </row>
    <row r="250" spans="1:20">
      <c r="A250" s="306"/>
      <c r="B250" s="267"/>
      <c r="E250" s="139"/>
      <c r="F250" s="139"/>
      <c r="P250" s="321"/>
      <c r="R250" s="2"/>
    </row>
    <row r="251" spans="1:20" ht="23.1" customHeight="1" thickBot="1">
      <c r="A251" s="306"/>
      <c r="E251" s="139"/>
      <c r="F251" s="151"/>
      <c r="G251" s="151"/>
      <c r="H251" s="142" t="s">
        <v>173</v>
      </c>
      <c r="I251" s="143" t="e">
        <f>SUM(I248:I250)</f>
        <v>#VALUE!</v>
      </c>
      <c r="J251" s="662"/>
      <c r="K251" s="143"/>
      <c r="L251" s="142" t="s">
        <v>173</v>
      </c>
      <c r="M251" s="143">
        <f ca="1">SUM(M248:M250)</f>
        <v>0</v>
      </c>
      <c r="N251" s="143" t="e">
        <f ca="1">SUM(N248:N250)</f>
        <v>#VALUE!</v>
      </c>
      <c r="R251" s="2"/>
    </row>
    <row r="252" spans="1:20" s="141" customFormat="1" ht="35.1" customHeight="1" thickBot="1">
      <c r="B252" s="456" t="s">
        <v>181</v>
      </c>
      <c r="C252" s="454" t="s">
        <v>182</v>
      </c>
      <c r="D252" s="454" t="s">
        <v>183</v>
      </c>
      <c r="E252" s="452" t="s">
        <v>184</v>
      </c>
      <c r="F252" s="452" t="s">
        <v>185</v>
      </c>
      <c r="G252" s="455" t="s">
        <v>186</v>
      </c>
      <c r="H252" s="138"/>
      <c r="I252" s="156"/>
      <c r="J252" s="661"/>
      <c r="K252" s="138"/>
      <c r="L252" s="138"/>
      <c r="M252" s="138"/>
      <c r="N252" s="156" t="s">
        <v>77</v>
      </c>
      <c r="O252" s="140"/>
      <c r="P252" s="325"/>
      <c r="Q252" s="140"/>
      <c r="R252" s="140"/>
      <c r="S252" s="140"/>
      <c r="T252" s="140"/>
    </row>
    <row r="253" spans="1:20">
      <c r="B253" s="229"/>
      <c r="E253" s="139"/>
      <c r="F253" s="139"/>
      <c r="I253" s="156"/>
      <c r="J253" s="661"/>
      <c r="R253" s="2"/>
    </row>
    <row r="254" spans="1:20" ht="13.5" thickBot="1">
      <c r="B254" s="84">
        <v>1</v>
      </c>
      <c r="C254" s="152">
        <f ca="1">SUMIF($A$10:$E$122,$B254,$E$10:$E$122)+SUMIF($A$10:$E$122,$B254,$F$10:$F$122)</f>
        <v>0</v>
      </c>
      <c r="D254" s="153">
        <f>SUMIF($A$10:$A$122,$B254,$H$10:$H$122)+SUMIF($A$10:$A$122,$B254,$J$10:$J$122)</f>
        <v>0</v>
      </c>
      <c r="E254" s="153">
        <f>SUMIF($A$10:$A$122,$B254,$I$10:$I$122)</f>
        <v>0</v>
      </c>
      <c r="F254" s="153">
        <f>SUMIF($A$10:$A$122,$B254,$L$10:$L$122)</f>
        <v>0</v>
      </c>
      <c r="G254" s="153">
        <f>SUMIF($A$10:$A$122,$B254,$M$10:$M$122)</f>
        <v>0</v>
      </c>
      <c r="H254" s="139"/>
      <c r="I254" s="156"/>
      <c r="J254" s="661"/>
      <c r="N254" s="139"/>
      <c r="O254" s="139"/>
      <c r="R254" s="2"/>
    </row>
    <row r="255" spans="1:20" ht="14.25" thickTop="1" thickBot="1">
      <c r="B255" s="84">
        <v>2</v>
      </c>
      <c r="C255" s="152">
        <f ca="1">SUMIF($A$10:$E$122,$B255,$E$10:$E$122)+SUMIF($A$10:$E$122,$B255,$F$10:$F$122)</f>
        <v>0</v>
      </c>
      <c r="D255" s="153">
        <f>SUMIF($A$10:$A$122,$B255,$H$10:$H$122)+SUMIF($A$10:$A$122,$B255,$J$10:$J$122)</f>
        <v>0</v>
      </c>
      <c r="E255" s="153">
        <f>SUMIF($A$10:$A$122,$B255,$I$10:$I$122)</f>
        <v>0</v>
      </c>
      <c r="F255" s="153">
        <f>SUMIF($A$10:$A$122,$B255,$L$10:$L$122)</f>
        <v>0</v>
      </c>
      <c r="G255" s="153">
        <f>SUMIF($A$10:$A$122,$B255,$M$10:$M$122)</f>
        <v>0</v>
      </c>
      <c r="H255" s="139"/>
      <c r="I255" s="156"/>
      <c r="J255" s="661"/>
      <c r="L255" s="140" t="s">
        <v>187</v>
      </c>
      <c r="N255" s="707" t="e">
        <f ca="1">N251*3</f>
        <v>#VALUE!</v>
      </c>
      <c r="O255" s="139"/>
      <c r="R255" s="2"/>
    </row>
    <row r="256" spans="1:20" ht="13.5" thickTop="1">
      <c r="B256" s="84">
        <v>3</v>
      </c>
      <c r="C256" s="152">
        <f ca="1">SUMIF($A$10:$E$122,$B256,$E$10:$E$122)+SUMIF($A$10:$E$122,$B256,$F$10:$F$122)</f>
        <v>0</v>
      </c>
      <c r="D256" s="153">
        <f>SUMIF($A$10:$A$122,$B256,$H$10:$H$122)+SUMIF($A$10:$A$122,$B256,$J$10:$J$122)</f>
        <v>0</v>
      </c>
      <c r="E256" s="153">
        <f>SUMIF($A$10:$A$122,$B256,$I$10:$I$122)</f>
        <v>0</v>
      </c>
      <c r="F256" s="153">
        <f>SUMIF($A$10:$A$122,$B256,$L$10:$L$122)</f>
        <v>0</v>
      </c>
      <c r="G256" s="153">
        <f>SUMIF($A$10:$A$122,$B256,$M$10:$M$122)</f>
        <v>0</v>
      </c>
      <c r="H256" s="139"/>
      <c r="I256" s="156"/>
      <c r="J256" s="661"/>
      <c r="N256" s="139"/>
      <c r="O256" s="139"/>
      <c r="R256" s="2"/>
    </row>
    <row r="257" spans="2:18">
      <c r="B257" s="84">
        <v>4</v>
      </c>
      <c r="C257" s="152">
        <f ca="1">SUMIF($A$10:$E$122,$B257,$E$10:$E$122)+SUMIF($A$10:$E$122,$B257,$F$10:$F$122)</f>
        <v>0</v>
      </c>
      <c r="D257" s="153">
        <f>SUMIF($A$10:$A$122,$B257,$H$10:$H$122)+SUMIF($A$10:$A$122,$B257,$J$10:$J$122)</f>
        <v>0</v>
      </c>
      <c r="E257" s="153">
        <f>SUMIF($A$10:$A$122,$B257,$I$10:$I$122)</f>
        <v>0</v>
      </c>
      <c r="F257" s="153">
        <f>SUMIF($A$10:$A$122,$B257,$L$10:$L$122)</f>
        <v>0</v>
      </c>
      <c r="G257" s="153">
        <f>SUMIF($A$10:$A$122,$B257,$M$10:$M$122)</f>
        <v>0</v>
      </c>
      <c r="H257" s="139"/>
      <c r="I257" s="156"/>
      <c r="J257" s="661"/>
      <c r="N257" s="139"/>
      <c r="O257" s="139"/>
      <c r="R257" s="2"/>
    </row>
    <row r="258" spans="2:18">
      <c r="B258" s="229"/>
      <c r="C258" s="152"/>
      <c r="D258" s="153"/>
      <c r="E258" s="153"/>
      <c r="F258" s="153"/>
      <c r="G258" s="153"/>
      <c r="I258" s="156"/>
      <c r="J258" s="661"/>
      <c r="N258" s="139"/>
      <c r="O258" s="139"/>
      <c r="R258" s="2"/>
    </row>
    <row r="259" spans="2:18">
      <c r="B259" s="268"/>
      <c r="C259" s="269"/>
      <c r="D259" s="269"/>
      <c r="E259" s="269"/>
      <c r="F259" s="269"/>
      <c r="G259" s="269"/>
      <c r="H259" s="269"/>
      <c r="M259" s="145"/>
      <c r="R259" s="2"/>
    </row>
    <row r="260" spans="2:18">
      <c r="B260" s="270"/>
      <c r="C260" s="276" t="s">
        <v>188</v>
      </c>
      <c r="D260" s="276" t="s">
        <v>188</v>
      </c>
      <c r="E260" s="276" t="s">
        <v>188</v>
      </c>
      <c r="F260" s="276" t="s">
        <v>188</v>
      </c>
      <c r="G260" s="276" t="s">
        <v>188</v>
      </c>
      <c r="H260" s="147"/>
      <c r="R260" s="2"/>
    </row>
    <row r="261" spans="2:18" ht="14.25">
      <c r="B261" s="270"/>
      <c r="C261" s="276">
        <v>2024</v>
      </c>
      <c r="D261" s="276">
        <f>C261+1</f>
        <v>2025</v>
      </c>
      <c r="E261" s="276">
        <f>D261+1</f>
        <v>2026</v>
      </c>
      <c r="F261" s="276">
        <f>E261+1</f>
        <v>2027</v>
      </c>
      <c r="G261" s="276">
        <f>F261+1</f>
        <v>2028</v>
      </c>
      <c r="H261" s="147"/>
      <c r="M261" s="324"/>
      <c r="R261" s="2"/>
    </row>
    <row r="262" spans="2:18" ht="18" customHeight="1">
      <c r="B262" s="146" t="s">
        <v>189</v>
      </c>
      <c r="C262" s="277"/>
      <c r="D262" s="277"/>
      <c r="E262" s="277"/>
      <c r="F262" s="277"/>
      <c r="G262" s="278"/>
      <c r="H262" s="147"/>
      <c r="R262" s="2"/>
    </row>
    <row r="263" spans="2:18" ht="18.95" customHeight="1">
      <c r="B263" s="146" t="s">
        <v>190</v>
      </c>
      <c r="C263" s="279"/>
      <c r="D263" s="279"/>
      <c r="E263" s="279"/>
      <c r="F263" s="279"/>
      <c r="G263" s="279"/>
      <c r="H263" s="147"/>
      <c r="R263" s="2"/>
    </row>
    <row r="264" spans="2:18" ht="0.95" hidden="1" customHeight="1">
      <c r="B264" s="271">
        <v>1</v>
      </c>
      <c r="C264" s="275">
        <f>B264*C263+B264</f>
        <v>1</v>
      </c>
      <c r="D264" s="275">
        <f>C264*D263+C264</f>
        <v>1</v>
      </c>
      <c r="E264" s="275">
        <f>D264*E263+D264</f>
        <v>1</v>
      </c>
      <c r="F264" s="275">
        <f>E264*F263+E264</f>
        <v>1</v>
      </c>
      <c r="G264" s="275">
        <f>F264*G263+F264</f>
        <v>1</v>
      </c>
      <c r="H264" s="147"/>
      <c r="R264" s="2"/>
    </row>
    <row r="265" spans="2:18" ht="0.95" hidden="1" customHeight="1">
      <c r="B265" s="270"/>
      <c r="C265" s="272">
        <f>MAX(B264:G264)-1</f>
        <v>0</v>
      </c>
      <c r="D265" s="273"/>
      <c r="E265" s="273"/>
      <c r="F265" s="273"/>
      <c r="G265" s="273"/>
      <c r="H265" s="147"/>
      <c r="R265" s="2"/>
    </row>
    <row r="266" spans="2:18" ht="0.95" hidden="1" customHeight="1">
      <c r="B266" s="229"/>
      <c r="E266" s="139"/>
      <c r="F266" s="139"/>
      <c r="H266" s="274"/>
      <c r="R266" s="2"/>
    </row>
    <row r="267" spans="2:18">
      <c r="B267" s="229"/>
      <c r="E267" s="139"/>
      <c r="F267" s="139"/>
      <c r="R267" s="2"/>
    </row>
    <row r="268" spans="2:18" hidden="1">
      <c r="E268" s="139"/>
      <c r="F268" s="139"/>
      <c r="R268" s="2"/>
    </row>
    <row r="269" spans="2:18" hidden="1">
      <c r="E269" s="139"/>
      <c r="F269" s="139"/>
      <c r="R269" s="2"/>
    </row>
    <row r="270" spans="2:18" hidden="1">
      <c r="E270" s="139"/>
      <c r="F270" s="139"/>
      <c r="R270" s="2"/>
    </row>
    <row r="271" spans="2:18" hidden="1">
      <c r="E271" s="139"/>
      <c r="F271" s="139"/>
      <c r="R271" s="2"/>
    </row>
    <row r="272" spans="2:18" hidden="1">
      <c r="E272" s="139"/>
      <c r="F272" s="139"/>
      <c r="R272" s="2"/>
    </row>
    <row r="273" spans="5:18" hidden="1">
      <c r="E273" s="139"/>
      <c r="F273" s="139"/>
      <c r="R273" s="2"/>
    </row>
    <row r="274" spans="5:18" hidden="1">
      <c r="E274" s="139"/>
      <c r="F274" s="139"/>
      <c r="R274" s="2"/>
    </row>
    <row r="275" spans="5:18" hidden="1">
      <c r="E275" s="139"/>
      <c r="F275" s="139"/>
      <c r="R275" s="2"/>
    </row>
    <row r="276" spans="5:18" hidden="1">
      <c r="E276" s="139"/>
      <c r="F276" s="139"/>
      <c r="R276" s="2"/>
    </row>
    <row r="277" spans="5:18" hidden="1">
      <c r="E277" s="139"/>
      <c r="F277" s="139"/>
      <c r="R277" s="2"/>
    </row>
    <row r="278" spans="5:18" hidden="1">
      <c r="E278" s="139"/>
      <c r="F278" s="139"/>
      <c r="R278" s="2"/>
    </row>
    <row r="279" spans="5:18" hidden="1">
      <c r="E279" s="139"/>
      <c r="F279" s="139"/>
      <c r="R279" s="2"/>
    </row>
    <row r="280" spans="5:18" hidden="1">
      <c r="E280" s="139"/>
      <c r="F280" s="139"/>
      <c r="R280" s="2"/>
    </row>
    <row r="281" spans="5:18" hidden="1">
      <c r="E281" s="139"/>
      <c r="F281" s="139"/>
      <c r="R281" s="2"/>
    </row>
    <row r="282" spans="5:18" hidden="1">
      <c r="E282" s="139"/>
      <c r="F282" s="139"/>
      <c r="R282" s="2"/>
    </row>
    <row r="283" spans="5:18" hidden="1">
      <c r="E283" s="139"/>
      <c r="F283" s="139"/>
      <c r="R283" s="2"/>
    </row>
    <row r="284" spans="5:18" hidden="1">
      <c r="E284" s="139"/>
      <c r="F284" s="139"/>
      <c r="R284" s="2"/>
    </row>
    <row r="285" spans="5:18" hidden="1">
      <c r="E285" s="139"/>
      <c r="F285" s="139"/>
      <c r="R285" s="2"/>
    </row>
    <row r="286" spans="5:18" hidden="1">
      <c r="E286" s="139"/>
      <c r="F286" s="139"/>
      <c r="R286" s="2"/>
    </row>
    <row r="287" spans="5:18" hidden="1">
      <c r="E287" s="139"/>
      <c r="F287" s="139"/>
      <c r="R287" s="2"/>
    </row>
    <row r="288" spans="5:18" hidden="1">
      <c r="E288" s="139"/>
      <c r="F288" s="139"/>
      <c r="R288" s="2"/>
    </row>
    <row r="289" spans="5:18" hidden="1">
      <c r="E289" s="139"/>
      <c r="F289" s="139"/>
      <c r="R289" s="2"/>
    </row>
    <row r="290" spans="5:18" hidden="1">
      <c r="E290" s="139"/>
      <c r="F290" s="139"/>
      <c r="R290" s="2"/>
    </row>
    <row r="291" spans="5:18" hidden="1">
      <c r="E291" s="139"/>
      <c r="F291" s="139"/>
      <c r="R291" s="2"/>
    </row>
    <row r="292" spans="5:18" hidden="1">
      <c r="E292" s="139"/>
      <c r="F292" s="139"/>
      <c r="R292" s="2"/>
    </row>
    <row r="293" spans="5:18" hidden="1">
      <c r="E293" s="139"/>
      <c r="F293" s="139"/>
      <c r="R293" s="2"/>
    </row>
    <row r="294" spans="5:18" hidden="1">
      <c r="E294" s="139"/>
      <c r="F294" s="139"/>
      <c r="R294" s="2"/>
    </row>
    <row r="295" spans="5:18" hidden="1">
      <c r="E295" s="139"/>
      <c r="F295" s="139"/>
      <c r="R295" s="2"/>
    </row>
    <row r="296" spans="5:18" hidden="1">
      <c r="E296" s="139"/>
      <c r="F296" s="139"/>
      <c r="R296" s="2"/>
    </row>
    <row r="297" spans="5:18" hidden="1">
      <c r="E297" s="139"/>
      <c r="F297" s="139"/>
      <c r="R297" s="2"/>
    </row>
    <row r="298" spans="5:18" hidden="1">
      <c r="E298" s="139"/>
      <c r="F298" s="139"/>
      <c r="R298" s="2"/>
    </row>
    <row r="299" spans="5:18" hidden="1">
      <c r="E299" s="139"/>
      <c r="F299" s="139"/>
      <c r="R299" s="2"/>
    </row>
    <row r="300" spans="5:18" hidden="1">
      <c r="E300" s="139"/>
      <c r="F300" s="139"/>
      <c r="R300" s="2"/>
    </row>
    <row r="301" spans="5:18" hidden="1">
      <c r="E301" s="139"/>
      <c r="F301" s="139"/>
      <c r="R301" s="2"/>
    </row>
    <row r="302" spans="5:18" hidden="1">
      <c r="E302" s="139"/>
      <c r="F302" s="139"/>
      <c r="R302" s="2"/>
    </row>
    <row r="303" spans="5:18" hidden="1">
      <c r="E303" s="139"/>
      <c r="F303" s="139"/>
      <c r="R303" s="2"/>
    </row>
    <row r="304" spans="5:18" hidden="1">
      <c r="E304" s="139"/>
      <c r="F304" s="139"/>
      <c r="R304" s="2"/>
    </row>
    <row r="305" spans="5:18" hidden="1">
      <c r="E305" s="139"/>
      <c r="F305" s="139"/>
      <c r="R305" s="2"/>
    </row>
    <row r="306" spans="5:18" hidden="1">
      <c r="E306" s="139"/>
      <c r="F306" s="139"/>
      <c r="R306" s="2"/>
    </row>
    <row r="307" spans="5:18" hidden="1">
      <c r="E307" s="139"/>
      <c r="F307" s="139"/>
      <c r="R307" s="2"/>
    </row>
    <row r="308" spans="5:18" hidden="1">
      <c r="E308" s="139"/>
      <c r="F308" s="139"/>
      <c r="R308" s="2"/>
    </row>
    <row r="309" spans="5:18" hidden="1">
      <c r="E309" s="139"/>
      <c r="F309" s="139"/>
      <c r="R309" s="2"/>
    </row>
    <row r="310" spans="5:18" hidden="1">
      <c r="E310" s="139"/>
      <c r="F310" s="139"/>
      <c r="R310" s="2"/>
    </row>
    <row r="311" spans="5:18" hidden="1">
      <c r="E311" s="139"/>
      <c r="F311" s="139"/>
      <c r="R311" s="2"/>
    </row>
    <row r="312" spans="5:18" hidden="1">
      <c r="E312" s="139"/>
      <c r="F312" s="139"/>
      <c r="R312" s="2"/>
    </row>
    <row r="313" spans="5:18" hidden="1">
      <c r="E313" s="139"/>
      <c r="F313" s="139"/>
      <c r="R313" s="2"/>
    </row>
    <row r="314" spans="5:18" hidden="1">
      <c r="E314" s="139"/>
      <c r="F314" s="139"/>
      <c r="R314" s="2"/>
    </row>
    <row r="315" spans="5:18" hidden="1">
      <c r="E315" s="139"/>
      <c r="F315" s="139"/>
      <c r="R315" s="2"/>
    </row>
    <row r="316" spans="5:18" hidden="1">
      <c r="E316" s="139"/>
      <c r="F316" s="139"/>
      <c r="R316" s="2"/>
    </row>
    <row r="317" spans="5:18" hidden="1">
      <c r="E317" s="139"/>
      <c r="F317" s="139"/>
      <c r="R317" s="2"/>
    </row>
    <row r="318" spans="5:18" hidden="1">
      <c r="E318" s="139"/>
      <c r="F318" s="139"/>
      <c r="R318" s="2"/>
    </row>
    <row r="319" spans="5:18" hidden="1">
      <c r="E319" s="139"/>
      <c r="F319" s="139"/>
      <c r="R319" s="2"/>
    </row>
    <row r="320" spans="5:18" hidden="1">
      <c r="E320" s="139"/>
      <c r="F320" s="139"/>
      <c r="R320" s="2"/>
    </row>
    <row r="321" spans="5:18" hidden="1">
      <c r="E321" s="139"/>
      <c r="F321" s="139"/>
      <c r="R321" s="2"/>
    </row>
    <row r="322" spans="5:18" hidden="1">
      <c r="E322" s="139"/>
      <c r="F322" s="139"/>
      <c r="R322" s="2"/>
    </row>
    <row r="323" spans="5:18" hidden="1">
      <c r="E323" s="139"/>
      <c r="F323" s="139"/>
      <c r="R323" s="2"/>
    </row>
    <row r="324" spans="5:18" hidden="1">
      <c r="E324" s="139"/>
      <c r="F324" s="139"/>
      <c r="R324" s="2"/>
    </row>
    <row r="325" spans="5:18" hidden="1">
      <c r="E325" s="139"/>
      <c r="F325" s="139"/>
      <c r="R325" s="2"/>
    </row>
    <row r="326" spans="5:18" hidden="1">
      <c r="E326" s="139"/>
      <c r="F326" s="139"/>
      <c r="R326" s="2"/>
    </row>
    <row r="327" spans="5:18" hidden="1">
      <c r="E327" s="139"/>
      <c r="F327" s="139"/>
      <c r="R327" s="2"/>
    </row>
    <row r="328" spans="5:18" hidden="1">
      <c r="E328" s="139"/>
      <c r="F328" s="139"/>
      <c r="R328" s="2"/>
    </row>
    <row r="329" spans="5:18" hidden="1">
      <c r="E329" s="139"/>
      <c r="F329" s="139"/>
      <c r="R329" s="2"/>
    </row>
    <row r="330" spans="5:18" hidden="1">
      <c r="E330" s="139"/>
      <c r="F330" s="139"/>
      <c r="R330" s="2"/>
    </row>
    <row r="331" spans="5:18" hidden="1">
      <c r="E331" s="139"/>
      <c r="F331" s="139"/>
      <c r="R331" s="2"/>
    </row>
    <row r="332" spans="5:18" hidden="1">
      <c r="E332" s="139"/>
      <c r="F332" s="139"/>
      <c r="R332" s="2"/>
    </row>
    <row r="333" spans="5:18" hidden="1">
      <c r="E333" s="139"/>
      <c r="F333" s="139"/>
      <c r="R333" s="2"/>
    </row>
    <row r="334" spans="5:18" hidden="1">
      <c r="E334" s="139"/>
      <c r="F334" s="139"/>
      <c r="R334" s="2"/>
    </row>
    <row r="335" spans="5:18" hidden="1">
      <c r="E335" s="139"/>
      <c r="F335" s="139"/>
      <c r="R335" s="2"/>
    </row>
    <row r="336" spans="5:18" hidden="1">
      <c r="E336" s="139"/>
      <c r="F336" s="139"/>
      <c r="R336" s="2"/>
    </row>
    <row r="337" spans="5:18" hidden="1">
      <c r="E337" s="139"/>
      <c r="F337" s="139"/>
      <c r="R337" s="2"/>
    </row>
    <row r="338" spans="5:18" hidden="1">
      <c r="E338" s="139"/>
      <c r="F338" s="139"/>
      <c r="R338" s="2"/>
    </row>
    <row r="339" spans="5:18" hidden="1">
      <c r="E339" s="139"/>
      <c r="F339" s="139"/>
      <c r="R339" s="2"/>
    </row>
    <row r="340" spans="5:18" hidden="1">
      <c r="E340" s="139"/>
      <c r="F340" s="139"/>
      <c r="R340" s="2"/>
    </row>
    <row r="341" spans="5:18" hidden="1">
      <c r="E341" s="139"/>
      <c r="F341" s="139"/>
      <c r="R341" s="2"/>
    </row>
    <row r="342" spans="5:18" hidden="1">
      <c r="E342" s="139"/>
      <c r="F342" s="139"/>
      <c r="R342" s="2"/>
    </row>
    <row r="343" spans="5:18" hidden="1">
      <c r="E343" s="139"/>
      <c r="F343" s="139"/>
      <c r="R343" s="2"/>
    </row>
    <row r="344" spans="5:18" hidden="1">
      <c r="E344" s="139"/>
      <c r="F344" s="139"/>
      <c r="R344" s="2"/>
    </row>
    <row r="345" spans="5:18" hidden="1">
      <c r="E345" s="139"/>
      <c r="F345" s="139"/>
      <c r="R345" s="2"/>
    </row>
    <row r="346" spans="5:18" hidden="1">
      <c r="E346" s="139"/>
      <c r="F346" s="139"/>
      <c r="R346" s="2"/>
    </row>
    <row r="347" spans="5:18" hidden="1">
      <c r="E347" s="139"/>
      <c r="F347" s="139"/>
      <c r="R347" s="2"/>
    </row>
    <row r="348" spans="5:18" hidden="1">
      <c r="E348" s="139"/>
      <c r="F348" s="139"/>
      <c r="R348" s="2"/>
    </row>
    <row r="349" spans="5:18" hidden="1">
      <c r="E349" s="139"/>
      <c r="F349" s="139"/>
      <c r="R349" s="2"/>
    </row>
    <row r="350" spans="5:18" hidden="1">
      <c r="E350" s="139"/>
      <c r="F350" s="139"/>
      <c r="R350" s="2"/>
    </row>
    <row r="351" spans="5:18" hidden="1">
      <c r="E351" s="139"/>
      <c r="F351" s="139"/>
      <c r="R351" s="2"/>
    </row>
    <row r="352" spans="5:18" hidden="1">
      <c r="E352" s="139"/>
      <c r="F352" s="139"/>
      <c r="R352" s="2"/>
    </row>
    <row r="353" spans="5:18" hidden="1">
      <c r="E353" s="139"/>
      <c r="F353" s="139"/>
      <c r="R353" s="2"/>
    </row>
    <row r="354" spans="5:18" hidden="1">
      <c r="E354" s="139"/>
      <c r="F354" s="139"/>
      <c r="R354" s="2"/>
    </row>
    <row r="355" spans="5:18" hidden="1">
      <c r="E355" s="139"/>
      <c r="F355" s="139"/>
      <c r="R355" s="2"/>
    </row>
    <row r="356" spans="5:18" hidden="1">
      <c r="E356" s="139"/>
      <c r="F356" s="139"/>
      <c r="R356" s="2"/>
    </row>
    <row r="357" spans="5:18" hidden="1">
      <c r="E357" s="139"/>
      <c r="F357" s="139"/>
      <c r="R357" s="2"/>
    </row>
    <row r="358" spans="5:18" hidden="1">
      <c r="E358" s="139"/>
      <c r="F358" s="139"/>
      <c r="R358" s="2"/>
    </row>
    <row r="359" spans="5:18" hidden="1">
      <c r="E359" s="139"/>
      <c r="F359" s="139"/>
      <c r="R359" s="2"/>
    </row>
    <row r="360" spans="5:18" hidden="1">
      <c r="E360" s="139"/>
      <c r="F360" s="139"/>
      <c r="R360" s="2"/>
    </row>
    <row r="361" spans="5:18" hidden="1">
      <c r="E361" s="139"/>
      <c r="F361" s="139"/>
      <c r="R361" s="2"/>
    </row>
    <row r="362" spans="5:18" hidden="1">
      <c r="E362" s="139"/>
      <c r="F362" s="139"/>
      <c r="R362" s="2"/>
    </row>
    <row r="363" spans="5:18" hidden="1">
      <c r="E363" s="139"/>
      <c r="F363" s="139"/>
      <c r="R363" s="2"/>
    </row>
    <row r="364" spans="5:18" hidden="1">
      <c r="E364" s="139"/>
      <c r="F364" s="139"/>
      <c r="R364" s="2"/>
    </row>
    <row r="365" spans="5:18" hidden="1">
      <c r="E365" s="139"/>
      <c r="F365" s="139"/>
      <c r="R365" s="2"/>
    </row>
    <row r="366" spans="5:18" hidden="1">
      <c r="E366" s="139"/>
      <c r="F366" s="139"/>
      <c r="R366" s="2"/>
    </row>
    <row r="367" spans="5:18" hidden="1">
      <c r="E367" s="139"/>
      <c r="F367" s="139"/>
      <c r="R367" s="2"/>
    </row>
    <row r="368" spans="5:18" hidden="1">
      <c r="E368" s="139"/>
      <c r="F368" s="139"/>
      <c r="R368" s="2"/>
    </row>
    <row r="369" spans="5:18" hidden="1">
      <c r="E369" s="139"/>
      <c r="F369" s="139"/>
      <c r="R369" s="2"/>
    </row>
    <row r="370" spans="5:18" hidden="1">
      <c r="E370" s="139"/>
      <c r="F370" s="139"/>
      <c r="R370" s="2"/>
    </row>
    <row r="371" spans="5:18" hidden="1">
      <c r="E371" s="139"/>
      <c r="F371" s="139"/>
      <c r="R371" s="2"/>
    </row>
    <row r="372" spans="5:18" hidden="1">
      <c r="E372" s="139"/>
      <c r="F372" s="139"/>
      <c r="R372" s="2"/>
    </row>
    <row r="373" spans="5:18" hidden="1">
      <c r="E373" s="139"/>
      <c r="F373" s="139"/>
      <c r="R373" s="2"/>
    </row>
    <row r="374" spans="5:18" hidden="1">
      <c r="E374" s="139"/>
      <c r="F374" s="139"/>
      <c r="R374" s="2"/>
    </row>
    <row r="375" spans="5:18" hidden="1">
      <c r="E375" s="139"/>
      <c r="F375" s="139"/>
      <c r="R375" s="2"/>
    </row>
    <row r="376" spans="5:18" hidden="1">
      <c r="E376" s="139"/>
      <c r="F376" s="139"/>
      <c r="R376" s="2"/>
    </row>
    <row r="377" spans="5:18" hidden="1">
      <c r="E377" s="139"/>
      <c r="F377" s="139"/>
      <c r="R377" s="2"/>
    </row>
    <row r="378" spans="5:18" hidden="1">
      <c r="E378" s="139"/>
      <c r="F378" s="139"/>
      <c r="R378" s="2"/>
    </row>
    <row r="379" spans="5:18" hidden="1">
      <c r="E379" s="139"/>
      <c r="F379" s="139"/>
      <c r="R379" s="2"/>
    </row>
    <row r="380" spans="5:18" hidden="1">
      <c r="E380" s="139"/>
      <c r="F380" s="139"/>
    </row>
    <row r="381" spans="5:18" hidden="1">
      <c r="E381" s="139"/>
      <c r="F381" s="139"/>
    </row>
    <row r="382" spans="5:18" hidden="1">
      <c r="E382" s="139"/>
      <c r="F382" s="139"/>
    </row>
    <row r="383" spans="5:18" hidden="1">
      <c r="E383" s="139"/>
      <c r="F383" s="139"/>
    </row>
    <row r="384" spans="5:18" hidden="1">
      <c r="E384" s="139"/>
      <c r="F384" s="139"/>
    </row>
    <row r="385" spans="5:6" hidden="1">
      <c r="E385" s="139"/>
      <c r="F385" s="139"/>
    </row>
    <row r="386" spans="5:6" hidden="1">
      <c r="E386" s="139"/>
      <c r="F386" s="139"/>
    </row>
    <row r="387" spans="5:6" hidden="1">
      <c r="E387" s="139"/>
      <c r="F387" s="139"/>
    </row>
    <row r="388" spans="5:6" hidden="1">
      <c r="E388" s="139"/>
      <c r="F388" s="139"/>
    </row>
    <row r="389" spans="5:6" hidden="1">
      <c r="E389" s="139"/>
      <c r="F389" s="139"/>
    </row>
    <row r="390" spans="5:6" hidden="1">
      <c r="E390" s="139"/>
      <c r="F390" s="139"/>
    </row>
    <row r="391" spans="5:6" hidden="1">
      <c r="E391" s="139"/>
      <c r="F391" s="139"/>
    </row>
    <row r="392" spans="5:6" hidden="1">
      <c r="E392" s="139"/>
      <c r="F392" s="139"/>
    </row>
    <row r="393" spans="5:6" hidden="1">
      <c r="E393" s="139"/>
      <c r="F393" s="139"/>
    </row>
    <row r="394" spans="5:6" hidden="1">
      <c r="E394" s="139"/>
      <c r="F394" s="139"/>
    </row>
    <row r="395" spans="5:6" hidden="1">
      <c r="E395" s="139"/>
      <c r="F395" s="139"/>
    </row>
    <row r="396" spans="5:6" hidden="1">
      <c r="E396" s="139"/>
      <c r="F396" s="139"/>
    </row>
    <row r="397" spans="5:6" hidden="1">
      <c r="E397" s="139"/>
      <c r="F397" s="139"/>
    </row>
    <row r="398" spans="5:6" hidden="1">
      <c r="E398" s="139"/>
      <c r="F398" s="139"/>
    </row>
    <row r="399" spans="5:6" hidden="1">
      <c r="E399" s="139"/>
      <c r="F399" s="139"/>
    </row>
    <row r="400" spans="5:6" hidden="1">
      <c r="E400" s="139"/>
      <c r="F400" s="139"/>
    </row>
    <row r="401" spans="5:6" hidden="1">
      <c r="E401" s="139"/>
      <c r="F401" s="139"/>
    </row>
    <row r="402" spans="5:6" hidden="1">
      <c r="E402" s="139"/>
      <c r="F402" s="139"/>
    </row>
    <row r="403" spans="5:6" hidden="1">
      <c r="E403" s="139"/>
      <c r="F403" s="139"/>
    </row>
    <row r="404" spans="5:6" hidden="1">
      <c r="E404" s="139"/>
      <c r="F404" s="139"/>
    </row>
    <row r="405" spans="5:6" hidden="1">
      <c r="E405" s="139"/>
      <c r="F405" s="139"/>
    </row>
    <row r="406" spans="5:6" hidden="1">
      <c r="E406" s="139"/>
      <c r="F406" s="139"/>
    </row>
    <row r="407" spans="5:6" hidden="1">
      <c r="E407" s="139"/>
      <c r="F407" s="139"/>
    </row>
    <row r="408" spans="5:6" hidden="1">
      <c r="E408" s="139"/>
      <c r="F408" s="139"/>
    </row>
    <row r="409" spans="5:6" hidden="1">
      <c r="E409" s="139"/>
      <c r="F409" s="139"/>
    </row>
    <row r="410" spans="5:6" hidden="1">
      <c r="E410" s="139"/>
      <c r="F410" s="139"/>
    </row>
    <row r="411" spans="5:6" hidden="1">
      <c r="E411" s="139"/>
      <c r="F411" s="139"/>
    </row>
    <row r="412" spans="5:6" hidden="1">
      <c r="E412" s="139"/>
      <c r="F412" s="139"/>
    </row>
    <row r="413" spans="5:6" hidden="1">
      <c r="E413" s="139"/>
      <c r="F413" s="139"/>
    </row>
    <row r="414" spans="5:6" hidden="1">
      <c r="E414" s="139"/>
      <c r="F414" s="139"/>
    </row>
    <row r="415" spans="5:6" hidden="1">
      <c r="E415" s="139"/>
      <c r="F415" s="139"/>
    </row>
    <row r="416" spans="5:6" hidden="1">
      <c r="E416" s="139"/>
      <c r="F416" s="139"/>
    </row>
    <row r="417" spans="5:6" hidden="1">
      <c r="E417" s="139"/>
      <c r="F417" s="139"/>
    </row>
    <row r="418" spans="5:6" hidden="1">
      <c r="E418" s="139"/>
      <c r="F418" s="139"/>
    </row>
    <row r="419" spans="5:6" hidden="1">
      <c r="E419" s="139"/>
      <c r="F419" s="139"/>
    </row>
    <row r="420" spans="5:6" hidden="1">
      <c r="E420" s="139"/>
      <c r="F420" s="139"/>
    </row>
    <row r="421" spans="5:6" hidden="1">
      <c r="E421" s="139"/>
      <c r="F421" s="139"/>
    </row>
    <row r="422" spans="5:6" hidden="1">
      <c r="E422" s="139"/>
      <c r="F422" s="139"/>
    </row>
    <row r="423" spans="5:6" hidden="1">
      <c r="E423" s="139"/>
      <c r="F423" s="139"/>
    </row>
    <row r="424" spans="5:6" hidden="1">
      <c r="E424" s="139"/>
      <c r="F424" s="139"/>
    </row>
    <row r="425" spans="5:6" hidden="1">
      <c r="E425" s="139"/>
      <c r="F425" s="139"/>
    </row>
    <row r="426" spans="5:6" hidden="1">
      <c r="E426" s="139"/>
      <c r="F426" s="139"/>
    </row>
    <row r="427" spans="5:6" hidden="1">
      <c r="E427" s="139"/>
      <c r="F427" s="139"/>
    </row>
    <row r="428" spans="5:6" hidden="1">
      <c r="E428" s="139"/>
      <c r="F428" s="139"/>
    </row>
    <row r="429" spans="5:6" hidden="1">
      <c r="E429" s="139"/>
      <c r="F429" s="139"/>
    </row>
    <row r="430" spans="5:6" hidden="1">
      <c r="E430" s="139"/>
      <c r="F430" s="139"/>
    </row>
    <row r="431" spans="5:6" hidden="1">
      <c r="E431" s="139"/>
      <c r="F431" s="139"/>
    </row>
    <row r="432" spans="5:6" hidden="1">
      <c r="E432" s="139"/>
      <c r="F432" s="139"/>
    </row>
    <row r="433" spans="4:6" hidden="1">
      <c r="E433" s="139"/>
      <c r="F433" s="139"/>
    </row>
    <row r="434" spans="4:6" hidden="1">
      <c r="E434" s="139"/>
      <c r="F434" s="139"/>
    </row>
    <row r="435" spans="4:6" hidden="1">
      <c r="E435" s="139"/>
      <c r="F435" s="139"/>
    </row>
    <row r="436" spans="4:6" hidden="1">
      <c r="E436" s="139"/>
      <c r="F436" s="139"/>
    </row>
    <row r="437" spans="4:6"/>
    <row r="438" spans="4:6"/>
    <row r="439" spans="4:6"/>
    <row r="440" spans="4:6"/>
    <row r="441" spans="4:6"/>
    <row r="442" spans="4:6"/>
    <row r="443" spans="4:6"/>
    <row r="444" spans="4:6"/>
    <row r="445" spans="4:6"/>
    <row r="446" spans="4:6"/>
    <row r="447" spans="4:6"/>
    <row r="448" spans="4:6">
      <c r="D448" s="139"/>
      <c r="E448" s="139"/>
      <c r="F448" s="139"/>
    </row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</sheetData>
  <sortState xmlns:xlrd2="http://schemas.microsoft.com/office/spreadsheetml/2017/richdata2" ref="A66:U122">
    <sortCondition ref="D66"/>
  </sortState>
  <phoneticPr fontId="30"/>
  <conditionalFormatting sqref="I251:K251 M251:N251 J243 M243:N243 D254:G257 E37:M125 E10:M10 E11:J34 L11:M34 E129:N153 E156:N241 E242 G242 K242:N242 D248:N249">
    <cfRule type="cellIs" dxfId="523" priority="109" operator="greaterThan">
      <formula>0</formula>
    </cfRule>
  </conditionalFormatting>
  <conditionalFormatting sqref="D129:D153 D156:D241 D248">
    <cfRule type="cellIs" dxfId="522" priority="106" operator="greaterThan">
      <formula>0</formula>
    </cfRule>
  </conditionalFormatting>
  <conditionalFormatting sqref="C256">
    <cfRule type="cellIs" dxfId="521" priority="24" operator="greaterThan">
      <formula>0</formula>
    </cfRule>
  </conditionalFormatting>
  <conditionalFormatting sqref="C258:G258">
    <cfRule type="cellIs" dxfId="520" priority="21" operator="greaterThan">
      <formula>0</formula>
    </cfRule>
  </conditionalFormatting>
  <conditionalFormatting sqref="C255">
    <cfRule type="cellIs" dxfId="519" priority="20" operator="greaterThan">
      <formula>0</formula>
    </cfRule>
  </conditionalFormatting>
  <conditionalFormatting sqref="C254">
    <cfRule type="cellIs" dxfId="518" priority="19" operator="greaterThan">
      <formula>0</formula>
    </cfRule>
  </conditionalFormatting>
  <conditionalFormatting sqref="C257">
    <cfRule type="cellIs" dxfId="517" priority="18" operator="greaterThan">
      <formula>0</formula>
    </cfRule>
  </conditionalFormatting>
  <conditionalFormatting sqref="K243">
    <cfRule type="cellIs" dxfId="516" priority="13" operator="greaterThan">
      <formula>0</formula>
    </cfRule>
  </conditionalFormatting>
  <conditionalFormatting sqref="F154:N154">
    <cfRule type="cellIs" dxfId="515" priority="10" operator="greaterThan">
      <formula>0</formula>
    </cfRule>
  </conditionalFormatting>
  <conditionalFormatting sqref="D154">
    <cfRule type="cellIs" dxfId="514" priority="9" operator="greaterThan">
      <formula>0</formula>
    </cfRule>
  </conditionalFormatting>
  <conditionalFormatting sqref="E35:J35 L35:M35">
    <cfRule type="cellIs" dxfId="513" priority="8" operator="greaterThan">
      <formula>0</formula>
    </cfRule>
  </conditionalFormatting>
  <conditionalFormatting sqref="E36:J36 L36:M36">
    <cfRule type="cellIs" dxfId="512" priority="7" operator="greaterThan">
      <formula>0</formula>
    </cfRule>
  </conditionalFormatting>
  <conditionalFormatting sqref="E155:N155">
    <cfRule type="cellIs" dxfId="511" priority="6" operator="greaterThan">
      <formula>0</formula>
    </cfRule>
  </conditionalFormatting>
  <conditionalFormatting sqref="D155">
    <cfRule type="cellIs" dxfId="510" priority="5" operator="greaterThan">
      <formula>0</formula>
    </cfRule>
  </conditionalFormatting>
  <conditionalFormatting sqref="K11:K34">
    <cfRule type="cellIs" dxfId="509" priority="4" operator="greaterThan">
      <formula>0</formula>
    </cfRule>
  </conditionalFormatting>
  <conditionalFormatting sqref="K35">
    <cfRule type="cellIs" dxfId="508" priority="3" operator="greaterThan">
      <formula>0</formula>
    </cfRule>
  </conditionalFormatting>
  <conditionalFormatting sqref="K36">
    <cfRule type="cellIs" dxfId="507" priority="2" operator="greaterThan">
      <formula>0</formula>
    </cfRule>
  </conditionalFormatting>
  <conditionalFormatting sqref="E154">
    <cfRule type="cellIs" dxfId="506" priority="1" operator="greaterThan">
      <formula>0</formula>
    </cfRule>
  </conditionalFormatting>
  <printOptions horizontalCentered="1"/>
  <pageMargins left="0.19685039370078741" right="0.19685039370078741" top="0.39370078740157483" bottom="0.39370078740157483" header="0.39370078740157483" footer="0.19685039370078741"/>
  <pageSetup paperSize="9" scale="50" orientation="landscape" copies="2" r:id="rId1"/>
  <headerFooter>
    <oddHeader>&amp;L&amp;C&amp;R</oddHeader>
    <oddFooter>&amp;L&amp;"Verdana,Standaard"&amp;K000000&amp;F-&amp;A&amp;R&amp;"Verdana,Standaard"&amp;K000000printversie &amp;D</oddFooter>
  </headerFooter>
  <rowBreaks count="2" manualBreakCount="2">
    <brk id="64" max="16383" man="1"/>
    <brk id="244" max="16383" man="1"/>
  </rowBreaks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V117"/>
  <sheetViews>
    <sheetView showGridLines="0" showRowColHeaders="0" showZeros="0" showOutlineSymbols="0" topLeftCell="D14" zoomScaleNormal="100" zoomScaleSheetLayoutView="75" workbookViewId="0">
      <selection activeCell="J58" sqref="J58"/>
    </sheetView>
  </sheetViews>
  <sheetFormatPr defaultColWidth="10.85546875" defaultRowHeight="12.75"/>
  <cols>
    <col min="1" max="1" width="13.140625" style="37" hidden="1" customWidth="1"/>
    <col min="2" max="2" width="14.140625" style="37" hidden="1" customWidth="1"/>
    <col min="3" max="3" width="20.85546875" style="36" customWidth="1"/>
    <col min="4" max="4" width="11.140625" style="36" customWidth="1"/>
    <col min="5" max="5" width="12.140625" style="30" customWidth="1"/>
    <col min="6" max="6" width="54.85546875" style="46" bestFit="1" customWidth="1"/>
    <col min="7" max="7" width="23.42578125" style="47" customWidth="1"/>
    <col min="8" max="8" width="13" style="32" customWidth="1"/>
    <col min="9" max="9" width="8.5703125" style="32" hidden="1" customWidth="1"/>
    <col min="10" max="10" width="17.5703125" style="32" customWidth="1"/>
    <col min="11" max="11" width="13.140625" style="32" hidden="1" customWidth="1"/>
    <col min="12" max="12" width="19" style="290" customWidth="1"/>
    <col min="13" max="13" width="12.85546875" style="392" customWidth="1"/>
    <col min="14" max="14" width="13.85546875" style="44" bestFit="1" customWidth="1"/>
    <col min="15" max="15" width="18.85546875" style="47" customWidth="1"/>
    <col min="16" max="16" width="32.42578125" style="45" bestFit="1" customWidth="1"/>
    <col min="17" max="17" width="10.140625" style="45" customWidth="1"/>
    <col min="18" max="18" width="2" style="45" customWidth="1"/>
    <col min="19" max="33" width="10.85546875" style="37" customWidth="1"/>
    <col min="34" max="16384" width="10.85546875" style="37"/>
  </cols>
  <sheetData>
    <row r="1" spans="3:18">
      <c r="C1" s="30"/>
      <c r="D1" s="30"/>
      <c r="F1" s="31"/>
      <c r="G1" s="35"/>
      <c r="M1" s="391"/>
      <c r="N1" s="33"/>
      <c r="O1" s="35"/>
      <c r="P1" s="34"/>
      <c r="Q1" s="34"/>
      <c r="R1" s="34"/>
    </row>
    <row r="2" spans="3:18" ht="15">
      <c r="C2" s="177" t="s">
        <v>40</v>
      </c>
      <c r="D2" s="37"/>
      <c r="E2" s="37"/>
      <c r="F2" s="8" t="s">
        <v>191</v>
      </c>
      <c r="G2" s="288"/>
      <c r="M2" s="391"/>
      <c r="N2" s="33"/>
      <c r="O2" s="35"/>
      <c r="P2" s="34"/>
      <c r="Q2" s="34"/>
      <c r="R2" s="34"/>
    </row>
    <row r="3" spans="3:18" s="9" customFormat="1" ht="15">
      <c r="C3" s="177" t="s">
        <v>42</v>
      </c>
      <c r="F3" s="178" t="str">
        <f>Voorblad!$E$16</f>
        <v>HHNK bedrijfsgebouwen van werven en RWZI's</v>
      </c>
      <c r="G3" s="288"/>
      <c r="H3" s="32"/>
      <c r="I3" s="32"/>
      <c r="J3" s="32"/>
      <c r="K3" s="32"/>
      <c r="L3" s="290"/>
      <c r="M3" s="291"/>
      <c r="N3" s="39"/>
      <c r="O3" s="288"/>
      <c r="P3" s="40"/>
      <c r="Q3" s="40"/>
      <c r="R3" s="40"/>
    </row>
    <row r="4" spans="3:18" s="9" customFormat="1" ht="15">
      <c r="C4" s="177" t="s">
        <v>43</v>
      </c>
      <c r="F4" s="178" t="str">
        <f>'1.0-Contractblad'!$D$4</f>
        <v>Heerhugowaard</v>
      </c>
      <c r="G4" s="288"/>
      <c r="H4" s="32"/>
      <c r="I4" s="32"/>
      <c r="J4" s="32"/>
      <c r="K4" s="32"/>
      <c r="L4" s="290"/>
      <c r="M4" s="291"/>
      <c r="N4" s="39"/>
      <c r="O4" s="288"/>
      <c r="P4" s="40"/>
      <c r="Q4" s="40"/>
      <c r="R4" s="40"/>
    </row>
    <row r="5" spans="3:18" s="9" customFormat="1" ht="15">
      <c r="C5" s="177" t="s">
        <v>192</v>
      </c>
      <c r="F5" s="193" t="e">
        <f>Voorblad!#REF!</f>
        <v>#REF!</v>
      </c>
      <c r="G5" s="288"/>
      <c r="H5" s="41"/>
      <c r="I5" s="41"/>
      <c r="J5" s="41"/>
      <c r="K5" s="41"/>
      <c r="L5" s="291"/>
      <c r="M5" s="291"/>
      <c r="N5" s="39"/>
      <c r="O5" s="288"/>
      <c r="P5" s="40"/>
      <c r="Q5" s="40"/>
      <c r="R5" s="40"/>
    </row>
    <row r="6" spans="3:18" s="9" customFormat="1" ht="15">
      <c r="C6" s="177" t="s">
        <v>37</v>
      </c>
      <c r="F6" s="322" t="str">
        <f>Voorblad!$E$25</f>
        <v>V1 15-06-2023</v>
      </c>
      <c r="G6" s="288"/>
      <c r="H6" s="424"/>
      <c r="I6" s="38"/>
      <c r="J6" s="38"/>
      <c r="K6" s="38"/>
      <c r="L6" s="291"/>
      <c r="M6" s="291"/>
      <c r="N6" s="39"/>
      <c r="O6" s="288"/>
      <c r="P6" s="40"/>
      <c r="Q6" s="40"/>
      <c r="R6" s="40"/>
    </row>
    <row r="7" spans="3:18" s="9" customFormat="1" ht="15">
      <c r="C7" s="177" t="s">
        <v>45</v>
      </c>
      <c r="F7" s="178" t="str">
        <f>Voorblad!$E$19</f>
        <v>Naam inschrijver</v>
      </c>
      <c r="G7" s="288"/>
      <c r="H7" s="425"/>
      <c r="I7" s="38"/>
      <c r="J7" s="38"/>
      <c r="K7" s="38"/>
      <c r="L7" s="291"/>
      <c r="M7" s="291"/>
      <c r="N7" s="39"/>
      <c r="O7" s="288"/>
      <c r="P7" s="40"/>
      <c r="Q7" s="40"/>
      <c r="R7" s="40"/>
    </row>
    <row r="8" spans="3:18" s="9" customFormat="1" ht="15">
      <c r="C8" s="177" t="s">
        <v>36</v>
      </c>
      <c r="F8" s="179">
        <f>Voorblad!$E$22</f>
        <v>45261</v>
      </c>
      <c r="G8" s="288"/>
      <c r="H8" s="425"/>
      <c r="I8" s="38"/>
      <c r="J8" s="38"/>
      <c r="K8" s="38"/>
      <c r="L8" s="291"/>
      <c r="M8" s="291"/>
      <c r="N8" s="39"/>
      <c r="O8" s="288"/>
      <c r="P8" s="40"/>
      <c r="Q8" s="40"/>
      <c r="R8" s="40"/>
    </row>
    <row r="9" spans="3:18" s="9" customFormat="1" ht="15">
      <c r="C9" s="8"/>
      <c r="F9" s="8"/>
      <c r="G9" s="288"/>
      <c r="H9" s="425"/>
      <c r="I9" s="38"/>
      <c r="K9" s="38"/>
      <c r="L9" s="291"/>
      <c r="M9" s="291"/>
      <c r="N9" s="39"/>
      <c r="O9" s="288"/>
      <c r="P9" s="40"/>
      <c r="Q9" s="40"/>
      <c r="R9" s="40"/>
    </row>
    <row r="10" spans="3:18" s="9" customFormat="1" ht="18.95" customHeight="1">
      <c r="C10" s="8"/>
      <c r="E10" s="158" t="s">
        <v>15</v>
      </c>
      <c r="F10" s="97"/>
      <c r="G10" s="288"/>
      <c r="H10" s="38"/>
      <c r="I10" s="38"/>
      <c r="K10" s="38"/>
      <c r="L10" s="291"/>
      <c r="M10" s="291"/>
      <c r="N10" s="39"/>
      <c r="O10" s="288"/>
      <c r="P10" s="40"/>
      <c r="Q10" s="40"/>
      <c r="R10" s="40"/>
    </row>
    <row r="11" spans="3:18" s="9" customFormat="1" ht="15">
      <c r="C11" s="8"/>
      <c r="E11" s="158">
        <v>0</v>
      </c>
      <c r="F11" s="125" t="s">
        <v>16</v>
      </c>
      <c r="G11" s="288"/>
      <c r="H11" s="38"/>
      <c r="I11" s="38"/>
      <c r="K11" s="38"/>
      <c r="L11" s="291"/>
      <c r="M11" s="291"/>
      <c r="N11" s="39"/>
      <c r="O11" s="288"/>
      <c r="P11" s="40"/>
      <c r="Q11" s="40"/>
      <c r="R11" s="40"/>
    </row>
    <row r="12" spans="3:18" s="9" customFormat="1" ht="15">
      <c r="C12" s="8"/>
      <c r="D12" s="8"/>
      <c r="F12" s="7"/>
      <c r="G12" s="387"/>
      <c r="H12" s="38"/>
      <c r="I12" s="38"/>
      <c r="J12" s="38"/>
      <c r="K12" s="38"/>
      <c r="L12" s="291"/>
      <c r="M12" s="291"/>
      <c r="N12" s="39"/>
      <c r="O12" s="288"/>
      <c r="P12" s="40"/>
      <c r="Q12" s="40"/>
      <c r="R12" s="40"/>
    </row>
    <row r="13" spans="3:18" ht="15.75" thickBot="1">
      <c r="E13" s="42"/>
      <c r="F13" s="43"/>
      <c r="G13" s="388"/>
      <c r="I13" s="38"/>
      <c r="J13" s="43"/>
      <c r="L13" s="43"/>
      <c r="M13" s="32"/>
      <c r="N13" s="43"/>
      <c r="O13" s="32"/>
      <c r="P13" s="43"/>
      <c r="Q13" s="32"/>
      <c r="R13" s="43"/>
    </row>
    <row r="14" spans="3:18" s="28" customFormat="1" ht="42" customHeight="1">
      <c r="C14" s="465" t="s">
        <v>193</v>
      </c>
      <c r="D14" s="466" t="s">
        <v>194</v>
      </c>
      <c r="E14" s="467" t="s">
        <v>195</v>
      </c>
      <c r="F14" s="468" t="s">
        <v>196</v>
      </c>
      <c r="G14" s="469" t="s">
        <v>197</v>
      </c>
      <c r="H14" s="470" t="s">
        <v>198</v>
      </c>
      <c r="I14" s="471"/>
      <c r="J14" s="470" t="s">
        <v>199</v>
      </c>
      <c r="K14" s="472"/>
      <c r="L14" s="473" t="s">
        <v>200</v>
      </c>
      <c r="M14" s="474" t="s">
        <v>201</v>
      </c>
      <c r="N14" s="474" t="s">
        <v>202</v>
      </c>
      <c r="O14" s="475" t="s">
        <v>203</v>
      </c>
      <c r="P14" s="475" t="s">
        <v>204</v>
      </c>
      <c r="Q14" s="476" t="s">
        <v>205</v>
      </c>
      <c r="R14" s="100"/>
    </row>
    <row r="15" spans="3:18" ht="15">
      <c r="C15" s="477">
        <v>0</v>
      </c>
      <c r="D15" s="478"/>
      <c r="E15" s="479">
        <v>0</v>
      </c>
      <c r="F15" s="480">
        <v>0</v>
      </c>
      <c r="G15" s="478">
        <v>0</v>
      </c>
      <c r="H15" s="481"/>
      <c r="I15" s="482"/>
      <c r="J15" s="481"/>
      <c r="K15" s="483">
        <v>0</v>
      </c>
      <c r="L15" s="484">
        <v>0</v>
      </c>
      <c r="M15" s="484">
        <v>0</v>
      </c>
      <c r="N15" s="483"/>
      <c r="O15" s="485">
        <v>0</v>
      </c>
      <c r="P15" s="486"/>
      <c r="Q15" s="487"/>
      <c r="R15" s="37"/>
    </row>
    <row r="16" spans="3:18" ht="15.75" thickBot="1">
      <c r="C16" s="488">
        <v>0</v>
      </c>
      <c r="D16" s="489"/>
      <c r="E16" s="490"/>
      <c r="F16" s="491"/>
      <c r="G16" s="489"/>
      <c r="H16" s="492"/>
      <c r="I16" s="493"/>
      <c r="J16" s="492"/>
      <c r="K16" s="494"/>
      <c r="L16" s="495"/>
      <c r="M16" s="495"/>
      <c r="N16" s="494"/>
      <c r="O16" s="496"/>
      <c r="P16" s="497"/>
      <c r="Q16" s="498"/>
      <c r="R16" s="37"/>
    </row>
    <row r="17" spans="1:18" ht="15">
      <c r="A17" s="37" t="s">
        <v>206</v>
      </c>
      <c r="B17" s="313" t="e">
        <f>VLOOKUP(A17,#REF!,3,FALSE)</f>
        <v>#REF!</v>
      </c>
      <c r="C17" s="714">
        <v>1026</v>
      </c>
      <c r="D17" s="332"/>
      <c r="E17" s="238">
        <v>26</v>
      </c>
      <c r="F17" s="443" t="s">
        <v>207</v>
      </c>
      <c r="G17" s="715" t="str">
        <f t="shared" ref="G17:G58" si="0">CONCATENATE(E17," keer per jaar")</f>
        <v>26 keer per jaar</v>
      </c>
      <c r="H17" s="385"/>
      <c r="I17" s="386"/>
      <c r="J17" s="385"/>
      <c r="K17" s="386">
        <f t="shared" ref="K17:K43" si="1">IF(J17=0,0,(AVERAGE(J17:J17)))</f>
        <v>0</v>
      </c>
      <c r="L17" s="394">
        <f t="shared" ref="L17:L43" si="2">IF(H17=0,0,E17/(SUM(I17+K17)))</f>
        <v>0</v>
      </c>
      <c r="M17" s="716">
        <f>SUMIF('1.3-Basis ruimtestaat'!L:L,C17,'1.3-Basis ruimtestaat'!J:J)</f>
        <v>42.25</v>
      </c>
      <c r="N17" s="717"/>
      <c r="O17" s="718">
        <f t="shared" ref="O17:O58" si="3">IF(M17=0,"",M17/$N$64)</f>
        <v>4.8124510923979224E-3</v>
      </c>
      <c r="P17" s="628"/>
      <c r="Q17" s="192"/>
      <c r="R17" s="37"/>
    </row>
    <row r="18" spans="1:18" ht="15">
      <c r="A18" s="37" t="s">
        <v>206</v>
      </c>
      <c r="B18" s="313" t="e">
        <f>VLOOKUP(A18,#REF!,3,FALSE)</f>
        <v>#REF!</v>
      </c>
      <c r="C18" s="714">
        <v>1052</v>
      </c>
      <c r="D18" s="332"/>
      <c r="E18" s="238">
        <v>52</v>
      </c>
      <c r="F18" s="443" t="s">
        <v>207</v>
      </c>
      <c r="G18" s="715" t="str">
        <f t="shared" si="0"/>
        <v>52 keer per jaar</v>
      </c>
      <c r="H18" s="385"/>
      <c r="I18" s="386"/>
      <c r="J18" s="385"/>
      <c r="K18" s="386">
        <f t="shared" si="1"/>
        <v>0</v>
      </c>
      <c r="L18" s="394">
        <f t="shared" si="2"/>
        <v>0</v>
      </c>
      <c r="M18" s="716">
        <f>SUMIF('1.3-Basis ruimtestaat'!L:L,C18,'1.3-Basis ruimtestaat'!J:J)</f>
        <v>538.3900000000001</v>
      </c>
      <c r="N18" s="717"/>
      <c r="O18" s="718">
        <f t="shared" si="3"/>
        <v>6.1324864938132967E-2</v>
      </c>
      <c r="P18" s="628"/>
      <c r="Q18" s="192" t="s">
        <v>208</v>
      </c>
      <c r="R18" s="37"/>
    </row>
    <row r="19" spans="1:18" ht="15">
      <c r="A19" s="37" t="s">
        <v>206</v>
      </c>
      <c r="B19" s="313" t="e">
        <f>VLOOKUP(A19,#REF!,3,FALSE)</f>
        <v>#REF!</v>
      </c>
      <c r="C19" s="714">
        <v>1104</v>
      </c>
      <c r="D19" s="332"/>
      <c r="E19" s="238">
        <v>104</v>
      </c>
      <c r="F19" s="443" t="s">
        <v>207</v>
      </c>
      <c r="G19" s="715" t="str">
        <f t="shared" si="0"/>
        <v>104 keer per jaar</v>
      </c>
      <c r="H19" s="385"/>
      <c r="I19" s="386"/>
      <c r="J19" s="734"/>
      <c r="K19" s="386">
        <f t="shared" si="1"/>
        <v>0</v>
      </c>
      <c r="L19" s="394">
        <f t="shared" si="2"/>
        <v>0</v>
      </c>
      <c r="M19" s="716">
        <f>SUMIF('1.3-Basis ruimtestaat'!L:L,C19,'1.3-Basis ruimtestaat'!J:J)</f>
        <v>330.01</v>
      </c>
      <c r="N19" s="717"/>
      <c r="O19" s="718">
        <f t="shared" si="3"/>
        <v>3.75895144379228E-2</v>
      </c>
      <c r="P19" s="628"/>
      <c r="Q19" s="192" t="s">
        <v>208</v>
      </c>
      <c r="R19" s="37"/>
    </row>
    <row r="20" spans="1:18" ht="15">
      <c r="A20" s="37" t="s">
        <v>206</v>
      </c>
      <c r="B20" s="313" t="e">
        <f>VLOOKUP(A20,#REF!,3,FALSE)</f>
        <v>#REF!</v>
      </c>
      <c r="C20" s="714">
        <v>1122</v>
      </c>
      <c r="D20" s="332"/>
      <c r="E20" s="238">
        <v>122</v>
      </c>
      <c r="F20" s="443" t="s">
        <v>207</v>
      </c>
      <c r="G20" s="715" t="str">
        <f t="shared" si="0"/>
        <v>122 keer per jaar</v>
      </c>
      <c r="H20" s="385"/>
      <c r="I20" s="386"/>
      <c r="J20" s="385"/>
      <c r="K20" s="386">
        <f t="shared" si="1"/>
        <v>0</v>
      </c>
      <c r="L20" s="394">
        <f t="shared" si="2"/>
        <v>0</v>
      </c>
      <c r="M20" s="716">
        <f>SUMIF('1.3-Basis ruimtestaat'!L:L,C20,'1.3-Basis ruimtestaat'!J:J)</f>
        <v>0</v>
      </c>
      <c r="N20" s="717"/>
      <c r="O20" s="718" t="str">
        <f t="shared" si="3"/>
        <v/>
      </c>
      <c r="P20" s="628" t="s">
        <v>209</v>
      </c>
      <c r="Q20" s="192" t="s">
        <v>208</v>
      </c>
      <c r="R20" s="37"/>
    </row>
    <row r="21" spans="1:18" ht="15">
      <c r="A21" s="37" t="s">
        <v>206</v>
      </c>
      <c r="B21" s="313" t="e">
        <f>VLOOKUP(A21,#REF!,3,FALSE)</f>
        <v>#REF!</v>
      </c>
      <c r="C21" s="714">
        <v>1156</v>
      </c>
      <c r="D21" s="332"/>
      <c r="E21" s="238">
        <v>156</v>
      </c>
      <c r="F21" s="443" t="s">
        <v>207</v>
      </c>
      <c r="G21" s="715" t="str">
        <f t="shared" si="0"/>
        <v>156 keer per jaar</v>
      </c>
      <c r="H21" s="385"/>
      <c r="I21" s="386"/>
      <c r="J21" s="385"/>
      <c r="K21" s="386">
        <f t="shared" si="1"/>
        <v>0</v>
      </c>
      <c r="L21" s="394">
        <f t="shared" si="2"/>
        <v>0</v>
      </c>
      <c r="M21" s="716">
        <f>SUMIF('1.3-Basis ruimtestaat'!L:L,C21,'1.3-Basis ruimtestaat'!J:J)</f>
        <v>455.15000000000003</v>
      </c>
      <c r="N21" s="717"/>
      <c r="O21" s="718">
        <f t="shared" si="3"/>
        <v>5.1843482004850047E-2</v>
      </c>
      <c r="P21" s="628"/>
      <c r="Q21" s="192" t="s">
        <v>208</v>
      </c>
      <c r="R21" s="37"/>
    </row>
    <row r="22" spans="1:18" ht="15">
      <c r="A22" s="37" t="s">
        <v>206</v>
      </c>
      <c r="B22" s="313" t="e">
        <f>VLOOKUP(A22,#REF!,3,FALSE)</f>
        <v>#REF!</v>
      </c>
      <c r="C22" s="714">
        <v>1255</v>
      </c>
      <c r="D22" s="332"/>
      <c r="E22" s="238">
        <v>255</v>
      </c>
      <c r="F22" s="443" t="s">
        <v>207</v>
      </c>
      <c r="G22" s="715" t="str">
        <f t="shared" si="0"/>
        <v>255 keer per jaar</v>
      </c>
      <c r="H22" s="385"/>
      <c r="I22" s="386"/>
      <c r="J22" s="385"/>
      <c r="K22" s="386">
        <f t="shared" si="1"/>
        <v>0</v>
      </c>
      <c r="L22" s="394">
        <f t="shared" si="2"/>
        <v>0</v>
      </c>
      <c r="M22" s="716">
        <f>SUMIF('1.3-Basis ruimtestaat'!L:L,C22,'1.3-Basis ruimtestaat'!J:J)</f>
        <v>1056.1600000000001</v>
      </c>
      <c r="N22" s="717"/>
      <c r="O22" s="718">
        <f t="shared" si="3"/>
        <v>0.12030102593484</v>
      </c>
      <c r="P22" s="628"/>
      <c r="Q22" s="192" t="s">
        <v>208</v>
      </c>
      <c r="R22" s="37"/>
    </row>
    <row r="23" spans="1:18" s="316" customFormat="1" ht="15">
      <c r="A23" s="316" t="s">
        <v>210</v>
      </c>
      <c r="B23" s="317" t="e">
        <f>VLOOKUP(A23,#REF!,3,FALSE)</f>
        <v>#REF!</v>
      </c>
      <c r="C23" s="714">
        <v>2122</v>
      </c>
      <c r="D23" s="332"/>
      <c r="E23" s="238">
        <v>122</v>
      </c>
      <c r="F23" s="443" t="s">
        <v>211</v>
      </c>
      <c r="G23" s="715" t="str">
        <f t="shared" si="0"/>
        <v>122 keer per jaar</v>
      </c>
      <c r="H23" s="385"/>
      <c r="I23" s="386"/>
      <c r="J23" s="385"/>
      <c r="K23" s="386">
        <f t="shared" si="1"/>
        <v>0</v>
      </c>
      <c r="L23" s="394">
        <f t="shared" si="2"/>
        <v>0</v>
      </c>
      <c r="M23" s="716">
        <f>SUMIF('1.3-Basis ruimtestaat'!L:L,C23,'1.3-Basis ruimtestaat'!J:J)</f>
        <v>0</v>
      </c>
      <c r="N23" s="717"/>
      <c r="O23" s="718" t="str">
        <f t="shared" si="3"/>
        <v/>
      </c>
      <c r="P23" s="628" t="s">
        <v>209</v>
      </c>
      <c r="Q23" s="192" t="s">
        <v>212</v>
      </c>
    </row>
    <row r="24" spans="1:18" s="316" customFormat="1" ht="15">
      <c r="A24" s="316" t="s">
        <v>210</v>
      </c>
      <c r="B24" s="317" t="e">
        <f>VLOOKUP(A24,#REF!,3,FALSE)</f>
        <v>#REF!</v>
      </c>
      <c r="C24" s="714">
        <v>3026</v>
      </c>
      <c r="D24" s="332"/>
      <c r="E24" s="238">
        <v>26</v>
      </c>
      <c r="F24" s="443" t="s">
        <v>213</v>
      </c>
      <c r="G24" s="715" t="str">
        <f t="shared" si="0"/>
        <v>26 keer per jaar</v>
      </c>
      <c r="H24" s="385"/>
      <c r="I24" s="386"/>
      <c r="J24" s="734"/>
      <c r="K24" s="386">
        <f t="shared" si="1"/>
        <v>0</v>
      </c>
      <c r="L24" s="394">
        <f t="shared" si="2"/>
        <v>0</v>
      </c>
      <c r="M24" s="716">
        <f>SUMIF('1.3-Basis ruimtestaat'!L:L,C24,'1.3-Basis ruimtestaat'!J:J)</f>
        <v>8.6999999999999993</v>
      </c>
      <c r="N24" s="717"/>
      <c r="O24" s="718">
        <f t="shared" si="3"/>
        <v>9.9096626044643593E-4</v>
      </c>
      <c r="P24" s="719"/>
      <c r="Q24" s="192" t="s">
        <v>212</v>
      </c>
    </row>
    <row r="25" spans="1:18" s="316" customFormat="1" ht="15">
      <c r="A25" s="316" t="s">
        <v>210</v>
      </c>
      <c r="B25" s="317" t="e">
        <f>VLOOKUP(A25,#REF!,3,FALSE)</f>
        <v>#REF!</v>
      </c>
      <c r="C25" s="714">
        <v>3052</v>
      </c>
      <c r="D25" s="332"/>
      <c r="E25" s="238">
        <v>52</v>
      </c>
      <c r="F25" s="443" t="s">
        <v>213</v>
      </c>
      <c r="G25" s="715" t="str">
        <f t="shared" si="0"/>
        <v>52 keer per jaar</v>
      </c>
      <c r="H25" s="385"/>
      <c r="I25" s="386"/>
      <c r="J25" s="385"/>
      <c r="K25" s="386">
        <f t="shared" si="1"/>
        <v>0</v>
      </c>
      <c r="L25" s="394">
        <f t="shared" si="2"/>
        <v>0</v>
      </c>
      <c r="M25" s="716">
        <f>SUMIF('1.3-Basis ruimtestaat'!L:L,C25,'1.3-Basis ruimtestaat'!J:J)</f>
        <v>263.0499999999999</v>
      </c>
      <c r="N25" s="717"/>
      <c r="O25" s="718">
        <f t="shared" si="3"/>
        <v>2.9962491357521253E-2</v>
      </c>
      <c r="P25" s="719"/>
      <c r="Q25" s="192" t="s">
        <v>212</v>
      </c>
    </row>
    <row r="26" spans="1:18" s="316" customFormat="1" ht="15">
      <c r="A26" s="316" t="s">
        <v>210</v>
      </c>
      <c r="B26" s="317" t="e">
        <f>VLOOKUP(A26,#REF!,3,FALSE)</f>
        <v>#REF!</v>
      </c>
      <c r="C26" s="714">
        <v>3104</v>
      </c>
      <c r="D26" s="332"/>
      <c r="E26" s="238">
        <v>104</v>
      </c>
      <c r="F26" s="443" t="s">
        <v>213</v>
      </c>
      <c r="G26" s="715" t="str">
        <f t="shared" si="0"/>
        <v>104 keer per jaar</v>
      </c>
      <c r="H26" s="385"/>
      <c r="I26" s="386"/>
      <c r="J26" s="385"/>
      <c r="K26" s="386">
        <f t="shared" si="1"/>
        <v>0</v>
      </c>
      <c r="L26" s="394">
        <f t="shared" si="2"/>
        <v>0</v>
      </c>
      <c r="M26" s="716">
        <f>SUMIF('1.3-Basis ruimtestaat'!L:L,C26,'1.3-Basis ruimtestaat'!J:J)</f>
        <v>158.71</v>
      </c>
      <c r="N26" s="717"/>
      <c r="O26" s="718">
        <f t="shared" si="3"/>
        <v>1.8077730482236078E-2</v>
      </c>
      <c r="P26" s="628"/>
      <c r="Q26" s="192" t="s">
        <v>212</v>
      </c>
    </row>
    <row r="27" spans="1:18" s="316" customFormat="1" ht="15">
      <c r="A27" s="316" t="s">
        <v>210</v>
      </c>
      <c r="B27" s="317" t="e">
        <f>VLOOKUP(A27,#REF!,3,FALSE)</f>
        <v>#REF!</v>
      </c>
      <c r="C27" s="714">
        <v>3122</v>
      </c>
      <c r="D27" s="332"/>
      <c r="E27" s="238">
        <v>122</v>
      </c>
      <c r="F27" s="443" t="s">
        <v>213</v>
      </c>
      <c r="G27" s="715" t="str">
        <f t="shared" si="0"/>
        <v>122 keer per jaar</v>
      </c>
      <c r="H27" s="385"/>
      <c r="I27" s="386"/>
      <c r="J27" s="385"/>
      <c r="K27" s="386">
        <f t="shared" si="1"/>
        <v>0</v>
      </c>
      <c r="L27" s="394">
        <f t="shared" si="2"/>
        <v>0</v>
      </c>
      <c r="M27" s="716">
        <f>SUMIF('1.3-Basis ruimtestaat'!L:L,C27,'1.3-Basis ruimtestaat'!J:J)</f>
        <v>0</v>
      </c>
      <c r="N27" s="717"/>
      <c r="O27" s="718" t="str">
        <f t="shared" si="3"/>
        <v/>
      </c>
      <c r="P27" s="628" t="s">
        <v>209</v>
      </c>
      <c r="Q27" s="192" t="s">
        <v>212</v>
      </c>
    </row>
    <row r="28" spans="1:18" s="316" customFormat="1" ht="15">
      <c r="A28" s="316" t="s">
        <v>210</v>
      </c>
      <c r="B28" s="317" t="e">
        <f>VLOOKUP(A28,#REF!,3,FALSE)</f>
        <v>#REF!</v>
      </c>
      <c r="C28" s="714">
        <v>3156</v>
      </c>
      <c r="D28" s="332"/>
      <c r="E28" s="238">
        <v>156</v>
      </c>
      <c r="F28" s="443" t="s">
        <v>213</v>
      </c>
      <c r="G28" s="715" t="str">
        <f t="shared" si="0"/>
        <v>156 keer per jaar</v>
      </c>
      <c r="H28" s="385"/>
      <c r="I28" s="386"/>
      <c r="J28" s="734"/>
      <c r="K28" s="386">
        <f t="shared" si="1"/>
        <v>0</v>
      </c>
      <c r="L28" s="394">
        <f t="shared" si="2"/>
        <v>0</v>
      </c>
      <c r="M28" s="716">
        <f>SUMIF('1.3-Basis ruimtestaat'!L:L,C28,'1.3-Basis ruimtestaat'!J:J)</f>
        <v>138.28000000000003</v>
      </c>
      <c r="N28" s="717"/>
      <c r="O28" s="718">
        <f t="shared" si="3"/>
        <v>1.5750668332704967E-2</v>
      </c>
      <c r="P28" s="719"/>
      <c r="Q28" s="192" t="s">
        <v>212</v>
      </c>
    </row>
    <row r="29" spans="1:18" s="316" customFormat="1" ht="15">
      <c r="A29" s="316" t="s">
        <v>210</v>
      </c>
      <c r="B29" s="317" t="e">
        <f>VLOOKUP(A29,#REF!,3,FALSE)</f>
        <v>#REF!</v>
      </c>
      <c r="C29" s="714">
        <v>3255</v>
      </c>
      <c r="D29" s="332"/>
      <c r="E29" s="238">
        <v>255</v>
      </c>
      <c r="F29" s="443" t="s">
        <v>213</v>
      </c>
      <c r="G29" s="715" t="str">
        <f t="shared" si="0"/>
        <v>255 keer per jaar</v>
      </c>
      <c r="H29" s="385"/>
      <c r="I29" s="386"/>
      <c r="J29" s="385"/>
      <c r="K29" s="386">
        <f t="shared" si="1"/>
        <v>0</v>
      </c>
      <c r="L29" s="394">
        <f t="shared" si="2"/>
        <v>0</v>
      </c>
      <c r="M29" s="716">
        <f>SUMIF('1.3-Basis ruimtestaat'!L:L,C29,'1.3-Basis ruimtestaat'!J:J)</f>
        <v>762.74999999999989</v>
      </c>
      <c r="N29" s="717"/>
      <c r="O29" s="718">
        <f t="shared" si="3"/>
        <v>8.6880404040864251E-2</v>
      </c>
      <c r="P29" s="719"/>
      <c r="Q29" s="192" t="s">
        <v>212</v>
      </c>
    </row>
    <row r="30" spans="1:18" s="316" customFormat="1" ht="15">
      <c r="A30" s="316" t="s">
        <v>210</v>
      </c>
      <c r="B30" s="317" t="e">
        <f>VLOOKUP(A30,#REF!,3,FALSE)</f>
        <v>#REF!</v>
      </c>
      <c r="C30" s="714">
        <v>4026</v>
      </c>
      <c r="D30" s="332"/>
      <c r="E30" s="238">
        <v>26</v>
      </c>
      <c r="F30" s="443" t="s">
        <v>214</v>
      </c>
      <c r="G30" s="715" t="str">
        <f t="shared" si="0"/>
        <v>26 keer per jaar</v>
      </c>
      <c r="H30" s="385"/>
      <c r="I30" s="386"/>
      <c r="J30" s="385"/>
      <c r="K30" s="386">
        <f t="shared" si="1"/>
        <v>0</v>
      </c>
      <c r="L30" s="394">
        <f t="shared" si="2"/>
        <v>0</v>
      </c>
      <c r="M30" s="716">
        <f>SUMIF('1.3-Basis ruimtestaat'!L:L,C30,'1.3-Basis ruimtestaat'!J:J)</f>
        <v>10.57</v>
      </c>
      <c r="N30" s="717"/>
      <c r="O30" s="718">
        <f t="shared" si="3"/>
        <v>1.203967054358486E-3</v>
      </c>
      <c r="P30" s="719"/>
      <c r="Q30" s="192" t="s">
        <v>215</v>
      </c>
    </row>
    <row r="31" spans="1:18" s="316" customFormat="1" ht="15">
      <c r="A31" s="316" t="s">
        <v>210</v>
      </c>
      <c r="B31" s="317" t="e">
        <f>VLOOKUP(A31,#REF!,3,FALSE)</f>
        <v>#REF!</v>
      </c>
      <c r="C31" s="714">
        <v>4052</v>
      </c>
      <c r="D31" s="332"/>
      <c r="E31" s="238">
        <v>52</v>
      </c>
      <c r="F31" s="443" t="s">
        <v>214</v>
      </c>
      <c r="G31" s="715" t="str">
        <f t="shared" si="0"/>
        <v>52 keer per jaar</v>
      </c>
      <c r="H31" s="385"/>
      <c r="I31" s="386"/>
      <c r="J31" s="385"/>
      <c r="K31" s="386">
        <f t="shared" si="1"/>
        <v>0</v>
      </c>
      <c r="L31" s="394">
        <f t="shared" si="2"/>
        <v>0</v>
      </c>
      <c r="M31" s="716">
        <f>SUMIF('1.3-Basis ruimtestaat'!L:L,C31,'1.3-Basis ruimtestaat'!J:J)</f>
        <v>70.11999999999999</v>
      </c>
      <c r="N31" s="717"/>
      <c r="O31" s="718">
        <f t="shared" si="3"/>
        <v>7.9869602508625386E-3</v>
      </c>
      <c r="P31" s="719"/>
      <c r="Q31" s="192" t="s">
        <v>215</v>
      </c>
    </row>
    <row r="32" spans="1:18" s="316" customFormat="1" ht="15">
      <c r="A32" s="316" t="s">
        <v>210</v>
      </c>
      <c r="B32" s="317" t="e">
        <f>VLOOKUP(A32,#REF!,3,FALSE)</f>
        <v>#REF!</v>
      </c>
      <c r="C32" s="714">
        <v>4104</v>
      </c>
      <c r="D32" s="332"/>
      <c r="E32" s="238">
        <v>104</v>
      </c>
      <c r="F32" s="443" t="s">
        <v>214</v>
      </c>
      <c r="G32" s="715" t="str">
        <f t="shared" si="0"/>
        <v>104 keer per jaar</v>
      </c>
      <c r="H32" s="385"/>
      <c r="I32" s="386"/>
      <c r="J32" s="385"/>
      <c r="K32" s="386">
        <f t="shared" si="1"/>
        <v>0</v>
      </c>
      <c r="L32" s="394">
        <f t="shared" si="2"/>
        <v>0</v>
      </c>
      <c r="M32" s="716">
        <f>SUMIF('1.3-Basis ruimtestaat'!L:L,C32,'1.3-Basis ruimtestaat'!J:J)</f>
        <v>50.839999999999982</v>
      </c>
      <c r="N32" s="717"/>
      <c r="O32" s="718">
        <f t="shared" si="3"/>
        <v>5.7908878943789413E-3</v>
      </c>
      <c r="P32" s="628"/>
      <c r="Q32" s="192" t="s">
        <v>215</v>
      </c>
    </row>
    <row r="33" spans="1:18" s="316" customFormat="1" ht="15">
      <c r="A33" s="316" t="s">
        <v>210</v>
      </c>
      <c r="B33" s="317" t="e">
        <f>VLOOKUP(A33,#REF!,3,FALSE)</f>
        <v>#REF!</v>
      </c>
      <c r="C33" s="714">
        <v>4122</v>
      </c>
      <c r="D33" s="332"/>
      <c r="E33" s="238">
        <v>122</v>
      </c>
      <c r="F33" s="443" t="s">
        <v>214</v>
      </c>
      <c r="G33" s="715" t="str">
        <f t="shared" si="0"/>
        <v>122 keer per jaar</v>
      </c>
      <c r="H33" s="385"/>
      <c r="I33" s="386"/>
      <c r="J33" s="385"/>
      <c r="K33" s="386">
        <f t="shared" si="1"/>
        <v>0</v>
      </c>
      <c r="L33" s="394">
        <f t="shared" si="2"/>
        <v>0</v>
      </c>
      <c r="M33" s="716">
        <f>SUMIF('1.3-Basis ruimtestaat'!L:L,C33,'1.3-Basis ruimtestaat'!J:J)</f>
        <v>0</v>
      </c>
      <c r="N33" s="717"/>
      <c r="O33" s="718" t="str">
        <f t="shared" si="3"/>
        <v/>
      </c>
      <c r="P33" s="628" t="s">
        <v>209</v>
      </c>
      <c r="Q33" s="192" t="s">
        <v>215</v>
      </c>
    </row>
    <row r="34" spans="1:18" s="316" customFormat="1" ht="15">
      <c r="A34" s="316" t="s">
        <v>210</v>
      </c>
      <c r="B34" s="317" t="e">
        <f>VLOOKUP(A34,#REF!,3,FALSE)</f>
        <v>#REF!</v>
      </c>
      <c r="C34" s="714">
        <v>4156</v>
      </c>
      <c r="D34" s="332"/>
      <c r="E34" s="238">
        <v>156</v>
      </c>
      <c r="F34" s="443" t="s">
        <v>214</v>
      </c>
      <c r="G34" s="715" t="str">
        <f t="shared" si="0"/>
        <v>156 keer per jaar</v>
      </c>
      <c r="H34" s="385"/>
      <c r="I34" s="386"/>
      <c r="J34" s="385"/>
      <c r="K34" s="386">
        <f t="shared" si="1"/>
        <v>0</v>
      </c>
      <c r="L34" s="394">
        <f t="shared" si="2"/>
        <v>0</v>
      </c>
      <c r="M34" s="716">
        <f>SUMIF('1.3-Basis ruimtestaat'!L:L,C34,'1.3-Basis ruimtestaat'!J:J)</f>
        <v>34.93</v>
      </c>
      <c r="N34" s="717"/>
      <c r="O34" s="718">
        <f t="shared" si="3"/>
        <v>3.9786725836085069E-3</v>
      </c>
      <c r="P34" s="719"/>
      <c r="Q34" s="192" t="s">
        <v>215</v>
      </c>
    </row>
    <row r="35" spans="1:18" s="316" customFormat="1" ht="15">
      <c r="A35" s="316" t="s">
        <v>210</v>
      </c>
      <c r="B35" s="317" t="e">
        <f>VLOOKUP(A35,#REF!,3,FALSE)</f>
        <v>#REF!</v>
      </c>
      <c r="C35" s="714">
        <v>4255</v>
      </c>
      <c r="D35" s="332"/>
      <c r="E35" s="238">
        <v>255</v>
      </c>
      <c r="F35" s="443" t="s">
        <v>214</v>
      </c>
      <c r="G35" s="715" t="str">
        <f t="shared" si="0"/>
        <v>255 keer per jaar</v>
      </c>
      <c r="H35" s="385"/>
      <c r="I35" s="386"/>
      <c r="J35" s="734"/>
      <c r="K35" s="386">
        <f t="shared" si="1"/>
        <v>0</v>
      </c>
      <c r="L35" s="394">
        <f t="shared" si="2"/>
        <v>0</v>
      </c>
      <c r="M35" s="716">
        <f>SUMIF('1.3-Basis ruimtestaat'!L:L,C35,'1.3-Basis ruimtestaat'!J:J)</f>
        <v>331.49000000000018</v>
      </c>
      <c r="N35" s="717"/>
      <c r="O35" s="718">
        <f t="shared" si="3"/>
        <v>3.7758092606366582E-2</v>
      </c>
      <c r="P35" s="719"/>
      <c r="Q35" s="192" t="s">
        <v>215</v>
      </c>
    </row>
    <row r="36" spans="1:18" ht="15">
      <c r="A36" s="37" t="s">
        <v>210</v>
      </c>
      <c r="B36" s="313" t="e">
        <f>VLOOKUP(A36,#REF!,3,FALSE)</f>
        <v>#REF!</v>
      </c>
      <c r="C36" s="714">
        <v>5026</v>
      </c>
      <c r="D36" s="332"/>
      <c r="E36" s="238">
        <v>26</v>
      </c>
      <c r="F36" s="443" t="s">
        <v>216</v>
      </c>
      <c r="G36" s="715" t="str">
        <f t="shared" si="0"/>
        <v>26 keer per jaar</v>
      </c>
      <c r="H36" s="385"/>
      <c r="I36" s="386"/>
      <c r="J36" s="385"/>
      <c r="K36" s="386">
        <f t="shared" si="1"/>
        <v>0</v>
      </c>
      <c r="L36" s="394">
        <f t="shared" si="2"/>
        <v>0</v>
      </c>
      <c r="M36" s="716">
        <f>SUMIF('1.3-Basis ruimtestaat'!L:L,C36,'1.3-Basis ruimtestaat'!J:J)</f>
        <v>26.41</v>
      </c>
      <c r="N36" s="717"/>
      <c r="O36" s="718">
        <f t="shared" si="3"/>
        <v>3.0082090733782041E-3</v>
      </c>
      <c r="P36" s="719"/>
      <c r="Q36" s="192" t="s">
        <v>212</v>
      </c>
      <c r="R36" s="37"/>
    </row>
    <row r="37" spans="1:18" ht="15">
      <c r="A37" s="37" t="s">
        <v>210</v>
      </c>
      <c r="B37" s="313" t="e">
        <f>VLOOKUP(A37,#REF!,3,FALSE)</f>
        <v>#REF!</v>
      </c>
      <c r="C37" s="714">
        <v>5052</v>
      </c>
      <c r="D37" s="332"/>
      <c r="E37" s="238">
        <v>52</v>
      </c>
      <c r="F37" s="443" t="s">
        <v>216</v>
      </c>
      <c r="G37" s="715" t="str">
        <f t="shared" si="0"/>
        <v>52 keer per jaar</v>
      </c>
      <c r="H37" s="385"/>
      <c r="I37" s="386"/>
      <c r="J37" s="385"/>
      <c r="K37" s="386">
        <f t="shared" si="1"/>
        <v>0</v>
      </c>
      <c r="L37" s="394">
        <f t="shared" si="2"/>
        <v>0</v>
      </c>
      <c r="M37" s="716">
        <f>SUMIF('1.3-Basis ruimtestaat'!L:L,C37,'1.3-Basis ruimtestaat'!J:J)</f>
        <v>76.67</v>
      </c>
      <c r="N37" s="717"/>
      <c r="O37" s="718">
        <f t="shared" si="3"/>
        <v>8.7330325503940515E-3</v>
      </c>
      <c r="P37" s="719"/>
      <c r="Q37" s="192" t="s">
        <v>212</v>
      </c>
      <c r="R37" s="37"/>
    </row>
    <row r="38" spans="1:18" ht="15">
      <c r="A38" s="37" t="s">
        <v>210</v>
      </c>
      <c r="B38" s="313" t="e">
        <f>VLOOKUP(A38,#REF!,3,FALSE)</f>
        <v>#REF!</v>
      </c>
      <c r="C38" s="714">
        <v>5104</v>
      </c>
      <c r="D38" s="332"/>
      <c r="E38" s="238">
        <v>104</v>
      </c>
      <c r="F38" s="443" t="s">
        <v>216</v>
      </c>
      <c r="G38" s="715" t="str">
        <f t="shared" si="0"/>
        <v>104 keer per jaar</v>
      </c>
      <c r="H38" s="385"/>
      <c r="I38" s="386"/>
      <c r="J38" s="385"/>
      <c r="K38" s="386">
        <f t="shared" si="1"/>
        <v>0</v>
      </c>
      <c r="L38" s="394">
        <f t="shared" si="2"/>
        <v>0</v>
      </c>
      <c r="M38" s="716">
        <f>SUMIF('1.3-Basis ruimtestaat'!L:L,C38,'1.3-Basis ruimtestaat'!J:J)</f>
        <v>220.58</v>
      </c>
      <c r="N38" s="717"/>
      <c r="O38" s="718">
        <f t="shared" si="3"/>
        <v>2.5124981348192514E-2</v>
      </c>
      <c r="P38" s="719"/>
      <c r="Q38" s="192" t="s">
        <v>212</v>
      </c>
      <c r="R38" s="37"/>
    </row>
    <row r="39" spans="1:18" ht="15">
      <c r="A39" s="37" t="s">
        <v>210</v>
      </c>
      <c r="B39" s="313" t="e">
        <f>VLOOKUP(A39,#REF!,3,FALSE)</f>
        <v>#REF!</v>
      </c>
      <c r="C39" s="714">
        <v>5156</v>
      </c>
      <c r="D39" s="332"/>
      <c r="E39" s="238">
        <v>156</v>
      </c>
      <c r="F39" s="443" t="s">
        <v>216</v>
      </c>
      <c r="G39" s="715" t="str">
        <f t="shared" si="0"/>
        <v>156 keer per jaar</v>
      </c>
      <c r="H39" s="385"/>
      <c r="I39" s="386"/>
      <c r="J39" s="385"/>
      <c r="K39" s="386">
        <f t="shared" si="1"/>
        <v>0</v>
      </c>
      <c r="L39" s="394">
        <f t="shared" si="2"/>
        <v>0</v>
      </c>
      <c r="M39" s="716">
        <f>SUMIF('1.3-Basis ruimtestaat'!L:L,C39,'1.3-Basis ruimtestaat'!J:J)</f>
        <v>50.5</v>
      </c>
      <c r="N39" s="717"/>
      <c r="O39" s="718">
        <f t="shared" si="3"/>
        <v>5.7521604773040254E-3</v>
      </c>
      <c r="P39" s="719"/>
      <c r="Q39" s="192" t="s">
        <v>212</v>
      </c>
      <c r="R39" s="37"/>
    </row>
    <row r="40" spans="1:18" ht="15">
      <c r="A40" s="37" t="s">
        <v>210</v>
      </c>
      <c r="B40" s="313" t="e">
        <f>VLOOKUP(A40,#REF!,3,FALSE)</f>
        <v>#REF!</v>
      </c>
      <c r="C40" s="714">
        <v>5255</v>
      </c>
      <c r="D40" s="332"/>
      <c r="E40" s="238">
        <v>255</v>
      </c>
      <c r="F40" s="443" t="s">
        <v>216</v>
      </c>
      <c r="G40" s="715" t="str">
        <f t="shared" si="0"/>
        <v>255 keer per jaar</v>
      </c>
      <c r="H40" s="385"/>
      <c r="I40" s="386"/>
      <c r="J40" s="385"/>
      <c r="K40" s="386">
        <f t="shared" si="1"/>
        <v>0</v>
      </c>
      <c r="L40" s="394">
        <f t="shared" si="2"/>
        <v>0</v>
      </c>
      <c r="M40" s="716">
        <f>SUMIF('1.3-Basis ruimtestaat'!L:L,C40,'1.3-Basis ruimtestaat'!J:J)</f>
        <v>467.13</v>
      </c>
      <c r="N40" s="717"/>
      <c r="O40" s="718">
        <f t="shared" si="3"/>
        <v>5.320805393590157E-2</v>
      </c>
      <c r="P40" s="719"/>
      <c r="Q40" s="192" t="s">
        <v>212</v>
      </c>
      <c r="R40" s="37"/>
    </row>
    <row r="41" spans="1:18" ht="15">
      <c r="A41" s="37" t="s">
        <v>217</v>
      </c>
      <c r="B41" s="313" t="e">
        <f>VLOOKUP(A41,#REF!,3,FALSE)</f>
        <v>#REF!</v>
      </c>
      <c r="C41" s="714">
        <v>8052</v>
      </c>
      <c r="D41" s="332"/>
      <c r="E41" s="238">
        <v>52</v>
      </c>
      <c r="F41" s="443" t="s">
        <v>218</v>
      </c>
      <c r="G41" s="715" t="str">
        <f t="shared" si="0"/>
        <v>52 keer per jaar</v>
      </c>
      <c r="H41" s="385"/>
      <c r="I41" s="386"/>
      <c r="J41" s="385"/>
      <c r="K41" s="386">
        <f t="shared" si="1"/>
        <v>0</v>
      </c>
      <c r="L41" s="394">
        <f t="shared" si="2"/>
        <v>0</v>
      </c>
      <c r="M41" s="716">
        <f>SUMIF('1.3-Basis ruimtestaat'!L:L,C41,'1.3-Basis ruimtestaat'!J:J)</f>
        <v>20.14</v>
      </c>
      <c r="N41" s="717"/>
      <c r="O41" s="718">
        <f t="shared" si="3"/>
        <v>2.2940299408495657E-3</v>
      </c>
      <c r="P41" s="719"/>
      <c r="Q41" s="192" t="s">
        <v>212</v>
      </c>
      <c r="R41" s="37"/>
    </row>
    <row r="42" spans="1:18" ht="15">
      <c r="A42" s="37" t="s">
        <v>217</v>
      </c>
      <c r="B42" s="313" t="e">
        <f>VLOOKUP(A42,#REF!,3,FALSE)</f>
        <v>#REF!</v>
      </c>
      <c r="C42" s="714">
        <v>8104</v>
      </c>
      <c r="D42" s="332"/>
      <c r="E42" s="238">
        <v>104</v>
      </c>
      <c r="F42" s="443" t="s">
        <v>218</v>
      </c>
      <c r="G42" s="715" t="str">
        <f t="shared" si="0"/>
        <v>104 keer per jaar</v>
      </c>
      <c r="H42" s="385"/>
      <c r="I42" s="386"/>
      <c r="J42" s="385"/>
      <c r="K42" s="386">
        <f t="shared" si="1"/>
        <v>0</v>
      </c>
      <c r="L42" s="394">
        <f t="shared" si="2"/>
        <v>0</v>
      </c>
      <c r="M42" s="716">
        <f>SUMIF('1.3-Basis ruimtestaat'!L:L,C42,'1.3-Basis ruimtestaat'!J:J)</f>
        <v>19.489999999999998</v>
      </c>
      <c r="N42" s="717"/>
      <c r="O42" s="718">
        <f t="shared" si="3"/>
        <v>2.2199922317357513E-3</v>
      </c>
      <c r="P42" s="719"/>
      <c r="Q42" s="192" t="s">
        <v>212</v>
      </c>
      <c r="R42" s="37"/>
    </row>
    <row r="43" spans="1:18" ht="15">
      <c r="A43" s="37" t="s">
        <v>217</v>
      </c>
      <c r="B43" s="313" t="e">
        <f>VLOOKUP(A43,#REF!,3,FALSE)</f>
        <v>#REF!</v>
      </c>
      <c r="C43" s="714">
        <v>8156</v>
      </c>
      <c r="D43" s="332"/>
      <c r="E43" s="238">
        <v>156</v>
      </c>
      <c r="F43" s="443" t="s">
        <v>218</v>
      </c>
      <c r="G43" s="715" t="str">
        <f t="shared" si="0"/>
        <v>156 keer per jaar</v>
      </c>
      <c r="H43" s="385"/>
      <c r="I43" s="386"/>
      <c r="J43" s="385"/>
      <c r="K43" s="386">
        <f t="shared" si="1"/>
        <v>0</v>
      </c>
      <c r="L43" s="394">
        <f t="shared" si="2"/>
        <v>0</v>
      </c>
      <c r="M43" s="716">
        <f>SUMIF('1.3-Basis ruimtestaat'!L:L,C43,'1.3-Basis ruimtestaat'!J:J)</f>
        <v>70.460000000000008</v>
      </c>
      <c r="N43" s="717"/>
      <c r="O43" s="718">
        <f t="shared" si="3"/>
        <v>8.0256876679374589E-3</v>
      </c>
      <c r="P43" s="719"/>
      <c r="Q43" s="192" t="s">
        <v>212</v>
      </c>
      <c r="R43" s="37"/>
    </row>
    <row r="44" spans="1:18" ht="15">
      <c r="A44" s="37" t="s">
        <v>217</v>
      </c>
      <c r="B44" s="313" t="e">
        <f>VLOOKUP(A44,#REF!,3,FALSE)</f>
        <v>#REF!</v>
      </c>
      <c r="C44" s="714">
        <v>8255</v>
      </c>
      <c r="D44" s="332"/>
      <c r="E44" s="238">
        <v>255</v>
      </c>
      <c r="F44" s="443" t="s">
        <v>218</v>
      </c>
      <c r="G44" s="715" t="str">
        <f t="shared" si="0"/>
        <v>255 keer per jaar</v>
      </c>
      <c r="H44" s="385"/>
      <c r="I44" s="386"/>
      <c r="J44" s="385"/>
      <c r="K44" s="386">
        <f t="shared" ref="K44:K59" si="4">IF(J44=0,0,(AVERAGE(J44:J44)))</f>
        <v>0</v>
      </c>
      <c r="L44" s="394">
        <f t="shared" ref="L44:L55" si="5">IF(H44=0,0,E44/(SUM(I44+K44)))</f>
        <v>0</v>
      </c>
      <c r="M44" s="716">
        <f>SUMIF('1.3-Basis ruimtestaat'!L:L,C44,'1.3-Basis ruimtestaat'!J:J)</f>
        <v>139.30000000000001</v>
      </c>
      <c r="N44" s="717"/>
      <c r="O44" s="718">
        <f t="shared" si="3"/>
        <v>1.5866850583929719E-2</v>
      </c>
      <c r="P44" s="719"/>
      <c r="Q44" s="192" t="s">
        <v>212</v>
      </c>
      <c r="R44" s="37"/>
    </row>
    <row r="45" spans="1:18" ht="15">
      <c r="A45" s="37" t="s">
        <v>219</v>
      </c>
      <c r="B45" s="313" t="e">
        <f>VLOOKUP(A45,#REF!,3,FALSE)</f>
        <v>#REF!</v>
      </c>
      <c r="C45" s="714">
        <v>9052</v>
      </c>
      <c r="D45" s="332"/>
      <c r="E45" s="238">
        <v>52</v>
      </c>
      <c r="F45" s="443" t="s">
        <v>220</v>
      </c>
      <c r="G45" s="715" t="str">
        <f t="shared" si="0"/>
        <v>52 keer per jaar</v>
      </c>
      <c r="H45" s="385"/>
      <c r="I45" s="386"/>
      <c r="J45" s="385"/>
      <c r="K45" s="386">
        <f>IF(J45=0,0,(AVERAGE(J45:J45)))</f>
        <v>0</v>
      </c>
      <c r="L45" s="394">
        <f>IF(H45=0,0,E45/(SUM(I45+K45)))</f>
        <v>0</v>
      </c>
      <c r="M45" s="716">
        <f>SUMIF('1.3-Basis ruimtestaat'!L:L,C45,'1.3-Basis ruimtestaat'!J:J)</f>
        <v>15.7</v>
      </c>
      <c r="N45" s="717"/>
      <c r="O45" s="718">
        <f t="shared" si="3"/>
        <v>1.788295435518281E-3</v>
      </c>
      <c r="P45" s="719"/>
      <c r="Q45" s="192" t="s">
        <v>212</v>
      </c>
      <c r="R45" s="37"/>
    </row>
    <row r="46" spans="1:18" ht="15">
      <c r="A46" s="37" t="s">
        <v>219</v>
      </c>
      <c r="B46" s="313" t="e">
        <f>VLOOKUP(A46,#REF!,3,FALSE)</f>
        <v>#REF!</v>
      </c>
      <c r="C46" s="714">
        <v>9122</v>
      </c>
      <c r="D46" s="332"/>
      <c r="E46" s="238">
        <v>122</v>
      </c>
      <c r="F46" s="443" t="s">
        <v>220</v>
      </c>
      <c r="G46" s="715" t="str">
        <f t="shared" si="0"/>
        <v>122 keer per jaar</v>
      </c>
      <c r="H46" s="385"/>
      <c r="I46" s="386"/>
      <c r="J46" s="385"/>
      <c r="K46" s="386">
        <f>IF(J46=0,0,(AVERAGE(J46:J46)))</f>
        <v>0</v>
      </c>
      <c r="L46" s="394">
        <f>IF(H46=0,0,E46/(SUM(I46+K46)))</f>
        <v>0</v>
      </c>
      <c r="M46" s="716">
        <f>SUMIF('1.3-Basis ruimtestaat'!L:L,C46,'1.3-Basis ruimtestaat'!J:J)</f>
        <v>0</v>
      </c>
      <c r="N46" s="717"/>
      <c r="O46" s="718" t="str">
        <f t="shared" si="3"/>
        <v/>
      </c>
      <c r="P46" s="628" t="s">
        <v>209</v>
      </c>
      <c r="Q46" s="192" t="s">
        <v>212</v>
      </c>
      <c r="R46" s="37"/>
    </row>
    <row r="47" spans="1:18" ht="15">
      <c r="A47" s="37" t="s">
        <v>219</v>
      </c>
      <c r="B47" s="313" t="e">
        <f>VLOOKUP(A47,#REF!,3,FALSE)</f>
        <v>#REF!</v>
      </c>
      <c r="C47" s="714">
        <v>9255</v>
      </c>
      <c r="D47" s="332"/>
      <c r="E47" s="238">
        <v>255</v>
      </c>
      <c r="F47" s="443" t="s">
        <v>220</v>
      </c>
      <c r="G47" s="715" t="str">
        <f t="shared" si="0"/>
        <v>255 keer per jaar</v>
      </c>
      <c r="H47" s="385"/>
      <c r="I47" s="386"/>
      <c r="J47" s="385"/>
      <c r="K47" s="386">
        <f t="shared" si="4"/>
        <v>0</v>
      </c>
      <c r="L47" s="394">
        <f t="shared" si="5"/>
        <v>0</v>
      </c>
      <c r="M47" s="716">
        <f>SUMIF('1.3-Basis ruimtestaat'!L:L,C47,'1.3-Basis ruimtestaat'!J:J)</f>
        <v>28.52</v>
      </c>
      <c r="N47" s="717"/>
      <c r="O47" s="718">
        <f t="shared" si="3"/>
        <v>3.2485468675784316E-3</v>
      </c>
      <c r="P47" s="719"/>
      <c r="Q47" s="192" t="s">
        <v>212</v>
      </c>
      <c r="R47" s="37"/>
    </row>
    <row r="48" spans="1:18" ht="15">
      <c r="A48" s="37" t="s">
        <v>219</v>
      </c>
      <c r="B48" s="313" t="e">
        <f>VLOOKUP(A48,#REF!,3,FALSE)</f>
        <v>#REF!</v>
      </c>
      <c r="C48" s="714">
        <v>10052</v>
      </c>
      <c r="D48" s="332"/>
      <c r="E48" s="238">
        <v>52</v>
      </c>
      <c r="F48" s="443" t="s">
        <v>221</v>
      </c>
      <c r="G48" s="715" t="str">
        <f t="shared" si="0"/>
        <v>52 keer per jaar</v>
      </c>
      <c r="H48" s="385"/>
      <c r="I48" s="386"/>
      <c r="J48" s="385"/>
      <c r="K48" s="386">
        <f t="shared" si="4"/>
        <v>0</v>
      </c>
      <c r="L48" s="394">
        <f t="shared" si="5"/>
        <v>0</v>
      </c>
      <c r="M48" s="716">
        <f>SUMIF('1.3-Basis ruimtestaat'!L:L,C48,'1.3-Basis ruimtestaat'!J:J)</f>
        <v>19.559999999999999</v>
      </c>
      <c r="N48" s="717"/>
      <c r="O48" s="718">
        <f t="shared" si="3"/>
        <v>2.22796552348647E-3</v>
      </c>
      <c r="P48" s="719"/>
      <c r="Q48" s="192" t="s">
        <v>212</v>
      </c>
      <c r="R48" s="37"/>
    </row>
    <row r="49" spans="1:18" ht="15">
      <c r="B49" s="313"/>
      <c r="C49" s="714">
        <v>10104</v>
      </c>
      <c r="D49" s="332"/>
      <c r="E49" s="238">
        <v>104</v>
      </c>
      <c r="F49" s="443" t="s">
        <v>221</v>
      </c>
      <c r="G49" s="715" t="str">
        <f t="shared" si="0"/>
        <v>104 keer per jaar</v>
      </c>
      <c r="H49" s="385"/>
      <c r="I49" s="386"/>
      <c r="J49" s="385"/>
      <c r="K49" s="386">
        <f>IF(J49=0,0,(AVERAGE(J49:J49)))</f>
        <v>0</v>
      </c>
      <c r="L49" s="394">
        <f>IF(H49=0,0,E49/(SUM(I49+K49)))</f>
        <v>0</v>
      </c>
      <c r="M49" s="716">
        <f>SUMIF('1.3-Basis ruimtestaat'!L:L,C49,'1.3-Basis ruimtestaat'!J:J)</f>
        <v>128.01</v>
      </c>
      <c r="N49" s="717"/>
      <c r="O49" s="718">
        <f t="shared" si="3"/>
        <v>1.4580872528706698E-2</v>
      </c>
      <c r="P49" s="719"/>
      <c r="Q49" s="192" t="s">
        <v>212</v>
      </c>
      <c r="R49" s="37"/>
    </row>
    <row r="50" spans="1:18" ht="15">
      <c r="B50" s="313"/>
      <c r="C50" s="714">
        <v>10156</v>
      </c>
      <c r="D50" s="332"/>
      <c r="E50" s="238">
        <v>156</v>
      </c>
      <c r="F50" s="443" t="s">
        <v>221</v>
      </c>
      <c r="G50" s="715" t="str">
        <f t="shared" si="0"/>
        <v>156 keer per jaar</v>
      </c>
      <c r="H50" s="385"/>
      <c r="I50" s="386"/>
      <c r="J50" s="734"/>
      <c r="K50" s="386">
        <f>IF(J50=0,0,(AVERAGE(J50:J50)))</f>
        <v>0</v>
      </c>
      <c r="L50" s="394">
        <f>IF(H50=0,0,E50/(SUM(I50+K50)))</f>
        <v>0</v>
      </c>
      <c r="M50" s="716">
        <f>SUMIF('1.3-Basis ruimtestaat'!L:L,C50,'1.3-Basis ruimtestaat'!J:J)</f>
        <v>87.81</v>
      </c>
      <c r="N50" s="717"/>
      <c r="O50" s="718">
        <f t="shared" si="3"/>
        <v>1.000192498043696E-2</v>
      </c>
      <c r="P50" s="719"/>
      <c r="Q50" s="192" t="s">
        <v>212</v>
      </c>
      <c r="R50" s="37"/>
    </row>
    <row r="51" spans="1:18" ht="15">
      <c r="B51" s="313"/>
      <c r="C51" s="714">
        <v>10255</v>
      </c>
      <c r="D51" s="332"/>
      <c r="E51" s="238">
        <v>255</v>
      </c>
      <c r="F51" s="443" t="s">
        <v>221</v>
      </c>
      <c r="G51" s="715" t="str">
        <f t="shared" si="0"/>
        <v>255 keer per jaar</v>
      </c>
      <c r="H51" s="385"/>
      <c r="I51" s="386"/>
      <c r="J51" s="385"/>
      <c r="K51" s="386">
        <f t="shared" si="4"/>
        <v>0</v>
      </c>
      <c r="L51" s="394">
        <f t="shared" si="5"/>
        <v>0</v>
      </c>
      <c r="M51" s="716">
        <f>SUMIF('1.3-Basis ruimtestaat'!L:L,C51,'1.3-Basis ruimtestaat'!J:J)</f>
        <v>208.32000000000002</v>
      </c>
      <c r="N51" s="717"/>
      <c r="O51" s="718">
        <f t="shared" si="3"/>
        <v>2.3728516250138113E-2</v>
      </c>
      <c r="P51" s="719"/>
      <c r="Q51" s="192" t="s">
        <v>212</v>
      </c>
      <c r="R51" s="37"/>
    </row>
    <row r="52" spans="1:18" ht="15">
      <c r="B52" s="313"/>
      <c r="C52" s="714">
        <v>15052</v>
      </c>
      <c r="D52" s="332"/>
      <c r="E52" s="238">
        <v>52</v>
      </c>
      <c r="F52" s="443" t="s">
        <v>222</v>
      </c>
      <c r="G52" s="715" t="str">
        <f t="shared" si="0"/>
        <v>52 keer per jaar</v>
      </c>
      <c r="H52" s="385"/>
      <c r="I52" s="386"/>
      <c r="J52" s="385"/>
      <c r="K52" s="386">
        <f t="shared" si="4"/>
        <v>0</v>
      </c>
      <c r="L52" s="394">
        <f t="shared" si="5"/>
        <v>0</v>
      </c>
      <c r="M52" s="716">
        <f>SUMIF('1.3-Basis ruimtestaat'!L:L,C52,'1.3-Basis ruimtestaat'!J:J)</f>
        <v>63.19</v>
      </c>
      <c r="N52" s="717"/>
      <c r="O52" s="718">
        <f t="shared" si="3"/>
        <v>7.1976043675414129E-3</v>
      </c>
      <c r="P52" s="719"/>
      <c r="Q52" s="192" t="s">
        <v>212</v>
      </c>
      <c r="R52" s="37"/>
    </row>
    <row r="53" spans="1:18" ht="15">
      <c r="A53" s="37" t="s">
        <v>210</v>
      </c>
      <c r="B53" s="313" t="e">
        <f>VLOOKUP(A53,#REF!,3,FALSE)</f>
        <v>#REF!</v>
      </c>
      <c r="C53" s="714">
        <v>15104</v>
      </c>
      <c r="D53" s="332"/>
      <c r="E53" s="238">
        <v>104</v>
      </c>
      <c r="F53" s="443" t="s">
        <v>222</v>
      </c>
      <c r="G53" s="715" t="str">
        <f t="shared" si="0"/>
        <v>104 keer per jaar</v>
      </c>
      <c r="H53" s="385"/>
      <c r="I53" s="386"/>
      <c r="J53" s="385"/>
      <c r="K53" s="386">
        <f>IF(J53=0,0,(AVERAGE(J53:J53)))</f>
        <v>0</v>
      </c>
      <c r="L53" s="394">
        <f>IF(H53=0,0,E53/(SUM(I53+K53)))</f>
        <v>0</v>
      </c>
      <c r="M53" s="716">
        <f>SUMIF('1.3-Basis ruimtestaat'!L:L,C53,'1.3-Basis ruimtestaat'!J:J)</f>
        <v>0</v>
      </c>
      <c r="N53" s="717"/>
      <c r="O53" s="718" t="str">
        <f t="shared" si="3"/>
        <v/>
      </c>
      <c r="P53" s="719"/>
      <c r="Q53" s="192" t="s">
        <v>212</v>
      </c>
      <c r="R53" s="37"/>
    </row>
    <row r="54" spans="1:18" ht="15">
      <c r="B54" s="313"/>
      <c r="C54" s="714">
        <v>15156</v>
      </c>
      <c r="D54" s="332"/>
      <c r="E54" s="238">
        <v>156</v>
      </c>
      <c r="F54" s="443" t="s">
        <v>222</v>
      </c>
      <c r="G54" s="715" t="str">
        <f t="shared" si="0"/>
        <v>156 keer per jaar</v>
      </c>
      <c r="H54" s="385"/>
      <c r="I54" s="386"/>
      <c r="J54" s="385"/>
      <c r="K54" s="386">
        <f>IF(J54=0,0,(AVERAGE(J54:J54)))</f>
        <v>0</v>
      </c>
      <c r="L54" s="394">
        <f>IF(H54=0,0,E54/(SUM(I54+K54)))</f>
        <v>0</v>
      </c>
      <c r="M54" s="716">
        <f>SUMIF('1.3-Basis ruimtestaat'!L:L,C54,'1.3-Basis ruimtestaat'!J:J)</f>
        <v>26.03</v>
      </c>
      <c r="N54" s="717"/>
      <c r="O54" s="718">
        <f t="shared" si="3"/>
        <v>2.9649254895885899E-3</v>
      </c>
      <c r="P54" s="719"/>
      <c r="Q54" s="192" t="s">
        <v>212</v>
      </c>
      <c r="R54" s="37"/>
    </row>
    <row r="55" spans="1:18" ht="15">
      <c r="B55" s="313"/>
      <c r="C55" s="714">
        <v>15255</v>
      </c>
      <c r="D55" s="332"/>
      <c r="E55" s="238">
        <v>255</v>
      </c>
      <c r="F55" s="443" t="s">
        <v>222</v>
      </c>
      <c r="G55" s="715" t="str">
        <f t="shared" si="0"/>
        <v>255 keer per jaar</v>
      </c>
      <c r="H55" s="385"/>
      <c r="I55" s="386"/>
      <c r="J55" s="385"/>
      <c r="K55" s="386">
        <f t="shared" si="4"/>
        <v>0</v>
      </c>
      <c r="L55" s="394">
        <f t="shared" si="5"/>
        <v>0</v>
      </c>
      <c r="M55" s="716">
        <f>SUMIF('1.3-Basis ruimtestaat'!L:L,C55,'1.3-Basis ruimtestaat'!J:J)</f>
        <v>31</v>
      </c>
      <c r="N55" s="717"/>
      <c r="O55" s="718">
        <f t="shared" si="3"/>
        <v>3.5310292038895998E-3</v>
      </c>
      <c r="P55" s="719"/>
      <c r="Q55" s="192" t="s">
        <v>212</v>
      </c>
      <c r="R55" s="37"/>
    </row>
    <row r="56" spans="1:18" ht="15">
      <c r="B56" s="313"/>
      <c r="C56" s="714">
        <v>16052</v>
      </c>
      <c r="D56" s="332"/>
      <c r="E56" s="238">
        <v>52</v>
      </c>
      <c r="F56" s="443" t="s">
        <v>223</v>
      </c>
      <c r="G56" s="715" t="str">
        <f t="shared" si="0"/>
        <v>52 keer per jaar</v>
      </c>
      <c r="H56" s="385"/>
      <c r="I56" s="386"/>
      <c r="J56" s="385"/>
      <c r="K56" s="386">
        <f t="shared" si="4"/>
        <v>0</v>
      </c>
      <c r="L56" s="394">
        <f>IF(H56=0,0,E56/(SUM(I56+K56)))</f>
        <v>0</v>
      </c>
      <c r="M56" s="716">
        <f>SUMIF('1.3-Basis ruimtestaat'!L:L,C56,'1.3-Basis ruimtestaat'!J:J)</f>
        <v>3.66</v>
      </c>
      <c r="N56" s="717"/>
      <c r="O56" s="718">
        <f t="shared" si="3"/>
        <v>4.168892543947076E-4</v>
      </c>
      <c r="P56" s="719"/>
      <c r="Q56" s="192" t="s">
        <v>212</v>
      </c>
      <c r="R56" s="37"/>
    </row>
    <row r="57" spans="1:18" ht="15">
      <c r="B57" s="313"/>
      <c r="C57" s="714">
        <v>16104</v>
      </c>
      <c r="D57" s="332"/>
      <c r="E57" s="238">
        <v>104</v>
      </c>
      <c r="F57" s="443" t="s">
        <v>223</v>
      </c>
      <c r="G57" s="715" t="str">
        <f t="shared" si="0"/>
        <v>104 keer per jaar</v>
      </c>
      <c r="H57" s="385"/>
      <c r="I57" s="386"/>
      <c r="J57" s="385"/>
      <c r="K57" s="386">
        <f>IF(J57=0,0,(AVERAGE(J57:J57)))</f>
        <v>0</v>
      </c>
      <c r="L57" s="394">
        <f>IF(H57=0,0,E57/(SUM(I57+K57)))</f>
        <v>0</v>
      </c>
      <c r="M57" s="716">
        <f>SUMIF('1.3-Basis ruimtestaat'!L:L,C57,'1.3-Basis ruimtestaat'!J:J)</f>
        <v>36.090000000000003</v>
      </c>
      <c r="N57" s="717"/>
      <c r="O57" s="718">
        <f t="shared" si="3"/>
        <v>4.1108014183346992E-3</v>
      </c>
      <c r="P57" s="719"/>
      <c r="Q57" s="192" t="s">
        <v>212</v>
      </c>
      <c r="R57" s="37"/>
    </row>
    <row r="58" spans="1:18" ht="15">
      <c r="B58" s="313"/>
      <c r="C58" s="714">
        <v>16156</v>
      </c>
      <c r="D58" s="332"/>
      <c r="E58" s="238">
        <v>156</v>
      </c>
      <c r="F58" s="443" t="s">
        <v>223</v>
      </c>
      <c r="G58" s="715" t="str">
        <f t="shared" si="0"/>
        <v>156 keer per jaar</v>
      </c>
      <c r="H58" s="385"/>
      <c r="I58" s="386"/>
      <c r="J58" s="385"/>
      <c r="K58" s="386">
        <f>IF(J58=0,0,(AVERAGE(J58:J58)))</f>
        <v>0</v>
      </c>
      <c r="L58" s="394">
        <f>IF(H58=0,0,E58/(SUM(I58+K58)))</f>
        <v>0</v>
      </c>
      <c r="M58" s="716">
        <f>SUMIF('1.3-Basis ruimtestaat'!L:L,C58,'1.3-Basis ruimtestaat'!J:J)</f>
        <v>9.1999999999999993</v>
      </c>
      <c r="N58" s="717"/>
      <c r="O58" s="718">
        <f t="shared" si="3"/>
        <v>1.0479183443801391E-3</v>
      </c>
      <c r="P58" s="719"/>
      <c r="Q58" s="192" t="s">
        <v>212</v>
      </c>
      <c r="R58" s="37"/>
    </row>
    <row r="59" spans="1:18" ht="15">
      <c r="B59" s="313"/>
      <c r="C59" s="714" t="s">
        <v>224</v>
      </c>
      <c r="D59" s="720"/>
      <c r="E59" s="720"/>
      <c r="F59" s="721" t="s">
        <v>224</v>
      </c>
      <c r="G59" s="715"/>
      <c r="H59" s="385"/>
      <c r="I59" s="386"/>
      <c r="J59" s="385"/>
      <c r="K59" s="386">
        <f t="shared" si="4"/>
        <v>0</v>
      </c>
      <c r="L59" s="394">
        <f>IF(H59=0,0,E59/(H59+#REF!))</f>
        <v>0</v>
      </c>
      <c r="M59" s="716"/>
      <c r="N59" s="717">
        <f>SUMIF('1.3-Basis ruimtestaat'!L:L,C59,'1.3-Basis ruimtestaat'!K:K)</f>
        <v>0</v>
      </c>
      <c r="O59" s="718" t="str">
        <f>IF(N59=0,"",N59/$N$64)</f>
        <v/>
      </c>
      <c r="P59" s="719"/>
      <c r="Q59" s="192"/>
      <c r="R59" s="37"/>
    </row>
    <row r="60" spans="1:18" ht="15">
      <c r="B60" s="313"/>
      <c r="C60" s="714" t="s">
        <v>225</v>
      </c>
      <c r="D60" s="720"/>
      <c r="E60" s="720"/>
      <c r="F60" s="443" t="s">
        <v>226</v>
      </c>
      <c r="G60" s="715"/>
      <c r="H60" s="385"/>
      <c r="I60" s="386"/>
      <c r="J60" s="385"/>
      <c r="K60" s="722"/>
      <c r="L60" s="394">
        <f>IF(H60=0,0,E60/(H60+#REF!))</f>
        <v>0</v>
      </c>
      <c r="M60" s="716"/>
      <c r="N60" s="717">
        <f>SUMIF('1.3-Basis ruimtestaat'!L:L,C60,'1.3-Basis ruimtestaat'!K:K)</f>
        <v>2822.39</v>
      </c>
      <c r="O60" s="718">
        <f>IF(N60=0,"",N60/$N$64)</f>
        <v>0.32148198434728925</v>
      </c>
      <c r="P60" s="719"/>
      <c r="Q60" s="192"/>
      <c r="R60" s="37"/>
    </row>
    <row r="61" spans="1:18" ht="15">
      <c r="B61" s="313" t="s">
        <v>77</v>
      </c>
      <c r="C61" s="714" t="s">
        <v>227</v>
      </c>
      <c r="D61" s="720"/>
      <c r="E61" s="720"/>
      <c r="F61" s="443" t="s">
        <v>228</v>
      </c>
      <c r="G61" s="715"/>
      <c r="H61" s="385"/>
      <c r="I61" s="386"/>
      <c r="J61" s="385"/>
      <c r="K61" s="722"/>
      <c r="L61" s="394"/>
      <c r="M61" s="716">
        <f>SUMIF('1.3-Basis ruimtestaat'!L:L,C61,'1.3-Basis ruimtestaat'!J:J)</f>
        <v>0</v>
      </c>
      <c r="N61" s="717">
        <f>SUMIF('1.3-Basis ruimtestaat'!L:L,C61,'1.3-Basis ruimtestaat'!J:J)</f>
        <v>0</v>
      </c>
      <c r="O61" s="718" t="str">
        <f>IF(N61=0,"",N61/$N$64)</f>
        <v/>
      </c>
      <c r="P61" s="719"/>
      <c r="Q61" s="192"/>
      <c r="R61" s="37"/>
    </row>
    <row r="62" spans="1:18" ht="15">
      <c r="C62" s="239" t="s">
        <v>229</v>
      </c>
      <c r="D62" s="239"/>
      <c r="E62" s="240"/>
      <c r="F62" s="723" t="s">
        <v>230</v>
      </c>
      <c r="G62" s="724"/>
      <c r="H62" s="385"/>
      <c r="I62" s="386"/>
      <c r="J62" s="385"/>
      <c r="K62" s="385">
        <v>0</v>
      </c>
      <c r="L62" s="394"/>
      <c r="M62" s="716">
        <f>SUMIF('1.3-Basis ruimtestaat'!L:L,C62,'1.3-Basis ruimtestaat'!J:J)</f>
        <v>0</v>
      </c>
      <c r="N62" s="717">
        <f>SUMIF('1.3-Basis ruimtestaat'!L:L,C62,'1.3-Basis ruimtestaat'!J:J)</f>
        <v>0</v>
      </c>
      <c r="O62" s="718" t="str">
        <f>IF(N62=0,"",N62/$N$64)</f>
        <v/>
      </c>
      <c r="P62" s="628"/>
      <c r="Q62" s="192"/>
      <c r="R62" s="37"/>
    </row>
    <row r="63" spans="1:18" ht="15">
      <c r="H63" s="385"/>
      <c r="I63" s="386"/>
      <c r="J63" s="385"/>
      <c r="M63" s="283">
        <f>SUM(M18:M62)</f>
        <v>5956.92</v>
      </c>
      <c r="N63" s="283">
        <f>SUM(N18:N62)</f>
        <v>2822.39</v>
      </c>
      <c r="O63" s="283"/>
      <c r="P63" s="289">
        <f>SUM(O15:O62)</f>
        <v>1.0048124510923979</v>
      </c>
      <c r="Q63" s="36"/>
      <c r="R63" s="37"/>
    </row>
    <row r="64" spans="1:18">
      <c r="D64" s="105"/>
      <c r="F64" s="44"/>
      <c r="G64" s="30"/>
      <c r="H64" s="31"/>
      <c r="M64" s="292" t="s">
        <v>231</v>
      </c>
      <c r="N64" s="434">
        <f>N63+M63</f>
        <v>8779.31</v>
      </c>
      <c r="Q64" s="725"/>
      <c r="R64" s="37"/>
    </row>
    <row r="65" spans="6:22">
      <c r="O65" s="726"/>
      <c r="P65" s="727"/>
      <c r="Q65" s="725"/>
      <c r="R65" s="37"/>
    </row>
    <row r="66" spans="6:22">
      <c r="F66" s="44"/>
      <c r="G66" s="30"/>
      <c r="H66" s="46"/>
      <c r="L66" s="32"/>
      <c r="M66" s="32"/>
      <c r="N66" s="32"/>
      <c r="O66" s="32"/>
      <c r="P66" s="32"/>
      <c r="Q66" s="32"/>
      <c r="R66" s="728"/>
    </row>
    <row r="67" spans="6:22" ht="13.5" hidden="1" thickBot="1">
      <c r="F67" s="429"/>
      <c r="G67" s="430"/>
      <c r="H67" s="431"/>
      <c r="I67" s="432"/>
      <c r="J67" s="433"/>
      <c r="K67" s="327" t="s">
        <v>232</v>
      </c>
      <c r="L67" s="389" t="s">
        <v>224</v>
      </c>
      <c r="M67" s="284">
        <v>0</v>
      </c>
      <c r="N67" s="284"/>
      <c r="O67" s="285"/>
      <c r="P67" s="286"/>
      <c r="Q67" s="286"/>
      <c r="R67" s="728"/>
    </row>
    <row r="68" spans="6:22" hidden="1">
      <c r="F68" s="44"/>
      <c r="G68" s="30"/>
      <c r="H68" s="46"/>
      <c r="L68" s="284" t="s">
        <v>233</v>
      </c>
      <c r="M68" s="285">
        <f>O68+P68</f>
        <v>7</v>
      </c>
      <c r="N68" s="285">
        <f>M68+2</f>
        <v>9</v>
      </c>
      <c r="O68" s="285">
        <v>5</v>
      </c>
      <c r="P68" s="287">
        <v>2</v>
      </c>
      <c r="Q68" s="287">
        <f>P68+5</f>
        <v>7</v>
      </c>
      <c r="R68" s="728"/>
    </row>
    <row r="69" spans="6:22" hidden="1">
      <c r="F69" s="44"/>
      <c r="G69" s="30"/>
      <c r="H69" s="46"/>
      <c r="L69" s="284" t="s">
        <v>234</v>
      </c>
      <c r="M69" s="285">
        <f>O69+P69</f>
        <v>8</v>
      </c>
      <c r="N69" s="285">
        <f>M69+2</f>
        <v>10</v>
      </c>
      <c r="O69" s="285">
        <v>5</v>
      </c>
      <c r="P69" s="287">
        <v>3</v>
      </c>
      <c r="Q69" s="287">
        <f>P69+5</f>
        <v>8</v>
      </c>
      <c r="R69" s="32"/>
      <c r="S69" s="32"/>
      <c r="T69" s="32"/>
      <c r="U69" s="32"/>
      <c r="V69" s="32"/>
    </row>
    <row r="70" spans="6:22" hidden="1">
      <c r="F70" s="44"/>
      <c r="G70" s="30"/>
      <c r="H70" s="46"/>
      <c r="L70" s="284" t="s">
        <v>235</v>
      </c>
      <c r="M70" s="285"/>
      <c r="N70" s="285"/>
      <c r="O70" s="285"/>
      <c r="P70" s="287"/>
      <c r="Q70" s="287"/>
    </row>
    <row r="71" spans="6:22" hidden="1">
      <c r="F71" s="44"/>
      <c r="G71" s="30"/>
      <c r="H71" s="46"/>
      <c r="L71" s="284" t="s">
        <v>236</v>
      </c>
      <c r="M71" s="285">
        <f>O71+P71</f>
        <v>7</v>
      </c>
      <c r="N71" s="285">
        <f>M71+2</f>
        <v>9</v>
      </c>
      <c r="O71" s="285">
        <v>5</v>
      </c>
      <c r="P71" s="287">
        <v>2</v>
      </c>
      <c r="Q71" s="287">
        <f>P71+5</f>
        <v>7</v>
      </c>
    </row>
    <row r="72" spans="6:22" hidden="1">
      <c r="F72" s="44"/>
      <c r="G72" s="30"/>
      <c r="H72" s="46"/>
      <c r="L72" s="284" t="s">
        <v>237</v>
      </c>
      <c r="M72" s="285">
        <f t="shared" ref="M72:M78" si="6">O72+P72</f>
        <v>8</v>
      </c>
      <c r="N72" s="285">
        <f>M72+2</f>
        <v>10</v>
      </c>
      <c r="O72" s="285">
        <v>5</v>
      </c>
      <c r="P72" s="287">
        <v>3</v>
      </c>
      <c r="Q72" s="287">
        <f t="shared" ref="Q72:Q102" si="7">P72+5</f>
        <v>8</v>
      </c>
    </row>
    <row r="73" spans="6:22" hidden="1">
      <c r="F73" s="44"/>
      <c r="G73" s="30"/>
      <c r="H73" s="46"/>
      <c r="L73" s="284" t="s">
        <v>238</v>
      </c>
      <c r="M73" s="285">
        <f t="shared" si="6"/>
        <v>6</v>
      </c>
      <c r="N73" s="285">
        <f>M73+2</f>
        <v>8</v>
      </c>
      <c r="O73" s="285">
        <v>5</v>
      </c>
      <c r="P73" s="287">
        <v>1</v>
      </c>
      <c r="Q73" s="287">
        <f t="shared" si="7"/>
        <v>6</v>
      </c>
    </row>
    <row r="74" spans="6:22" hidden="1">
      <c r="F74" s="44"/>
      <c r="G74" s="30"/>
      <c r="H74" s="46"/>
      <c r="L74" s="284" t="s">
        <v>239</v>
      </c>
      <c r="M74" s="285">
        <f t="shared" si="6"/>
        <v>7</v>
      </c>
      <c r="N74" s="285">
        <f t="shared" ref="N74:N102" si="8">M74+2</f>
        <v>9</v>
      </c>
      <c r="O74" s="285">
        <v>5</v>
      </c>
      <c r="P74" s="287">
        <v>2</v>
      </c>
      <c r="Q74" s="287">
        <f t="shared" si="7"/>
        <v>7</v>
      </c>
    </row>
    <row r="75" spans="6:22" hidden="1">
      <c r="F75" s="44"/>
      <c r="G75" s="30"/>
      <c r="H75" s="46"/>
      <c r="L75" s="284" t="s">
        <v>240</v>
      </c>
      <c r="M75" s="285">
        <f>O75+P75</f>
        <v>8</v>
      </c>
      <c r="N75" s="285">
        <f t="shared" si="8"/>
        <v>10</v>
      </c>
      <c r="O75" s="285">
        <v>5</v>
      </c>
      <c r="P75" s="287">
        <v>3</v>
      </c>
      <c r="Q75" s="287">
        <f>P75+5</f>
        <v>8</v>
      </c>
    </row>
    <row r="76" spans="6:22" hidden="1">
      <c r="F76" s="44"/>
      <c r="G76" s="30"/>
      <c r="H76" s="46"/>
      <c r="L76" s="284" t="s">
        <v>241</v>
      </c>
      <c r="M76" s="285">
        <f t="shared" si="6"/>
        <v>8</v>
      </c>
      <c r="N76" s="285">
        <f t="shared" si="8"/>
        <v>10</v>
      </c>
      <c r="O76" s="285">
        <v>5</v>
      </c>
      <c r="P76" s="287">
        <v>3</v>
      </c>
      <c r="Q76" s="287">
        <f t="shared" si="7"/>
        <v>8</v>
      </c>
    </row>
    <row r="77" spans="6:22" hidden="1">
      <c r="F77" s="44"/>
      <c r="G77" s="30"/>
      <c r="H77" s="46"/>
      <c r="L77" s="284" t="s">
        <v>242</v>
      </c>
      <c r="M77" s="285">
        <f>O77+P77</f>
        <v>9</v>
      </c>
      <c r="N77" s="285">
        <f t="shared" si="8"/>
        <v>11</v>
      </c>
      <c r="O77" s="285">
        <v>5</v>
      </c>
      <c r="P77" s="287">
        <v>4</v>
      </c>
      <c r="Q77" s="287">
        <f>P77+5</f>
        <v>9</v>
      </c>
    </row>
    <row r="78" spans="6:22" hidden="1">
      <c r="F78" s="44"/>
      <c r="G78" s="30"/>
      <c r="H78" s="46"/>
      <c r="L78" s="284" t="s">
        <v>243</v>
      </c>
      <c r="M78" s="285">
        <f t="shared" si="6"/>
        <v>9</v>
      </c>
      <c r="N78" s="285">
        <f t="shared" si="8"/>
        <v>11</v>
      </c>
      <c r="O78" s="285">
        <v>5</v>
      </c>
      <c r="P78" s="287">
        <v>4</v>
      </c>
      <c r="Q78" s="287">
        <f t="shared" si="7"/>
        <v>9</v>
      </c>
    </row>
    <row r="79" spans="6:22" hidden="1">
      <c r="F79" s="44"/>
      <c r="G79" s="30"/>
      <c r="H79" s="46"/>
      <c r="L79" s="284" t="s">
        <v>244</v>
      </c>
      <c r="M79" s="285">
        <f t="shared" ref="M79:M94" si="9">O79+P79</f>
        <v>7</v>
      </c>
      <c r="N79" s="285">
        <f t="shared" si="8"/>
        <v>9</v>
      </c>
      <c r="O79" s="285">
        <v>5</v>
      </c>
      <c r="P79" s="287">
        <v>2</v>
      </c>
      <c r="Q79" s="287">
        <f t="shared" si="7"/>
        <v>7</v>
      </c>
    </row>
    <row r="80" spans="6:22" hidden="1">
      <c r="F80" s="44"/>
      <c r="G80" s="30"/>
      <c r="H80" s="46"/>
      <c r="L80" s="284" t="s">
        <v>245</v>
      </c>
      <c r="M80" s="285">
        <f t="shared" si="9"/>
        <v>7</v>
      </c>
      <c r="N80" s="285">
        <f t="shared" si="8"/>
        <v>9</v>
      </c>
      <c r="O80" s="285">
        <v>5</v>
      </c>
      <c r="P80" s="287">
        <v>2</v>
      </c>
      <c r="Q80" s="287">
        <f t="shared" si="7"/>
        <v>7</v>
      </c>
    </row>
    <row r="81" spans="6:17" hidden="1">
      <c r="F81" s="44"/>
      <c r="G81" s="30"/>
      <c r="H81" s="46"/>
      <c r="L81" s="284" t="s">
        <v>246</v>
      </c>
      <c r="M81" s="285">
        <f t="shared" si="9"/>
        <v>7</v>
      </c>
      <c r="N81" s="285">
        <f t="shared" si="8"/>
        <v>9</v>
      </c>
      <c r="O81" s="285">
        <v>5</v>
      </c>
      <c r="P81" s="287">
        <v>2</v>
      </c>
      <c r="Q81" s="287">
        <f t="shared" si="7"/>
        <v>7</v>
      </c>
    </row>
    <row r="82" spans="6:17" hidden="1">
      <c r="F82" s="44"/>
      <c r="G82" s="30"/>
      <c r="H82" s="46"/>
      <c r="L82" s="284" t="s">
        <v>247</v>
      </c>
      <c r="M82" s="285">
        <f>O82+P82</f>
        <v>6</v>
      </c>
      <c r="N82" s="285">
        <f t="shared" si="8"/>
        <v>8</v>
      </c>
      <c r="O82" s="285">
        <v>5</v>
      </c>
      <c r="P82" s="287">
        <v>1</v>
      </c>
      <c r="Q82" s="287">
        <f>P82+5</f>
        <v>6</v>
      </c>
    </row>
    <row r="83" spans="6:17" hidden="1">
      <c r="F83" s="44"/>
      <c r="G83" s="30"/>
      <c r="H83" s="46"/>
      <c r="L83" s="284" t="s">
        <v>248</v>
      </c>
      <c r="M83" s="285">
        <f t="shared" si="9"/>
        <v>6</v>
      </c>
      <c r="N83" s="285">
        <f t="shared" si="8"/>
        <v>8</v>
      </c>
      <c r="O83" s="285">
        <v>5</v>
      </c>
      <c r="P83" s="287">
        <v>1</v>
      </c>
      <c r="Q83" s="287">
        <f t="shared" si="7"/>
        <v>6</v>
      </c>
    </row>
    <row r="84" spans="6:17" hidden="1">
      <c r="F84" s="44"/>
      <c r="G84" s="30"/>
      <c r="H84" s="46"/>
      <c r="L84" s="284" t="s">
        <v>249</v>
      </c>
      <c r="M84" s="285">
        <f>O84+P84</f>
        <v>8</v>
      </c>
      <c r="N84" s="285">
        <f t="shared" si="8"/>
        <v>10</v>
      </c>
      <c r="O84" s="285">
        <v>5</v>
      </c>
      <c r="P84" s="287">
        <v>3</v>
      </c>
      <c r="Q84" s="287">
        <f>P84+5</f>
        <v>8</v>
      </c>
    </row>
    <row r="85" spans="6:17" hidden="1">
      <c r="F85" s="726"/>
      <c r="G85" s="30"/>
      <c r="H85" s="46"/>
      <c r="L85" s="284" t="s">
        <v>250</v>
      </c>
      <c r="M85" s="285">
        <f>O85+P85</f>
        <v>9</v>
      </c>
      <c r="N85" s="285">
        <f t="shared" si="8"/>
        <v>11</v>
      </c>
      <c r="O85" s="285">
        <v>5</v>
      </c>
      <c r="P85" s="287">
        <v>4</v>
      </c>
      <c r="Q85" s="287">
        <f>P85+5</f>
        <v>9</v>
      </c>
    </row>
    <row r="86" spans="6:17" hidden="1">
      <c r="F86" s="726"/>
      <c r="G86" s="30"/>
      <c r="H86" s="46"/>
      <c r="L86" s="284" t="s">
        <v>251</v>
      </c>
      <c r="M86" s="285">
        <f>O86+P86</f>
        <v>9</v>
      </c>
      <c r="N86" s="285">
        <f t="shared" si="8"/>
        <v>11</v>
      </c>
      <c r="O86" s="285">
        <v>5</v>
      </c>
      <c r="P86" s="287">
        <v>4</v>
      </c>
      <c r="Q86" s="287">
        <f>P86+5</f>
        <v>9</v>
      </c>
    </row>
    <row r="87" spans="6:17" hidden="1">
      <c r="F87" s="44"/>
      <c r="G87" s="30"/>
      <c r="H87" s="46"/>
      <c r="L87" s="284" t="s">
        <v>252</v>
      </c>
      <c r="M87" s="285">
        <f t="shared" si="9"/>
        <v>7</v>
      </c>
      <c r="N87" s="285">
        <f t="shared" si="8"/>
        <v>9</v>
      </c>
      <c r="O87" s="285">
        <v>5</v>
      </c>
      <c r="P87" s="287">
        <v>2</v>
      </c>
      <c r="Q87" s="287">
        <f t="shared" si="7"/>
        <v>7</v>
      </c>
    </row>
    <row r="88" spans="6:17" hidden="1">
      <c r="F88" s="44"/>
      <c r="G88" s="30"/>
      <c r="H88" s="46"/>
      <c r="L88" s="284" t="s">
        <v>253</v>
      </c>
      <c r="M88" s="285">
        <f t="shared" si="9"/>
        <v>6</v>
      </c>
      <c r="N88" s="285">
        <f t="shared" si="8"/>
        <v>8</v>
      </c>
      <c r="O88" s="285">
        <v>5</v>
      </c>
      <c r="P88" s="287">
        <v>1</v>
      </c>
      <c r="Q88" s="287">
        <f t="shared" si="7"/>
        <v>6</v>
      </c>
    </row>
    <row r="89" spans="6:17" hidden="1">
      <c r="F89" s="44"/>
      <c r="G89" s="30"/>
      <c r="H89" s="46"/>
      <c r="L89" s="284" t="s">
        <v>254</v>
      </c>
      <c r="M89" s="285">
        <f>O89+P89</f>
        <v>8</v>
      </c>
      <c r="N89" s="285">
        <f t="shared" si="8"/>
        <v>10</v>
      </c>
      <c r="O89" s="285">
        <v>5</v>
      </c>
      <c r="P89" s="287">
        <v>3</v>
      </c>
      <c r="Q89" s="287">
        <f>P89+5</f>
        <v>8</v>
      </c>
    </row>
    <row r="90" spans="6:17" hidden="1">
      <c r="F90" s="44"/>
      <c r="G90" s="30"/>
      <c r="H90" s="46"/>
      <c r="L90" s="284" t="s">
        <v>255</v>
      </c>
      <c r="M90" s="285">
        <f t="shared" si="9"/>
        <v>8</v>
      </c>
      <c r="N90" s="285">
        <f t="shared" si="8"/>
        <v>10</v>
      </c>
      <c r="O90" s="285">
        <v>5</v>
      </c>
      <c r="P90" s="287">
        <v>3</v>
      </c>
      <c r="Q90" s="287">
        <f t="shared" si="7"/>
        <v>8</v>
      </c>
    </row>
    <row r="91" spans="6:17" hidden="1">
      <c r="F91" s="44"/>
      <c r="G91" s="30"/>
      <c r="H91" s="46"/>
      <c r="L91" s="284" t="s">
        <v>256</v>
      </c>
      <c r="M91" s="285">
        <f t="shared" si="9"/>
        <v>5</v>
      </c>
      <c r="N91" s="285">
        <f t="shared" si="8"/>
        <v>7</v>
      </c>
      <c r="O91" s="285">
        <v>5</v>
      </c>
      <c r="P91" s="287">
        <v>0</v>
      </c>
      <c r="Q91" s="287"/>
    </row>
    <row r="92" spans="6:17" hidden="1">
      <c r="F92" s="44"/>
      <c r="G92" s="30"/>
      <c r="H92" s="46"/>
      <c r="L92" s="284" t="s">
        <v>257</v>
      </c>
      <c r="M92" s="285">
        <f t="shared" si="9"/>
        <v>7</v>
      </c>
      <c r="N92" s="285">
        <f t="shared" si="8"/>
        <v>9</v>
      </c>
      <c r="O92" s="285">
        <v>5</v>
      </c>
      <c r="P92" s="287">
        <v>2</v>
      </c>
      <c r="Q92" s="287">
        <f t="shared" si="7"/>
        <v>7</v>
      </c>
    </row>
    <row r="93" spans="6:17" hidden="1">
      <c r="F93" s="44"/>
      <c r="G93" s="30"/>
      <c r="H93" s="46"/>
      <c r="L93" s="284" t="s">
        <v>258</v>
      </c>
      <c r="M93" s="285">
        <f t="shared" si="9"/>
        <v>7</v>
      </c>
      <c r="N93" s="285">
        <f t="shared" si="8"/>
        <v>9</v>
      </c>
      <c r="O93" s="285">
        <v>5</v>
      </c>
      <c r="P93" s="287">
        <v>2</v>
      </c>
      <c r="Q93" s="287">
        <f t="shared" si="7"/>
        <v>7</v>
      </c>
    </row>
    <row r="94" spans="6:17" hidden="1">
      <c r="F94" s="44"/>
      <c r="G94" s="30"/>
      <c r="H94" s="46"/>
      <c r="L94" s="284" t="s">
        <v>259</v>
      </c>
      <c r="M94" s="285">
        <f t="shared" si="9"/>
        <v>6</v>
      </c>
      <c r="N94" s="285">
        <f t="shared" si="8"/>
        <v>8</v>
      </c>
      <c r="O94" s="285">
        <v>5</v>
      </c>
      <c r="P94" s="287">
        <v>1</v>
      </c>
      <c r="Q94" s="287">
        <f t="shared" si="7"/>
        <v>6</v>
      </c>
    </row>
    <row r="95" spans="6:17" hidden="1">
      <c r="F95" s="44"/>
      <c r="G95" s="30"/>
      <c r="H95" s="46"/>
      <c r="L95" s="390" t="s">
        <v>260</v>
      </c>
      <c r="M95" s="285">
        <f>O95+P95</f>
        <v>7</v>
      </c>
      <c r="N95" s="285">
        <f t="shared" si="8"/>
        <v>9</v>
      </c>
      <c r="O95" s="285">
        <v>5</v>
      </c>
      <c r="P95" s="287">
        <v>2</v>
      </c>
      <c r="Q95" s="287">
        <f t="shared" si="7"/>
        <v>7</v>
      </c>
    </row>
    <row r="96" spans="6:17" hidden="1">
      <c r="F96" s="44"/>
      <c r="G96" s="30"/>
      <c r="H96" s="46"/>
      <c r="L96" s="390" t="s">
        <v>261</v>
      </c>
      <c r="M96" s="285">
        <f t="shared" ref="M96:M101" si="10">O96+P96</f>
        <v>7</v>
      </c>
      <c r="N96" s="285">
        <f t="shared" si="8"/>
        <v>9</v>
      </c>
      <c r="O96" s="285">
        <v>5</v>
      </c>
      <c r="P96" s="287">
        <v>2</v>
      </c>
      <c r="Q96" s="287">
        <f t="shared" si="7"/>
        <v>7</v>
      </c>
    </row>
    <row r="97" spans="3:18" hidden="1">
      <c r="F97" s="44"/>
      <c r="G97" s="30"/>
      <c r="H97" s="46"/>
      <c r="L97" s="390" t="s">
        <v>262</v>
      </c>
      <c r="M97" s="285">
        <f t="shared" si="10"/>
        <v>8</v>
      </c>
      <c r="N97" s="285">
        <f t="shared" si="8"/>
        <v>10</v>
      </c>
      <c r="O97" s="285">
        <v>5</v>
      </c>
      <c r="P97" s="287">
        <v>3</v>
      </c>
      <c r="Q97" s="287">
        <f t="shared" si="7"/>
        <v>8</v>
      </c>
    </row>
    <row r="98" spans="3:18" hidden="1">
      <c r="F98" s="44"/>
      <c r="G98" s="30"/>
      <c r="H98" s="46"/>
      <c r="L98" s="390" t="s">
        <v>263</v>
      </c>
      <c r="M98" s="285">
        <f t="shared" si="10"/>
        <v>7</v>
      </c>
      <c r="N98" s="285">
        <f t="shared" si="8"/>
        <v>9</v>
      </c>
      <c r="O98" s="285">
        <v>5</v>
      </c>
      <c r="P98" s="287">
        <v>2</v>
      </c>
      <c r="Q98" s="287">
        <f t="shared" si="7"/>
        <v>7</v>
      </c>
    </row>
    <row r="99" spans="3:18" hidden="1">
      <c r="F99" s="726"/>
      <c r="G99" s="30"/>
      <c r="H99" s="46"/>
      <c r="L99" s="390" t="s">
        <v>264</v>
      </c>
      <c r="M99" s="285">
        <f t="shared" si="10"/>
        <v>9</v>
      </c>
      <c r="N99" s="285">
        <f t="shared" si="8"/>
        <v>11</v>
      </c>
      <c r="O99" s="285">
        <v>5</v>
      </c>
      <c r="P99" s="287">
        <v>4</v>
      </c>
      <c r="Q99" s="287">
        <f t="shared" si="7"/>
        <v>9</v>
      </c>
    </row>
    <row r="100" spans="3:18" hidden="1">
      <c r="F100" s="726"/>
      <c r="G100" s="30"/>
      <c r="H100" s="46"/>
      <c r="L100" s="390" t="s">
        <v>265</v>
      </c>
      <c r="M100" s="285">
        <f t="shared" si="10"/>
        <v>7</v>
      </c>
      <c r="N100" s="285">
        <f t="shared" si="8"/>
        <v>9</v>
      </c>
      <c r="O100" s="285">
        <v>5</v>
      </c>
      <c r="P100" s="287">
        <v>2</v>
      </c>
      <c r="Q100" s="287">
        <f t="shared" si="7"/>
        <v>7</v>
      </c>
    </row>
    <row r="101" spans="3:18" hidden="1">
      <c r="L101" s="390" t="s">
        <v>266</v>
      </c>
      <c r="M101" s="285">
        <f t="shared" si="10"/>
        <v>6</v>
      </c>
      <c r="N101" s="285">
        <f t="shared" si="8"/>
        <v>8</v>
      </c>
      <c r="O101" s="285">
        <v>5</v>
      </c>
      <c r="P101" s="287">
        <v>1</v>
      </c>
      <c r="Q101" s="287">
        <f t="shared" si="7"/>
        <v>6</v>
      </c>
    </row>
    <row r="102" spans="3:18" hidden="1">
      <c r="L102" s="390" t="s">
        <v>267</v>
      </c>
      <c r="M102" s="285">
        <f>O102+P102</f>
        <v>8</v>
      </c>
      <c r="N102" s="285">
        <f t="shared" si="8"/>
        <v>10</v>
      </c>
      <c r="O102" s="285">
        <v>5</v>
      </c>
      <c r="P102" s="287">
        <v>3</v>
      </c>
      <c r="Q102" s="287">
        <f t="shared" si="7"/>
        <v>8</v>
      </c>
    </row>
    <row r="103" spans="3:18" hidden="1">
      <c r="C103" s="49" t="s">
        <v>268</v>
      </c>
      <c r="D103" s="49"/>
      <c r="E103" s="48"/>
      <c r="F103" s="48"/>
      <c r="K103" s="729"/>
      <c r="L103" s="730"/>
      <c r="M103" s="727"/>
    </row>
    <row r="104" spans="3:18" hidden="1">
      <c r="C104" s="48" t="s">
        <v>269</v>
      </c>
      <c r="D104" s="48"/>
      <c r="E104" s="48" t="s">
        <v>270</v>
      </c>
      <c r="K104" s="729"/>
      <c r="L104" s="730"/>
      <c r="M104" s="727"/>
    </row>
    <row r="105" spans="3:18">
      <c r="C105" s="48" t="s">
        <v>271</v>
      </c>
      <c r="D105" s="48"/>
      <c r="E105" s="48" t="s">
        <v>272</v>
      </c>
      <c r="K105" s="729"/>
      <c r="L105" s="730"/>
      <c r="M105" s="727"/>
      <c r="N105" s="726"/>
      <c r="O105" s="727"/>
      <c r="Q105" s="731"/>
    </row>
    <row r="106" spans="3:18">
      <c r="C106" s="48" t="s">
        <v>273</v>
      </c>
      <c r="D106" s="48"/>
      <c r="E106" s="48" t="s">
        <v>274</v>
      </c>
      <c r="K106" s="729"/>
      <c r="L106" s="730"/>
      <c r="M106" s="727"/>
      <c r="N106" s="726"/>
      <c r="O106" s="732"/>
      <c r="P106" s="731"/>
      <c r="Q106" s="731"/>
    </row>
    <row r="107" spans="3:18">
      <c r="C107" s="48" t="s">
        <v>275</v>
      </c>
      <c r="D107" s="48"/>
      <c r="E107" s="48" t="s">
        <v>276</v>
      </c>
      <c r="K107" s="729"/>
      <c r="L107" s="730"/>
      <c r="M107" s="727"/>
      <c r="N107" s="726"/>
      <c r="O107" s="732"/>
      <c r="P107" s="731"/>
      <c r="Q107" s="731"/>
      <c r="R107" s="733"/>
    </row>
    <row r="108" spans="3:18">
      <c r="C108" s="48" t="s">
        <v>277</v>
      </c>
      <c r="D108" s="48"/>
      <c r="E108" s="48" t="s">
        <v>278</v>
      </c>
      <c r="K108" s="729"/>
      <c r="L108" s="730"/>
      <c r="M108" s="727"/>
      <c r="N108" s="726"/>
      <c r="O108" s="732"/>
      <c r="P108" s="731"/>
      <c r="Q108" s="731"/>
      <c r="R108" s="731"/>
    </row>
    <row r="109" spans="3:18">
      <c r="C109" s="48" t="s">
        <v>279</v>
      </c>
      <c r="D109" s="48"/>
      <c r="E109" s="48" t="s">
        <v>280</v>
      </c>
      <c r="K109" s="729"/>
      <c r="L109" s="730"/>
      <c r="M109" s="727"/>
      <c r="N109" s="726"/>
      <c r="O109" s="732"/>
      <c r="P109" s="731"/>
      <c r="Q109" s="731"/>
      <c r="R109" s="731"/>
    </row>
    <row r="110" spans="3:18">
      <c r="C110" s="48" t="s">
        <v>281</v>
      </c>
      <c r="D110" s="48"/>
      <c r="E110" s="48" t="s">
        <v>282</v>
      </c>
      <c r="K110" s="729"/>
      <c r="L110" s="730"/>
      <c r="M110" s="727"/>
      <c r="N110" s="726"/>
      <c r="O110" s="732"/>
      <c r="P110" s="731"/>
      <c r="Q110" s="731"/>
      <c r="R110" s="731"/>
    </row>
    <row r="111" spans="3:18">
      <c r="C111" s="48" t="s">
        <v>283</v>
      </c>
      <c r="D111" s="48"/>
      <c r="E111" s="48" t="s">
        <v>284</v>
      </c>
      <c r="K111" s="729"/>
      <c r="L111" s="730"/>
      <c r="M111" s="727"/>
      <c r="N111" s="726"/>
      <c r="O111" s="732"/>
      <c r="P111" s="731"/>
      <c r="Q111" s="731"/>
      <c r="R111" s="731"/>
    </row>
    <row r="112" spans="3:18">
      <c r="C112" s="48" t="s">
        <v>285</v>
      </c>
      <c r="D112" s="48"/>
      <c r="E112" s="48" t="s">
        <v>286</v>
      </c>
      <c r="K112" s="729"/>
      <c r="L112" s="730"/>
      <c r="M112" s="727"/>
      <c r="N112" s="726"/>
      <c r="O112" s="732"/>
      <c r="P112" s="731"/>
      <c r="Q112" s="731"/>
      <c r="R112" s="731"/>
    </row>
    <row r="113" spans="3:18">
      <c r="C113" s="48" t="s">
        <v>287</v>
      </c>
      <c r="D113" s="48"/>
      <c r="E113" s="48" t="s">
        <v>288</v>
      </c>
      <c r="K113" s="729"/>
      <c r="L113" s="730"/>
      <c r="M113" s="727"/>
      <c r="N113" s="726"/>
      <c r="O113" s="732"/>
      <c r="P113" s="731"/>
      <c r="Q113" s="731"/>
      <c r="R113" s="731"/>
    </row>
    <row r="114" spans="3:18">
      <c r="C114" s="48" t="s">
        <v>289</v>
      </c>
      <c r="D114" s="48"/>
      <c r="E114" s="48" t="s">
        <v>290</v>
      </c>
      <c r="K114" s="729"/>
      <c r="L114" s="730"/>
      <c r="M114" s="727"/>
      <c r="N114" s="726"/>
      <c r="O114" s="732"/>
      <c r="P114" s="731"/>
      <c r="Q114" s="731"/>
      <c r="R114" s="731"/>
    </row>
    <row r="115" spans="3:18">
      <c r="K115" s="729"/>
      <c r="L115" s="730"/>
      <c r="M115" s="727"/>
      <c r="N115" s="726"/>
      <c r="O115" s="732"/>
      <c r="P115" s="731"/>
      <c r="Q115" s="731"/>
      <c r="R115" s="731"/>
    </row>
    <row r="116" spans="3:18">
      <c r="R116" s="731"/>
    </row>
    <row r="117" spans="3:18">
      <c r="R117" s="731"/>
    </row>
  </sheetData>
  <phoneticPr fontId="12"/>
  <conditionalFormatting sqref="E10">
    <cfRule type="cellIs" dxfId="505" priority="1380" operator="greaterThan">
      <formula>0</formula>
    </cfRule>
  </conditionalFormatting>
  <conditionalFormatting sqref="E11">
    <cfRule type="cellIs" dxfId="504" priority="1379" operator="greaterThan">
      <formula>0</formula>
    </cfRule>
  </conditionalFormatting>
  <conditionalFormatting sqref="J44 H44 J18 H18 J32 H32 H39 J39 H52 H48 J48 J52 H60 J60 J56 H56">
    <cfRule type="cellIs" dxfId="503" priority="168" stopIfTrue="1" operator="lessThanOrEqual">
      <formula>0</formula>
    </cfRule>
  </conditionalFormatting>
  <conditionalFormatting sqref="J44 H44 J18 H18 J32 H32 H39 J39 H52 H48 J48 J52 H60 J60 J56 H56">
    <cfRule type="cellIs" dxfId="502" priority="167" stopIfTrue="1" operator="lessThanOrEqual">
      <formula>0</formula>
    </cfRule>
  </conditionalFormatting>
  <conditionalFormatting sqref="J23 H23">
    <cfRule type="cellIs" dxfId="501" priority="166" stopIfTrue="1" operator="lessThanOrEqual">
      <formula>0</formula>
    </cfRule>
  </conditionalFormatting>
  <conditionalFormatting sqref="J23 H23">
    <cfRule type="cellIs" dxfId="500" priority="165" stopIfTrue="1" operator="lessThanOrEqual">
      <formula>0</formula>
    </cfRule>
  </conditionalFormatting>
  <conditionalFormatting sqref="J27">
    <cfRule type="cellIs" dxfId="499" priority="164" stopIfTrue="1" operator="lessThanOrEqual">
      <formula>0</formula>
    </cfRule>
  </conditionalFormatting>
  <conditionalFormatting sqref="J27">
    <cfRule type="cellIs" dxfId="498" priority="163" stopIfTrue="1" operator="lessThanOrEqual">
      <formula>0</formula>
    </cfRule>
  </conditionalFormatting>
  <conditionalFormatting sqref="J34">
    <cfRule type="cellIs" dxfId="497" priority="162" stopIfTrue="1" operator="lessThanOrEqual">
      <formula>0</formula>
    </cfRule>
  </conditionalFormatting>
  <conditionalFormatting sqref="J34">
    <cfRule type="cellIs" dxfId="496" priority="161" stopIfTrue="1" operator="lessThanOrEqual">
      <formula>0</formula>
    </cfRule>
  </conditionalFormatting>
  <conditionalFormatting sqref="J49">
    <cfRule type="cellIs" dxfId="495" priority="160" stopIfTrue="1" operator="lessThanOrEqual">
      <formula>0</formula>
    </cfRule>
  </conditionalFormatting>
  <conditionalFormatting sqref="J49">
    <cfRule type="cellIs" dxfId="494" priority="159" stopIfTrue="1" operator="lessThanOrEqual">
      <formula>0</formula>
    </cfRule>
  </conditionalFormatting>
  <conditionalFormatting sqref="J45">
    <cfRule type="cellIs" dxfId="493" priority="158" stopIfTrue="1" operator="lessThanOrEqual">
      <formula>0</formula>
    </cfRule>
  </conditionalFormatting>
  <conditionalFormatting sqref="J45">
    <cfRule type="cellIs" dxfId="492" priority="157" stopIfTrue="1" operator="lessThanOrEqual">
      <formula>0</formula>
    </cfRule>
  </conditionalFormatting>
  <conditionalFormatting sqref="H27">
    <cfRule type="cellIs" dxfId="491" priority="156" stopIfTrue="1" operator="lessThanOrEqual">
      <formula>0</formula>
    </cfRule>
  </conditionalFormatting>
  <conditionalFormatting sqref="H27">
    <cfRule type="cellIs" dxfId="490" priority="155" stopIfTrue="1" operator="lessThanOrEqual">
      <formula>0</formula>
    </cfRule>
  </conditionalFormatting>
  <conditionalFormatting sqref="H34">
    <cfRule type="cellIs" dxfId="489" priority="154" stopIfTrue="1" operator="lessThanOrEqual">
      <formula>0</formula>
    </cfRule>
  </conditionalFormatting>
  <conditionalFormatting sqref="H34">
    <cfRule type="cellIs" dxfId="488" priority="153" stopIfTrue="1" operator="lessThanOrEqual">
      <formula>0</formula>
    </cfRule>
  </conditionalFormatting>
  <conditionalFormatting sqref="H45">
    <cfRule type="cellIs" dxfId="487" priority="152" stopIfTrue="1" operator="lessThanOrEqual">
      <formula>0</formula>
    </cfRule>
  </conditionalFormatting>
  <conditionalFormatting sqref="H45">
    <cfRule type="cellIs" dxfId="486" priority="151" stopIfTrue="1" operator="lessThanOrEqual">
      <formula>0</formula>
    </cfRule>
  </conditionalFormatting>
  <conditionalFormatting sqref="H49">
    <cfRule type="cellIs" dxfId="485" priority="150" stopIfTrue="1" operator="lessThanOrEqual">
      <formula>0</formula>
    </cfRule>
  </conditionalFormatting>
  <conditionalFormatting sqref="H49">
    <cfRule type="cellIs" dxfId="484" priority="149" stopIfTrue="1" operator="lessThanOrEqual">
      <formula>0</formula>
    </cfRule>
  </conditionalFormatting>
  <conditionalFormatting sqref="H19">
    <cfRule type="cellIs" dxfId="483" priority="148" stopIfTrue="1" operator="lessThanOrEqual">
      <formula>0</formula>
    </cfRule>
  </conditionalFormatting>
  <conditionalFormatting sqref="H19">
    <cfRule type="cellIs" dxfId="482" priority="147" stopIfTrue="1" operator="lessThanOrEqual">
      <formula>0</formula>
    </cfRule>
  </conditionalFormatting>
  <conditionalFormatting sqref="J21">
    <cfRule type="cellIs" dxfId="481" priority="146" stopIfTrue="1" operator="lessThanOrEqual">
      <formula>0</formula>
    </cfRule>
  </conditionalFormatting>
  <conditionalFormatting sqref="J21">
    <cfRule type="cellIs" dxfId="480" priority="145" stopIfTrue="1" operator="lessThanOrEqual">
      <formula>0</formula>
    </cfRule>
  </conditionalFormatting>
  <conditionalFormatting sqref="H21">
    <cfRule type="cellIs" dxfId="479" priority="144" stopIfTrue="1" operator="lessThanOrEqual">
      <formula>0</formula>
    </cfRule>
  </conditionalFormatting>
  <conditionalFormatting sqref="H21">
    <cfRule type="cellIs" dxfId="478" priority="143" stopIfTrue="1" operator="lessThanOrEqual">
      <formula>0</formula>
    </cfRule>
  </conditionalFormatting>
  <conditionalFormatting sqref="J25">
    <cfRule type="cellIs" dxfId="477" priority="142" stopIfTrue="1" operator="lessThanOrEqual">
      <formula>0</formula>
    </cfRule>
  </conditionalFormatting>
  <conditionalFormatting sqref="J25">
    <cfRule type="cellIs" dxfId="476" priority="141" stopIfTrue="1" operator="lessThanOrEqual">
      <formula>0</formula>
    </cfRule>
  </conditionalFormatting>
  <conditionalFormatting sqref="H24">
    <cfRule type="cellIs" dxfId="475" priority="140" stopIfTrue="1" operator="lessThanOrEqual">
      <formula>0</formula>
    </cfRule>
  </conditionalFormatting>
  <conditionalFormatting sqref="H24">
    <cfRule type="cellIs" dxfId="474" priority="139" stopIfTrue="1" operator="lessThanOrEqual">
      <formula>0</formula>
    </cfRule>
  </conditionalFormatting>
  <conditionalFormatting sqref="H28">
    <cfRule type="cellIs" dxfId="473" priority="134" stopIfTrue="1" operator="lessThanOrEqual">
      <formula>0</formula>
    </cfRule>
  </conditionalFormatting>
  <conditionalFormatting sqref="H28">
    <cfRule type="cellIs" dxfId="472" priority="133" stopIfTrue="1" operator="lessThanOrEqual">
      <formula>0</formula>
    </cfRule>
  </conditionalFormatting>
  <conditionalFormatting sqref="H25">
    <cfRule type="cellIs" dxfId="471" priority="138" stopIfTrue="1" operator="lessThanOrEqual">
      <formula>0</formula>
    </cfRule>
  </conditionalFormatting>
  <conditionalFormatting sqref="H25">
    <cfRule type="cellIs" dxfId="470" priority="137" stopIfTrue="1" operator="lessThanOrEqual">
      <formula>0</formula>
    </cfRule>
  </conditionalFormatting>
  <conditionalFormatting sqref="J30">
    <cfRule type="cellIs" dxfId="469" priority="136" stopIfTrue="1" operator="lessThanOrEqual">
      <formula>0</formula>
    </cfRule>
  </conditionalFormatting>
  <conditionalFormatting sqref="J30">
    <cfRule type="cellIs" dxfId="468" priority="135" stopIfTrue="1" operator="lessThanOrEqual">
      <formula>0</formula>
    </cfRule>
  </conditionalFormatting>
  <conditionalFormatting sqref="H35">
    <cfRule type="cellIs" dxfId="467" priority="128" stopIfTrue="1" operator="lessThanOrEqual">
      <formula>0</formula>
    </cfRule>
  </conditionalFormatting>
  <conditionalFormatting sqref="H35">
    <cfRule type="cellIs" dxfId="466" priority="127" stopIfTrue="1" operator="lessThanOrEqual">
      <formula>0</formula>
    </cfRule>
  </conditionalFormatting>
  <conditionalFormatting sqref="H30">
    <cfRule type="cellIs" dxfId="465" priority="132" stopIfTrue="1" operator="lessThanOrEqual">
      <formula>0</formula>
    </cfRule>
  </conditionalFormatting>
  <conditionalFormatting sqref="H30">
    <cfRule type="cellIs" dxfId="464" priority="131" stopIfTrue="1" operator="lessThanOrEqual">
      <formula>0</formula>
    </cfRule>
  </conditionalFormatting>
  <conditionalFormatting sqref="J37">
    <cfRule type="cellIs" dxfId="463" priority="130" stopIfTrue="1" operator="lessThanOrEqual">
      <formula>0</formula>
    </cfRule>
  </conditionalFormatting>
  <conditionalFormatting sqref="J37">
    <cfRule type="cellIs" dxfId="462" priority="129" stopIfTrue="1" operator="lessThanOrEqual">
      <formula>0</formula>
    </cfRule>
  </conditionalFormatting>
  <conditionalFormatting sqref="H37">
    <cfRule type="cellIs" dxfId="461" priority="126" stopIfTrue="1" operator="lessThanOrEqual">
      <formula>0</formula>
    </cfRule>
  </conditionalFormatting>
  <conditionalFormatting sqref="H37">
    <cfRule type="cellIs" dxfId="460" priority="125" stopIfTrue="1" operator="lessThanOrEqual">
      <formula>0</formula>
    </cfRule>
  </conditionalFormatting>
  <conditionalFormatting sqref="J51">
    <cfRule type="cellIs" dxfId="459" priority="124" stopIfTrue="1" operator="lessThanOrEqual">
      <formula>0</formula>
    </cfRule>
  </conditionalFormatting>
  <conditionalFormatting sqref="J51">
    <cfRule type="cellIs" dxfId="458" priority="123" stopIfTrue="1" operator="lessThanOrEqual">
      <formula>0</formula>
    </cfRule>
  </conditionalFormatting>
  <conditionalFormatting sqref="H51">
    <cfRule type="cellIs" dxfId="457" priority="119" stopIfTrue="1" operator="lessThanOrEqual">
      <formula>0</formula>
    </cfRule>
  </conditionalFormatting>
  <conditionalFormatting sqref="H50">
    <cfRule type="cellIs" dxfId="456" priority="122" stopIfTrue="1" operator="lessThanOrEqual">
      <formula>0</formula>
    </cfRule>
  </conditionalFormatting>
  <conditionalFormatting sqref="H50">
    <cfRule type="cellIs" dxfId="455" priority="121" stopIfTrue="1" operator="lessThanOrEqual">
      <formula>0</formula>
    </cfRule>
  </conditionalFormatting>
  <conditionalFormatting sqref="H51">
    <cfRule type="cellIs" dxfId="454" priority="120" stopIfTrue="1" operator="lessThanOrEqual">
      <formula>0</formula>
    </cfRule>
  </conditionalFormatting>
  <conditionalFormatting sqref="J20">
    <cfRule type="cellIs" dxfId="453" priority="118" stopIfTrue="1" operator="lessThanOrEqual">
      <formula>0</formula>
    </cfRule>
  </conditionalFormatting>
  <conditionalFormatting sqref="J20">
    <cfRule type="cellIs" dxfId="452" priority="117" stopIfTrue="1" operator="lessThanOrEqual">
      <formula>0</formula>
    </cfRule>
  </conditionalFormatting>
  <conditionalFormatting sqref="H20">
    <cfRule type="cellIs" dxfId="451" priority="116" stopIfTrue="1" operator="lessThanOrEqual">
      <formula>0</formula>
    </cfRule>
  </conditionalFormatting>
  <conditionalFormatting sqref="H20:H21">
    <cfRule type="cellIs" dxfId="450" priority="115" stopIfTrue="1" operator="lessThanOrEqual">
      <formula>0</formula>
    </cfRule>
  </conditionalFormatting>
  <conditionalFormatting sqref="H20">
    <cfRule type="cellIs" dxfId="449" priority="114" stopIfTrue="1" operator="lessThanOrEqual">
      <formula>0</formula>
    </cfRule>
  </conditionalFormatting>
  <conditionalFormatting sqref="H20">
    <cfRule type="cellIs" dxfId="448" priority="113" stopIfTrue="1" operator="lessThanOrEqual">
      <formula>0</formula>
    </cfRule>
  </conditionalFormatting>
  <conditionalFormatting sqref="J36">
    <cfRule type="cellIs" dxfId="447" priority="112" stopIfTrue="1" operator="lessThanOrEqual">
      <formula>0</formula>
    </cfRule>
  </conditionalFormatting>
  <conditionalFormatting sqref="J36">
    <cfRule type="cellIs" dxfId="446" priority="111" stopIfTrue="1" operator="lessThanOrEqual">
      <formula>0</formula>
    </cfRule>
  </conditionalFormatting>
  <conditionalFormatting sqref="H36">
    <cfRule type="cellIs" dxfId="445" priority="108" stopIfTrue="1" operator="lessThanOrEqual">
      <formula>0</formula>
    </cfRule>
  </conditionalFormatting>
  <conditionalFormatting sqref="H36">
    <cfRule type="cellIs" dxfId="444" priority="107" stopIfTrue="1" operator="lessThanOrEqual">
      <formula>0</formula>
    </cfRule>
  </conditionalFormatting>
  <conditionalFormatting sqref="H36">
    <cfRule type="cellIs" dxfId="443" priority="110" stopIfTrue="1" operator="lessThanOrEqual">
      <formula>0</formula>
    </cfRule>
  </conditionalFormatting>
  <conditionalFormatting sqref="H36">
    <cfRule type="cellIs" dxfId="442" priority="109" stopIfTrue="1" operator="lessThanOrEqual">
      <formula>0</formula>
    </cfRule>
  </conditionalFormatting>
  <conditionalFormatting sqref="H29">
    <cfRule type="cellIs" dxfId="441" priority="102" stopIfTrue="1" operator="lessThanOrEqual">
      <formula>0</formula>
    </cfRule>
  </conditionalFormatting>
  <conditionalFormatting sqref="H29">
    <cfRule type="cellIs" dxfId="440" priority="101" stopIfTrue="1" operator="lessThanOrEqual">
      <formula>0</formula>
    </cfRule>
  </conditionalFormatting>
  <conditionalFormatting sqref="J29">
    <cfRule type="cellIs" dxfId="439" priority="106" stopIfTrue="1" operator="lessThanOrEqual">
      <formula>0</formula>
    </cfRule>
  </conditionalFormatting>
  <conditionalFormatting sqref="J29">
    <cfRule type="cellIs" dxfId="438" priority="105" stopIfTrue="1" operator="lessThanOrEqual">
      <formula>0</formula>
    </cfRule>
  </conditionalFormatting>
  <conditionalFormatting sqref="H46">
    <cfRule type="cellIs" dxfId="437" priority="96" stopIfTrue="1" operator="lessThanOrEqual">
      <formula>0</formula>
    </cfRule>
  </conditionalFormatting>
  <conditionalFormatting sqref="H46">
    <cfRule type="cellIs" dxfId="436" priority="95" stopIfTrue="1" operator="lessThanOrEqual">
      <formula>0</formula>
    </cfRule>
  </conditionalFormatting>
  <conditionalFormatting sqref="H29">
    <cfRule type="cellIs" dxfId="435" priority="104" stopIfTrue="1" operator="lessThanOrEqual">
      <formula>0</formula>
    </cfRule>
  </conditionalFormatting>
  <conditionalFormatting sqref="H29">
    <cfRule type="cellIs" dxfId="434" priority="103" stopIfTrue="1" operator="lessThanOrEqual">
      <formula>0</formula>
    </cfRule>
  </conditionalFormatting>
  <conditionalFormatting sqref="J54">
    <cfRule type="cellIs" dxfId="433" priority="94" stopIfTrue="1" operator="lessThanOrEqual">
      <formula>0</formula>
    </cfRule>
  </conditionalFormatting>
  <conditionalFormatting sqref="J54">
    <cfRule type="cellIs" dxfId="432" priority="93" stopIfTrue="1" operator="lessThanOrEqual">
      <formula>0</formula>
    </cfRule>
  </conditionalFormatting>
  <conditionalFormatting sqref="J46">
    <cfRule type="cellIs" dxfId="431" priority="100" stopIfTrue="1" operator="lessThanOrEqual">
      <formula>0</formula>
    </cfRule>
  </conditionalFormatting>
  <conditionalFormatting sqref="J46">
    <cfRule type="cellIs" dxfId="430" priority="99" stopIfTrue="1" operator="lessThanOrEqual">
      <formula>0</formula>
    </cfRule>
  </conditionalFormatting>
  <conditionalFormatting sqref="J58">
    <cfRule type="cellIs" dxfId="429" priority="92" stopIfTrue="1" operator="lessThanOrEqual">
      <formula>0</formula>
    </cfRule>
  </conditionalFormatting>
  <conditionalFormatting sqref="J58">
    <cfRule type="cellIs" dxfId="428" priority="91" stopIfTrue="1" operator="lessThanOrEqual">
      <formula>0</formula>
    </cfRule>
  </conditionalFormatting>
  <conditionalFormatting sqref="H46">
    <cfRule type="cellIs" dxfId="427" priority="98" stopIfTrue="1" operator="lessThanOrEqual">
      <formula>0</formula>
    </cfRule>
  </conditionalFormatting>
  <conditionalFormatting sqref="H46">
    <cfRule type="cellIs" dxfId="426" priority="97" stopIfTrue="1" operator="lessThanOrEqual">
      <formula>0</formula>
    </cfRule>
  </conditionalFormatting>
  <conditionalFormatting sqref="H62">
    <cfRule type="cellIs" dxfId="425" priority="78" stopIfTrue="1" operator="lessThanOrEqual">
      <formula>0</formula>
    </cfRule>
  </conditionalFormatting>
  <conditionalFormatting sqref="H62">
    <cfRule type="cellIs" dxfId="424" priority="77" stopIfTrue="1" operator="lessThanOrEqual">
      <formula>0</formula>
    </cfRule>
  </conditionalFormatting>
  <conditionalFormatting sqref="H41">
    <cfRule type="cellIs" dxfId="423" priority="74" stopIfTrue="1" operator="lessThanOrEqual">
      <formula>0</formula>
    </cfRule>
  </conditionalFormatting>
  <conditionalFormatting sqref="H41">
    <cfRule type="cellIs" dxfId="422" priority="73" stopIfTrue="1" operator="lessThanOrEqual">
      <formula>0</formula>
    </cfRule>
  </conditionalFormatting>
  <conditionalFormatting sqref="J62">
    <cfRule type="cellIs" dxfId="421" priority="90" stopIfTrue="1" operator="lessThanOrEqual">
      <formula>0</formula>
    </cfRule>
  </conditionalFormatting>
  <conditionalFormatting sqref="J62">
    <cfRule type="cellIs" dxfId="420" priority="89" stopIfTrue="1" operator="lessThanOrEqual">
      <formula>0</formula>
    </cfRule>
  </conditionalFormatting>
  <conditionalFormatting sqref="H54">
    <cfRule type="cellIs" dxfId="419" priority="86" stopIfTrue="1" operator="lessThanOrEqual">
      <formula>0</formula>
    </cfRule>
  </conditionalFormatting>
  <conditionalFormatting sqref="H54">
    <cfRule type="cellIs" dxfId="418" priority="85" stopIfTrue="1" operator="lessThanOrEqual">
      <formula>0</formula>
    </cfRule>
  </conditionalFormatting>
  <conditionalFormatting sqref="H54">
    <cfRule type="cellIs" dxfId="417" priority="88" stopIfTrue="1" operator="lessThanOrEqual">
      <formula>0</formula>
    </cfRule>
  </conditionalFormatting>
  <conditionalFormatting sqref="H54">
    <cfRule type="cellIs" dxfId="416" priority="87" stopIfTrue="1" operator="lessThanOrEqual">
      <formula>0</formula>
    </cfRule>
  </conditionalFormatting>
  <conditionalFormatting sqref="H58">
    <cfRule type="cellIs" dxfId="415" priority="82" stopIfTrue="1" operator="lessThanOrEqual">
      <formula>0</formula>
    </cfRule>
  </conditionalFormatting>
  <conditionalFormatting sqref="H58">
    <cfRule type="cellIs" dxfId="414" priority="81" stopIfTrue="1" operator="lessThanOrEqual">
      <formula>0</formula>
    </cfRule>
  </conditionalFormatting>
  <conditionalFormatting sqref="H58">
    <cfRule type="cellIs" dxfId="413" priority="84" stopIfTrue="1" operator="lessThanOrEqual">
      <formula>0</formula>
    </cfRule>
  </conditionalFormatting>
  <conditionalFormatting sqref="H58">
    <cfRule type="cellIs" dxfId="412" priority="83" stopIfTrue="1" operator="lessThanOrEqual">
      <formula>0</formula>
    </cfRule>
  </conditionalFormatting>
  <conditionalFormatting sqref="J17 H17">
    <cfRule type="cellIs" dxfId="411" priority="72" stopIfTrue="1" operator="lessThanOrEqual">
      <formula>0</formula>
    </cfRule>
  </conditionalFormatting>
  <conditionalFormatting sqref="J17 H17">
    <cfRule type="cellIs" dxfId="410" priority="71" stopIfTrue="1" operator="lessThanOrEqual">
      <formula>0</formula>
    </cfRule>
  </conditionalFormatting>
  <conditionalFormatting sqref="H62">
    <cfRule type="cellIs" dxfId="409" priority="80" stopIfTrue="1" operator="lessThanOrEqual">
      <formula>0</formula>
    </cfRule>
  </conditionalFormatting>
  <conditionalFormatting sqref="H62">
    <cfRule type="cellIs" dxfId="408" priority="79" stopIfTrue="1" operator="lessThanOrEqual">
      <formula>0</formula>
    </cfRule>
  </conditionalFormatting>
  <conditionalFormatting sqref="J41">
    <cfRule type="cellIs" dxfId="407" priority="76" stopIfTrue="1" operator="lessThanOrEqual">
      <formula>0</formula>
    </cfRule>
  </conditionalFormatting>
  <conditionalFormatting sqref="J41">
    <cfRule type="cellIs" dxfId="406" priority="75" stopIfTrue="1" operator="lessThanOrEqual">
      <formula>0</formula>
    </cfRule>
  </conditionalFormatting>
  <conditionalFormatting sqref="H26">
    <cfRule type="cellIs" dxfId="405" priority="68" stopIfTrue="1" operator="lessThanOrEqual">
      <formula>0</formula>
    </cfRule>
  </conditionalFormatting>
  <conditionalFormatting sqref="H26">
    <cfRule type="cellIs" dxfId="404" priority="67" stopIfTrue="1" operator="lessThanOrEqual">
      <formula>0</formula>
    </cfRule>
  </conditionalFormatting>
  <conditionalFormatting sqref="H33">
    <cfRule type="cellIs" dxfId="403" priority="64" stopIfTrue="1" operator="lessThanOrEqual">
      <formula>0</formula>
    </cfRule>
  </conditionalFormatting>
  <conditionalFormatting sqref="H33">
    <cfRule type="cellIs" dxfId="402" priority="63" stopIfTrue="1" operator="lessThanOrEqual">
      <formula>0</formula>
    </cfRule>
  </conditionalFormatting>
  <conditionalFormatting sqref="J26">
    <cfRule type="cellIs" dxfId="401" priority="70" stopIfTrue="1" operator="lessThanOrEqual">
      <formula>0</formula>
    </cfRule>
  </conditionalFormatting>
  <conditionalFormatting sqref="J26">
    <cfRule type="cellIs" dxfId="400" priority="69" stopIfTrue="1" operator="lessThanOrEqual">
      <formula>0</formula>
    </cfRule>
  </conditionalFormatting>
  <conditionalFormatting sqref="H40">
    <cfRule type="cellIs" dxfId="399" priority="60" stopIfTrue="1" operator="lessThanOrEqual">
      <formula>0</formula>
    </cfRule>
  </conditionalFormatting>
  <conditionalFormatting sqref="H40">
    <cfRule type="cellIs" dxfId="398" priority="59" stopIfTrue="1" operator="lessThanOrEqual">
      <formula>0</formula>
    </cfRule>
  </conditionalFormatting>
  <conditionalFormatting sqref="H42">
    <cfRule type="cellIs" dxfId="397" priority="54" stopIfTrue="1" operator="lessThanOrEqual">
      <formula>0</formula>
    </cfRule>
  </conditionalFormatting>
  <conditionalFormatting sqref="H42">
    <cfRule type="cellIs" dxfId="396" priority="53" stopIfTrue="1" operator="lessThanOrEqual">
      <formula>0</formula>
    </cfRule>
  </conditionalFormatting>
  <conditionalFormatting sqref="J33">
    <cfRule type="cellIs" dxfId="395" priority="66" stopIfTrue="1" operator="lessThanOrEqual">
      <formula>0</formula>
    </cfRule>
  </conditionalFormatting>
  <conditionalFormatting sqref="J33">
    <cfRule type="cellIs" dxfId="394" priority="65" stopIfTrue="1" operator="lessThanOrEqual">
      <formula>0</formula>
    </cfRule>
  </conditionalFormatting>
  <conditionalFormatting sqref="H53">
    <cfRule type="cellIs" dxfId="393" priority="50" stopIfTrue="1" operator="lessThanOrEqual">
      <formula>0</formula>
    </cfRule>
  </conditionalFormatting>
  <conditionalFormatting sqref="H53">
    <cfRule type="cellIs" dxfId="392" priority="49" stopIfTrue="1" operator="lessThanOrEqual">
      <formula>0</formula>
    </cfRule>
  </conditionalFormatting>
  <conditionalFormatting sqref="H61">
    <cfRule type="cellIs" dxfId="391" priority="46" stopIfTrue="1" operator="lessThanOrEqual">
      <formula>0</formula>
    </cfRule>
  </conditionalFormatting>
  <conditionalFormatting sqref="H61">
    <cfRule type="cellIs" dxfId="390" priority="45" stopIfTrue="1" operator="lessThanOrEqual">
      <formula>0</formula>
    </cfRule>
  </conditionalFormatting>
  <conditionalFormatting sqref="H57">
    <cfRule type="cellIs" dxfId="389" priority="42" stopIfTrue="1" operator="lessThanOrEqual">
      <formula>0</formula>
    </cfRule>
  </conditionalFormatting>
  <conditionalFormatting sqref="H57">
    <cfRule type="cellIs" dxfId="388" priority="41" stopIfTrue="1" operator="lessThanOrEqual">
      <formula>0</formula>
    </cfRule>
  </conditionalFormatting>
  <conditionalFormatting sqref="J40">
    <cfRule type="cellIs" dxfId="387" priority="62" stopIfTrue="1" operator="lessThanOrEqual">
      <formula>0</formula>
    </cfRule>
  </conditionalFormatting>
  <conditionalFormatting sqref="J40">
    <cfRule type="cellIs" dxfId="386" priority="61" stopIfTrue="1" operator="lessThanOrEqual">
      <formula>0</formula>
    </cfRule>
  </conditionalFormatting>
  <conditionalFormatting sqref="H22">
    <cfRule type="cellIs" dxfId="385" priority="36" stopIfTrue="1" operator="lessThanOrEqual">
      <formula>0</formula>
    </cfRule>
  </conditionalFormatting>
  <conditionalFormatting sqref="J42">
    <cfRule type="cellIs" dxfId="384" priority="58" stopIfTrue="1" operator="lessThanOrEqual">
      <formula>0</formula>
    </cfRule>
  </conditionalFormatting>
  <conditionalFormatting sqref="J42">
    <cfRule type="cellIs" dxfId="383" priority="57" stopIfTrue="1" operator="lessThanOrEqual">
      <formula>0</formula>
    </cfRule>
  </conditionalFormatting>
  <conditionalFormatting sqref="H31">
    <cfRule type="cellIs" dxfId="382" priority="31" stopIfTrue="1" operator="lessThanOrEqual">
      <formula>0</formula>
    </cfRule>
  </conditionalFormatting>
  <conditionalFormatting sqref="H42">
    <cfRule type="cellIs" dxfId="381" priority="56" stopIfTrue="1" operator="lessThanOrEqual">
      <formula>0</formula>
    </cfRule>
  </conditionalFormatting>
  <conditionalFormatting sqref="H42">
    <cfRule type="cellIs" dxfId="380" priority="55" stopIfTrue="1" operator="lessThanOrEqual">
      <formula>0</formula>
    </cfRule>
  </conditionalFormatting>
  <conditionalFormatting sqref="J53">
    <cfRule type="cellIs" dxfId="379" priority="52" stopIfTrue="1" operator="lessThanOrEqual">
      <formula>0</formula>
    </cfRule>
  </conditionalFormatting>
  <conditionalFormatting sqref="J53">
    <cfRule type="cellIs" dxfId="378" priority="51" stopIfTrue="1" operator="lessThanOrEqual">
      <formula>0</formula>
    </cfRule>
  </conditionalFormatting>
  <conditionalFormatting sqref="H38">
    <cfRule type="cellIs" dxfId="377" priority="26" stopIfTrue="1" operator="lessThanOrEqual">
      <formula>0</formula>
    </cfRule>
  </conditionalFormatting>
  <conditionalFormatting sqref="H43">
    <cfRule type="cellIs" dxfId="376" priority="21" stopIfTrue="1" operator="lessThanOrEqual">
      <formula>0</formula>
    </cfRule>
  </conditionalFormatting>
  <conditionalFormatting sqref="H55">
    <cfRule type="cellIs" dxfId="375" priority="16" stopIfTrue="1" operator="lessThanOrEqual">
      <formula>0</formula>
    </cfRule>
  </conditionalFormatting>
  <conditionalFormatting sqref="J61">
    <cfRule type="cellIs" dxfId="374" priority="48" stopIfTrue="1" operator="lessThanOrEqual">
      <formula>0</formula>
    </cfRule>
  </conditionalFormatting>
  <conditionalFormatting sqref="J61">
    <cfRule type="cellIs" dxfId="373" priority="47" stopIfTrue="1" operator="lessThanOrEqual">
      <formula>0</formula>
    </cfRule>
  </conditionalFormatting>
  <conditionalFormatting sqref="J57">
    <cfRule type="cellIs" dxfId="372" priority="44" stopIfTrue="1" operator="lessThanOrEqual">
      <formula>0</formula>
    </cfRule>
  </conditionalFormatting>
  <conditionalFormatting sqref="J57">
    <cfRule type="cellIs" dxfId="371" priority="43" stopIfTrue="1" operator="lessThanOrEqual">
      <formula>0</formula>
    </cfRule>
  </conditionalFormatting>
  <conditionalFormatting sqref="H63">
    <cfRule type="cellIs" dxfId="370" priority="11" stopIfTrue="1" operator="lessThanOrEqual">
      <formula>0</formula>
    </cfRule>
  </conditionalFormatting>
  <conditionalFormatting sqref="H47">
    <cfRule type="cellIs" dxfId="369" priority="6" stopIfTrue="1" operator="lessThanOrEqual">
      <formula>0</formula>
    </cfRule>
  </conditionalFormatting>
  <conditionalFormatting sqref="J22">
    <cfRule type="cellIs" dxfId="368" priority="40" stopIfTrue="1" operator="lessThanOrEqual">
      <formula>0</formula>
    </cfRule>
  </conditionalFormatting>
  <conditionalFormatting sqref="J22">
    <cfRule type="cellIs" dxfId="367" priority="39" stopIfTrue="1" operator="lessThanOrEqual">
      <formula>0</formula>
    </cfRule>
  </conditionalFormatting>
  <conditionalFormatting sqref="H22">
    <cfRule type="cellIs" dxfId="366" priority="38" stopIfTrue="1" operator="lessThanOrEqual">
      <formula>0</formula>
    </cfRule>
  </conditionalFormatting>
  <conditionalFormatting sqref="H22">
    <cfRule type="cellIs" dxfId="365" priority="37" stopIfTrue="1" operator="lessThanOrEqual">
      <formula>0</formula>
    </cfRule>
  </conditionalFormatting>
  <conditionalFormatting sqref="J31">
    <cfRule type="cellIs" dxfId="364" priority="35" stopIfTrue="1" operator="lessThanOrEqual">
      <formula>0</formula>
    </cfRule>
  </conditionalFormatting>
  <conditionalFormatting sqref="J31">
    <cfRule type="cellIs" dxfId="363" priority="34" stopIfTrue="1" operator="lessThanOrEqual">
      <formula>0</formula>
    </cfRule>
  </conditionalFormatting>
  <conditionalFormatting sqref="H31">
    <cfRule type="cellIs" dxfId="362" priority="33" stopIfTrue="1" operator="lessThanOrEqual">
      <formula>0</formula>
    </cfRule>
  </conditionalFormatting>
  <conditionalFormatting sqref="H31">
    <cfRule type="cellIs" dxfId="361" priority="32" stopIfTrue="1" operator="lessThanOrEqual">
      <formula>0</formula>
    </cfRule>
  </conditionalFormatting>
  <conditionalFormatting sqref="J38">
    <cfRule type="cellIs" dxfId="360" priority="30" stopIfTrue="1" operator="lessThanOrEqual">
      <formula>0</formula>
    </cfRule>
  </conditionalFormatting>
  <conditionalFormatting sqref="J38">
    <cfRule type="cellIs" dxfId="359" priority="29" stopIfTrue="1" operator="lessThanOrEqual">
      <formula>0</formula>
    </cfRule>
  </conditionalFormatting>
  <conditionalFormatting sqref="H38">
    <cfRule type="cellIs" dxfId="358" priority="28" stopIfTrue="1" operator="lessThanOrEqual">
      <formula>0</formula>
    </cfRule>
  </conditionalFormatting>
  <conditionalFormatting sqref="H38">
    <cfRule type="cellIs" dxfId="357" priority="27" stopIfTrue="1" operator="lessThanOrEqual">
      <formula>0</formula>
    </cfRule>
  </conditionalFormatting>
  <conditionalFormatting sqref="J43">
    <cfRule type="cellIs" dxfId="356" priority="25" stopIfTrue="1" operator="lessThanOrEqual">
      <formula>0</formula>
    </cfRule>
  </conditionalFormatting>
  <conditionalFormatting sqref="J43">
    <cfRule type="cellIs" dxfId="355" priority="24" stopIfTrue="1" operator="lessThanOrEqual">
      <formula>0</formula>
    </cfRule>
  </conditionalFormatting>
  <conditionalFormatting sqref="H43">
    <cfRule type="cellIs" dxfId="354" priority="23" stopIfTrue="1" operator="lessThanOrEqual">
      <formula>0</formula>
    </cfRule>
  </conditionalFormatting>
  <conditionalFormatting sqref="H43">
    <cfRule type="cellIs" dxfId="353" priority="22" stopIfTrue="1" operator="lessThanOrEqual">
      <formula>0</formula>
    </cfRule>
  </conditionalFormatting>
  <conditionalFormatting sqref="J55">
    <cfRule type="cellIs" dxfId="352" priority="20" stopIfTrue="1" operator="lessThanOrEqual">
      <formula>0</formula>
    </cfRule>
  </conditionalFormatting>
  <conditionalFormatting sqref="J55">
    <cfRule type="cellIs" dxfId="351" priority="19" stopIfTrue="1" operator="lessThanOrEqual">
      <formula>0</formula>
    </cfRule>
  </conditionalFormatting>
  <conditionalFormatting sqref="H55">
    <cfRule type="cellIs" dxfId="350" priority="18" stopIfTrue="1" operator="lessThanOrEqual">
      <formula>0</formula>
    </cfRule>
  </conditionalFormatting>
  <conditionalFormatting sqref="H55">
    <cfRule type="cellIs" dxfId="349" priority="17" stopIfTrue="1" operator="lessThanOrEqual">
      <formula>0</formula>
    </cfRule>
  </conditionalFormatting>
  <conditionalFormatting sqref="J63">
    <cfRule type="cellIs" dxfId="348" priority="15" stopIfTrue="1" operator="lessThanOrEqual">
      <formula>0</formula>
    </cfRule>
  </conditionalFormatting>
  <conditionalFormatting sqref="J63">
    <cfRule type="cellIs" dxfId="347" priority="14" stopIfTrue="1" operator="lessThanOrEqual">
      <formula>0</formula>
    </cfRule>
  </conditionalFormatting>
  <conditionalFormatting sqref="H63">
    <cfRule type="cellIs" dxfId="346" priority="13" stopIfTrue="1" operator="lessThanOrEqual">
      <formula>0</formula>
    </cfRule>
  </conditionalFormatting>
  <conditionalFormatting sqref="H63">
    <cfRule type="cellIs" dxfId="345" priority="12" stopIfTrue="1" operator="lessThanOrEqual">
      <formula>0</formula>
    </cfRule>
  </conditionalFormatting>
  <conditionalFormatting sqref="J47">
    <cfRule type="cellIs" dxfId="344" priority="10" stopIfTrue="1" operator="lessThanOrEqual">
      <formula>0</formula>
    </cfRule>
  </conditionalFormatting>
  <conditionalFormatting sqref="J47">
    <cfRule type="cellIs" dxfId="343" priority="9" stopIfTrue="1" operator="lessThanOrEqual">
      <formula>0</formula>
    </cfRule>
  </conditionalFormatting>
  <conditionalFormatting sqref="H47">
    <cfRule type="cellIs" dxfId="342" priority="8" stopIfTrue="1" operator="lessThanOrEqual">
      <formula>0</formula>
    </cfRule>
  </conditionalFormatting>
  <conditionalFormatting sqref="H47">
    <cfRule type="cellIs" dxfId="341" priority="7" stopIfTrue="1" operator="lessThanOrEqual">
      <formula>0</formula>
    </cfRule>
  </conditionalFormatting>
  <conditionalFormatting sqref="J59">
    <cfRule type="cellIs" dxfId="340" priority="5" stopIfTrue="1" operator="lessThanOrEqual">
      <formula>0</formula>
    </cfRule>
  </conditionalFormatting>
  <conditionalFormatting sqref="J59">
    <cfRule type="cellIs" dxfId="339" priority="4" stopIfTrue="1" operator="lessThanOrEqual">
      <formula>0</formula>
    </cfRule>
  </conditionalFormatting>
  <conditionalFormatting sqref="H59">
    <cfRule type="cellIs" dxfId="338" priority="1" stopIfTrue="1" operator="lessThanOrEqual">
      <formula>0</formula>
    </cfRule>
  </conditionalFormatting>
  <conditionalFormatting sqref="H59">
    <cfRule type="cellIs" dxfId="337" priority="3" stopIfTrue="1" operator="lessThanOrEqual">
      <formula>0</formula>
    </cfRule>
  </conditionalFormatting>
  <conditionalFormatting sqref="H59">
    <cfRule type="cellIs" dxfId="336" priority="2" stopIfTrue="1" operator="lessThanOrEqual">
      <formula>0</formula>
    </cfRule>
  </conditionalFormatting>
  <dataValidations disablePrompts="1" count="1">
    <dataValidation allowBlank="1" showInputMessage="1" showErrorMessage="1" promptTitle="Toelichting" prompt="Vul in deze gekleurde cellen de gevraagde informatie in._x000d_" sqref="E10" xr:uid="{00000000-0002-0000-0400-000000000000}"/>
  </dataValidations>
  <printOptions horizontalCentered="1" gridLinesSet="0"/>
  <pageMargins left="0.2" right="0.2" top="0.59" bottom="0.4" header="0.39" footer="0.2"/>
  <pageSetup paperSize="9" orientation="landscape" r:id="rId1"/>
  <headerFooter>
    <oddHeader>&amp;L&amp;C&amp;R</oddHeader>
    <oddFooter>&amp;L&amp;"Verdana,Standaard"&amp;K000000&amp;F-&amp;A&amp;R&amp;"Verdana,Standaard"&amp;K000000printversie &amp;D</oddFooter>
  </headerFooter>
  <ignoredErrors>
    <ignoredError sqref="S52 S44 S35 S29" formula="1"/>
  </ignoredErrors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N506"/>
  <sheetViews>
    <sheetView showGridLines="0" showZeros="0" showOutlineSymbols="0" topLeftCell="C445" zoomScaleNormal="100" zoomScaleSheetLayoutView="65" zoomScalePageLayoutView="90" workbookViewId="0">
      <selection activeCell="N469" sqref="N469"/>
    </sheetView>
  </sheetViews>
  <sheetFormatPr defaultColWidth="0" defaultRowHeight="15.95" customHeight="1"/>
  <cols>
    <col min="1" max="1" width="7.140625" style="48" hidden="1" customWidth="1"/>
    <col min="2" max="2" width="18.42578125" style="102" customWidth="1"/>
    <col min="3" max="3" width="13.85546875" style="337" customWidth="1"/>
    <col min="4" max="4" width="53.140625" style="1" bestFit="1" customWidth="1"/>
    <col min="5" max="5" width="11.140625" style="102" customWidth="1"/>
    <col min="6" max="6" width="19.42578125" style="328" customWidth="1"/>
    <col min="7" max="7" width="38.85546875" style="48" customWidth="1"/>
    <col min="8" max="8" width="57.140625" style="416" customWidth="1"/>
    <col min="9" max="9" width="23.85546875" style="529" bestFit="1" customWidth="1"/>
    <col min="10" max="10" width="15.140625" style="164" bestFit="1" customWidth="1"/>
    <col min="11" max="11" width="14.140625" style="148" customWidth="1"/>
    <col min="12" max="12" width="23.140625" style="50" bestFit="1" customWidth="1"/>
    <col min="13" max="13" width="16.85546875" style="102" bestFit="1" customWidth="1"/>
    <col min="14" max="14" width="18.42578125" style="442" customWidth="1"/>
    <col min="15" max="15" width="15.140625" style="50" customWidth="1"/>
    <col min="16" max="16" width="17.5703125" style="102" bestFit="1" customWidth="1"/>
    <col min="17" max="17" width="14.140625" style="50" customWidth="1"/>
    <col min="18" max="18" width="17.42578125" style="50" customWidth="1"/>
    <col min="19" max="19" width="16.85546875" style="250" customWidth="1"/>
    <col min="20" max="20" width="20.140625" style="250" bestFit="1" customWidth="1"/>
    <col min="21" max="22" width="17.5703125" style="48" customWidth="1"/>
    <col min="23" max="23" width="19.85546875" style="102" bestFit="1" customWidth="1"/>
    <col min="24" max="24" width="20.140625" style="102" bestFit="1" customWidth="1"/>
    <col min="25" max="25" width="16.85546875" style="48" bestFit="1" customWidth="1"/>
    <col min="26" max="26" width="16.85546875" style="48" customWidth="1"/>
    <col min="27" max="27" width="10.5703125" style="48" bestFit="1" customWidth="1"/>
    <col min="28" max="28" width="55.5703125" style="632" customWidth="1"/>
    <col min="29" max="29" width="20.85546875" style="102" customWidth="1"/>
    <col min="30" max="30" width="21.140625" style="102" bestFit="1" customWidth="1"/>
    <col min="31" max="31" width="13.85546875" style="48" customWidth="1"/>
    <col min="32" max="32" width="11.140625" style="48" hidden="1" customWidth="1"/>
    <col min="33" max="33" width="13.42578125" style="48" hidden="1" customWidth="1"/>
    <col min="34" max="35" width="8.85546875" style="48" customWidth="1"/>
    <col min="36" max="38" width="8.85546875" style="48" hidden="1" customWidth="1"/>
    <col min="39" max="40" width="13.42578125" style="48" hidden="1" customWidth="1"/>
    <col min="41" max="16384" width="8.85546875" style="48" hidden="1"/>
  </cols>
  <sheetData>
    <row r="1" spans="1:33" ht="12" customHeight="1">
      <c r="A1" s="102"/>
      <c r="C1" s="250"/>
      <c r="D1" s="333"/>
      <c r="E1" s="165"/>
      <c r="F1" s="103"/>
      <c r="G1" s="334"/>
      <c r="H1" s="436"/>
      <c r="I1" s="532"/>
      <c r="J1" s="122"/>
      <c r="K1" s="531"/>
      <c r="L1" s="51"/>
      <c r="M1" s="103"/>
      <c r="N1" s="440"/>
      <c r="O1" s="122"/>
      <c r="P1" s="122"/>
      <c r="Q1" s="122"/>
      <c r="R1" s="122"/>
      <c r="S1" s="351"/>
      <c r="T1" s="352"/>
      <c r="U1" s="335"/>
      <c r="V1" s="335"/>
      <c r="W1" s="166"/>
      <c r="X1" s="166"/>
      <c r="Y1" s="335"/>
      <c r="Z1" s="335"/>
      <c r="AA1" s="393"/>
      <c r="AB1" s="630"/>
      <c r="AC1" s="167"/>
    </row>
    <row r="2" spans="1:33" ht="18" customHeight="1">
      <c r="A2" s="102"/>
      <c r="C2" s="250"/>
      <c r="D2" s="70" t="str">
        <f>'1.2-Kengetal'!C2</f>
        <v>Omschrijving blad</v>
      </c>
      <c r="E2" s="168"/>
      <c r="F2" s="117" t="s">
        <v>291</v>
      </c>
      <c r="G2" s="336"/>
      <c r="H2" s="436"/>
      <c r="I2" s="532"/>
      <c r="J2" s="122"/>
      <c r="K2" s="531"/>
      <c r="L2" s="51"/>
      <c r="M2" s="103"/>
      <c r="N2" s="440"/>
      <c r="O2" s="122"/>
      <c r="P2" s="122"/>
      <c r="Q2" s="122"/>
      <c r="R2" s="122"/>
      <c r="S2" s="351"/>
      <c r="T2" s="352"/>
      <c r="U2" s="335"/>
      <c r="V2" s="335"/>
      <c r="W2" s="166"/>
      <c r="X2" s="166"/>
      <c r="Y2" s="335"/>
      <c r="Z2" s="335"/>
      <c r="AA2" s="337"/>
      <c r="AB2" s="631"/>
      <c r="AC2" s="103"/>
    </row>
    <row r="3" spans="1:33" ht="18" customHeight="1">
      <c r="A3" s="102"/>
      <c r="C3" s="250"/>
      <c r="D3" s="177" t="s">
        <v>42</v>
      </c>
      <c r="F3" s="178" t="str">
        <f>Voorblad!$E$16</f>
        <v>HHNK bedrijfsgebouwen van werven en RWZI's</v>
      </c>
      <c r="G3" s="336"/>
      <c r="H3" s="437"/>
      <c r="I3" s="532"/>
      <c r="J3" s="122"/>
      <c r="K3" s="531"/>
      <c r="L3" s="51"/>
      <c r="M3" s="103"/>
      <c r="N3" s="441"/>
      <c r="O3" s="51"/>
      <c r="P3" s="103"/>
      <c r="Q3" s="51"/>
      <c r="R3" s="51"/>
      <c r="S3" s="351"/>
      <c r="T3" s="352"/>
      <c r="U3" s="335"/>
      <c r="V3" s="335"/>
      <c r="W3" s="166"/>
      <c r="X3" s="166"/>
      <c r="Y3" s="331"/>
      <c r="Z3" s="331"/>
      <c r="AA3" s="337"/>
      <c r="AB3" s="631"/>
      <c r="AC3" s="103"/>
    </row>
    <row r="4" spans="1:33" ht="18" customHeight="1">
      <c r="A4" s="102"/>
      <c r="C4" s="250"/>
      <c r="D4" s="177" t="s">
        <v>43</v>
      </c>
      <c r="F4" s="178" t="str">
        <f>'1.0-Contractblad'!$D$4</f>
        <v>Heerhugowaard</v>
      </c>
      <c r="G4" s="336"/>
      <c r="I4" s="533" t="s">
        <v>15</v>
      </c>
      <c r="J4" s="633"/>
      <c r="L4" s="51"/>
      <c r="M4" s="103"/>
      <c r="N4" s="441"/>
      <c r="O4" s="51"/>
      <c r="P4" s="165"/>
      <c r="T4" s="352"/>
      <c r="U4" s="335"/>
      <c r="V4" s="335"/>
      <c r="W4" s="166"/>
      <c r="X4" s="166"/>
      <c r="Y4" s="335"/>
      <c r="Z4" s="335"/>
      <c r="AA4" s="337"/>
      <c r="AB4" s="631"/>
      <c r="AC4" s="103"/>
    </row>
    <row r="5" spans="1:33" ht="18" customHeight="1">
      <c r="A5" s="102"/>
      <c r="C5" s="250"/>
      <c r="D5" s="177" t="s">
        <v>192</v>
      </c>
      <c r="F5" s="193" t="e">
        <f>Voorblad!#REF!</f>
        <v>#REF!</v>
      </c>
      <c r="G5" s="336"/>
      <c r="I5" s="533">
        <v>0</v>
      </c>
      <c r="J5" s="634" t="s">
        <v>16</v>
      </c>
      <c r="K5" s="531"/>
      <c r="L5" s="51"/>
      <c r="M5" s="103"/>
      <c r="N5" s="441"/>
      <c r="O5" s="51"/>
      <c r="P5" s="103"/>
      <c r="T5" s="352"/>
      <c r="U5" s="335"/>
      <c r="V5" s="335"/>
      <c r="W5" s="166"/>
      <c r="X5" s="166"/>
      <c r="Y5" s="335"/>
      <c r="Z5" s="335"/>
      <c r="AA5" s="337"/>
      <c r="AB5" s="631"/>
      <c r="AC5" s="103"/>
    </row>
    <row r="6" spans="1:33" ht="18" customHeight="1">
      <c r="A6" s="102"/>
      <c r="C6" s="250"/>
      <c r="D6" s="177" t="s">
        <v>37</v>
      </c>
      <c r="F6" s="322" t="str">
        <f>Voorblad!$E$25</f>
        <v>V1 15-06-2023</v>
      </c>
      <c r="G6" s="336"/>
      <c r="I6" s="532"/>
      <c r="J6" s="122"/>
      <c r="K6" s="531"/>
      <c r="L6" s="51"/>
      <c r="M6" s="103"/>
      <c r="N6" s="441"/>
      <c r="O6" s="51"/>
      <c r="P6" s="103"/>
      <c r="T6" s="352"/>
      <c r="U6" s="335"/>
      <c r="V6" s="335"/>
      <c r="W6" s="335"/>
      <c r="X6" s="335"/>
      <c r="Y6" s="335"/>
      <c r="Z6" s="335"/>
      <c r="AA6" s="335"/>
      <c r="AB6" s="631"/>
      <c r="AC6" s="103"/>
    </row>
    <row r="7" spans="1:33" ht="18" customHeight="1">
      <c r="A7" s="102"/>
      <c r="C7" s="250"/>
      <c r="D7" s="177" t="s">
        <v>45</v>
      </c>
      <c r="F7" s="178" t="str">
        <f>Voorblad!$E$19</f>
        <v>Naam inschrijver</v>
      </c>
      <c r="G7" s="194"/>
      <c r="I7" s="532"/>
      <c r="J7" s="122"/>
      <c r="K7" s="531"/>
      <c r="L7" s="51"/>
      <c r="M7" s="103"/>
      <c r="N7" s="441"/>
      <c r="O7" s="51"/>
      <c r="P7" s="51"/>
      <c r="S7" s="362">
        <f>W7*J7*Q7</f>
        <v>0</v>
      </c>
      <c r="T7" s="362">
        <f>X7*J7*R7</f>
        <v>0</v>
      </c>
      <c r="U7" s="362">
        <f>Y7*J7*Q7</f>
        <v>0</v>
      </c>
      <c r="V7" s="362"/>
      <c r="W7" s="362"/>
      <c r="X7" s="362"/>
      <c r="Y7" s="362"/>
      <c r="Z7" s="362"/>
      <c r="AA7" s="362"/>
      <c r="AB7" s="631"/>
      <c r="AC7" s="103"/>
    </row>
    <row r="8" spans="1:33" ht="18" customHeight="1">
      <c r="A8" s="102"/>
      <c r="C8" s="250"/>
      <c r="D8" s="177" t="s">
        <v>36</v>
      </c>
      <c r="F8" s="746">
        <f>Voorblad!$E$22</f>
        <v>45261</v>
      </c>
      <c r="G8" s="746"/>
      <c r="H8" s="438"/>
      <c r="I8" s="532"/>
      <c r="J8" s="122"/>
      <c r="K8" s="531"/>
      <c r="L8" s="51"/>
      <c r="M8" s="103"/>
      <c r="N8" s="441"/>
      <c r="O8" s="51"/>
      <c r="P8" s="51"/>
      <c r="T8" s="352"/>
      <c r="U8" s="335"/>
      <c r="V8" s="335"/>
      <c r="W8" s="166"/>
      <c r="X8" s="166"/>
      <c r="Y8" s="335"/>
      <c r="Z8" s="335"/>
      <c r="AB8" s="631"/>
      <c r="AC8" s="103"/>
    </row>
    <row r="9" spans="1:33" ht="13.5" thickBot="1">
      <c r="A9" s="102"/>
      <c r="C9" s="250"/>
      <c r="D9" s="333"/>
      <c r="E9" s="165"/>
      <c r="F9" s="103"/>
      <c r="G9" s="334"/>
      <c r="H9" s="436"/>
      <c r="I9" s="532"/>
      <c r="J9" s="122"/>
      <c r="K9" s="531"/>
      <c r="L9" s="51"/>
      <c r="M9" s="103"/>
      <c r="N9" s="441"/>
      <c r="O9" s="51"/>
      <c r="P9" s="103"/>
      <c r="T9" s="352"/>
      <c r="U9" s="335"/>
      <c r="V9" s="335"/>
      <c r="W9" s="166"/>
      <c r="X9" s="166"/>
      <c r="Y9" s="335"/>
      <c r="Z9" s="335"/>
      <c r="AA9" s="334"/>
      <c r="AB9" s="631"/>
      <c r="AC9" s="103"/>
    </row>
    <row r="10" spans="1:33" s="169" customFormat="1" ht="26.25" thickBot="1">
      <c r="A10" s="343"/>
      <c r="B10" s="459" t="s">
        <v>292</v>
      </c>
      <c r="C10" s="453" t="s">
        <v>293</v>
      </c>
      <c r="D10" s="467" t="s">
        <v>294</v>
      </c>
      <c r="E10" s="469" t="s">
        <v>295</v>
      </c>
      <c r="F10" s="669" t="s">
        <v>296</v>
      </c>
      <c r="G10" s="467" t="s">
        <v>297</v>
      </c>
      <c r="H10" s="665" t="s">
        <v>298</v>
      </c>
      <c r="I10" s="666" t="s">
        <v>299</v>
      </c>
      <c r="J10" s="474" t="s">
        <v>201</v>
      </c>
      <c r="K10" s="667" t="s">
        <v>202</v>
      </c>
      <c r="L10" s="668" t="s">
        <v>300</v>
      </c>
      <c r="M10" s="668" t="s">
        <v>301</v>
      </c>
      <c r="N10" s="668" t="s">
        <v>302</v>
      </c>
      <c r="O10" s="668"/>
      <c r="P10" s="670" t="s">
        <v>195</v>
      </c>
      <c r="Q10" s="668" t="s">
        <v>303</v>
      </c>
      <c r="R10" s="668" t="s">
        <v>304</v>
      </c>
      <c r="S10" s="671" t="s">
        <v>305</v>
      </c>
      <c r="T10" s="671" t="s">
        <v>306</v>
      </c>
      <c r="U10" s="671" t="s">
        <v>307</v>
      </c>
      <c r="V10" s="671"/>
      <c r="W10" s="672" t="s">
        <v>308</v>
      </c>
      <c r="X10" s="670" t="s">
        <v>199</v>
      </c>
      <c r="Y10" s="670" t="s">
        <v>309</v>
      </c>
      <c r="Z10" s="670" t="s">
        <v>310</v>
      </c>
      <c r="AA10" s="467" t="s">
        <v>205</v>
      </c>
      <c r="AB10" s="673" t="s">
        <v>311</v>
      </c>
      <c r="AC10" s="674" t="s">
        <v>312</v>
      </c>
      <c r="AD10" s="675" t="s">
        <v>313</v>
      </c>
    </row>
    <row r="11" spans="1:33" ht="12.75">
      <c r="A11" s="102"/>
      <c r="B11" s="364"/>
      <c r="C11" s="365"/>
      <c r="D11" s="676" t="s">
        <v>95</v>
      </c>
      <c r="E11" s="677" t="s">
        <v>314</v>
      </c>
      <c r="F11" s="678" t="s">
        <v>315</v>
      </c>
      <c r="G11" s="679" t="s">
        <v>316</v>
      </c>
      <c r="H11" s="679" t="str">
        <f t="shared" ref="H11:H39" si="0">IF($L11="",0,VLOOKUP($L11,Kengetal,4,FALSE))</f>
        <v>niet van toepassing</v>
      </c>
      <c r="I11" s="680"/>
      <c r="J11" s="680"/>
      <c r="K11" s="680"/>
      <c r="L11" s="681" t="s">
        <v>225</v>
      </c>
      <c r="M11" s="677"/>
      <c r="N11" s="682"/>
      <c r="O11" s="682"/>
      <c r="P11" s="682">
        <f t="shared" ref="P11:P40" si="1">VLOOKUP(L11,Kengetal,3,FALSE)+VLOOKUP(M11,Kengetal,3,FALSE)+VLOOKUP(N11,Kengetal,3,FALSE)</f>
        <v>0</v>
      </c>
      <c r="Q11" s="683">
        <v>1</v>
      </c>
      <c r="R11" s="684">
        <v>1</v>
      </c>
      <c r="S11" s="685">
        <f t="shared" ref="S11:S40" si="2">W11*J11*Q11</f>
        <v>0</v>
      </c>
      <c r="T11" s="685">
        <f t="shared" ref="T11:T40" si="3">X11*J11*R11</f>
        <v>0</v>
      </c>
      <c r="U11" s="685">
        <f t="shared" ref="U11:U40" si="4">Y11*J11*Q11</f>
        <v>0</v>
      </c>
      <c r="V11" s="685">
        <f t="shared" ref="V11:V40" si="5">Z11*J11*T11</f>
        <v>0</v>
      </c>
      <c r="W11" s="686">
        <f t="shared" ref="W11:W39" si="6">IF($L11=0,0,VLOOKUP($L11,Kengetal,6,FALSE))</f>
        <v>0</v>
      </c>
      <c r="X11" s="686">
        <f t="shared" ref="X11:X39" si="7">IF($L11=0,0,VLOOKUP($L11,Kengetal,8,FALSE))</f>
        <v>0</v>
      </c>
      <c r="Y11" s="686">
        <f t="shared" ref="Y11:Y39" si="8">IF($M11=0,0,VLOOKUP($M11,Kengetal,6,FALSE))</f>
        <v>0</v>
      </c>
      <c r="Z11" s="686">
        <f t="shared" ref="Z11:Z39" si="9">IF($N11=0,0,VLOOKUP($N11,Kengetal,6,FALSE))</f>
        <v>0</v>
      </c>
      <c r="AA11" s="685">
        <f t="shared" ref="AA11:AA39" si="10">IF(L11="","",VLOOKUP(L11,Kengetal,15,FALSE))</f>
        <v>0</v>
      </c>
      <c r="AB11" s="687"/>
      <c r="AC11" s="688" t="e">
        <f>(S11+T11+U11)*'1.0-Contractblad'!$K$68</f>
        <v>#VALUE!</v>
      </c>
      <c r="AD11" s="688"/>
      <c r="AE11" s="48">
        <f t="shared" ref="AE11:AE39" si="11">IF(L11=8255,S11+T11,0)</f>
        <v>0</v>
      </c>
      <c r="AF11" s="48">
        <f t="shared" ref="AF11:AF40" si="12">J11*P11</f>
        <v>0</v>
      </c>
      <c r="AG11" s="48" t="str">
        <f t="shared" ref="AG11:AG40" si="13">CONCATENATE(L11,"-",P11)</f>
        <v>nvt-0</v>
      </c>
    </row>
    <row r="12" spans="1:33" ht="12.75">
      <c r="A12" s="102"/>
      <c r="B12" s="364"/>
      <c r="C12" s="365"/>
      <c r="D12" s="676" t="s">
        <v>95</v>
      </c>
      <c r="E12" s="677" t="s">
        <v>314</v>
      </c>
      <c r="F12" s="678" t="s">
        <v>317</v>
      </c>
      <c r="G12" s="679" t="s">
        <v>318</v>
      </c>
      <c r="H12" s="679" t="str">
        <f t="shared" si="0"/>
        <v>entree, gang, hal, repro, kopieer</v>
      </c>
      <c r="I12" s="689" t="s">
        <v>319</v>
      </c>
      <c r="J12" s="680">
        <v>6.2</v>
      </c>
      <c r="K12" s="680"/>
      <c r="L12" s="681">
        <v>3255</v>
      </c>
      <c r="M12" s="677"/>
      <c r="N12" s="682"/>
      <c r="O12" s="682"/>
      <c r="P12" s="682">
        <f t="shared" si="1"/>
        <v>255</v>
      </c>
      <c r="Q12" s="683">
        <v>1.4</v>
      </c>
      <c r="R12" s="684">
        <v>1</v>
      </c>
      <c r="S12" s="685">
        <f t="shared" si="2"/>
        <v>0</v>
      </c>
      <c r="T12" s="685">
        <f t="shared" si="3"/>
        <v>0</v>
      </c>
      <c r="U12" s="685">
        <f t="shared" si="4"/>
        <v>0</v>
      </c>
      <c r="V12" s="685">
        <f t="shared" si="5"/>
        <v>0</v>
      </c>
      <c r="W12" s="686">
        <f t="shared" si="6"/>
        <v>0</v>
      </c>
      <c r="X12" s="686">
        <f t="shared" si="7"/>
        <v>0</v>
      </c>
      <c r="Y12" s="686">
        <f t="shared" si="8"/>
        <v>0</v>
      </c>
      <c r="Z12" s="686">
        <f t="shared" si="9"/>
        <v>0</v>
      </c>
      <c r="AA12" s="685" t="str">
        <f t="shared" si="10"/>
        <v>V</v>
      </c>
      <c r="AB12" s="687"/>
      <c r="AC12" s="688" t="e">
        <f>(S12+T12+U12)*'1.0-Contractblad'!$K$68</f>
        <v>#VALUE!</v>
      </c>
      <c r="AD12" s="688"/>
      <c r="AE12" s="48">
        <f t="shared" si="11"/>
        <v>0</v>
      </c>
      <c r="AF12" s="48">
        <f t="shared" si="12"/>
        <v>1581</v>
      </c>
      <c r="AG12" s="48" t="str">
        <f t="shared" si="13"/>
        <v>3255-255</v>
      </c>
    </row>
    <row r="13" spans="1:33" ht="12.75">
      <c r="A13" s="102"/>
      <c r="B13" s="364"/>
      <c r="C13" s="365"/>
      <c r="D13" s="676" t="s">
        <v>95</v>
      </c>
      <c r="E13" s="677" t="s">
        <v>314</v>
      </c>
      <c r="F13" s="678" t="s">
        <v>320</v>
      </c>
      <c r="G13" s="679" t="s">
        <v>321</v>
      </c>
      <c r="H13" s="679" t="str">
        <f t="shared" si="0"/>
        <v>entree, gang, hal, repro, kopieer</v>
      </c>
      <c r="I13" s="689" t="s">
        <v>322</v>
      </c>
      <c r="J13" s="680">
        <v>17.75</v>
      </c>
      <c r="K13" s="680"/>
      <c r="L13" s="681">
        <v>3255</v>
      </c>
      <c r="M13" s="677"/>
      <c r="N13" s="682"/>
      <c r="O13" s="682"/>
      <c r="P13" s="682">
        <f t="shared" si="1"/>
        <v>255</v>
      </c>
      <c r="Q13" s="683">
        <v>1.4</v>
      </c>
      <c r="R13" s="684">
        <v>1</v>
      </c>
      <c r="S13" s="685">
        <f t="shared" si="2"/>
        <v>0</v>
      </c>
      <c r="T13" s="685">
        <f t="shared" si="3"/>
        <v>0</v>
      </c>
      <c r="U13" s="685">
        <f t="shared" si="4"/>
        <v>0</v>
      </c>
      <c r="V13" s="685">
        <f t="shared" si="5"/>
        <v>0</v>
      </c>
      <c r="W13" s="686">
        <f t="shared" si="6"/>
        <v>0</v>
      </c>
      <c r="X13" s="686">
        <f t="shared" si="7"/>
        <v>0</v>
      </c>
      <c r="Y13" s="686">
        <f t="shared" si="8"/>
        <v>0</v>
      </c>
      <c r="Z13" s="686">
        <f t="shared" si="9"/>
        <v>0</v>
      </c>
      <c r="AA13" s="685" t="str">
        <f t="shared" si="10"/>
        <v>V</v>
      </c>
      <c r="AB13" s="687"/>
      <c r="AC13" s="688" t="e">
        <f>(S13+T13+U13)*'1.0-Contractblad'!$K$68</f>
        <v>#VALUE!</v>
      </c>
      <c r="AD13" s="688"/>
      <c r="AE13" s="48">
        <f t="shared" si="11"/>
        <v>0</v>
      </c>
      <c r="AF13" s="48">
        <f t="shared" si="12"/>
        <v>4526.25</v>
      </c>
      <c r="AG13" s="48" t="str">
        <f t="shared" si="13"/>
        <v>3255-255</v>
      </c>
    </row>
    <row r="14" spans="1:33" ht="12.75">
      <c r="A14" s="102"/>
      <c r="B14" s="364"/>
      <c r="C14" s="365"/>
      <c r="D14" s="676" t="s">
        <v>95</v>
      </c>
      <c r="E14" s="677" t="s">
        <v>314</v>
      </c>
      <c r="F14" s="678" t="s">
        <v>323</v>
      </c>
      <c r="G14" s="679" t="s">
        <v>324</v>
      </c>
      <c r="H14" s="679" t="str">
        <f t="shared" si="0"/>
        <v>entree, gang, hal, repro, kopieer</v>
      </c>
      <c r="I14" s="689" t="s">
        <v>322</v>
      </c>
      <c r="J14" s="680">
        <v>29.05</v>
      </c>
      <c r="K14" s="680"/>
      <c r="L14" s="681">
        <v>3255</v>
      </c>
      <c r="M14" s="677"/>
      <c r="N14" s="682"/>
      <c r="O14" s="682"/>
      <c r="P14" s="682">
        <f t="shared" si="1"/>
        <v>255</v>
      </c>
      <c r="Q14" s="683">
        <v>1.4</v>
      </c>
      <c r="R14" s="684">
        <v>1</v>
      </c>
      <c r="S14" s="685">
        <f t="shared" si="2"/>
        <v>0</v>
      </c>
      <c r="T14" s="685">
        <f t="shared" si="3"/>
        <v>0</v>
      </c>
      <c r="U14" s="685">
        <f t="shared" si="4"/>
        <v>0</v>
      </c>
      <c r="V14" s="685">
        <f t="shared" si="5"/>
        <v>0</v>
      </c>
      <c r="W14" s="686">
        <f t="shared" si="6"/>
        <v>0</v>
      </c>
      <c r="X14" s="686">
        <f t="shared" si="7"/>
        <v>0</v>
      </c>
      <c r="Y14" s="686">
        <f t="shared" si="8"/>
        <v>0</v>
      </c>
      <c r="Z14" s="686">
        <f t="shared" si="9"/>
        <v>0</v>
      </c>
      <c r="AA14" s="685" t="str">
        <f t="shared" si="10"/>
        <v>V</v>
      </c>
      <c r="AB14" s="687"/>
      <c r="AC14" s="688" t="e">
        <f>(S14+T14+U14)*'1.0-Contractblad'!$K$68</f>
        <v>#VALUE!</v>
      </c>
      <c r="AD14" s="688"/>
      <c r="AE14" s="48">
        <f t="shared" si="11"/>
        <v>0</v>
      </c>
      <c r="AF14" s="48">
        <f t="shared" si="12"/>
        <v>7407.75</v>
      </c>
      <c r="AG14" s="48" t="str">
        <f t="shared" si="13"/>
        <v>3255-255</v>
      </c>
    </row>
    <row r="15" spans="1:33" ht="12.75">
      <c r="A15" s="102"/>
      <c r="B15" s="364"/>
      <c r="C15" s="365"/>
      <c r="D15" s="676" t="s">
        <v>95</v>
      </c>
      <c r="E15" s="677" t="s">
        <v>314</v>
      </c>
      <c r="F15" s="678" t="s">
        <v>325</v>
      </c>
      <c r="G15" s="679" t="s">
        <v>326</v>
      </c>
      <c r="H15" s="679" t="str">
        <f t="shared" si="0"/>
        <v>administratieve -, personeels- en vergaderruimte</v>
      </c>
      <c r="I15" s="689" t="s">
        <v>322</v>
      </c>
      <c r="J15" s="680">
        <v>56.75</v>
      </c>
      <c r="K15" s="680"/>
      <c r="L15" s="681">
        <v>1255</v>
      </c>
      <c r="M15" s="677"/>
      <c r="N15" s="682"/>
      <c r="O15" s="682"/>
      <c r="P15" s="682">
        <f t="shared" si="1"/>
        <v>255</v>
      </c>
      <c r="Q15" s="683">
        <v>1.4</v>
      </c>
      <c r="R15" s="684">
        <v>1</v>
      </c>
      <c r="S15" s="685">
        <f t="shared" si="2"/>
        <v>0</v>
      </c>
      <c r="T15" s="685">
        <f t="shared" si="3"/>
        <v>0</v>
      </c>
      <c r="U15" s="685">
        <f t="shared" si="4"/>
        <v>0</v>
      </c>
      <c r="V15" s="685">
        <f t="shared" si="5"/>
        <v>0</v>
      </c>
      <c r="W15" s="686">
        <f t="shared" si="6"/>
        <v>0</v>
      </c>
      <c r="X15" s="686">
        <f t="shared" si="7"/>
        <v>0</v>
      </c>
      <c r="Y15" s="686">
        <f t="shared" si="8"/>
        <v>0</v>
      </c>
      <c r="Z15" s="686">
        <f t="shared" si="9"/>
        <v>0</v>
      </c>
      <c r="AA15" s="685" t="str">
        <f t="shared" si="10"/>
        <v>B</v>
      </c>
      <c r="AB15" s="687"/>
      <c r="AC15" s="688" t="e">
        <f>(S15+T15+U15)*'1.0-Contractblad'!$K$68</f>
        <v>#VALUE!</v>
      </c>
      <c r="AD15" s="688"/>
      <c r="AE15" s="48">
        <f t="shared" si="11"/>
        <v>0</v>
      </c>
      <c r="AF15" s="48">
        <f t="shared" si="12"/>
        <v>14471.25</v>
      </c>
      <c r="AG15" s="48" t="str">
        <f t="shared" si="13"/>
        <v>1255-255</v>
      </c>
    </row>
    <row r="16" spans="1:33" ht="12.75">
      <c r="A16" s="102"/>
      <c r="B16" s="364"/>
      <c r="C16" s="365"/>
      <c r="D16" s="676" t="s">
        <v>95</v>
      </c>
      <c r="E16" s="677" t="s">
        <v>314</v>
      </c>
      <c r="F16" s="678" t="s">
        <v>327</v>
      </c>
      <c r="G16" s="679" t="s">
        <v>328</v>
      </c>
      <c r="H16" s="679" t="str">
        <f t="shared" si="0"/>
        <v>pantry, keuken, koffiecorner</v>
      </c>
      <c r="I16" s="689" t="s">
        <v>329</v>
      </c>
      <c r="J16" s="680">
        <v>62.88</v>
      </c>
      <c r="K16" s="680"/>
      <c r="L16" s="681">
        <v>5255</v>
      </c>
      <c r="M16" s="677"/>
      <c r="N16" s="682"/>
      <c r="O16" s="682"/>
      <c r="P16" s="682">
        <f t="shared" si="1"/>
        <v>255</v>
      </c>
      <c r="Q16" s="683">
        <v>1.4</v>
      </c>
      <c r="R16" s="684">
        <v>1</v>
      </c>
      <c r="S16" s="685">
        <f t="shared" si="2"/>
        <v>0</v>
      </c>
      <c r="T16" s="685">
        <f t="shared" si="3"/>
        <v>0</v>
      </c>
      <c r="U16" s="685">
        <f t="shared" si="4"/>
        <v>0</v>
      </c>
      <c r="V16" s="685">
        <f t="shared" si="5"/>
        <v>0</v>
      </c>
      <c r="W16" s="686">
        <f t="shared" si="6"/>
        <v>0</v>
      </c>
      <c r="X16" s="686">
        <f t="shared" si="7"/>
        <v>0</v>
      </c>
      <c r="Y16" s="686">
        <f t="shared" si="8"/>
        <v>0</v>
      </c>
      <c r="Z16" s="686">
        <f t="shared" si="9"/>
        <v>0</v>
      </c>
      <c r="AA16" s="685" t="str">
        <f t="shared" si="10"/>
        <v>V</v>
      </c>
      <c r="AB16" s="687"/>
      <c r="AC16" s="688" t="e">
        <f>(S16+T16+U16)*'1.0-Contractblad'!$K$68</f>
        <v>#VALUE!</v>
      </c>
      <c r="AD16" s="688"/>
      <c r="AE16" s="48">
        <f t="shared" si="11"/>
        <v>0</v>
      </c>
      <c r="AF16" s="48">
        <f t="shared" si="12"/>
        <v>16034.400000000001</v>
      </c>
      <c r="AG16" s="48" t="str">
        <f t="shared" si="13"/>
        <v>5255-255</v>
      </c>
    </row>
    <row r="17" spans="1:33" ht="12.75">
      <c r="A17" s="102"/>
      <c r="B17" s="364"/>
      <c r="C17" s="365"/>
      <c r="D17" s="676" t="s">
        <v>95</v>
      </c>
      <c r="E17" s="677" t="s">
        <v>314</v>
      </c>
      <c r="F17" s="678" t="s">
        <v>330</v>
      </c>
      <c r="G17" s="679" t="s">
        <v>331</v>
      </c>
      <c r="H17" s="679" t="str">
        <f t="shared" si="0"/>
        <v>administratieve -, personeels- en vergaderruimte</v>
      </c>
      <c r="I17" s="689" t="s">
        <v>322</v>
      </c>
      <c r="J17" s="680">
        <v>6.3</v>
      </c>
      <c r="K17" s="680"/>
      <c r="L17" s="681">
        <v>1255</v>
      </c>
      <c r="M17" s="677"/>
      <c r="N17" s="682"/>
      <c r="O17" s="682"/>
      <c r="P17" s="682">
        <f t="shared" si="1"/>
        <v>255</v>
      </c>
      <c r="Q17" s="683">
        <v>1.4</v>
      </c>
      <c r="R17" s="684">
        <v>1</v>
      </c>
      <c r="S17" s="685">
        <f t="shared" si="2"/>
        <v>0</v>
      </c>
      <c r="T17" s="685">
        <f t="shared" si="3"/>
        <v>0</v>
      </c>
      <c r="U17" s="685">
        <f t="shared" si="4"/>
        <v>0</v>
      </c>
      <c r="V17" s="685">
        <f t="shared" si="5"/>
        <v>0</v>
      </c>
      <c r="W17" s="686">
        <f t="shared" si="6"/>
        <v>0</v>
      </c>
      <c r="X17" s="686">
        <f t="shared" si="7"/>
        <v>0</v>
      </c>
      <c r="Y17" s="686">
        <f t="shared" si="8"/>
        <v>0</v>
      </c>
      <c r="Z17" s="686">
        <f t="shared" si="9"/>
        <v>0</v>
      </c>
      <c r="AA17" s="685" t="str">
        <f t="shared" si="10"/>
        <v>B</v>
      </c>
      <c r="AB17" s="687"/>
      <c r="AC17" s="688" t="e">
        <f>(S17+T17+U17)*'1.0-Contractblad'!$K$68</f>
        <v>#VALUE!</v>
      </c>
      <c r="AD17" s="688"/>
      <c r="AE17" s="48">
        <f t="shared" si="11"/>
        <v>0</v>
      </c>
      <c r="AF17" s="48">
        <f t="shared" si="12"/>
        <v>1606.5</v>
      </c>
      <c r="AG17" s="48" t="str">
        <f t="shared" si="13"/>
        <v>1255-255</v>
      </c>
    </row>
    <row r="18" spans="1:33" ht="12.75">
      <c r="A18" s="102"/>
      <c r="B18" s="364"/>
      <c r="C18" s="365"/>
      <c r="D18" s="676" t="s">
        <v>95</v>
      </c>
      <c r="E18" s="677" t="s">
        <v>314</v>
      </c>
      <c r="F18" s="678" t="s">
        <v>332</v>
      </c>
      <c r="G18" s="679" t="s">
        <v>333</v>
      </c>
      <c r="H18" s="679" t="str">
        <f t="shared" si="0"/>
        <v>administratieve -, personeels- en vergaderruimte</v>
      </c>
      <c r="I18" s="689" t="s">
        <v>322</v>
      </c>
      <c r="J18" s="680">
        <v>20.5</v>
      </c>
      <c r="K18" s="680"/>
      <c r="L18" s="681">
        <v>1255</v>
      </c>
      <c r="M18" s="677"/>
      <c r="N18" s="682"/>
      <c r="O18" s="682"/>
      <c r="P18" s="682">
        <f t="shared" si="1"/>
        <v>255</v>
      </c>
      <c r="Q18" s="683">
        <v>1.4</v>
      </c>
      <c r="R18" s="684">
        <v>1</v>
      </c>
      <c r="S18" s="685">
        <f t="shared" si="2"/>
        <v>0</v>
      </c>
      <c r="T18" s="685">
        <f t="shared" si="3"/>
        <v>0</v>
      </c>
      <c r="U18" s="685">
        <f t="shared" si="4"/>
        <v>0</v>
      </c>
      <c r="V18" s="685">
        <f t="shared" si="5"/>
        <v>0</v>
      </c>
      <c r="W18" s="686">
        <f t="shared" si="6"/>
        <v>0</v>
      </c>
      <c r="X18" s="686">
        <f t="shared" si="7"/>
        <v>0</v>
      </c>
      <c r="Y18" s="686">
        <f t="shared" si="8"/>
        <v>0</v>
      </c>
      <c r="Z18" s="686">
        <f t="shared" si="9"/>
        <v>0</v>
      </c>
      <c r="AA18" s="685" t="str">
        <f t="shared" si="10"/>
        <v>B</v>
      </c>
      <c r="AB18" s="687"/>
      <c r="AC18" s="688" t="e">
        <f>(S18+T18+U18)*'1.0-Contractblad'!$K$68</f>
        <v>#VALUE!</v>
      </c>
      <c r="AD18" s="688"/>
      <c r="AE18" s="48">
        <f t="shared" si="11"/>
        <v>0</v>
      </c>
      <c r="AF18" s="48">
        <f t="shared" si="12"/>
        <v>5227.5</v>
      </c>
      <c r="AG18" s="48" t="str">
        <f t="shared" si="13"/>
        <v>1255-255</v>
      </c>
    </row>
    <row r="19" spans="1:33" ht="12.75">
      <c r="A19" s="102"/>
      <c r="B19" s="364"/>
      <c r="C19" s="365"/>
      <c r="D19" s="676" t="s">
        <v>95</v>
      </c>
      <c r="E19" s="677" t="s">
        <v>314</v>
      </c>
      <c r="F19" s="678" t="s">
        <v>334</v>
      </c>
      <c r="G19" s="679" t="s">
        <v>335</v>
      </c>
      <c r="H19" s="679" t="str">
        <f t="shared" si="0"/>
        <v>sanitaire ruimte (toilet-/doucheruimte)</v>
      </c>
      <c r="I19" s="689" t="s">
        <v>336</v>
      </c>
      <c r="J19" s="680">
        <v>6.95</v>
      </c>
      <c r="K19" s="680"/>
      <c r="L19" s="681">
        <v>4255</v>
      </c>
      <c r="M19" s="677"/>
      <c r="N19" s="682"/>
      <c r="O19" s="682"/>
      <c r="P19" s="682">
        <f t="shared" si="1"/>
        <v>255</v>
      </c>
      <c r="Q19" s="683">
        <v>1.4</v>
      </c>
      <c r="R19" s="684">
        <v>1</v>
      </c>
      <c r="S19" s="685">
        <f t="shared" si="2"/>
        <v>0</v>
      </c>
      <c r="T19" s="685">
        <f t="shared" si="3"/>
        <v>0</v>
      </c>
      <c r="U19" s="685">
        <f t="shared" si="4"/>
        <v>0</v>
      </c>
      <c r="V19" s="685">
        <f t="shared" si="5"/>
        <v>0</v>
      </c>
      <c r="W19" s="686">
        <f t="shared" si="6"/>
        <v>0</v>
      </c>
      <c r="X19" s="686">
        <f t="shared" si="7"/>
        <v>0</v>
      </c>
      <c r="Y19" s="686">
        <f t="shared" si="8"/>
        <v>0</v>
      </c>
      <c r="Z19" s="686">
        <f t="shared" si="9"/>
        <v>0</v>
      </c>
      <c r="AA19" s="685" t="str">
        <f t="shared" si="10"/>
        <v>S</v>
      </c>
      <c r="AB19" s="687"/>
      <c r="AC19" s="688" t="e">
        <f>(S19+T19+U19)*'1.0-Contractblad'!$K$68</f>
        <v>#VALUE!</v>
      </c>
      <c r="AD19" s="688"/>
      <c r="AE19" s="48">
        <f t="shared" si="11"/>
        <v>0</v>
      </c>
      <c r="AF19" s="48">
        <f t="shared" si="12"/>
        <v>1772.25</v>
      </c>
      <c r="AG19" s="48" t="str">
        <f t="shared" si="13"/>
        <v>4255-255</v>
      </c>
    </row>
    <row r="20" spans="1:33" ht="12.75">
      <c r="A20" s="102"/>
      <c r="B20" s="364"/>
      <c r="C20" s="365"/>
      <c r="D20" s="676" t="s">
        <v>95</v>
      </c>
      <c r="E20" s="677" t="s">
        <v>314</v>
      </c>
      <c r="F20" s="678" t="s">
        <v>337</v>
      </c>
      <c r="G20" s="679" t="s">
        <v>338</v>
      </c>
      <c r="H20" s="679" t="str">
        <f t="shared" si="0"/>
        <v>entree, gang, hal, repro, kopieer</v>
      </c>
      <c r="I20" s="689" t="s">
        <v>336</v>
      </c>
      <c r="J20" s="680">
        <v>5.3</v>
      </c>
      <c r="K20" s="680"/>
      <c r="L20" s="681">
        <v>3255</v>
      </c>
      <c r="M20" s="677"/>
      <c r="N20" s="682"/>
      <c r="O20" s="682"/>
      <c r="P20" s="682">
        <f t="shared" si="1"/>
        <v>255</v>
      </c>
      <c r="Q20" s="683">
        <v>1.4</v>
      </c>
      <c r="R20" s="684">
        <v>1</v>
      </c>
      <c r="S20" s="685">
        <f t="shared" si="2"/>
        <v>0</v>
      </c>
      <c r="T20" s="685">
        <f t="shared" si="3"/>
        <v>0</v>
      </c>
      <c r="U20" s="685">
        <f t="shared" si="4"/>
        <v>0</v>
      </c>
      <c r="V20" s="685">
        <f t="shared" si="5"/>
        <v>0</v>
      </c>
      <c r="W20" s="686">
        <f t="shared" si="6"/>
        <v>0</v>
      </c>
      <c r="X20" s="686">
        <f t="shared" si="7"/>
        <v>0</v>
      </c>
      <c r="Y20" s="686">
        <f t="shared" si="8"/>
        <v>0</v>
      </c>
      <c r="Z20" s="686">
        <f t="shared" si="9"/>
        <v>0</v>
      </c>
      <c r="AA20" s="685" t="str">
        <f t="shared" si="10"/>
        <v>V</v>
      </c>
      <c r="AB20" s="687"/>
      <c r="AC20" s="688" t="e">
        <f>(S20+T20+U20)*'1.0-Contractblad'!$K$68</f>
        <v>#VALUE!</v>
      </c>
      <c r="AD20" s="688"/>
      <c r="AE20" s="48">
        <f t="shared" si="11"/>
        <v>0</v>
      </c>
      <c r="AF20" s="48">
        <f t="shared" si="12"/>
        <v>1351.5</v>
      </c>
      <c r="AG20" s="48" t="str">
        <f t="shared" si="13"/>
        <v>3255-255</v>
      </c>
    </row>
    <row r="21" spans="1:33" ht="12.75">
      <c r="A21" s="102"/>
      <c r="B21" s="364"/>
      <c r="C21" s="365"/>
      <c r="D21" s="676" t="s">
        <v>95</v>
      </c>
      <c r="E21" s="677" t="s">
        <v>314</v>
      </c>
      <c r="F21" s="678" t="s">
        <v>339</v>
      </c>
      <c r="G21" s="679" t="s">
        <v>340</v>
      </c>
      <c r="H21" s="679" t="str">
        <f t="shared" si="0"/>
        <v>sanitaire ruimte (toilet-/doucheruimte)</v>
      </c>
      <c r="I21" s="689" t="s">
        <v>336</v>
      </c>
      <c r="J21" s="680"/>
      <c r="K21" s="680"/>
      <c r="L21" s="681">
        <v>4255</v>
      </c>
      <c r="M21" s="677"/>
      <c r="N21" s="682"/>
      <c r="O21" s="682"/>
      <c r="P21" s="682">
        <f t="shared" si="1"/>
        <v>255</v>
      </c>
      <c r="Q21" s="683">
        <v>1.4</v>
      </c>
      <c r="R21" s="684">
        <v>1</v>
      </c>
      <c r="S21" s="685">
        <f t="shared" si="2"/>
        <v>0</v>
      </c>
      <c r="T21" s="685">
        <f t="shared" si="3"/>
        <v>0</v>
      </c>
      <c r="U21" s="685">
        <f t="shared" si="4"/>
        <v>0</v>
      </c>
      <c r="V21" s="685">
        <f t="shared" si="5"/>
        <v>0</v>
      </c>
      <c r="W21" s="686">
        <f t="shared" si="6"/>
        <v>0</v>
      </c>
      <c r="X21" s="686">
        <f t="shared" si="7"/>
        <v>0</v>
      </c>
      <c r="Y21" s="686">
        <f t="shared" si="8"/>
        <v>0</v>
      </c>
      <c r="Z21" s="686">
        <f t="shared" si="9"/>
        <v>0</v>
      </c>
      <c r="AA21" s="685" t="str">
        <f t="shared" si="10"/>
        <v>S</v>
      </c>
      <c r="AB21" s="687" t="s">
        <v>341</v>
      </c>
      <c r="AC21" s="688" t="e">
        <f>(S21+T21+U21)*'1.0-Contractblad'!$K$68</f>
        <v>#VALUE!</v>
      </c>
      <c r="AD21" s="688"/>
      <c r="AE21" s="48">
        <f t="shared" si="11"/>
        <v>0</v>
      </c>
      <c r="AF21" s="48">
        <f t="shared" si="12"/>
        <v>0</v>
      </c>
      <c r="AG21" s="48" t="str">
        <f t="shared" si="13"/>
        <v>4255-255</v>
      </c>
    </row>
    <row r="22" spans="1:33" ht="12.75">
      <c r="A22" s="102"/>
      <c r="B22" s="364"/>
      <c r="C22" s="365"/>
      <c r="D22" s="676" t="s">
        <v>95</v>
      </c>
      <c r="E22" s="677" t="s">
        <v>314</v>
      </c>
      <c r="F22" s="678" t="s">
        <v>342</v>
      </c>
      <c r="G22" s="679" t="s">
        <v>343</v>
      </c>
      <c r="H22" s="679" t="str">
        <f t="shared" si="0"/>
        <v>sanitaire ruimte (toilet-/doucheruimte)</v>
      </c>
      <c r="I22" s="689" t="s">
        <v>336</v>
      </c>
      <c r="J22" s="680">
        <v>10.5</v>
      </c>
      <c r="K22" s="680"/>
      <c r="L22" s="681">
        <v>4255</v>
      </c>
      <c r="M22" s="677"/>
      <c r="N22" s="682"/>
      <c r="O22" s="682"/>
      <c r="P22" s="682">
        <f t="shared" si="1"/>
        <v>255</v>
      </c>
      <c r="Q22" s="683">
        <v>1.4</v>
      </c>
      <c r="R22" s="684">
        <v>1</v>
      </c>
      <c r="S22" s="685">
        <f t="shared" si="2"/>
        <v>0</v>
      </c>
      <c r="T22" s="685">
        <f t="shared" si="3"/>
        <v>0</v>
      </c>
      <c r="U22" s="685">
        <f t="shared" si="4"/>
        <v>0</v>
      </c>
      <c r="V22" s="685">
        <f t="shared" si="5"/>
        <v>0</v>
      </c>
      <c r="W22" s="686">
        <f t="shared" si="6"/>
        <v>0</v>
      </c>
      <c r="X22" s="686">
        <f t="shared" si="7"/>
        <v>0</v>
      </c>
      <c r="Y22" s="686">
        <f t="shared" si="8"/>
        <v>0</v>
      </c>
      <c r="Z22" s="686">
        <f t="shared" si="9"/>
        <v>0</v>
      </c>
      <c r="AA22" s="685" t="str">
        <f t="shared" si="10"/>
        <v>S</v>
      </c>
      <c r="AB22" s="687"/>
      <c r="AC22" s="688" t="e">
        <f>(S22+T22+U22)*'1.0-Contractblad'!$K$68</f>
        <v>#VALUE!</v>
      </c>
      <c r="AD22" s="688"/>
      <c r="AE22" s="48">
        <f t="shared" si="11"/>
        <v>0</v>
      </c>
      <c r="AF22" s="48">
        <f t="shared" si="12"/>
        <v>2677.5</v>
      </c>
      <c r="AG22" s="48" t="str">
        <f t="shared" si="13"/>
        <v>4255-255</v>
      </c>
    </row>
    <row r="23" spans="1:33" ht="12.75">
      <c r="A23" s="102"/>
      <c r="B23" s="364"/>
      <c r="C23" s="365"/>
      <c r="D23" s="676" t="s">
        <v>95</v>
      </c>
      <c r="E23" s="677" t="s">
        <v>314</v>
      </c>
      <c r="F23" s="678" t="s">
        <v>344</v>
      </c>
      <c r="G23" s="679" t="s">
        <v>345</v>
      </c>
      <c r="H23" s="679" t="str">
        <f t="shared" si="0"/>
        <v>sanitaire ruimte (toilet-/doucheruimte)</v>
      </c>
      <c r="I23" s="689" t="s">
        <v>336</v>
      </c>
      <c r="J23" s="680">
        <v>1.6</v>
      </c>
      <c r="K23" s="680"/>
      <c r="L23" s="681">
        <v>4255</v>
      </c>
      <c r="M23" s="677"/>
      <c r="N23" s="682"/>
      <c r="O23" s="682"/>
      <c r="P23" s="682">
        <f t="shared" si="1"/>
        <v>255</v>
      </c>
      <c r="Q23" s="683">
        <v>1.4</v>
      </c>
      <c r="R23" s="684">
        <v>1</v>
      </c>
      <c r="S23" s="685">
        <f t="shared" si="2"/>
        <v>0</v>
      </c>
      <c r="T23" s="685">
        <f t="shared" si="3"/>
        <v>0</v>
      </c>
      <c r="U23" s="685">
        <f t="shared" si="4"/>
        <v>0</v>
      </c>
      <c r="V23" s="685">
        <f t="shared" si="5"/>
        <v>0</v>
      </c>
      <c r="W23" s="686">
        <f t="shared" si="6"/>
        <v>0</v>
      </c>
      <c r="X23" s="686">
        <f t="shared" si="7"/>
        <v>0</v>
      </c>
      <c r="Y23" s="686">
        <f t="shared" si="8"/>
        <v>0</v>
      </c>
      <c r="Z23" s="686">
        <f t="shared" si="9"/>
        <v>0</v>
      </c>
      <c r="AA23" s="685" t="str">
        <f t="shared" si="10"/>
        <v>S</v>
      </c>
      <c r="AB23" s="687"/>
      <c r="AC23" s="688" t="e">
        <f>(S23+T23+U23)*'1.0-Contractblad'!$K$68</f>
        <v>#VALUE!</v>
      </c>
      <c r="AD23" s="688"/>
      <c r="AE23" s="48">
        <f t="shared" si="11"/>
        <v>0</v>
      </c>
      <c r="AF23" s="48">
        <f t="shared" si="12"/>
        <v>408</v>
      </c>
      <c r="AG23" s="48" t="str">
        <f t="shared" si="13"/>
        <v>4255-255</v>
      </c>
    </row>
    <row r="24" spans="1:33" ht="12.75">
      <c r="A24" s="102"/>
      <c r="B24" s="364"/>
      <c r="C24" s="365"/>
      <c r="D24" s="676" t="s">
        <v>95</v>
      </c>
      <c r="E24" s="677" t="s">
        <v>314</v>
      </c>
      <c r="F24" s="678" t="s">
        <v>346</v>
      </c>
      <c r="G24" s="679" t="s">
        <v>347</v>
      </c>
      <c r="H24" s="679" t="str">
        <f t="shared" si="0"/>
        <v>sanitaire ruimte (toilet-/doucheruimte)</v>
      </c>
      <c r="I24" s="689" t="s">
        <v>336</v>
      </c>
      <c r="J24" s="680">
        <v>1.56</v>
      </c>
      <c r="K24" s="680"/>
      <c r="L24" s="681">
        <v>4255</v>
      </c>
      <c r="M24" s="677"/>
      <c r="N24" s="682"/>
      <c r="O24" s="682"/>
      <c r="P24" s="682">
        <f t="shared" si="1"/>
        <v>255</v>
      </c>
      <c r="Q24" s="683">
        <v>1.4</v>
      </c>
      <c r="R24" s="684">
        <v>1</v>
      </c>
      <c r="S24" s="685">
        <f t="shared" si="2"/>
        <v>0</v>
      </c>
      <c r="T24" s="685">
        <f t="shared" si="3"/>
        <v>0</v>
      </c>
      <c r="U24" s="685">
        <f t="shared" si="4"/>
        <v>0</v>
      </c>
      <c r="V24" s="685">
        <f t="shared" si="5"/>
        <v>0</v>
      </c>
      <c r="W24" s="686">
        <f t="shared" si="6"/>
        <v>0</v>
      </c>
      <c r="X24" s="686">
        <f t="shared" si="7"/>
        <v>0</v>
      </c>
      <c r="Y24" s="686">
        <f t="shared" si="8"/>
        <v>0</v>
      </c>
      <c r="Z24" s="686">
        <f t="shared" si="9"/>
        <v>0</v>
      </c>
      <c r="AA24" s="685" t="str">
        <f t="shared" si="10"/>
        <v>S</v>
      </c>
      <c r="AB24" s="687"/>
      <c r="AC24" s="688" t="e">
        <f>(S24+T24+U24)*'1.0-Contractblad'!$K$68</f>
        <v>#VALUE!</v>
      </c>
      <c r="AD24" s="688"/>
      <c r="AE24" s="48">
        <f t="shared" si="11"/>
        <v>0</v>
      </c>
      <c r="AF24" s="48">
        <f t="shared" si="12"/>
        <v>397.8</v>
      </c>
      <c r="AG24" s="48" t="str">
        <f t="shared" si="13"/>
        <v>4255-255</v>
      </c>
    </row>
    <row r="25" spans="1:33" ht="12.75">
      <c r="A25" s="102"/>
      <c r="B25" s="364"/>
      <c r="C25" s="365"/>
      <c r="D25" s="676" t="s">
        <v>95</v>
      </c>
      <c r="E25" s="677" t="s">
        <v>314</v>
      </c>
      <c r="F25" s="678" t="s">
        <v>348</v>
      </c>
      <c r="G25" s="679" t="s">
        <v>349</v>
      </c>
      <c r="H25" s="679" t="str">
        <f t="shared" si="0"/>
        <v>niet van toepassing</v>
      </c>
      <c r="I25" s="689" t="s">
        <v>336</v>
      </c>
      <c r="J25" s="680"/>
      <c r="K25" s="680"/>
      <c r="L25" s="681" t="s">
        <v>225</v>
      </c>
      <c r="M25" s="677"/>
      <c r="N25" s="682"/>
      <c r="O25" s="682"/>
      <c r="P25" s="682">
        <f t="shared" si="1"/>
        <v>0</v>
      </c>
      <c r="Q25" s="683">
        <v>1.4</v>
      </c>
      <c r="R25" s="684">
        <v>1</v>
      </c>
      <c r="S25" s="685">
        <f t="shared" si="2"/>
        <v>0</v>
      </c>
      <c r="T25" s="685">
        <f t="shared" si="3"/>
        <v>0</v>
      </c>
      <c r="U25" s="685">
        <f t="shared" si="4"/>
        <v>0</v>
      </c>
      <c r="V25" s="685">
        <f t="shared" si="5"/>
        <v>0</v>
      </c>
      <c r="W25" s="686">
        <f t="shared" si="6"/>
        <v>0</v>
      </c>
      <c r="X25" s="686">
        <f t="shared" si="7"/>
        <v>0</v>
      </c>
      <c r="Y25" s="686">
        <f t="shared" si="8"/>
        <v>0</v>
      </c>
      <c r="Z25" s="686">
        <f t="shared" si="9"/>
        <v>0</v>
      </c>
      <c r="AA25" s="685">
        <f t="shared" si="10"/>
        <v>0</v>
      </c>
      <c r="AB25" s="687"/>
      <c r="AC25" s="688" t="e">
        <f>(S25+T25+U25)*'1.0-Contractblad'!$K$68</f>
        <v>#VALUE!</v>
      </c>
      <c r="AD25" s="688"/>
      <c r="AE25" s="48">
        <f t="shared" si="11"/>
        <v>0</v>
      </c>
      <c r="AF25" s="48">
        <f t="shared" si="12"/>
        <v>0</v>
      </c>
      <c r="AG25" s="48" t="str">
        <f t="shared" si="13"/>
        <v>nvt-0</v>
      </c>
    </row>
    <row r="26" spans="1:33" ht="12.75">
      <c r="A26" s="102"/>
      <c r="B26" s="364"/>
      <c r="C26" s="365"/>
      <c r="D26" s="676" t="s">
        <v>95</v>
      </c>
      <c r="E26" s="677" t="s">
        <v>314</v>
      </c>
      <c r="F26" s="678" t="s">
        <v>350</v>
      </c>
      <c r="G26" s="679" t="s">
        <v>351</v>
      </c>
      <c r="H26" s="679" t="str">
        <f t="shared" si="0"/>
        <v>kleedruimten</v>
      </c>
      <c r="I26" s="689" t="s">
        <v>336</v>
      </c>
      <c r="J26" s="680">
        <v>33.15</v>
      </c>
      <c r="K26" s="680"/>
      <c r="L26" s="681">
        <v>10255</v>
      </c>
      <c r="M26" s="677"/>
      <c r="N26" s="682"/>
      <c r="O26" s="682"/>
      <c r="P26" s="682">
        <f t="shared" si="1"/>
        <v>255</v>
      </c>
      <c r="Q26" s="683">
        <v>1.4</v>
      </c>
      <c r="R26" s="684">
        <v>1</v>
      </c>
      <c r="S26" s="685">
        <f t="shared" si="2"/>
        <v>0</v>
      </c>
      <c r="T26" s="685">
        <f t="shared" si="3"/>
        <v>0</v>
      </c>
      <c r="U26" s="685">
        <f t="shared" si="4"/>
        <v>0</v>
      </c>
      <c r="V26" s="685">
        <f t="shared" si="5"/>
        <v>0</v>
      </c>
      <c r="W26" s="686">
        <f t="shared" si="6"/>
        <v>0</v>
      </c>
      <c r="X26" s="686">
        <f t="shared" si="7"/>
        <v>0</v>
      </c>
      <c r="Y26" s="686">
        <f t="shared" si="8"/>
        <v>0</v>
      </c>
      <c r="Z26" s="686">
        <f t="shared" si="9"/>
        <v>0</v>
      </c>
      <c r="AA26" s="685" t="str">
        <f t="shared" si="10"/>
        <v>V</v>
      </c>
      <c r="AB26" s="687"/>
      <c r="AC26" s="688" t="e">
        <f>(S26+T26+U26)*'1.0-Contractblad'!$K$68</f>
        <v>#VALUE!</v>
      </c>
      <c r="AD26" s="688"/>
      <c r="AE26" s="48">
        <f t="shared" si="11"/>
        <v>0</v>
      </c>
      <c r="AF26" s="48">
        <f t="shared" si="12"/>
        <v>8453.25</v>
      </c>
      <c r="AG26" s="48" t="str">
        <f t="shared" si="13"/>
        <v>10255-255</v>
      </c>
    </row>
    <row r="27" spans="1:33" ht="12.75">
      <c r="A27" s="102"/>
      <c r="B27" s="364"/>
      <c r="C27" s="365"/>
      <c r="D27" s="676" t="s">
        <v>95</v>
      </c>
      <c r="E27" s="677" t="s">
        <v>314</v>
      </c>
      <c r="F27" s="678" t="s">
        <v>352</v>
      </c>
      <c r="G27" s="690" t="s">
        <v>353</v>
      </c>
      <c r="H27" s="679" t="str">
        <f t="shared" si="0"/>
        <v>entree, gang, hal, repro, kopieer</v>
      </c>
      <c r="I27" s="689" t="s">
        <v>336</v>
      </c>
      <c r="J27" s="680">
        <v>11.1</v>
      </c>
      <c r="K27" s="680"/>
      <c r="L27" s="681">
        <v>3255</v>
      </c>
      <c r="M27" s="677"/>
      <c r="N27" s="682"/>
      <c r="O27" s="682"/>
      <c r="P27" s="682">
        <f t="shared" si="1"/>
        <v>255</v>
      </c>
      <c r="Q27" s="683">
        <v>1.4</v>
      </c>
      <c r="R27" s="684">
        <v>1</v>
      </c>
      <c r="S27" s="685">
        <f t="shared" si="2"/>
        <v>0</v>
      </c>
      <c r="T27" s="685">
        <f t="shared" si="3"/>
        <v>0</v>
      </c>
      <c r="U27" s="685">
        <f t="shared" si="4"/>
        <v>0</v>
      </c>
      <c r="V27" s="685">
        <f t="shared" si="5"/>
        <v>0</v>
      </c>
      <c r="W27" s="686">
        <f t="shared" si="6"/>
        <v>0</v>
      </c>
      <c r="X27" s="686">
        <f t="shared" si="7"/>
        <v>0</v>
      </c>
      <c r="Y27" s="686">
        <f t="shared" si="8"/>
        <v>0</v>
      </c>
      <c r="Z27" s="686">
        <f t="shared" si="9"/>
        <v>0</v>
      </c>
      <c r="AA27" s="685" t="str">
        <f t="shared" si="10"/>
        <v>V</v>
      </c>
      <c r="AB27" s="687"/>
      <c r="AC27" s="688" t="e">
        <f>(S27+T27+U27)*'1.0-Contractblad'!$K$68</f>
        <v>#VALUE!</v>
      </c>
      <c r="AD27" s="688"/>
      <c r="AE27" s="48">
        <f t="shared" si="11"/>
        <v>0</v>
      </c>
      <c r="AF27" s="48">
        <f t="shared" si="12"/>
        <v>2830.5</v>
      </c>
      <c r="AG27" s="48" t="str">
        <f t="shared" si="13"/>
        <v>3255-255</v>
      </c>
    </row>
    <row r="28" spans="1:33" ht="12.75">
      <c r="A28" s="102"/>
      <c r="B28" s="364"/>
      <c r="C28" s="365"/>
      <c r="D28" s="676" t="s">
        <v>95</v>
      </c>
      <c r="E28" s="677" t="s">
        <v>314</v>
      </c>
      <c r="F28" s="678" t="s">
        <v>354</v>
      </c>
      <c r="G28" s="690" t="s">
        <v>355</v>
      </c>
      <c r="H28" s="679" t="str">
        <f t="shared" si="0"/>
        <v>sanitaire ruimte (toilet-/doucheruimte)</v>
      </c>
      <c r="I28" s="689" t="s">
        <v>336</v>
      </c>
      <c r="J28" s="680"/>
      <c r="K28" s="680"/>
      <c r="L28" s="681">
        <v>4255</v>
      </c>
      <c r="M28" s="677"/>
      <c r="N28" s="682"/>
      <c r="O28" s="682"/>
      <c r="P28" s="682">
        <f t="shared" si="1"/>
        <v>255</v>
      </c>
      <c r="Q28" s="683">
        <v>1.4</v>
      </c>
      <c r="R28" s="684">
        <v>1</v>
      </c>
      <c r="S28" s="685">
        <f t="shared" si="2"/>
        <v>0</v>
      </c>
      <c r="T28" s="685">
        <f t="shared" si="3"/>
        <v>0</v>
      </c>
      <c r="U28" s="685">
        <f t="shared" si="4"/>
        <v>0</v>
      </c>
      <c r="V28" s="685">
        <f t="shared" si="5"/>
        <v>0</v>
      </c>
      <c r="W28" s="686">
        <f t="shared" si="6"/>
        <v>0</v>
      </c>
      <c r="X28" s="686">
        <f t="shared" si="7"/>
        <v>0</v>
      </c>
      <c r="Y28" s="686">
        <f t="shared" si="8"/>
        <v>0</v>
      </c>
      <c r="Z28" s="686">
        <f t="shared" si="9"/>
        <v>0</v>
      </c>
      <c r="AA28" s="685" t="str">
        <f t="shared" si="10"/>
        <v>S</v>
      </c>
      <c r="AB28" s="687" t="s">
        <v>356</v>
      </c>
      <c r="AC28" s="688" t="e">
        <f>(S28+T28+U28)*'1.0-Contractblad'!$K$68</f>
        <v>#VALUE!</v>
      </c>
      <c r="AD28" s="688"/>
      <c r="AE28" s="48">
        <f t="shared" si="11"/>
        <v>0</v>
      </c>
      <c r="AF28" s="48">
        <f t="shared" si="12"/>
        <v>0</v>
      </c>
      <c r="AG28" s="48" t="str">
        <f t="shared" si="13"/>
        <v>4255-255</v>
      </c>
    </row>
    <row r="29" spans="1:33" ht="12.75">
      <c r="A29" s="102"/>
      <c r="B29" s="364"/>
      <c r="C29" s="365"/>
      <c r="D29" s="676" t="s">
        <v>95</v>
      </c>
      <c r="E29" s="677" t="s">
        <v>314</v>
      </c>
      <c r="F29" s="678" t="s">
        <v>357</v>
      </c>
      <c r="G29" s="690" t="s">
        <v>355</v>
      </c>
      <c r="H29" s="679" t="str">
        <f t="shared" si="0"/>
        <v>sanitaire ruimte (toilet-/doucheruimte)</v>
      </c>
      <c r="I29" s="689" t="s">
        <v>336</v>
      </c>
      <c r="J29" s="680"/>
      <c r="K29" s="680"/>
      <c r="L29" s="681">
        <v>4255</v>
      </c>
      <c r="M29" s="677"/>
      <c r="N29" s="682"/>
      <c r="O29" s="682"/>
      <c r="P29" s="682">
        <f t="shared" si="1"/>
        <v>255</v>
      </c>
      <c r="Q29" s="683">
        <v>1.4</v>
      </c>
      <c r="R29" s="684">
        <v>1</v>
      </c>
      <c r="S29" s="685">
        <f t="shared" si="2"/>
        <v>0</v>
      </c>
      <c r="T29" s="685">
        <f t="shared" si="3"/>
        <v>0</v>
      </c>
      <c r="U29" s="685">
        <f t="shared" si="4"/>
        <v>0</v>
      </c>
      <c r="V29" s="685">
        <f t="shared" si="5"/>
        <v>0</v>
      </c>
      <c r="W29" s="686">
        <f t="shared" si="6"/>
        <v>0</v>
      </c>
      <c r="X29" s="686">
        <f t="shared" si="7"/>
        <v>0</v>
      </c>
      <c r="Y29" s="686">
        <f t="shared" si="8"/>
        <v>0</v>
      </c>
      <c r="Z29" s="686">
        <f t="shared" si="9"/>
        <v>0</v>
      </c>
      <c r="AA29" s="685" t="str">
        <f t="shared" si="10"/>
        <v>S</v>
      </c>
      <c r="AB29" s="687" t="s">
        <v>356</v>
      </c>
      <c r="AC29" s="688" t="e">
        <f>(S29+T29+U29)*'1.0-Contractblad'!$K$68</f>
        <v>#VALUE!</v>
      </c>
      <c r="AD29" s="688"/>
      <c r="AE29" s="48">
        <f t="shared" si="11"/>
        <v>0</v>
      </c>
      <c r="AF29" s="48">
        <f t="shared" si="12"/>
        <v>0</v>
      </c>
      <c r="AG29" s="48" t="str">
        <f t="shared" si="13"/>
        <v>4255-255</v>
      </c>
    </row>
    <row r="30" spans="1:33" ht="12.75">
      <c r="A30" s="102"/>
      <c r="B30" s="364"/>
      <c r="C30" s="365"/>
      <c r="D30" s="676" t="s">
        <v>95</v>
      </c>
      <c r="E30" s="677" t="s">
        <v>314</v>
      </c>
      <c r="F30" s="678" t="s">
        <v>358</v>
      </c>
      <c r="G30" s="679" t="s">
        <v>359</v>
      </c>
      <c r="H30" s="679" t="str">
        <f t="shared" si="0"/>
        <v>sanitaire ruimte (toilet-/doucheruimte)</v>
      </c>
      <c r="I30" s="689" t="s">
        <v>336</v>
      </c>
      <c r="J30" s="680"/>
      <c r="K30" s="680"/>
      <c r="L30" s="681">
        <v>4255</v>
      </c>
      <c r="M30" s="677"/>
      <c r="N30" s="682"/>
      <c r="O30" s="682"/>
      <c r="P30" s="682">
        <f t="shared" si="1"/>
        <v>255</v>
      </c>
      <c r="Q30" s="683">
        <v>1.4</v>
      </c>
      <c r="R30" s="684">
        <v>1</v>
      </c>
      <c r="S30" s="685">
        <f t="shared" si="2"/>
        <v>0</v>
      </c>
      <c r="T30" s="685">
        <f t="shared" si="3"/>
        <v>0</v>
      </c>
      <c r="U30" s="685">
        <f t="shared" si="4"/>
        <v>0</v>
      </c>
      <c r="V30" s="685">
        <f t="shared" si="5"/>
        <v>0</v>
      </c>
      <c r="W30" s="686">
        <f t="shared" si="6"/>
        <v>0</v>
      </c>
      <c r="X30" s="686">
        <f t="shared" si="7"/>
        <v>0</v>
      </c>
      <c r="Y30" s="686">
        <f t="shared" si="8"/>
        <v>0</v>
      </c>
      <c r="Z30" s="686">
        <f t="shared" si="9"/>
        <v>0</v>
      </c>
      <c r="AA30" s="685" t="str">
        <f t="shared" si="10"/>
        <v>S</v>
      </c>
      <c r="AB30" s="687" t="s">
        <v>356</v>
      </c>
      <c r="AC30" s="688" t="e">
        <f>(S30+T30+U30)*'1.0-Contractblad'!$K$68</f>
        <v>#VALUE!</v>
      </c>
      <c r="AD30" s="688"/>
      <c r="AE30" s="48">
        <f t="shared" si="11"/>
        <v>0</v>
      </c>
      <c r="AF30" s="48">
        <f t="shared" si="12"/>
        <v>0</v>
      </c>
      <c r="AG30" s="48" t="str">
        <f t="shared" si="13"/>
        <v>4255-255</v>
      </c>
    </row>
    <row r="31" spans="1:33" ht="12.75">
      <c r="A31" s="102"/>
      <c r="B31" s="364"/>
      <c r="C31" s="365"/>
      <c r="D31" s="676" t="s">
        <v>95</v>
      </c>
      <c r="E31" s="677" t="s">
        <v>314</v>
      </c>
      <c r="F31" s="678" t="s">
        <v>360</v>
      </c>
      <c r="G31" s="679" t="s">
        <v>359</v>
      </c>
      <c r="H31" s="679" t="str">
        <f t="shared" si="0"/>
        <v>sanitaire ruimte (toilet-/doucheruimte)</v>
      </c>
      <c r="I31" s="689" t="s">
        <v>336</v>
      </c>
      <c r="J31" s="680"/>
      <c r="K31" s="680"/>
      <c r="L31" s="681">
        <v>4255</v>
      </c>
      <c r="M31" s="677"/>
      <c r="N31" s="682"/>
      <c r="O31" s="682"/>
      <c r="P31" s="682">
        <f t="shared" si="1"/>
        <v>255</v>
      </c>
      <c r="Q31" s="683">
        <v>1.4</v>
      </c>
      <c r="R31" s="684">
        <v>1</v>
      </c>
      <c r="S31" s="685">
        <f t="shared" si="2"/>
        <v>0</v>
      </c>
      <c r="T31" s="685">
        <f t="shared" si="3"/>
        <v>0</v>
      </c>
      <c r="U31" s="685">
        <f t="shared" si="4"/>
        <v>0</v>
      </c>
      <c r="V31" s="685">
        <f t="shared" si="5"/>
        <v>0</v>
      </c>
      <c r="W31" s="686">
        <f t="shared" si="6"/>
        <v>0</v>
      </c>
      <c r="X31" s="686">
        <f t="shared" si="7"/>
        <v>0</v>
      </c>
      <c r="Y31" s="686">
        <f t="shared" si="8"/>
        <v>0</v>
      </c>
      <c r="Z31" s="686">
        <f t="shared" si="9"/>
        <v>0</v>
      </c>
      <c r="AA31" s="685" t="str">
        <f t="shared" si="10"/>
        <v>S</v>
      </c>
      <c r="AB31" s="687" t="s">
        <v>356</v>
      </c>
      <c r="AC31" s="688" t="e">
        <f>(S31+T31+U31)*'1.0-Contractblad'!$K$68</f>
        <v>#VALUE!</v>
      </c>
      <c r="AD31" s="688"/>
      <c r="AE31" s="48">
        <f t="shared" si="11"/>
        <v>0</v>
      </c>
      <c r="AF31" s="48">
        <f t="shared" si="12"/>
        <v>0</v>
      </c>
      <c r="AG31" s="48" t="str">
        <f t="shared" si="13"/>
        <v>4255-255</v>
      </c>
    </row>
    <row r="32" spans="1:33" ht="12.75">
      <c r="A32" s="102"/>
      <c r="B32" s="364"/>
      <c r="C32" s="365"/>
      <c r="D32" s="676" t="s">
        <v>95</v>
      </c>
      <c r="E32" s="677" t="s">
        <v>314</v>
      </c>
      <c r="F32" s="678" t="s">
        <v>361</v>
      </c>
      <c r="G32" s="679" t="s">
        <v>362</v>
      </c>
      <c r="H32" s="679" t="str">
        <f t="shared" si="0"/>
        <v>niet van toepassing</v>
      </c>
      <c r="I32" s="689" t="s">
        <v>336</v>
      </c>
      <c r="J32" s="680"/>
      <c r="K32" s="680"/>
      <c r="L32" s="681" t="s">
        <v>225</v>
      </c>
      <c r="M32" s="677"/>
      <c r="N32" s="682"/>
      <c r="O32" s="682"/>
      <c r="P32" s="682">
        <f t="shared" si="1"/>
        <v>0</v>
      </c>
      <c r="Q32" s="683">
        <v>1.4</v>
      </c>
      <c r="R32" s="684">
        <v>1</v>
      </c>
      <c r="S32" s="685">
        <f t="shared" si="2"/>
        <v>0</v>
      </c>
      <c r="T32" s="685">
        <f t="shared" si="3"/>
        <v>0</v>
      </c>
      <c r="U32" s="685">
        <f t="shared" si="4"/>
        <v>0</v>
      </c>
      <c r="V32" s="685">
        <f t="shared" si="5"/>
        <v>0</v>
      </c>
      <c r="W32" s="686">
        <f t="shared" si="6"/>
        <v>0</v>
      </c>
      <c r="X32" s="686">
        <f t="shared" si="7"/>
        <v>0</v>
      </c>
      <c r="Y32" s="686">
        <f t="shared" si="8"/>
        <v>0</v>
      </c>
      <c r="Z32" s="686">
        <f t="shared" si="9"/>
        <v>0</v>
      </c>
      <c r="AA32" s="685">
        <f t="shared" si="10"/>
        <v>0</v>
      </c>
      <c r="AB32" s="687"/>
      <c r="AC32" s="688" t="e">
        <f>(S32+T32+U32)*'1.0-Contractblad'!$K$68</f>
        <v>#VALUE!</v>
      </c>
      <c r="AD32" s="688"/>
      <c r="AE32" s="48">
        <f t="shared" si="11"/>
        <v>0</v>
      </c>
      <c r="AF32" s="48">
        <f t="shared" si="12"/>
        <v>0</v>
      </c>
      <c r="AG32" s="48" t="str">
        <f t="shared" si="13"/>
        <v>nvt-0</v>
      </c>
    </row>
    <row r="33" spans="1:33" ht="12.75">
      <c r="A33" s="102"/>
      <c r="B33" s="364"/>
      <c r="C33" s="365"/>
      <c r="D33" s="676" t="s">
        <v>95</v>
      </c>
      <c r="E33" s="677" t="s">
        <v>314</v>
      </c>
      <c r="F33" s="678" t="s">
        <v>363</v>
      </c>
      <c r="G33" s="679" t="s">
        <v>364</v>
      </c>
      <c r="H33" s="679" t="str">
        <f t="shared" si="0"/>
        <v>niet van toepassing</v>
      </c>
      <c r="I33" s="680"/>
      <c r="J33" s="680"/>
      <c r="K33" s="680"/>
      <c r="L33" s="681" t="s">
        <v>225</v>
      </c>
      <c r="M33" s="677"/>
      <c r="N33" s="682"/>
      <c r="O33" s="682"/>
      <c r="P33" s="682">
        <f t="shared" si="1"/>
        <v>0</v>
      </c>
      <c r="Q33" s="683">
        <v>1.4</v>
      </c>
      <c r="R33" s="684">
        <v>1</v>
      </c>
      <c r="S33" s="685">
        <f t="shared" si="2"/>
        <v>0</v>
      </c>
      <c r="T33" s="685">
        <f t="shared" si="3"/>
        <v>0</v>
      </c>
      <c r="U33" s="685">
        <f t="shared" si="4"/>
        <v>0</v>
      </c>
      <c r="V33" s="685">
        <f t="shared" si="5"/>
        <v>0</v>
      </c>
      <c r="W33" s="686">
        <f t="shared" si="6"/>
        <v>0</v>
      </c>
      <c r="X33" s="686">
        <f t="shared" si="7"/>
        <v>0</v>
      </c>
      <c r="Y33" s="686">
        <f t="shared" si="8"/>
        <v>0</v>
      </c>
      <c r="Z33" s="686">
        <f t="shared" si="9"/>
        <v>0</v>
      </c>
      <c r="AA33" s="685">
        <f t="shared" si="10"/>
        <v>0</v>
      </c>
      <c r="AB33" s="687"/>
      <c r="AC33" s="688" t="e">
        <f>(S33+T33+U33)*'1.0-Contractblad'!$K$68</f>
        <v>#VALUE!</v>
      </c>
      <c r="AD33" s="688"/>
      <c r="AE33" s="48">
        <f t="shared" si="11"/>
        <v>0</v>
      </c>
      <c r="AF33" s="48">
        <f t="shared" si="12"/>
        <v>0</v>
      </c>
      <c r="AG33" s="48" t="str">
        <f t="shared" si="13"/>
        <v>nvt-0</v>
      </c>
    </row>
    <row r="34" spans="1:33" ht="12.75">
      <c r="A34" s="102"/>
      <c r="B34" s="364"/>
      <c r="C34" s="365"/>
      <c r="D34" s="676" t="s">
        <v>95</v>
      </c>
      <c r="E34" s="677" t="s">
        <v>314</v>
      </c>
      <c r="F34" s="678" t="s">
        <v>365</v>
      </c>
      <c r="G34" s="679" t="s">
        <v>366</v>
      </c>
      <c r="H34" s="679" t="str">
        <f t="shared" si="0"/>
        <v>sanitaire ruimte (toilet-/doucheruimte)</v>
      </c>
      <c r="I34" s="689" t="s">
        <v>336</v>
      </c>
      <c r="J34" s="680">
        <v>8.8000000000000007</v>
      </c>
      <c r="K34" s="680"/>
      <c r="L34" s="681">
        <v>4255</v>
      </c>
      <c r="M34" s="677"/>
      <c r="N34" s="682"/>
      <c r="O34" s="682"/>
      <c r="P34" s="682">
        <f t="shared" si="1"/>
        <v>255</v>
      </c>
      <c r="Q34" s="683">
        <v>1.4</v>
      </c>
      <c r="R34" s="684">
        <v>1</v>
      </c>
      <c r="S34" s="685">
        <f t="shared" si="2"/>
        <v>0</v>
      </c>
      <c r="T34" s="685">
        <f t="shared" si="3"/>
        <v>0</v>
      </c>
      <c r="U34" s="685">
        <f t="shared" si="4"/>
        <v>0</v>
      </c>
      <c r="V34" s="685">
        <f t="shared" si="5"/>
        <v>0</v>
      </c>
      <c r="W34" s="686">
        <f t="shared" si="6"/>
        <v>0</v>
      </c>
      <c r="X34" s="686">
        <f t="shared" si="7"/>
        <v>0</v>
      </c>
      <c r="Y34" s="686">
        <f t="shared" si="8"/>
        <v>0</v>
      </c>
      <c r="Z34" s="686">
        <f t="shared" si="9"/>
        <v>0</v>
      </c>
      <c r="AA34" s="685" t="str">
        <f t="shared" si="10"/>
        <v>S</v>
      </c>
      <c r="AB34" s="687"/>
      <c r="AC34" s="688" t="e">
        <f>(S34+T34+U34)*'1.0-Contractblad'!$K$68</f>
        <v>#VALUE!</v>
      </c>
      <c r="AD34" s="688"/>
      <c r="AE34" s="48">
        <f t="shared" si="11"/>
        <v>0</v>
      </c>
      <c r="AF34" s="48">
        <f t="shared" si="12"/>
        <v>2244</v>
      </c>
      <c r="AG34" s="48" t="str">
        <f t="shared" si="13"/>
        <v>4255-255</v>
      </c>
    </row>
    <row r="35" spans="1:33" ht="12.75">
      <c r="A35" s="102"/>
      <c r="B35" s="364"/>
      <c r="C35" s="365"/>
      <c r="D35" s="676" t="s">
        <v>95</v>
      </c>
      <c r="E35" s="677" t="s">
        <v>314</v>
      </c>
      <c r="F35" s="678" t="s">
        <v>367</v>
      </c>
      <c r="G35" s="679" t="s">
        <v>368</v>
      </c>
      <c r="H35" s="679" t="str">
        <f t="shared" si="0"/>
        <v>niet van toepassing</v>
      </c>
      <c r="I35" s="689" t="s">
        <v>336</v>
      </c>
      <c r="J35" s="680"/>
      <c r="K35" s="680"/>
      <c r="L35" s="681" t="s">
        <v>225</v>
      </c>
      <c r="M35" s="677"/>
      <c r="N35" s="682"/>
      <c r="O35" s="682"/>
      <c r="P35" s="682">
        <f t="shared" si="1"/>
        <v>0</v>
      </c>
      <c r="Q35" s="683">
        <v>1</v>
      </c>
      <c r="R35" s="684">
        <v>1</v>
      </c>
      <c r="S35" s="685">
        <f t="shared" si="2"/>
        <v>0</v>
      </c>
      <c r="T35" s="685">
        <f t="shared" si="3"/>
        <v>0</v>
      </c>
      <c r="U35" s="685">
        <f t="shared" si="4"/>
        <v>0</v>
      </c>
      <c r="V35" s="685">
        <f t="shared" si="5"/>
        <v>0</v>
      </c>
      <c r="W35" s="686">
        <f t="shared" si="6"/>
        <v>0</v>
      </c>
      <c r="X35" s="686">
        <f t="shared" si="7"/>
        <v>0</v>
      </c>
      <c r="Y35" s="686">
        <f t="shared" si="8"/>
        <v>0</v>
      </c>
      <c r="Z35" s="686">
        <f t="shared" si="9"/>
        <v>0</v>
      </c>
      <c r="AA35" s="685">
        <f t="shared" si="10"/>
        <v>0</v>
      </c>
      <c r="AB35" s="687"/>
      <c r="AC35" s="688" t="e">
        <f>(S35+T35+U35)*'1.0-Contractblad'!$K$68</f>
        <v>#VALUE!</v>
      </c>
      <c r="AD35" s="688"/>
      <c r="AE35" s="48">
        <f t="shared" si="11"/>
        <v>0</v>
      </c>
      <c r="AF35" s="48">
        <f t="shared" si="12"/>
        <v>0</v>
      </c>
      <c r="AG35" s="48" t="str">
        <f t="shared" si="13"/>
        <v>nvt-0</v>
      </c>
    </row>
    <row r="36" spans="1:33" ht="12.75">
      <c r="A36" s="102"/>
      <c r="B36" s="364"/>
      <c r="C36" s="365"/>
      <c r="D36" s="676" t="s">
        <v>95</v>
      </c>
      <c r="E36" s="677" t="s">
        <v>314</v>
      </c>
      <c r="F36" s="678" t="s">
        <v>369</v>
      </c>
      <c r="G36" s="679" t="s">
        <v>370</v>
      </c>
      <c r="H36" s="679" t="str">
        <f t="shared" si="0"/>
        <v>niet van toepassing</v>
      </c>
      <c r="I36" s="680"/>
      <c r="J36" s="680"/>
      <c r="K36" s="680"/>
      <c r="L36" s="681" t="s">
        <v>225</v>
      </c>
      <c r="M36" s="677"/>
      <c r="N36" s="682"/>
      <c r="O36" s="682"/>
      <c r="P36" s="682">
        <f t="shared" si="1"/>
        <v>0</v>
      </c>
      <c r="Q36" s="683">
        <v>1</v>
      </c>
      <c r="R36" s="684">
        <v>1</v>
      </c>
      <c r="S36" s="685">
        <f t="shared" si="2"/>
        <v>0</v>
      </c>
      <c r="T36" s="685">
        <f t="shared" si="3"/>
        <v>0</v>
      </c>
      <c r="U36" s="685">
        <f t="shared" si="4"/>
        <v>0</v>
      </c>
      <c r="V36" s="685">
        <f t="shared" si="5"/>
        <v>0</v>
      </c>
      <c r="W36" s="686">
        <f t="shared" si="6"/>
        <v>0</v>
      </c>
      <c r="X36" s="686">
        <f t="shared" si="7"/>
        <v>0</v>
      </c>
      <c r="Y36" s="686">
        <f t="shared" si="8"/>
        <v>0</v>
      </c>
      <c r="Z36" s="686">
        <f t="shared" si="9"/>
        <v>0</v>
      </c>
      <c r="AA36" s="685">
        <f t="shared" si="10"/>
        <v>0</v>
      </c>
      <c r="AB36" s="687"/>
      <c r="AC36" s="688" t="e">
        <f>(S36+T36+U36)*'1.0-Contractblad'!$K$68</f>
        <v>#VALUE!</v>
      </c>
      <c r="AD36" s="688"/>
      <c r="AE36" s="48">
        <f t="shared" si="11"/>
        <v>0</v>
      </c>
      <c r="AF36" s="48">
        <f t="shared" si="12"/>
        <v>0</v>
      </c>
      <c r="AG36" s="48" t="str">
        <f t="shared" si="13"/>
        <v>nvt-0</v>
      </c>
    </row>
    <row r="37" spans="1:33" ht="12.75">
      <c r="A37" s="102"/>
      <c r="B37" s="364"/>
      <c r="C37" s="365"/>
      <c r="D37" s="676" t="s">
        <v>95</v>
      </c>
      <c r="E37" s="677" t="s">
        <v>314</v>
      </c>
      <c r="F37" s="678" t="s">
        <v>371</v>
      </c>
      <c r="G37" s="679" t="s">
        <v>372</v>
      </c>
      <c r="H37" s="679" t="str">
        <f t="shared" si="0"/>
        <v>niet van toepassing</v>
      </c>
      <c r="I37" s="680"/>
      <c r="J37" s="680"/>
      <c r="K37" s="680"/>
      <c r="L37" s="681" t="s">
        <v>225</v>
      </c>
      <c r="M37" s="677"/>
      <c r="N37" s="682"/>
      <c r="O37" s="682"/>
      <c r="P37" s="682">
        <f t="shared" si="1"/>
        <v>0</v>
      </c>
      <c r="Q37" s="683">
        <v>1</v>
      </c>
      <c r="R37" s="684">
        <v>1</v>
      </c>
      <c r="S37" s="685">
        <f t="shared" si="2"/>
        <v>0</v>
      </c>
      <c r="T37" s="685">
        <f t="shared" si="3"/>
        <v>0</v>
      </c>
      <c r="U37" s="685">
        <f t="shared" si="4"/>
        <v>0</v>
      </c>
      <c r="V37" s="685">
        <f t="shared" si="5"/>
        <v>0</v>
      </c>
      <c r="W37" s="686">
        <f t="shared" si="6"/>
        <v>0</v>
      </c>
      <c r="X37" s="686">
        <f t="shared" si="7"/>
        <v>0</v>
      </c>
      <c r="Y37" s="686">
        <f t="shared" si="8"/>
        <v>0</v>
      </c>
      <c r="Z37" s="686">
        <f t="shared" si="9"/>
        <v>0</v>
      </c>
      <c r="AA37" s="685">
        <f t="shared" si="10"/>
        <v>0</v>
      </c>
      <c r="AB37" s="687"/>
      <c r="AC37" s="688" t="e">
        <f>(S37+T37+U37)*'1.0-Contractblad'!$K$68</f>
        <v>#VALUE!</v>
      </c>
      <c r="AD37" s="688"/>
      <c r="AE37" s="48">
        <f t="shared" si="11"/>
        <v>0</v>
      </c>
      <c r="AF37" s="48">
        <f t="shared" si="12"/>
        <v>0</v>
      </c>
      <c r="AG37" s="48" t="str">
        <f t="shared" si="13"/>
        <v>nvt-0</v>
      </c>
    </row>
    <row r="38" spans="1:33" ht="12.75">
      <c r="A38" s="102"/>
      <c r="B38" s="364"/>
      <c r="C38" s="365"/>
      <c r="D38" s="676" t="s">
        <v>95</v>
      </c>
      <c r="E38" s="677" t="s">
        <v>314</v>
      </c>
      <c r="F38" s="678" t="s">
        <v>373</v>
      </c>
      <c r="G38" s="679" t="s">
        <v>374</v>
      </c>
      <c r="H38" s="679" t="str">
        <f t="shared" si="0"/>
        <v>niet van toepassing</v>
      </c>
      <c r="I38" s="680"/>
      <c r="J38" s="680"/>
      <c r="K38" s="680"/>
      <c r="L38" s="681" t="s">
        <v>225</v>
      </c>
      <c r="M38" s="677"/>
      <c r="N38" s="682"/>
      <c r="O38" s="682"/>
      <c r="P38" s="682">
        <f t="shared" si="1"/>
        <v>0</v>
      </c>
      <c r="Q38" s="683">
        <v>1</v>
      </c>
      <c r="R38" s="684">
        <v>1</v>
      </c>
      <c r="S38" s="685">
        <f t="shared" si="2"/>
        <v>0</v>
      </c>
      <c r="T38" s="685">
        <f t="shared" si="3"/>
        <v>0</v>
      </c>
      <c r="U38" s="685">
        <f t="shared" si="4"/>
        <v>0</v>
      </c>
      <c r="V38" s="685">
        <f t="shared" si="5"/>
        <v>0</v>
      </c>
      <c r="W38" s="686">
        <f t="shared" si="6"/>
        <v>0</v>
      </c>
      <c r="X38" s="686">
        <f t="shared" si="7"/>
        <v>0</v>
      </c>
      <c r="Y38" s="686">
        <f t="shared" si="8"/>
        <v>0</v>
      </c>
      <c r="Z38" s="686">
        <f t="shared" si="9"/>
        <v>0</v>
      </c>
      <c r="AA38" s="685">
        <f t="shared" si="10"/>
        <v>0</v>
      </c>
      <c r="AB38" s="687" t="s">
        <v>375</v>
      </c>
      <c r="AC38" s="688" t="e">
        <f>(S38+T38+U38)*'1.0-Contractblad'!$K$68</f>
        <v>#VALUE!</v>
      </c>
      <c r="AD38" s="688"/>
      <c r="AE38" s="48">
        <f t="shared" si="11"/>
        <v>0</v>
      </c>
      <c r="AF38" s="48">
        <f t="shared" si="12"/>
        <v>0</v>
      </c>
      <c r="AG38" s="48" t="str">
        <f t="shared" si="13"/>
        <v>nvt-0</v>
      </c>
    </row>
    <row r="39" spans="1:33" ht="12.75">
      <c r="A39" s="102"/>
      <c r="B39" s="364"/>
      <c r="C39" s="365"/>
      <c r="D39" s="676" t="s">
        <v>98</v>
      </c>
      <c r="E39" s="677" t="s">
        <v>314</v>
      </c>
      <c r="F39" s="678" t="s">
        <v>376</v>
      </c>
      <c r="G39" s="679" t="s">
        <v>377</v>
      </c>
      <c r="H39" s="679" t="str">
        <f t="shared" si="0"/>
        <v>buitenbordes</v>
      </c>
      <c r="I39" s="689" t="s">
        <v>378</v>
      </c>
      <c r="J39" s="680">
        <v>9.1999999999999993</v>
      </c>
      <c r="K39" s="680"/>
      <c r="L39" s="681">
        <v>16156</v>
      </c>
      <c r="M39" s="677"/>
      <c r="N39" s="682"/>
      <c r="O39" s="682"/>
      <c r="P39" s="682">
        <f t="shared" si="1"/>
        <v>156</v>
      </c>
      <c r="Q39" s="683">
        <v>1</v>
      </c>
      <c r="R39" s="684">
        <v>1</v>
      </c>
      <c r="S39" s="685">
        <f t="shared" si="2"/>
        <v>0</v>
      </c>
      <c r="T39" s="685">
        <f t="shared" si="3"/>
        <v>0</v>
      </c>
      <c r="U39" s="685">
        <f t="shared" si="4"/>
        <v>0</v>
      </c>
      <c r="V39" s="685">
        <f t="shared" si="5"/>
        <v>0</v>
      </c>
      <c r="W39" s="686">
        <f t="shared" si="6"/>
        <v>0</v>
      </c>
      <c r="X39" s="686">
        <f t="shared" si="7"/>
        <v>0</v>
      </c>
      <c r="Y39" s="686">
        <f t="shared" si="8"/>
        <v>0</v>
      </c>
      <c r="Z39" s="686">
        <f t="shared" si="9"/>
        <v>0</v>
      </c>
      <c r="AA39" s="685" t="str">
        <f t="shared" si="10"/>
        <v>V</v>
      </c>
      <c r="AB39" s="687" t="s">
        <v>379</v>
      </c>
      <c r="AC39" s="688" t="e">
        <f>(S39+T39+U39)*'1.0-Contractblad'!$K$68</f>
        <v>#VALUE!</v>
      </c>
      <c r="AD39" s="688"/>
      <c r="AE39" s="48">
        <f t="shared" si="11"/>
        <v>0</v>
      </c>
      <c r="AF39" s="48">
        <f t="shared" si="12"/>
        <v>1435.1999999999998</v>
      </c>
      <c r="AG39" s="48" t="str">
        <f t="shared" si="13"/>
        <v>16156-156</v>
      </c>
    </row>
    <row r="40" spans="1:33" ht="12.75">
      <c r="A40" s="102"/>
      <c r="B40" s="364"/>
      <c r="C40" s="365"/>
      <c r="D40" s="676" t="s">
        <v>98</v>
      </c>
      <c r="E40" s="677" t="s">
        <v>314</v>
      </c>
      <c r="F40" s="678" t="s">
        <v>315</v>
      </c>
      <c r="G40" s="679" t="s">
        <v>380</v>
      </c>
      <c r="H40" s="679" t="str">
        <f t="shared" ref="H40:H103" si="14">IF($L40="",0,VLOOKUP($L40,Kengetal,4,FALSE))</f>
        <v>entree, gang, hal, repro, kopieer</v>
      </c>
      <c r="I40" s="689" t="s">
        <v>381</v>
      </c>
      <c r="J40" s="680">
        <v>23.63</v>
      </c>
      <c r="K40" s="680"/>
      <c r="L40" s="681">
        <v>3156</v>
      </c>
      <c r="M40" s="677"/>
      <c r="N40" s="682"/>
      <c r="O40" s="682"/>
      <c r="P40" s="682">
        <f t="shared" si="1"/>
        <v>156</v>
      </c>
      <c r="Q40" s="683">
        <v>1</v>
      </c>
      <c r="R40" s="684">
        <v>1</v>
      </c>
      <c r="S40" s="685">
        <f t="shared" si="2"/>
        <v>0</v>
      </c>
      <c r="T40" s="685">
        <f t="shared" si="3"/>
        <v>0</v>
      </c>
      <c r="U40" s="685">
        <f t="shared" si="4"/>
        <v>0</v>
      </c>
      <c r="V40" s="685">
        <f t="shared" si="5"/>
        <v>0</v>
      </c>
      <c r="W40" s="686">
        <f t="shared" ref="W40:W103" si="15">IF($L40=0,0,VLOOKUP($L40,Kengetal,6,FALSE))</f>
        <v>0</v>
      </c>
      <c r="X40" s="686">
        <f t="shared" ref="X40:X103" si="16">IF($L40=0,0,VLOOKUP($L40,Kengetal,8,FALSE))</f>
        <v>0</v>
      </c>
      <c r="Y40" s="686">
        <f t="shared" ref="Y40:Y103" si="17">IF($M40=0,0,VLOOKUP($M40,Kengetal,6,FALSE))</f>
        <v>0</v>
      </c>
      <c r="Z40" s="686">
        <f t="shared" ref="Z40:Z103" si="18">IF($N40=0,0,VLOOKUP($N40,Kengetal,6,FALSE))</f>
        <v>0</v>
      </c>
      <c r="AA40" s="685" t="str">
        <f t="shared" ref="AA40:AA103" si="19">IF(L40="","",VLOOKUP(L40,Kengetal,15,FALSE))</f>
        <v>V</v>
      </c>
      <c r="AB40" s="687" t="s">
        <v>379</v>
      </c>
      <c r="AC40" s="688" t="e">
        <f>(S40+T40+U40)*'1.0-Contractblad'!$K$68</f>
        <v>#VALUE!</v>
      </c>
      <c r="AD40" s="688"/>
      <c r="AE40" s="48">
        <f t="shared" ref="AE40:AE103" si="20">IF(L40=8255,S40+T40,0)</f>
        <v>0</v>
      </c>
      <c r="AF40" s="48">
        <f t="shared" si="12"/>
        <v>3686.2799999999997</v>
      </c>
      <c r="AG40" s="48" t="str">
        <f t="shared" si="13"/>
        <v>3156-156</v>
      </c>
    </row>
    <row r="41" spans="1:33" ht="12.75">
      <c r="A41" s="102"/>
      <c r="B41" s="364"/>
      <c r="C41" s="365"/>
      <c r="D41" s="676" t="s">
        <v>98</v>
      </c>
      <c r="E41" s="677" t="s">
        <v>314</v>
      </c>
      <c r="F41" s="678" t="s">
        <v>317</v>
      </c>
      <c r="G41" s="676" t="s">
        <v>382</v>
      </c>
      <c r="H41" s="679" t="str">
        <f t="shared" si="14"/>
        <v>entree, gang, hal, repro, kopieer</v>
      </c>
      <c r="I41" s="689" t="s">
        <v>234</v>
      </c>
      <c r="J41" s="680">
        <v>24.82</v>
      </c>
      <c r="K41" s="680"/>
      <c r="L41" s="681">
        <v>3156</v>
      </c>
      <c r="M41" s="677"/>
      <c r="N41" s="682"/>
      <c r="O41" s="682"/>
      <c r="P41" s="682">
        <f t="shared" ref="P41:P104" si="21">VLOOKUP(L41,Kengetal,3,FALSE)+VLOOKUP(M41,Kengetal,3,FALSE)+VLOOKUP(N41,Kengetal,3,FALSE)</f>
        <v>156</v>
      </c>
      <c r="Q41" s="683">
        <v>1</v>
      </c>
      <c r="R41" s="684">
        <v>1</v>
      </c>
      <c r="S41" s="685">
        <f t="shared" ref="S41:S104" si="22">W41*J41*Q41</f>
        <v>0</v>
      </c>
      <c r="T41" s="685">
        <f t="shared" ref="T41:T104" si="23">X41*J41*R41</f>
        <v>0</v>
      </c>
      <c r="U41" s="685">
        <f t="shared" ref="U41:U104" si="24">Y41*J41*Q41</f>
        <v>0</v>
      </c>
      <c r="V41" s="685">
        <f t="shared" ref="V41:V104" si="25">Z41*J41*T41</f>
        <v>0</v>
      </c>
      <c r="W41" s="686">
        <f t="shared" si="15"/>
        <v>0</v>
      </c>
      <c r="X41" s="686">
        <f t="shared" si="16"/>
        <v>0</v>
      </c>
      <c r="Y41" s="686">
        <f t="shared" si="17"/>
        <v>0</v>
      </c>
      <c r="Z41" s="686">
        <f t="shared" si="18"/>
        <v>0</v>
      </c>
      <c r="AA41" s="685" t="str">
        <f t="shared" si="19"/>
        <v>V</v>
      </c>
      <c r="AB41" s="687" t="s">
        <v>379</v>
      </c>
      <c r="AC41" s="688" t="e">
        <f>(S41+T41+U41)*'1.0-Contractblad'!$K$68</f>
        <v>#VALUE!</v>
      </c>
      <c r="AD41" s="688"/>
      <c r="AE41" s="48">
        <f t="shared" si="20"/>
        <v>0</v>
      </c>
      <c r="AF41" s="48">
        <f t="shared" ref="AF41:AF104" si="26">J41*P41</f>
        <v>3871.92</v>
      </c>
      <c r="AG41" s="48" t="str">
        <f t="shared" ref="AG41:AG104" si="27">CONCATENATE(L41,"-",P41)</f>
        <v>3156-156</v>
      </c>
    </row>
    <row r="42" spans="1:33" ht="12.75">
      <c r="A42" s="102"/>
      <c r="B42" s="364"/>
      <c r="C42" s="365"/>
      <c r="D42" s="676" t="s">
        <v>98</v>
      </c>
      <c r="E42" s="677" t="s">
        <v>314</v>
      </c>
      <c r="F42" s="678" t="s">
        <v>320</v>
      </c>
      <c r="G42" s="679" t="s">
        <v>383</v>
      </c>
      <c r="H42" s="679" t="str">
        <f t="shared" si="14"/>
        <v>labruimte</v>
      </c>
      <c r="I42" s="689" t="s">
        <v>384</v>
      </c>
      <c r="J42" s="680">
        <v>51.56</v>
      </c>
      <c r="K42" s="680"/>
      <c r="L42" s="681">
        <v>8156</v>
      </c>
      <c r="M42" s="677"/>
      <c r="N42" s="682"/>
      <c r="O42" s="682"/>
      <c r="P42" s="682">
        <f t="shared" si="21"/>
        <v>156</v>
      </c>
      <c r="Q42" s="683">
        <v>1</v>
      </c>
      <c r="R42" s="684">
        <v>1</v>
      </c>
      <c r="S42" s="685">
        <f t="shared" si="22"/>
        <v>0</v>
      </c>
      <c r="T42" s="685">
        <f t="shared" si="23"/>
        <v>0</v>
      </c>
      <c r="U42" s="685">
        <f t="shared" si="24"/>
        <v>0</v>
      </c>
      <c r="V42" s="685">
        <f t="shared" si="25"/>
        <v>0</v>
      </c>
      <c r="W42" s="686">
        <f t="shared" si="15"/>
        <v>0</v>
      </c>
      <c r="X42" s="686">
        <f t="shared" si="16"/>
        <v>0</v>
      </c>
      <c r="Y42" s="686">
        <f t="shared" si="17"/>
        <v>0</v>
      </c>
      <c r="Z42" s="686">
        <f t="shared" si="18"/>
        <v>0</v>
      </c>
      <c r="AA42" s="685" t="str">
        <f t="shared" si="19"/>
        <v>V</v>
      </c>
      <c r="AB42" s="687" t="s">
        <v>379</v>
      </c>
      <c r="AC42" s="688" t="e">
        <f>(S42+T42+U42)*'1.0-Contractblad'!$K$68</f>
        <v>#VALUE!</v>
      </c>
      <c r="AD42" s="688"/>
      <c r="AE42" s="48">
        <f t="shared" si="20"/>
        <v>0</v>
      </c>
      <c r="AF42" s="48">
        <f t="shared" si="26"/>
        <v>8043.3600000000006</v>
      </c>
      <c r="AG42" s="48" t="str">
        <f t="shared" si="27"/>
        <v>8156-156</v>
      </c>
    </row>
    <row r="43" spans="1:33" ht="12.75">
      <c r="A43" s="102"/>
      <c r="B43" s="364"/>
      <c r="C43" s="365"/>
      <c r="D43" s="676" t="s">
        <v>98</v>
      </c>
      <c r="E43" s="677" t="s">
        <v>314</v>
      </c>
      <c r="F43" s="678" t="s">
        <v>323</v>
      </c>
      <c r="G43" s="679" t="s">
        <v>385</v>
      </c>
      <c r="H43" s="679" t="str">
        <f t="shared" si="14"/>
        <v>niet van toepassing</v>
      </c>
      <c r="I43" s="689" t="s">
        <v>234</v>
      </c>
      <c r="J43" s="680"/>
      <c r="K43" s="680">
        <v>7.6</v>
      </c>
      <c r="L43" s="681" t="s">
        <v>225</v>
      </c>
      <c r="M43" s="677"/>
      <c r="N43" s="682"/>
      <c r="O43" s="682"/>
      <c r="P43" s="682">
        <f t="shared" si="21"/>
        <v>0</v>
      </c>
      <c r="Q43" s="683">
        <v>1</v>
      </c>
      <c r="R43" s="684">
        <v>1</v>
      </c>
      <c r="S43" s="685">
        <f t="shared" si="22"/>
        <v>0</v>
      </c>
      <c r="T43" s="685">
        <f t="shared" si="23"/>
        <v>0</v>
      </c>
      <c r="U43" s="685">
        <f t="shared" si="24"/>
        <v>0</v>
      </c>
      <c r="V43" s="685">
        <f t="shared" si="25"/>
        <v>0</v>
      </c>
      <c r="W43" s="686">
        <f t="shared" si="15"/>
        <v>0</v>
      </c>
      <c r="X43" s="686">
        <f t="shared" si="16"/>
        <v>0</v>
      </c>
      <c r="Y43" s="686">
        <f t="shared" si="17"/>
        <v>0</v>
      </c>
      <c r="Z43" s="686">
        <f t="shared" si="18"/>
        <v>0</v>
      </c>
      <c r="AA43" s="685">
        <f t="shared" si="19"/>
        <v>0</v>
      </c>
      <c r="AB43" s="687"/>
      <c r="AC43" s="688" t="e">
        <f>(S43+T43+U43)*'1.0-Contractblad'!$K$68</f>
        <v>#VALUE!</v>
      </c>
      <c r="AD43" s="688"/>
      <c r="AE43" s="48">
        <f t="shared" si="20"/>
        <v>0</v>
      </c>
      <c r="AF43" s="48">
        <f t="shared" si="26"/>
        <v>0</v>
      </c>
      <c r="AG43" s="48" t="str">
        <f t="shared" si="27"/>
        <v>nvt-0</v>
      </c>
    </row>
    <row r="44" spans="1:33" ht="12.75">
      <c r="A44" s="102"/>
      <c r="B44" s="364"/>
      <c r="C44" s="365"/>
      <c r="D44" s="676" t="s">
        <v>98</v>
      </c>
      <c r="E44" s="677" t="s">
        <v>314</v>
      </c>
      <c r="F44" s="678" t="s">
        <v>325</v>
      </c>
      <c r="G44" s="679" t="s">
        <v>386</v>
      </c>
      <c r="H44" s="679" t="str">
        <f t="shared" si="14"/>
        <v>administratieve -, personeels- en vergaderruimte</v>
      </c>
      <c r="I44" s="689" t="s">
        <v>387</v>
      </c>
      <c r="J44" s="680">
        <v>10.220000000000001</v>
      </c>
      <c r="K44" s="680"/>
      <c r="L44" s="681">
        <v>1156</v>
      </c>
      <c r="M44" s="677"/>
      <c r="N44" s="682"/>
      <c r="O44" s="682"/>
      <c r="P44" s="682">
        <f t="shared" si="21"/>
        <v>156</v>
      </c>
      <c r="Q44" s="683">
        <v>1</v>
      </c>
      <c r="R44" s="684">
        <v>1</v>
      </c>
      <c r="S44" s="685">
        <f t="shared" si="22"/>
        <v>0</v>
      </c>
      <c r="T44" s="685">
        <f t="shared" si="23"/>
        <v>0</v>
      </c>
      <c r="U44" s="685">
        <f t="shared" si="24"/>
        <v>0</v>
      </c>
      <c r="V44" s="685">
        <f t="shared" si="25"/>
        <v>0</v>
      </c>
      <c r="W44" s="686">
        <f t="shared" si="15"/>
        <v>0</v>
      </c>
      <c r="X44" s="686">
        <f t="shared" si="16"/>
        <v>0</v>
      </c>
      <c r="Y44" s="686">
        <f t="shared" si="17"/>
        <v>0</v>
      </c>
      <c r="Z44" s="686">
        <f t="shared" si="18"/>
        <v>0</v>
      </c>
      <c r="AA44" s="685" t="str">
        <f t="shared" si="19"/>
        <v>B</v>
      </c>
      <c r="AB44" s="687" t="s">
        <v>379</v>
      </c>
      <c r="AC44" s="688" t="e">
        <f>(S44+T44+U44)*'1.0-Contractblad'!$K$68</f>
        <v>#VALUE!</v>
      </c>
      <c r="AD44" s="688"/>
      <c r="AE44" s="48">
        <f t="shared" si="20"/>
        <v>0</v>
      </c>
      <c r="AF44" s="48">
        <f t="shared" si="26"/>
        <v>1594.3200000000002</v>
      </c>
      <c r="AG44" s="48" t="str">
        <f t="shared" si="27"/>
        <v>1156-156</v>
      </c>
    </row>
    <row r="45" spans="1:33" ht="12.75">
      <c r="A45" s="102"/>
      <c r="B45" s="364"/>
      <c r="C45" s="365"/>
      <c r="D45" s="676" t="s">
        <v>98</v>
      </c>
      <c r="E45" s="677" t="s">
        <v>314</v>
      </c>
      <c r="F45" s="678" t="s">
        <v>327</v>
      </c>
      <c r="G45" s="679" t="s">
        <v>388</v>
      </c>
      <c r="H45" s="679" t="str">
        <f t="shared" si="14"/>
        <v>niet van toepassing</v>
      </c>
      <c r="I45" s="689" t="s">
        <v>238</v>
      </c>
      <c r="J45" s="680"/>
      <c r="K45" s="680">
        <v>21.41</v>
      </c>
      <c r="L45" s="681" t="s">
        <v>225</v>
      </c>
      <c r="M45" s="677"/>
      <c r="N45" s="682"/>
      <c r="O45" s="682"/>
      <c r="P45" s="682">
        <f t="shared" si="21"/>
        <v>0</v>
      </c>
      <c r="Q45" s="683">
        <v>1</v>
      </c>
      <c r="R45" s="684">
        <v>1</v>
      </c>
      <c r="S45" s="685">
        <f t="shared" si="22"/>
        <v>0</v>
      </c>
      <c r="T45" s="685">
        <f t="shared" si="23"/>
        <v>0</v>
      </c>
      <c r="U45" s="685">
        <f t="shared" si="24"/>
        <v>0</v>
      </c>
      <c r="V45" s="685">
        <f t="shared" si="25"/>
        <v>0</v>
      </c>
      <c r="W45" s="686">
        <f t="shared" si="15"/>
        <v>0</v>
      </c>
      <c r="X45" s="686">
        <f t="shared" si="16"/>
        <v>0</v>
      </c>
      <c r="Y45" s="686">
        <f t="shared" si="17"/>
        <v>0</v>
      </c>
      <c r="Z45" s="686">
        <f t="shared" si="18"/>
        <v>0</v>
      </c>
      <c r="AA45" s="685">
        <f t="shared" si="19"/>
        <v>0</v>
      </c>
      <c r="AB45" s="687"/>
      <c r="AC45" s="688" t="e">
        <f>(S45+T45+U45)*'1.0-Contractblad'!$K$68</f>
        <v>#VALUE!</v>
      </c>
      <c r="AD45" s="688"/>
      <c r="AE45" s="48">
        <f t="shared" si="20"/>
        <v>0</v>
      </c>
      <c r="AF45" s="48">
        <f t="shared" si="26"/>
        <v>0</v>
      </c>
      <c r="AG45" s="48" t="str">
        <f t="shared" si="27"/>
        <v>nvt-0</v>
      </c>
    </row>
    <row r="46" spans="1:33" ht="12.75">
      <c r="A46" s="102"/>
      <c r="B46" s="364"/>
      <c r="C46" s="365"/>
      <c r="D46" s="676" t="s">
        <v>98</v>
      </c>
      <c r="E46" s="677" t="s">
        <v>314</v>
      </c>
      <c r="F46" s="678" t="s">
        <v>330</v>
      </c>
      <c r="G46" s="676" t="s">
        <v>389</v>
      </c>
      <c r="H46" s="679" t="str">
        <f t="shared" si="14"/>
        <v>niet van toepassing</v>
      </c>
      <c r="I46" s="689" t="s">
        <v>240</v>
      </c>
      <c r="J46" s="680"/>
      <c r="K46" s="680">
        <v>19.63</v>
      </c>
      <c r="L46" s="681" t="s">
        <v>225</v>
      </c>
      <c r="M46" s="677"/>
      <c r="N46" s="682"/>
      <c r="O46" s="682"/>
      <c r="P46" s="682">
        <f t="shared" si="21"/>
        <v>0</v>
      </c>
      <c r="Q46" s="683">
        <v>1</v>
      </c>
      <c r="R46" s="684">
        <v>1</v>
      </c>
      <c r="S46" s="685">
        <f t="shared" si="22"/>
        <v>0</v>
      </c>
      <c r="T46" s="685">
        <f t="shared" si="23"/>
        <v>0</v>
      </c>
      <c r="U46" s="685">
        <f t="shared" si="24"/>
        <v>0</v>
      </c>
      <c r="V46" s="685">
        <f t="shared" si="25"/>
        <v>0</v>
      </c>
      <c r="W46" s="686">
        <f t="shared" si="15"/>
        <v>0</v>
      </c>
      <c r="X46" s="686">
        <f t="shared" si="16"/>
        <v>0</v>
      </c>
      <c r="Y46" s="686">
        <f t="shared" si="17"/>
        <v>0</v>
      </c>
      <c r="Z46" s="686">
        <f t="shared" si="18"/>
        <v>0</v>
      </c>
      <c r="AA46" s="685">
        <f t="shared" si="19"/>
        <v>0</v>
      </c>
      <c r="AB46" s="687"/>
      <c r="AC46" s="688" t="e">
        <f>(S46+T46+U46)*'1.0-Contractblad'!$K$68</f>
        <v>#VALUE!</v>
      </c>
      <c r="AD46" s="688"/>
      <c r="AE46" s="48">
        <f t="shared" si="20"/>
        <v>0</v>
      </c>
      <c r="AF46" s="48">
        <f t="shared" si="26"/>
        <v>0</v>
      </c>
      <c r="AG46" s="48" t="str">
        <f t="shared" si="27"/>
        <v>nvt-0</v>
      </c>
    </row>
    <row r="47" spans="1:33" ht="12.75">
      <c r="A47" s="102"/>
      <c r="B47" s="364"/>
      <c r="C47" s="365"/>
      <c r="D47" s="676" t="s">
        <v>98</v>
      </c>
      <c r="E47" s="677" t="s">
        <v>314</v>
      </c>
      <c r="F47" s="678" t="s">
        <v>332</v>
      </c>
      <c r="G47" s="679" t="s">
        <v>333</v>
      </c>
      <c r="H47" s="679" t="str">
        <f t="shared" si="14"/>
        <v>administratieve -, personeels- en vergaderruimte</v>
      </c>
      <c r="I47" s="689" t="s">
        <v>238</v>
      </c>
      <c r="J47" s="680">
        <v>16.21</v>
      </c>
      <c r="K47" s="680"/>
      <c r="L47" s="681">
        <v>1156</v>
      </c>
      <c r="M47" s="677"/>
      <c r="N47" s="682"/>
      <c r="O47" s="682"/>
      <c r="P47" s="682">
        <f t="shared" si="21"/>
        <v>156</v>
      </c>
      <c r="Q47" s="683">
        <v>1</v>
      </c>
      <c r="R47" s="684">
        <v>1</v>
      </c>
      <c r="S47" s="685">
        <f t="shared" si="22"/>
        <v>0</v>
      </c>
      <c r="T47" s="685">
        <f t="shared" si="23"/>
        <v>0</v>
      </c>
      <c r="U47" s="685">
        <f t="shared" si="24"/>
        <v>0</v>
      </c>
      <c r="V47" s="685">
        <f t="shared" si="25"/>
        <v>0</v>
      </c>
      <c r="W47" s="686">
        <f t="shared" si="15"/>
        <v>0</v>
      </c>
      <c r="X47" s="686">
        <f t="shared" si="16"/>
        <v>0</v>
      </c>
      <c r="Y47" s="686">
        <f t="shared" si="17"/>
        <v>0</v>
      </c>
      <c r="Z47" s="686">
        <f t="shared" si="18"/>
        <v>0</v>
      </c>
      <c r="AA47" s="685" t="str">
        <f t="shared" si="19"/>
        <v>B</v>
      </c>
      <c r="AB47" s="687" t="s">
        <v>379</v>
      </c>
      <c r="AC47" s="688" t="e">
        <f>(S47+T47+U47)*'1.0-Contractblad'!$K$68</f>
        <v>#VALUE!</v>
      </c>
      <c r="AD47" s="688"/>
      <c r="AE47" s="48">
        <f t="shared" si="20"/>
        <v>0</v>
      </c>
      <c r="AF47" s="48">
        <f t="shared" si="26"/>
        <v>2528.7600000000002</v>
      </c>
      <c r="AG47" s="48" t="str">
        <f t="shared" si="27"/>
        <v>1156-156</v>
      </c>
    </row>
    <row r="48" spans="1:33" ht="12.75">
      <c r="A48" s="102"/>
      <c r="B48" s="364"/>
      <c r="C48" s="365"/>
      <c r="D48" s="676" t="s">
        <v>98</v>
      </c>
      <c r="E48" s="677" t="s">
        <v>314</v>
      </c>
      <c r="F48" s="678" t="s">
        <v>334</v>
      </c>
      <c r="G48" s="679" t="s">
        <v>390</v>
      </c>
      <c r="H48" s="679" t="str">
        <f t="shared" si="14"/>
        <v>verblijfsruimte</v>
      </c>
      <c r="I48" s="689" t="s">
        <v>238</v>
      </c>
      <c r="J48" s="680">
        <v>26.03</v>
      </c>
      <c r="K48" s="680"/>
      <c r="L48" s="681">
        <v>15156</v>
      </c>
      <c r="M48" s="677"/>
      <c r="N48" s="682"/>
      <c r="O48" s="682"/>
      <c r="P48" s="682">
        <f t="shared" si="21"/>
        <v>156</v>
      </c>
      <c r="Q48" s="683">
        <v>1</v>
      </c>
      <c r="R48" s="684">
        <v>1</v>
      </c>
      <c r="S48" s="685">
        <f t="shared" si="22"/>
        <v>0</v>
      </c>
      <c r="T48" s="685">
        <f t="shared" si="23"/>
        <v>0</v>
      </c>
      <c r="U48" s="685">
        <f t="shared" si="24"/>
        <v>0</v>
      </c>
      <c r="V48" s="685">
        <f t="shared" si="25"/>
        <v>0</v>
      </c>
      <c r="W48" s="686">
        <f t="shared" si="15"/>
        <v>0</v>
      </c>
      <c r="X48" s="686">
        <f t="shared" si="16"/>
        <v>0</v>
      </c>
      <c r="Y48" s="686">
        <f t="shared" si="17"/>
        <v>0</v>
      </c>
      <c r="Z48" s="686">
        <f t="shared" si="18"/>
        <v>0</v>
      </c>
      <c r="AA48" s="685" t="str">
        <f t="shared" si="19"/>
        <v>V</v>
      </c>
      <c r="AB48" s="687" t="s">
        <v>379</v>
      </c>
      <c r="AC48" s="688" t="e">
        <f>(S48+T48+U48)*'1.0-Contractblad'!$K$68</f>
        <v>#VALUE!</v>
      </c>
      <c r="AD48" s="688"/>
      <c r="AE48" s="48">
        <f t="shared" si="20"/>
        <v>0</v>
      </c>
      <c r="AF48" s="48">
        <f t="shared" si="26"/>
        <v>4060.6800000000003</v>
      </c>
      <c r="AG48" s="48" t="str">
        <f t="shared" si="27"/>
        <v>15156-156</v>
      </c>
    </row>
    <row r="49" spans="1:33" ht="12.75">
      <c r="A49" s="102"/>
      <c r="B49" s="364"/>
      <c r="C49" s="365"/>
      <c r="D49" s="676" t="s">
        <v>98</v>
      </c>
      <c r="E49" s="677" t="s">
        <v>314</v>
      </c>
      <c r="F49" s="678" t="s">
        <v>391</v>
      </c>
      <c r="G49" s="679" t="s">
        <v>392</v>
      </c>
      <c r="H49" s="679" t="str">
        <f t="shared" si="14"/>
        <v>administratieve -, personeels- en vergaderruimte</v>
      </c>
      <c r="I49" s="689" t="s">
        <v>234</v>
      </c>
      <c r="J49" s="680">
        <v>56.6</v>
      </c>
      <c r="K49" s="680"/>
      <c r="L49" s="681">
        <v>1156</v>
      </c>
      <c r="M49" s="677"/>
      <c r="N49" s="682"/>
      <c r="O49" s="682"/>
      <c r="P49" s="682">
        <f t="shared" si="21"/>
        <v>156</v>
      </c>
      <c r="Q49" s="683">
        <v>1</v>
      </c>
      <c r="R49" s="684">
        <v>1</v>
      </c>
      <c r="S49" s="685">
        <f t="shared" si="22"/>
        <v>0</v>
      </c>
      <c r="T49" s="685">
        <f t="shared" si="23"/>
        <v>0</v>
      </c>
      <c r="U49" s="685">
        <f t="shared" si="24"/>
        <v>0</v>
      </c>
      <c r="V49" s="685">
        <f t="shared" si="25"/>
        <v>0</v>
      </c>
      <c r="W49" s="686">
        <f t="shared" si="15"/>
        <v>0</v>
      </c>
      <c r="X49" s="686">
        <f t="shared" si="16"/>
        <v>0</v>
      </c>
      <c r="Y49" s="686">
        <f t="shared" si="17"/>
        <v>0</v>
      </c>
      <c r="Z49" s="686">
        <f t="shared" si="18"/>
        <v>0</v>
      </c>
      <c r="AA49" s="685" t="str">
        <f t="shared" si="19"/>
        <v>B</v>
      </c>
      <c r="AB49" s="687" t="s">
        <v>379</v>
      </c>
      <c r="AC49" s="688" t="e">
        <f>(S49+T49+U49)*'1.0-Contractblad'!$K$68</f>
        <v>#VALUE!</v>
      </c>
      <c r="AD49" s="688"/>
      <c r="AE49" s="48">
        <f t="shared" si="20"/>
        <v>0</v>
      </c>
      <c r="AF49" s="48">
        <f t="shared" si="26"/>
        <v>8829.6</v>
      </c>
      <c r="AG49" s="48" t="str">
        <f t="shared" si="27"/>
        <v>1156-156</v>
      </c>
    </row>
    <row r="50" spans="1:33" ht="12.75">
      <c r="A50" s="102"/>
      <c r="B50" s="364"/>
      <c r="C50" s="365"/>
      <c r="D50" s="676" t="s">
        <v>98</v>
      </c>
      <c r="E50" s="677" t="s">
        <v>314</v>
      </c>
      <c r="F50" s="678" t="s">
        <v>342</v>
      </c>
      <c r="G50" s="679" t="s">
        <v>393</v>
      </c>
      <c r="H50" s="679" t="str">
        <f t="shared" si="14"/>
        <v>niet van toepassing</v>
      </c>
      <c r="I50" s="689" t="s">
        <v>240</v>
      </c>
      <c r="J50" s="680"/>
      <c r="K50" s="680">
        <v>10.33</v>
      </c>
      <c r="L50" s="681" t="s">
        <v>225</v>
      </c>
      <c r="M50" s="677"/>
      <c r="N50" s="682"/>
      <c r="O50" s="682"/>
      <c r="P50" s="682">
        <f t="shared" si="21"/>
        <v>0</v>
      </c>
      <c r="Q50" s="683">
        <v>1</v>
      </c>
      <c r="R50" s="684">
        <v>1</v>
      </c>
      <c r="S50" s="685">
        <f t="shared" si="22"/>
        <v>0</v>
      </c>
      <c r="T50" s="685">
        <f t="shared" si="23"/>
        <v>0</v>
      </c>
      <c r="U50" s="685">
        <f t="shared" si="24"/>
        <v>0</v>
      </c>
      <c r="V50" s="685">
        <f t="shared" si="25"/>
        <v>0</v>
      </c>
      <c r="W50" s="686">
        <f t="shared" si="15"/>
        <v>0</v>
      </c>
      <c r="X50" s="686">
        <f t="shared" si="16"/>
        <v>0</v>
      </c>
      <c r="Y50" s="686">
        <f t="shared" si="17"/>
        <v>0</v>
      </c>
      <c r="Z50" s="686">
        <f t="shared" si="18"/>
        <v>0</v>
      </c>
      <c r="AA50" s="685">
        <f t="shared" si="19"/>
        <v>0</v>
      </c>
      <c r="AB50" s="687"/>
      <c r="AC50" s="688" t="e">
        <f>(S50+T50+U50)*'1.0-Contractblad'!$K$68</f>
        <v>#VALUE!</v>
      </c>
      <c r="AD50" s="688"/>
      <c r="AE50" s="48">
        <f t="shared" si="20"/>
        <v>0</v>
      </c>
      <c r="AF50" s="48">
        <f t="shared" si="26"/>
        <v>0</v>
      </c>
      <c r="AG50" s="48" t="str">
        <f t="shared" si="27"/>
        <v>nvt-0</v>
      </c>
    </row>
    <row r="51" spans="1:33" ht="12.75">
      <c r="A51" s="102"/>
      <c r="B51" s="364"/>
      <c r="C51" s="365"/>
      <c r="D51" s="676" t="s">
        <v>98</v>
      </c>
      <c r="E51" s="677" t="s">
        <v>314</v>
      </c>
      <c r="F51" s="678" t="s">
        <v>394</v>
      </c>
      <c r="G51" s="679" t="s">
        <v>395</v>
      </c>
      <c r="H51" s="679" t="str">
        <f t="shared" si="14"/>
        <v>niet van toepassing</v>
      </c>
      <c r="I51" s="689" t="s">
        <v>240</v>
      </c>
      <c r="J51" s="680"/>
      <c r="K51" s="680">
        <v>10.33</v>
      </c>
      <c r="L51" s="681" t="s">
        <v>225</v>
      </c>
      <c r="M51" s="677"/>
      <c r="N51" s="682"/>
      <c r="O51" s="682"/>
      <c r="P51" s="682">
        <f t="shared" si="21"/>
        <v>0</v>
      </c>
      <c r="Q51" s="683">
        <v>1</v>
      </c>
      <c r="R51" s="684">
        <v>1</v>
      </c>
      <c r="S51" s="685">
        <f t="shared" si="22"/>
        <v>0</v>
      </c>
      <c r="T51" s="685">
        <f t="shared" si="23"/>
        <v>0</v>
      </c>
      <c r="U51" s="685">
        <f t="shared" si="24"/>
        <v>0</v>
      </c>
      <c r="V51" s="685">
        <f t="shared" si="25"/>
        <v>0</v>
      </c>
      <c r="W51" s="686">
        <f t="shared" si="15"/>
        <v>0</v>
      </c>
      <c r="X51" s="686">
        <f t="shared" si="16"/>
        <v>0</v>
      </c>
      <c r="Y51" s="686">
        <f t="shared" si="17"/>
        <v>0</v>
      </c>
      <c r="Z51" s="686">
        <f t="shared" si="18"/>
        <v>0</v>
      </c>
      <c r="AA51" s="685">
        <f t="shared" si="19"/>
        <v>0</v>
      </c>
      <c r="AB51" s="687"/>
      <c r="AC51" s="688" t="e">
        <f>(S51+T51+U51)*'1.0-Contractblad'!$K$68</f>
        <v>#VALUE!</v>
      </c>
      <c r="AD51" s="688"/>
      <c r="AE51" s="48">
        <f t="shared" si="20"/>
        <v>0</v>
      </c>
      <c r="AF51" s="48">
        <f t="shared" si="26"/>
        <v>0</v>
      </c>
      <c r="AG51" s="48" t="str">
        <f t="shared" si="27"/>
        <v>nvt-0</v>
      </c>
    </row>
    <row r="52" spans="1:33" ht="12.75">
      <c r="A52" s="102"/>
      <c r="B52" s="364"/>
      <c r="C52" s="365"/>
      <c r="D52" s="676" t="s">
        <v>98</v>
      </c>
      <c r="E52" s="677" t="s">
        <v>314</v>
      </c>
      <c r="F52" s="678" t="s">
        <v>348</v>
      </c>
      <c r="G52" s="679" t="s">
        <v>396</v>
      </c>
      <c r="H52" s="679" t="str">
        <f t="shared" si="14"/>
        <v>entree, gang, hal, repro, kopieer</v>
      </c>
      <c r="I52" s="689" t="s">
        <v>234</v>
      </c>
      <c r="J52" s="680">
        <v>9.07</v>
      </c>
      <c r="K52" s="680"/>
      <c r="L52" s="681">
        <v>3156</v>
      </c>
      <c r="M52" s="677"/>
      <c r="N52" s="682"/>
      <c r="O52" s="682"/>
      <c r="P52" s="682">
        <f t="shared" si="21"/>
        <v>156</v>
      </c>
      <c r="Q52" s="683">
        <v>1</v>
      </c>
      <c r="R52" s="684">
        <v>1</v>
      </c>
      <c r="S52" s="685">
        <f t="shared" si="22"/>
        <v>0</v>
      </c>
      <c r="T52" s="685">
        <f t="shared" si="23"/>
        <v>0</v>
      </c>
      <c r="U52" s="685">
        <f t="shared" si="24"/>
        <v>0</v>
      </c>
      <c r="V52" s="685">
        <f t="shared" si="25"/>
        <v>0</v>
      </c>
      <c r="W52" s="686">
        <f t="shared" si="15"/>
        <v>0</v>
      </c>
      <c r="X52" s="686">
        <f t="shared" si="16"/>
        <v>0</v>
      </c>
      <c r="Y52" s="686">
        <f t="shared" si="17"/>
        <v>0</v>
      </c>
      <c r="Z52" s="686">
        <f t="shared" si="18"/>
        <v>0</v>
      </c>
      <c r="AA52" s="685" t="str">
        <f t="shared" si="19"/>
        <v>V</v>
      </c>
      <c r="AB52" s="687" t="s">
        <v>379</v>
      </c>
      <c r="AC52" s="688" t="e">
        <f>(S52+T52+U52)*'1.0-Contractblad'!$K$68</f>
        <v>#VALUE!</v>
      </c>
      <c r="AD52" s="688"/>
      <c r="AE52" s="48">
        <f t="shared" si="20"/>
        <v>0</v>
      </c>
      <c r="AF52" s="48">
        <f t="shared" si="26"/>
        <v>1414.92</v>
      </c>
      <c r="AG52" s="48" t="str">
        <f t="shared" si="27"/>
        <v>3156-156</v>
      </c>
    </row>
    <row r="53" spans="1:33" ht="12.75">
      <c r="A53" s="102"/>
      <c r="B53" s="364"/>
      <c r="C53" s="365"/>
      <c r="D53" s="676" t="s">
        <v>98</v>
      </c>
      <c r="E53" s="677" t="s">
        <v>314</v>
      </c>
      <c r="F53" s="678" t="s">
        <v>350</v>
      </c>
      <c r="G53" s="679" t="s">
        <v>397</v>
      </c>
      <c r="H53" s="679" t="str">
        <f t="shared" si="14"/>
        <v>entree, gang, hal, repro, kopieer</v>
      </c>
      <c r="I53" s="689" t="s">
        <v>242</v>
      </c>
      <c r="J53" s="680">
        <v>8.86</v>
      </c>
      <c r="K53" s="680"/>
      <c r="L53" s="681">
        <v>3156</v>
      </c>
      <c r="M53" s="677"/>
      <c r="N53" s="682"/>
      <c r="O53" s="682"/>
      <c r="P53" s="682">
        <f t="shared" si="21"/>
        <v>156</v>
      </c>
      <c r="Q53" s="683">
        <v>1</v>
      </c>
      <c r="R53" s="684">
        <v>1</v>
      </c>
      <c r="S53" s="685">
        <f t="shared" si="22"/>
        <v>0</v>
      </c>
      <c r="T53" s="685">
        <f t="shared" si="23"/>
        <v>0</v>
      </c>
      <c r="U53" s="685">
        <f t="shared" si="24"/>
        <v>0</v>
      </c>
      <c r="V53" s="685">
        <f t="shared" si="25"/>
        <v>0</v>
      </c>
      <c r="W53" s="686">
        <f t="shared" si="15"/>
        <v>0</v>
      </c>
      <c r="X53" s="686">
        <f t="shared" si="16"/>
        <v>0</v>
      </c>
      <c r="Y53" s="686">
        <f t="shared" si="17"/>
        <v>0</v>
      </c>
      <c r="Z53" s="686">
        <f t="shared" si="18"/>
        <v>0</v>
      </c>
      <c r="AA53" s="685" t="str">
        <f t="shared" si="19"/>
        <v>V</v>
      </c>
      <c r="AB53" s="687" t="s">
        <v>379</v>
      </c>
      <c r="AC53" s="688" t="e">
        <f>(S53+T53+U53)*'1.0-Contractblad'!$K$68</f>
        <v>#VALUE!</v>
      </c>
      <c r="AD53" s="688"/>
      <c r="AE53" s="48">
        <f t="shared" si="20"/>
        <v>0</v>
      </c>
      <c r="AF53" s="48">
        <f t="shared" si="26"/>
        <v>1382.1599999999999</v>
      </c>
      <c r="AG53" s="48" t="str">
        <f t="shared" si="27"/>
        <v>3156-156</v>
      </c>
    </row>
    <row r="54" spans="1:33" ht="12.75">
      <c r="A54" s="102"/>
      <c r="B54" s="364"/>
      <c r="C54" s="365"/>
      <c r="D54" s="676" t="s">
        <v>98</v>
      </c>
      <c r="E54" s="677" t="s">
        <v>314</v>
      </c>
      <c r="F54" s="678" t="s">
        <v>361</v>
      </c>
      <c r="G54" s="676" t="s">
        <v>398</v>
      </c>
      <c r="H54" s="679" t="str">
        <f t="shared" si="14"/>
        <v>kleedruimten</v>
      </c>
      <c r="I54" s="689" t="s">
        <v>234</v>
      </c>
      <c r="J54" s="680">
        <v>38.11</v>
      </c>
      <c r="K54" s="680"/>
      <c r="L54" s="681">
        <v>10156</v>
      </c>
      <c r="M54" s="677"/>
      <c r="N54" s="682"/>
      <c r="O54" s="682"/>
      <c r="P54" s="682">
        <f t="shared" si="21"/>
        <v>156</v>
      </c>
      <c r="Q54" s="683">
        <v>1</v>
      </c>
      <c r="R54" s="684">
        <v>1</v>
      </c>
      <c r="S54" s="685">
        <f t="shared" si="22"/>
        <v>0</v>
      </c>
      <c r="T54" s="685">
        <f t="shared" si="23"/>
        <v>0</v>
      </c>
      <c r="U54" s="685">
        <f t="shared" si="24"/>
        <v>0</v>
      </c>
      <c r="V54" s="685">
        <f t="shared" si="25"/>
        <v>0</v>
      </c>
      <c r="W54" s="686">
        <f t="shared" si="15"/>
        <v>0</v>
      </c>
      <c r="X54" s="686">
        <f t="shared" si="16"/>
        <v>0</v>
      </c>
      <c r="Y54" s="686">
        <f t="shared" si="17"/>
        <v>0</v>
      </c>
      <c r="Z54" s="686">
        <f t="shared" si="18"/>
        <v>0</v>
      </c>
      <c r="AA54" s="685" t="str">
        <f t="shared" si="19"/>
        <v>V</v>
      </c>
      <c r="AB54" s="687" t="s">
        <v>379</v>
      </c>
      <c r="AC54" s="688" t="e">
        <f>(S54+T54+U54)*'1.0-Contractblad'!$K$68</f>
        <v>#VALUE!</v>
      </c>
      <c r="AD54" s="688"/>
      <c r="AE54" s="48">
        <f t="shared" si="20"/>
        <v>0</v>
      </c>
      <c r="AF54" s="48">
        <f t="shared" si="26"/>
        <v>5945.16</v>
      </c>
      <c r="AG54" s="48" t="str">
        <f t="shared" si="27"/>
        <v>10156-156</v>
      </c>
    </row>
    <row r="55" spans="1:33" ht="12.75">
      <c r="A55" s="102"/>
      <c r="B55" s="364"/>
      <c r="C55" s="365"/>
      <c r="D55" s="676" t="s">
        <v>98</v>
      </c>
      <c r="E55" s="677" t="s">
        <v>314</v>
      </c>
      <c r="F55" s="678" t="s">
        <v>399</v>
      </c>
      <c r="G55" s="676" t="s">
        <v>359</v>
      </c>
      <c r="H55" s="679" t="str">
        <f t="shared" si="14"/>
        <v>sanitaire ruimte (toilet-/doucheruimte)</v>
      </c>
      <c r="I55" s="689" t="s">
        <v>234</v>
      </c>
      <c r="J55" s="680">
        <v>1.42</v>
      </c>
      <c r="K55" s="680"/>
      <c r="L55" s="681">
        <v>4156</v>
      </c>
      <c r="M55" s="677"/>
      <c r="N55" s="682"/>
      <c r="O55" s="682"/>
      <c r="P55" s="682">
        <f t="shared" si="21"/>
        <v>156</v>
      </c>
      <c r="Q55" s="683">
        <v>1</v>
      </c>
      <c r="R55" s="684">
        <v>1</v>
      </c>
      <c r="S55" s="685">
        <f t="shared" si="22"/>
        <v>0</v>
      </c>
      <c r="T55" s="685">
        <f t="shared" si="23"/>
        <v>0</v>
      </c>
      <c r="U55" s="685">
        <f t="shared" si="24"/>
        <v>0</v>
      </c>
      <c r="V55" s="685">
        <f t="shared" si="25"/>
        <v>0</v>
      </c>
      <c r="W55" s="686">
        <f t="shared" si="15"/>
        <v>0</v>
      </c>
      <c r="X55" s="686">
        <f t="shared" si="16"/>
        <v>0</v>
      </c>
      <c r="Y55" s="686">
        <f t="shared" si="17"/>
        <v>0</v>
      </c>
      <c r="Z55" s="686">
        <f t="shared" si="18"/>
        <v>0</v>
      </c>
      <c r="AA55" s="685" t="str">
        <f t="shared" si="19"/>
        <v>S</v>
      </c>
      <c r="AB55" s="687" t="s">
        <v>379</v>
      </c>
      <c r="AC55" s="688" t="e">
        <f>(S55+T55+U55)*'1.0-Contractblad'!$K$68</f>
        <v>#VALUE!</v>
      </c>
      <c r="AD55" s="688"/>
      <c r="AE55" s="48">
        <f t="shared" si="20"/>
        <v>0</v>
      </c>
      <c r="AF55" s="48">
        <f t="shared" si="26"/>
        <v>221.51999999999998</v>
      </c>
      <c r="AG55" s="48" t="str">
        <f t="shared" si="27"/>
        <v>4156-156</v>
      </c>
    </row>
    <row r="56" spans="1:33" ht="12.75">
      <c r="A56" s="102"/>
      <c r="B56" s="364"/>
      <c r="C56" s="365"/>
      <c r="D56" s="676" t="s">
        <v>98</v>
      </c>
      <c r="E56" s="677" t="s">
        <v>314</v>
      </c>
      <c r="F56" s="678" t="s">
        <v>400</v>
      </c>
      <c r="G56" s="676" t="s">
        <v>359</v>
      </c>
      <c r="H56" s="679" t="str">
        <f t="shared" si="14"/>
        <v>sanitaire ruimte (toilet-/doucheruimte)</v>
      </c>
      <c r="I56" s="689" t="s">
        <v>234</v>
      </c>
      <c r="J56" s="680">
        <v>1.42</v>
      </c>
      <c r="K56" s="680"/>
      <c r="L56" s="681">
        <v>4156</v>
      </c>
      <c r="M56" s="677"/>
      <c r="N56" s="682"/>
      <c r="O56" s="682"/>
      <c r="P56" s="682">
        <f t="shared" si="21"/>
        <v>156</v>
      </c>
      <c r="Q56" s="683">
        <v>1</v>
      </c>
      <c r="R56" s="684">
        <v>1</v>
      </c>
      <c r="S56" s="685">
        <f t="shared" si="22"/>
        <v>0</v>
      </c>
      <c r="T56" s="685">
        <f t="shared" si="23"/>
        <v>0</v>
      </c>
      <c r="U56" s="685">
        <f t="shared" si="24"/>
        <v>0</v>
      </c>
      <c r="V56" s="685">
        <f t="shared" si="25"/>
        <v>0</v>
      </c>
      <c r="W56" s="686">
        <f t="shared" si="15"/>
        <v>0</v>
      </c>
      <c r="X56" s="686">
        <f t="shared" si="16"/>
        <v>0</v>
      </c>
      <c r="Y56" s="686">
        <f t="shared" si="17"/>
        <v>0</v>
      </c>
      <c r="Z56" s="686">
        <f t="shared" si="18"/>
        <v>0</v>
      </c>
      <c r="AA56" s="685" t="str">
        <f t="shared" si="19"/>
        <v>S</v>
      </c>
      <c r="AB56" s="687" t="s">
        <v>379</v>
      </c>
      <c r="AC56" s="688" t="e">
        <f>(S56+T56+U56)*'1.0-Contractblad'!$K$68</f>
        <v>#VALUE!</v>
      </c>
      <c r="AD56" s="688"/>
      <c r="AE56" s="48">
        <f t="shared" si="20"/>
        <v>0</v>
      </c>
      <c r="AF56" s="48">
        <f t="shared" si="26"/>
        <v>221.51999999999998</v>
      </c>
      <c r="AG56" s="48" t="str">
        <f t="shared" si="27"/>
        <v>4156-156</v>
      </c>
    </row>
    <row r="57" spans="1:33" ht="12.75">
      <c r="A57" s="102"/>
      <c r="B57" s="364"/>
      <c r="C57" s="365"/>
      <c r="D57" s="676" t="s">
        <v>98</v>
      </c>
      <c r="E57" s="677" t="s">
        <v>314</v>
      </c>
      <c r="F57" s="678" t="s">
        <v>401</v>
      </c>
      <c r="G57" s="679" t="s">
        <v>359</v>
      </c>
      <c r="H57" s="679" t="str">
        <f t="shared" si="14"/>
        <v>sanitaire ruimte (toilet-/doucheruimte)</v>
      </c>
      <c r="I57" s="689" t="s">
        <v>234</v>
      </c>
      <c r="J57" s="680">
        <v>1.42</v>
      </c>
      <c r="K57" s="680"/>
      <c r="L57" s="681">
        <v>4156</v>
      </c>
      <c r="M57" s="677"/>
      <c r="N57" s="682"/>
      <c r="O57" s="682"/>
      <c r="P57" s="682">
        <f t="shared" si="21"/>
        <v>156</v>
      </c>
      <c r="Q57" s="683">
        <v>1</v>
      </c>
      <c r="R57" s="684">
        <v>1</v>
      </c>
      <c r="S57" s="685">
        <f t="shared" si="22"/>
        <v>0</v>
      </c>
      <c r="T57" s="685">
        <f t="shared" si="23"/>
        <v>0</v>
      </c>
      <c r="U57" s="685">
        <f t="shared" si="24"/>
        <v>0</v>
      </c>
      <c r="V57" s="685">
        <f t="shared" si="25"/>
        <v>0</v>
      </c>
      <c r="W57" s="686">
        <f t="shared" si="15"/>
        <v>0</v>
      </c>
      <c r="X57" s="686">
        <f t="shared" si="16"/>
        <v>0</v>
      </c>
      <c r="Y57" s="686">
        <f t="shared" si="17"/>
        <v>0</v>
      </c>
      <c r="Z57" s="686">
        <f t="shared" si="18"/>
        <v>0</v>
      </c>
      <c r="AA57" s="685" t="str">
        <f t="shared" si="19"/>
        <v>S</v>
      </c>
      <c r="AB57" s="687" t="s">
        <v>379</v>
      </c>
      <c r="AC57" s="688" t="e">
        <f>(S57+T57+U57)*'1.0-Contractblad'!$K$68</f>
        <v>#VALUE!</v>
      </c>
      <c r="AD57" s="688"/>
      <c r="AE57" s="48">
        <f t="shared" si="20"/>
        <v>0</v>
      </c>
      <c r="AF57" s="48">
        <f t="shared" si="26"/>
        <v>221.51999999999998</v>
      </c>
      <c r="AG57" s="48" t="str">
        <f t="shared" si="27"/>
        <v>4156-156</v>
      </c>
    </row>
    <row r="58" spans="1:33" ht="12.75">
      <c r="A58" s="102"/>
      <c r="B58" s="364"/>
      <c r="C58" s="365"/>
      <c r="D58" s="676" t="s">
        <v>98</v>
      </c>
      <c r="E58" s="677" t="s">
        <v>314</v>
      </c>
      <c r="F58" s="678" t="s">
        <v>402</v>
      </c>
      <c r="G58" s="679" t="s">
        <v>403</v>
      </c>
      <c r="H58" s="679" t="str">
        <f t="shared" si="14"/>
        <v>sanitaire ruimte (toilet-/doucheruimte)</v>
      </c>
      <c r="I58" s="689" t="s">
        <v>234</v>
      </c>
      <c r="J58" s="680">
        <v>1.42</v>
      </c>
      <c r="K58" s="680"/>
      <c r="L58" s="681">
        <v>4156</v>
      </c>
      <c r="M58" s="677"/>
      <c r="N58" s="682"/>
      <c r="O58" s="682"/>
      <c r="P58" s="682">
        <f t="shared" si="21"/>
        <v>156</v>
      </c>
      <c r="Q58" s="683">
        <v>1</v>
      </c>
      <c r="R58" s="684">
        <v>1</v>
      </c>
      <c r="S58" s="685">
        <f t="shared" si="22"/>
        <v>0</v>
      </c>
      <c r="T58" s="685">
        <f t="shared" si="23"/>
        <v>0</v>
      </c>
      <c r="U58" s="685">
        <f t="shared" si="24"/>
        <v>0</v>
      </c>
      <c r="V58" s="685">
        <f t="shared" si="25"/>
        <v>0</v>
      </c>
      <c r="W58" s="686">
        <f t="shared" si="15"/>
        <v>0</v>
      </c>
      <c r="X58" s="686">
        <f t="shared" si="16"/>
        <v>0</v>
      </c>
      <c r="Y58" s="686">
        <f t="shared" si="17"/>
        <v>0</v>
      </c>
      <c r="Z58" s="686">
        <f t="shared" si="18"/>
        <v>0</v>
      </c>
      <c r="AA58" s="685" t="str">
        <f t="shared" si="19"/>
        <v>S</v>
      </c>
      <c r="AB58" s="687" t="s">
        <v>379</v>
      </c>
      <c r="AC58" s="688" t="e">
        <f>(S58+T58+U58)*'1.0-Contractblad'!$K$68</f>
        <v>#VALUE!</v>
      </c>
      <c r="AD58" s="688"/>
      <c r="AE58" s="48">
        <f t="shared" si="20"/>
        <v>0</v>
      </c>
      <c r="AF58" s="48">
        <f t="shared" si="26"/>
        <v>221.51999999999998</v>
      </c>
      <c r="AG58" s="48" t="str">
        <f t="shared" si="27"/>
        <v>4156-156</v>
      </c>
    </row>
    <row r="59" spans="1:33" ht="12.75">
      <c r="A59" s="102"/>
      <c r="B59" s="364"/>
      <c r="C59" s="365"/>
      <c r="D59" s="676" t="s">
        <v>98</v>
      </c>
      <c r="E59" s="677" t="s">
        <v>314</v>
      </c>
      <c r="F59" s="678" t="s">
        <v>404</v>
      </c>
      <c r="G59" s="679" t="s">
        <v>405</v>
      </c>
      <c r="H59" s="679" t="str">
        <f t="shared" si="14"/>
        <v>sanitaire ruimte (toilet-/doucheruimte)</v>
      </c>
      <c r="I59" s="689" t="s">
        <v>234</v>
      </c>
      <c r="J59" s="680">
        <v>1.42</v>
      </c>
      <c r="K59" s="680"/>
      <c r="L59" s="681">
        <v>4156</v>
      </c>
      <c r="M59" s="677"/>
      <c r="N59" s="682"/>
      <c r="O59" s="682"/>
      <c r="P59" s="682">
        <f t="shared" si="21"/>
        <v>156</v>
      </c>
      <c r="Q59" s="683">
        <v>1</v>
      </c>
      <c r="R59" s="684">
        <v>1</v>
      </c>
      <c r="S59" s="685">
        <f t="shared" si="22"/>
        <v>0</v>
      </c>
      <c r="T59" s="685">
        <f t="shared" si="23"/>
        <v>0</v>
      </c>
      <c r="U59" s="685">
        <f t="shared" si="24"/>
        <v>0</v>
      </c>
      <c r="V59" s="685">
        <f t="shared" si="25"/>
        <v>0</v>
      </c>
      <c r="W59" s="686">
        <f t="shared" si="15"/>
        <v>0</v>
      </c>
      <c r="X59" s="686">
        <f t="shared" si="16"/>
        <v>0</v>
      </c>
      <c r="Y59" s="686">
        <f t="shared" si="17"/>
        <v>0</v>
      </c>
      <c r="Z59" s="686">
        <f t="shared" si="18"/>
        <v>0</v>
      </c>
      <c r="AA59" s="685" t="str">
        <f t="shared" si="19"/>
        <v>S</v>
      </c>
      <c r="AB59" s="687" t="s">
        <v>379</v>
      </c>
      <c r="AC59" s="688" t="e">
        <f>(S59+T59+U59)*'1.0-Contractblad'!$K$68</f>
        <v>#VALUE!</v>
      </c>
      <c r="AD59" s="688"/>
      <c r="AE59" s="48">
        <f t="shared" si="20"/>
        <v>0</v>
      </c>
      <c r="AF59" s="48">
        <f t="shared" si="26"/>
        <v>221.51999999999998</v>
      </c>
      <c r="AG59" s="48" t="str">
        <f t="shared" si="27"/>
        <v>4156-156</v>
      </c>
    </row>
    <row r="60" spans="1:33" ht="12.75">
      <c r="A60" s="102"/>
      <c r="B60" s="364"/>
      <c r="C60" s="365"/>
      <c r="D60" s="676" t="s">
        <v>98</v>
      </c>
      <c r="E60" s="677" t="s">
        <v>314</v>
      </c>
      <c r="F60" s="678" t="s">
        <v>406</v>
      </c>
      <c r="G60" s="679" t="s">
        <v>405</v>
      </c>
      <c r="H60" s="679" t="str">
        <f t="shared" si="14"/>
        <v>sanitaire ruimte (toilet-/doucheruimte)</v>
      </c>
      <c r="I60" s="689" t="s">
        <v>234</v>
      </c>
      <c r="J60" s="680">
        <v>1.42</v>
      </c>
      <c r="K60" s="680"/>
      <c r="L60" s="681">
        <v>4156</v>
      </c>
      <c r="M60" s="677"/>
      <c r="N60" s="682"/>
      <c r="O60" s="682"/>
      <c r="P60" s="682">
        <f t="shared" si="21"/>
        <v>156</v>
      </c>
      <c r="Q60" s="683">
        <v>1</v>
      </c>
      <c r="R60" s="684">
        <v>1</v>
      </c>
      <c r="S60" s="685">
        <f t="shared" si="22"/>
        <v>0</v>
      </c>
      <c r="T60" s="685">
        <f t="shared" si="23"/>
        <v>0</v>
      </c>
      <c r="U60" s="685">
        <f t="shared" si="24"/>
        <v>0</v>
      </c>
      <c r="V60" s="685">
        <f t="shared" si="25"/>
        <v>0</v>
      </c>
      <c r="W60" s="686">
        <f t="shared" si="15"/>
        <v>0</v>
      </c>
      <c r="X60" s="686">
        <f t="shared" si="16"/>
        <v>0</v>
      </c>
      <c r="Y60" s="686">
        <f t="shared" si="17"/>
        <v>0</v>
      </c>
      <c r="Z60" s="686">
        <f t="shared" si="18"/>
        <v>0</v>
      </c>
      <c r="AA60" s="685" t="str">
        <f t="shared" si="19"/>
        <v>S</v>
      </c>
      <c r="AB60" s="687" t="s">
        <v>379</v>
      </c>
      <c r="AC60" s="688" t="e">
        <f>(S60+T60+U60)*'1.0-Contractblad'!$K$68</f>
        <v>#VALUE!</v>
      </c>
      <c r="AD60" s="688"/>
      <c r="AE60" s="48">
        <f t="shared" si="20"/>
        <v>0</v>
      </c>
      <c r="AF60" s="48">
        <f t="shared" si="26"/>
        <v>221.51999999999998</v>
      </c>
      <c r="AG60" s="48" t="str">
        <f t="shared" si="27"/>
        <v>4156-156</v>
      </c>
    </row>
    <row r="61" spans="1:33" ht="12.75">
      <c r="A61" s="102"/>
      <c r="B61" s="364"/>
      <c r="C61" s="365"/>
      <c r="D61" s="676" t="s">
        <v>98</v>
      </c>
      <c r="E61" s="677" t="s">
        <v>314</v>
      </c>
      <c r="F61" s="678" t="s">
        <v>363</v>
      </c>
      <c r="G61" s="676" t="s">
        <v>407</v>
      </c>
      <c r="H61" s="679" t="str">
        <f t="shared" si="14"/>
        <v>sanitaire ruimte (toilet-/doucheruimte)</v>
      </c>
      <c r="I61" s="689" t="s">
        <v>234</v>
      </c>
      <c r="J61" s="680">
        <v>0.97</v>
      </c>
      <c r="K61" s="680"/>
      <c r="L61" s="681">
        <v>4156</v>
      </c>
      <c r="M61" s="677"/>
      <c r="N61" s="682"/>
      <c r="O61" s="682"/>
      <c r="P61" s="682">
        <f t="shared" si="21"/>
        <v>156</v>
      </c>
      <c r="Q61" s="683">
        <v>1</v>
      </c>
      <c r="R61" s="684">
        <v>1</v>
      </c>
      <c r="S61" s="685">
        <f t="shared" si="22"/>
        <v>0</v>
      </c>
      <c r="T61" s="685">
        <f t="shared" si="23"/>
        <v>0</v>
      </c>
      <c r="U61" s="685">
        <f t="shared" si="24"/>
        <v>0</v>
      </c>
      <c r="V61" s="685">
        <f t="shared" si="25"/>
        <v>0</v>
      </c>
      <c r="W61" s="686">
        <f t="shared" si="15"/>
        <v>0</v>
      </c>
      <c r="X61" s="686">
        <f t="shared" si="16"/>
        <v>0</v>
      </c>
      <c r="Y61" s="686">
        <f t="shared" si="17"/>
        <v>0</v>
      </c>
      <c r="Z61" s="686">
        <f t="shared" si="18"/>
        <v>0</v>
      </c>
      <c r="AA61" s="685" t="str">
        <f t="shared" si="19"/>
        <v>S</v>
      </c>
      <c r="AB61" s="687" t="s">
        <v>379</v>
      </c>
      <c r="AC61" s="688" t="e">
        <f>(S61+T61+U61)*'1.0-Contractblad'!$K$68</f>
        <v>#VALUE!</v>
      </c>
      <c r="AD61" s="688"/>
      <c r="AE61" s="48">
        <f t="shared" si="20"/>
        <v>0</v>
      </c>
      <c r="AF61" s="48">
        <f t="shared" si="26"/>
        <v>151.32</v>
      </c>
      <c r="AG61" s="48" t="str">
        <f t="shared" si="27"/>
        <v>4156-156</v>
      </c>
    </row>
    <row r="62" spans="1:33" ht="12.75">
      <c r="A62" s="102"/>
      <c r="B62" s="364"/>
      <c r="C62" s="365"/>
      <c r="D62" s="676" t="s">
        <v>98</v>
      </c>
      <c r="E62" s="677" t="s">
        <v>314</v>
      </c>
      <c r="F62" s="678" t="s">
        <v>365</v>
      </c>
      <c r="G62" s="676" t="s">
        <v>408</v>
      </c>
      <c r="H62" s="679" t="str">
        <f t="shared" si="14"/>
        <v>sanitaire ruimte (toilet-/doucheruimte)</v>
      </c>
      <c r="I62" s="689" t="s">
        <v>234</v>
      </c>
      <c r="J62" s="680">
        <v>0.97</v>
      </c>
      <c r="K62" s="680"/>
      <c r="L62" s="681">
        <v>4156</v>
      </c>
      <c r="M62" s="677"/>
      <c r="N62" s="682"/>
      <c r="O62" s="682"/>
      <c r="P62" s="682">
        <f t="shared" si="21"/>
        <v>156</v>
      </c>
      <c r="Q62" s="683">
        <v>1</v>
      </c>
      <c r="R62" s="684">
        <v>1</v>
      </c>
      <c r="S62" s="685">
        <f t="shared" si="22"/>
        <v>0</v>
      </c>
      <c r="T62" s="685">
        <f t="shared" si="23"/>
        <v>0</v>
      </c>
      <c r="U62" s="685">
        <f t="shared" si="24"/>
        <v>0</v>
      </c>
      <c r="V62" s="685">
        <f t="shared" si="25"/>
        <v>0</v>
      </c>
      <c r="W62" s="686">
        <f t="shared" si="15"/>
        <v>0</v>
      </c>
      <c r="X62" s="686">
        <f t="shared" si="16"/>
        <v>0</v>
      </c>
      <c r="Y62" s="686">
        <f t="shared" si="17"/>
        <v>0</v>
      </c>
      <c r="Z62" s="686">
        <f t="shared" si="18"/>
        <v>0</v>
      </c>
      <c r="AA62" s="685" t="str">
        <f t="shared" si="19"/>
        <v>S</v>
      </c>
      <c r="AB62" s="687" t="s">
        <v>379</v>
      </c>
      <c r="AC62" s="688" t="e">
        <f>(S62+T62+U62)*'1.0-Contractblad'!$K$68</f>
        <v>#VALUE!</v>
      </c>
      <c r="AD62" s="688"/>
      <c r="AE62" s="48">
        <f t="shared" si="20"/>
        <v>0</v>
      </c>
      <c r="AF62" s="48">
        <f t="shared" si="26"/>
        <v>151.32</v>
      </c>
      <c r="AG62" s="48" t="str">
        <f t="shared" si="27"/>
        <v>4156-156</v>
      </c>
    </row>
    <row r="63" spans="1:33" ht="12.75">
      <c r="A63" s="102"/>
      <c r="B63" s="364"/>
      <c r="C63" s="365"/>
      <c r="D63" s="676" t="s">
        <v>98</v>
      </c>
      <c r="E63" s="677" t="s">
        <v>314</v>
      </c>
      <c r="F63" s="678" t="s">
        <v>367</v>
      </c>
      <c r="G63" s="679" t="s">
        <v>409</v>
      </c>
      <c r="H63" s="679" t="str">
        <f t="shared" si="14"/>
        <v>sanitaire ruimte (toilet-/doucheruimte)</v>
      </c>
      <c r="I63" s="689" t="s">
        <v>234</v>
      </c>
      <c r="J63" s="680">
        <v>2.87</v>
      </c>
      <c r="K63" s="680"/>
      <c r="L63" s="681">
        <v>4156</v>
      </c>
      <c r="M63" s="677"/>
      <c r="N63" s="682"/>
      <c r="O63" s="682"/>
      <c r="P63" s="682">
        <f t="shared" si="21"/>
        <v>156</v>
      </c>
      <c r="Q63" s="683">
        <v>1</v>
      </c>
      <c r="R63" s="684">
        <v>1</v>
      </c>
      <c r="S63" s="685">
        <f t="shared" si="22"/>
        <v>0</v>
      </c>
      <c r="T63" s="685">
        <f t="shared" si="23"/>
        <v>0</v>
      </c>
      <c r="U63" s="685">
        <f t="shared" si="24"/>
        <v>0</v>
      </c>
      <c r="V63" s="685">
        <f t="shared" si="25"/>
        <v>0</v>
      </c>
      <c r="W63" s="686">
        <f t="shared" si="15"/>
        <v>0</v>
      </c>
      <c r="X63" s="686">
        <f t="shared" si="16"/>
        <v>0</v>
      </c>
      <c r="Y63" s="686">
        <f t="shared" si="17"/>
        <v>0</v>
      </c>
      <c r="Z63" s="686">
        <f t="shared" si="18"/>
        <v>0</v>
      </c>
      <c r="AA63" s="685" t="str">
        <f t="shared" si="19"/>
        <v>S</v>
      </c>
      <c r="AB63" s="687" t="s">
        <v>379</v>
      </c>
      <c r="AC63" s="688" t="e">
        <f>(S63+T63+U63)*'1.0-Contractblad'!$K$68</f>
        <v>#VALUE!</v>
      </c>
      <c r="AD63" s="688"/>
      <c r="AE63" s="48">
        <f t="shared" si="20"/>
        <v>0</v>
      </c>
      <c r="AF63" s="48">
        <f t="shared" si="26"/>
        <v>447.72</v>
      </c>
      <c r="AG63" s="48" t="str">
        <f t="shared" si="27"/>
        <v>4156-156</v>
      </c>
    </row>
    <row r="64" spans="1:33" ht="12.75">
      <c r="A64" s="102"/>
      <c r="B64" s="364"/>
      <c r="C64" s="365"/>
      <c r="D64" s="676" t="s">
        <v>98</v>
      </c>
      <c r="E64" s="677" t="s">
        <v>314</v>
      </c>
      <c r="F64" s="678" t="s">
        <v>369</v>
      </c>
      <c r="G64" s="679" t="s">
        <v>386</v>
      </c>
      <c r="H64" s="679" t="str">
        <f t="shared" si="14"/>
        <v>administratieve -, personeels- en vergaderruimte</v>
      </c>
      <c r="I64" s="689" t="s">
        <v>238</v>
      </c>
      <c r="J64" s="680">
        <v>69</v>
      </c>
      <c r="K64" s="680"/>
      <c r="L64" s="681">
        <v>1156</v>
      </c>
      <c r="M64" s="677"/>
      <c r="N64" s="682"/>
      <c r="O64" s="682"/>
      <c r="P64" s="682">
        <f t="shared" si="21"/>
        <v>156</v>
      </c>
      <c r="Q64" s="683">
        <v>1</v>
      </c>
      <c r="R64" s="684">
        <v>1</v>
      </c>
      <c r="S64" s="685">
        <f t="shared" si="22"/>
        <v>0</v>
      </c>
      <c r="T64" s="685">
        <f t="shared" si="23"/>
        <v>0</v>
      </c>
      <c r="U64" s="685">
        <f t="shared" si="24"/>
        <v>0</v>
      </c>
      <c r="V64" s="685">
        <f t="shared" si="25"/>
        <v>0</v>
      </c>
      <c r="W64" s="686">
        <f t="shared" si="15"/>
        <v>0</v>
      </c>
      <c r="X64" s="686">
        <f t="shared" si="16"/>
        <v>0</v>
      </c>
      <c r="Y64" s="686">
        <f t="shared" si="17"/>
        <v>0</v>
      </c>
      <c r="Z64" s="686">
        <f t="shared" si="18"/>
        <v>0</v>
      </c>
      <c r="AA64" s="685" t="str">
        <f t="shared" si="19"/>
        <v>B</v>
      </c>
      <c r="AB64" s="687" t="s">
        <v>379</v>
      </c>
      <c r="AC64" s="688" t="e">
        <f>(S64+T64+U64)*'1.0-Contractblad'!$K$68</f>
        <v>#VALUE!</v>
      </c>
      <c r="AD64" s="688"/>
      <c r="AE64" s="48">
        <f t="shared" si="20"/>
        <v>0</v>
      </c>
      <c r="AF64" s="48">
        <f t="shared" si="26"/>
        <v>10764</v>
      </c>
      <c r="AG64" s="48" t="str">
        <f t="shared" si="27"/>
        <v>1156-156</v>
      </c>
    </row>
    <row r="65" spans="1:33" ht="12.75">
      <c r="A65" s="102"/>
      <c r="B65" s="364"/>
      <c r="C65" s="365"/>
      <c r="D65" s="676" t="s">
        <v>98</v>
      </c>
      <c r="E65" s="677" t="s">
        <v>314</v>
      </c>
      <c r="F65" s="678" t="s">
        <v>371</v>
      </c>
      <c r="G65" s="679" t="s">
        <v>410</v>
      </c>
      <c r="H65" s="679" t="str">
        <f t="shared" si="14"/>
        <v>administratieve -, personeels- en vergaderruimte</v>
      </c>
      <c r="I65" s="689" t="s">
        <v>238</v>
      </c>
      <c r="J65" s="680">
        <v>30.66</v>
      </c>
      <c r="K65" s="680"/>
      <c r="L65" s="681">
        <v>1156</v>
      </c>
      <c r="M65" s="677"/>
      <c r="N65" s="682"/>
      <c r="O65" s="682"/>
      <c r="P65" s="682">
        <f t="shared" si="21"/>
        <v>156</v>
      </c>
      <c r="Q65" s="683">
        <v>1</v>
      </c>
      <c r="R65" s="684">
        <v>1</v>
      </c>
      <c r="S65" s="685">
        <f t="shared" si="22"/>
        <v>0</v>
      </c>
      <c r="T65" s="685">
        <f t="shared" si="23"/>
        <v>0</v>
      </c>
      <c r="U65" s="685">
        <f t="shared" si="24"/>
        <v>0</v>
      </c>
      <c r="V65" s="685">
        <f t="shared" si="25"/>
        <v>0</v>
      </c>
      <c r="W65" s="686">
        <f t="shared" si="15"/>
        <v>0</v>
      </c>
      <c r="X65" s="686">
        <f t="shared" si="16"/>
        <v>0</v>
      </c>
      <c r="Y65" s="686">
        <f t="shared" si="17"/>
        <v>0</v>
      </c>
      <c r="Z65" s="686">
        <f t="shared" si="18"/>
        <v>0</v>
      </c>
      <c r="AA65" s="685" t="str">
        <f t="shared" si="19"/>
        <v>B</v>
      </c>
      <c r="AB65" s="687" t="s">
        <v>379</v>
      </c>
      <c r="AC65" s="688" t="e">
        <f>(S65+T65+U65)*'1.0-Contractblad'!$K$68</f>
        <v>#VALUE!</v>
      </c>
      <c r="AD65" s="688"/>
      <c r="AE65" s="48">
        <f t="shared" si="20"/>
        <v>0</v>
      </c>
      <c r="AF65" s="48">
        <f t="shared" si="26"/>
        <v>4782.96</v>
      </c>
      <c r="AG65" s="48" t="str">
        <f t="shared" si="27"/>
        <v>1156-156</v>
      </c>
    </row>
    <row r="66" spans="1:33" ht="12.75">
      <c r="A66" s="102"/>
      <c r="B66" s="364"/>
      <c r="C66" s="365"/>
      <c r="D66" s="676" t="s">
        <v>98</v>
      </c>
      <c r="E66" s="677" t="s">
        <v>314</v>
      </c>
      <c r="F66" s="678" t="s">
        <v>373</v>
      </c>
      <c r="G66" s="679" t="s">
        <v>386</v>
      </c>
      <c r="H66" s="679" t="str">
        <f t="shared" si="14"/>
        <v>administratieve -, personeels- en vergaderruimte</v>
      </c>
      <c r="I66" s="689" t="s">
        <v>238</v>
      </c>
      <c r="J66" s="680">
        <v>22.54</v>
      </c>
      <c r="K66" s="680"/>
      <c r="L66" s="681">
        <v>1156</v>
      </c>
      <c r="M66" s="677"/>
      <c r="N66" s="682"/>
      <c r="O66" s="682"/>
      <c r="P66" s="682">
        <f t="shared" si="21"/>
        <v>156</v>
      </c>
      <c r="Q66" s="683">
        <v>1</v>
      </c>
      <c r="R66" s="684">
        <v>1</v>
      </c>
      <c r="S66" s="685">
        <f t="shared" si="22"/>
        <v>0</v>
      </c>
      <c r="T66" s="685">
        <f t="shared" si="23"/>
        <v>0</v>
      </c>
      <c r="U66" s="685">
        <f t="shared" si="24"/>
        <v>0</v>
      </c>
      <c r="V66" s="685">
        <f t="shared" si="25"/>
        <v>0</v>
      </c>
      <c r="W66" s="686">
        <f t="shared" si="15"/>
        <v>0</v>
      </c>
      <c r="X66" s="686">
        <f t="shared" si="16"/>
        <v>0</v>
      </c>
      <c r="Y66" s="686">
        <f t="shared" si="17"/>
        <v>0</v>
      </c>
      <c r="Z66" s="686">
        <f t="shared" si="18"/>
        <v>0</v>
      </c>
      <c r="AA66" s="685" t="str">
        <f t="shared" si="19"/>
        <v>B</v>
      </c>
      <c r="AB66" s="687" t="s">
        <v>379</v>
      </c>
      <c r="AC66" s="688" t="e">
        <f>(S66+T66+U66)*'1.0-Contractblad'!$K$68</f>
        <v>#VALUE!</v>
      </c>
      <c r="AD66" s="688"/>
      <c r="AE66" s="48">
        <f t="shared" si="20"/>
        <v>0</v>
      </c>
      <c r="AF66" s="48">
        <f t="shared" si="26"/>
        <v>3516.24</v>
      </c>
      <c r="AG66" s="48" t="str">
        <f t="shared" si="27"/>
        <v>1156-156</v>
      </c>
    </row>
    <row r="67" spans="1:33" ht="12.75">
      <c r="A67" s="102"/>
      <c r="B67" s="364"/>
      <c r="C67" s="365"/>
      <c r="D67" s="676" t="s">
        <v>98</v>
      </c>
      <c r="E67" s="677" t="s">
        <v>314</v>
      </c>
      <c r="F67" s="678" t="s">
        <v>411</v>
      </c>
      <c r="G67" s="679" t="s">
        <v>386</v>
      </c>
      <c r="H67" s="679" t="str">
        <f t="shared" si="14"/>
        <v>administratieve -, personeels- en vergaderruimte</v>
      </c>
      <c r="I67" s="689" t="s">
        <v>238</v>
      </c>
      <c r="J67" s="680">
        <v>14.98</v>
      </c>
      <c r="K67" s="680"/>
      <c r="L67" s="681">
        <v>1156</v>
      </c>
      <c r="M67" s="677"/>
      <c r="N67" s="682"/>
      <c r="O67" s="682"/>
      <c r="P67" s="682">
        <f t="shared" si="21"/>
        <v>156</v>
      </c>
      <c r="Q67" s="683">
        <v>1</v>
      </c>
      <c r="R67" s="684">
        <v>1</v>
      </c>
      <c r="S67" s="685">
        <f t="shared" si="22"/>
        <v>0</v>
      </c>
      <c r="T67" s="685">
        <f t="shared" si="23"/>
        <v>0</v>
      </c>
      <c r="U67" s="685">
        <f t="shared" si="24"/>
        <v>0</v>
      </c>
      <c r="V67" s="685">
        <f t="shared" si="25"/>
        <v>0</v>
      </c>
      <c r="W67" s="686">
        <f t="shared" si="15"/>
        <v>0</v>
      </c>
      <c r="X67" s="686">
        <f t="shared" si="16"/>
        <v>0</v>
      </c>
      <c r="Y67" s="686">
        <f t="shared" si="17"/>
        <v>0</v>
      </c>
      <c r="Z67" s="686">
        <f t="shared" si="18"/>
        <v>0</v>
      </c>
      <c r="AA67" s="685" t="str">
        <f t="shared" si="19"/>
        <v>B</v>
      </c>
      <c r="AB67" s="687" t="s">
        <v>379</v>
      </c>
      <c r="AC67" s="688" t="e">
        <f>(S67+T67+U67)*'1.0-Contractblad'!$K$68</f>
        <v>#VALUE!</v>
      </c>
      <c r="AD67" s="688"/>
      <c r="AE67" s="48">
        <f t="shared" si="20"/>
        <v>0</v>
      </c>
      <c r="AF67" s="48">
        <f t="shared" si="26"/>
        <v>2336.88</v>
      </c>
      <c r="AG67" s="48" t="str">
        <f t="shared" si="27"/>
        <v>1156-156</v>
      </c>
    </row>
    <row r="68" spans="1:33" ht="12.75">
      <c r="A68" s="102"/>
      <c r="B68" s="364"/>
      <c r="C68" s="365"/>
      <c r="D68" s="676" t="s">
        <v>98</v>
      </c>
      <c r="E68" s="677" t="s">
        <v>314</v>
      </c>
      <c r="F68" s="678" t="s">
        <v>412</v>
      </c>
      <c r="G68" s="676" t="s">
        <v>386</v>
      </c>
      <c r="H68" s="679" t="str">
        <f t="shared" si="14"/>
        <v>administratieve -, personeels- en vergaderruimte</v>
      </c>
      <c r="I68" s="689" t="s">
        <v>238</v>
      </c>
      <c r="J68" s="680">
        <v>22.21</v>
      </c>
      <c r="K68" s="680"/>
      <c r="L68" s="681">
        <v>1156</v>
      </c>
      <c r="M68" s="677"/>
      <c r="N68" s="682"/>
      <c r="O68" s="682"/>
      <c r="P68" s="682">
        <f t="shared" si="21"/>
        <v>156</v>
      </c>
      <c r="Q68" s="683">
        <v>1</v>
      </c>
      <c r="R68" s="684">
        <v>1</v>
      </c>
      <c r="S68" s="685">
        <f t="shared" si="22"/>
        <v>0</v>
      </c>
      <c r="T68" s="685">
        <f t="shared" si="23"/>
        <v>0</v>
      </c>
      <c r="U68" s="685">
        <f t="shared" si="24"/>
        <v>0</v>
      </c>
      <c r="V68" s="685">
        <f t="shared" si="25"/>
        <v>0</v>
      </c>
      <c r="W68" s="686">
        <f t="shared" si="15"/>
        <v>0</v>
      </c>
      <c r="X68" s="686">
        <f t="shared" si="16"/>
        <v>0</v>
      </c>
      <c r="Y68" s="686">
        <f t="shared" si="17"/>
        <v>0</v>
      </c>
      <c r="Z68" s="686">
        <f t="shared" si="18"/>
        <v>0</v>
      </c>
      <c r="AA68" s="685" t="str">
        <f t="shared" si="19"/>
        <v>B</v>
      </c>
      <c r="AB68" s="687" t="s">
        <v>379</v>
      </c>
      <c r="AC68" s="688" t="e">
        <f>(S68+T68+U68)*'1.0-Contractblad'!$K$68</f>
        <v>#VALUE!</v>
      </c>
      <c r="AD68" s="688"/>
      <c r="AE68" s="48">
        <f t="shared" si="20"/>
        <v>0</v>
      </c>
      <c r="AF68" s="48">
        <f t="shared" si="26"/>
        <v>3464.76</v>
      </c>
      <c r="AG68" s="48" t="str">
        <f t="shared" si="27"/>
        <v>1156-156</v>
      </c>
    </row>
    <row r="69" spans="1:33" ht="12.75">
      <c r="A69" s="102"/>
      <c r="B69" s="364"/>
      <c r="C69" s="365"/>
      <c r="D69" s="676" t="s">
        <v>98</v>
      </c>
      <c r="E69" s="677" t="s">
        <v>314</v>
      </c>
      <c r="F69" s="678">
        <v>0.24</v>
      </c>
      <c r="G69" s="679" t="s">
        <v>386</v>
      </c>
      <c r="H69" s="679" t="str">
        <f t="shared" si="14"/>
        <v>administratieve -, personeels- en vergaderruimte</v>
      </c>
      <c r="I69" s="689" t="s">
        <v>238</v>
      </c>
      <c r="J69" s="680">
        <v>19.829999999999998</v>
      </c>
      <c r="K69" s="680"/>
      <c r="L69" s="681">
        <v>1156</v>
      </c>
      <c r="M69" s="677"/>
      <c r="N69" s="682"/>
      <c r="O69" s="682"/>
      <c r="P69" s="682">
        <f t="shared" si="21"/>
        <v>156</v>
      </c>
      <c r="Q69" s="683">
        <v>1</v>
      </c>
      <c r="R69" s="684">
        <v>1</v>
      </c>
      <c r="S69" s="685">
        <f t="shared" si="22"/>
        <v>0</v>
      </c>
      <c r="T69" s="685">
        <f t="shared" si="23"/>
        <v>0</v>
      </c>
      <c r="U69" s="685">
        <f t="shared" si="24"/>
        <v>0</v>
      </c>
      <c r="V69" s="685">
        <f t="shared" si="25"/>
        <v>0</v>
      </c>
      <c r="W69" s="686">
        <f t="shared" si="15"/>
        <v>0</v>
      </c>
      <c r="X69" s="686">
        <f t="shared" si="16"/>
        <v>0</v>
      </c>
      <c r="Y69" s="686">
        <f t="shared" si="17"/>
        <v>0</v>
      </c>
      <c r="Z69" s="686">
        <f t="shared" si="18"/>
        <v>0</v>
      </c>
      <c r="AA69" s="685" t="str">
        <f t="shared" si="19"/>
        <v>B</v>
      </c>
      <c r="AB69" s="687" t="s">
        <v>379</v>
      </c>
      <c r="AC69" s="688" t="e">
        <f>(S69+T69+U69)*'1.0-Contractblad'!$K$68</f>
        <v>#VALUE!</v>
      </c>
      <c r="AD69" s="688"/>
      <c r="AE69" s="48">
        <f t="shared" si="20"/>
        <v>0</v>
      </c>
      <c r="AF69" s="48">
        <f t="shared" si="26"/>
        <v>3093.4799999999996</v>
      </c>
      <c r="AG69" s="48" t="str">
        <f t="shared" si="27"/>
        <v>1156-156</v>
      </c>
    </row>
    <row r="70" spans="1:33" ht="12.75">
      <c r="A70" s="102"/>
      <c r="B70" s="364"/>
      <c r="C70" s="365"/>
      <c r="D70" s="676" t="s">
        <v>101</v>
      </c>
      <c r="E70" s="677" t="s">
        <v>314</v>
      </c>
      <c r="F70" s="678" t="s">
        <v>315</v>
      </c>
      <c r="G70" s="679" t="s">
        <v>413</v>
      </c>
      <c r="H70" s="679" t="str">
        <f t="shared" si="14"/>
        <v>entree, gang, hal, repro, kopieer</v>
      </c>
      <c r="I70" s="689" t="s">
        <v>242</v>
      </c>
      <c r="J70" s="680">
        <v>1.72</v>
      </c>
      <c r="K70" s="680"/>
      <c r="L70" s="681">
        <v>3026</v>
      </c>
      <c r="M70" s="677"/>
      <c r="N70" s="682"/>
      <c r="O70" s="682"/>
      <c r="P70" s="682">
        <f t="shared" si="21"/>
        <v>26</v>
      </c>
      <c r="Q70" s="683">
        <v>1</v>
      </c>
      <c r="R70" s="684">
        <v>1</v>
      </c>
      <c r="S70" s="685">
        <f t="shared" si="22"/>
        <v>0</v>
      </c>
      <c r="T70" s="685">
        <f t="shared" si="23"/>
        <v>0</v>
      </c>
      <c r="U70" s="685">
        <f t="shared" si="24"/>
        <v>0</v>
      </c>
      <c r="V70" s="685">
        <f t="shared" si="25"/>
        <v>0</v>
      </c>
      <c r="W70" s="686">
        <f t="shared" si="15"/>
        <v>0</v>
      </c>
      <c r="X70" s="686">
        <f t="shared" si="16"/>
        <v>0</v>
      </c>
      <c r="Y70" s="686">
        <f t="shared" si="17"/>
        <v>0</v>
      </c>
      <c r="Z70" s="686">
        <f t="shared" si="18"/>
        <v>0</v>
      </c>
      <c r="AA70" s="685" t="str">
        <f t="shared" si="19"/>
        <v>V</v>
      </c>
      <c r="AB70" s="687" t="s">
        <v>414</v>
      </c>
      <c r="AC70" s="688" t="e">
        <f>(S70+T70+U70)*'1.0-Contractblad'!$K$68</f>
        <v>#VALUE!</v>
      </c>
      <c r="AD70" s="688"/>
      <c r="AE70" s="48">
        <f t="shared" si="20"/>
        <v>0</v>
      </c>
      <c r="AF70" s="48">
        <f t="shared" si="26"/>
        <v>44.72</v>
      </c>
      <c r="AG70" s="48" t="str">
        <f t="shared" si="27"/>
        <v>3026-26</v>
      </c>
    </row>
    <row r="71" spans="1:33" ht="12.75">
      <c r="A71" s="102"/>
      <c r="B71" s="364"/>
      <c r="C71" s="365"/>
      <c r="D71" s="676" t="s">
        <v>101</v>
      </c>
      <c r="E71" s="677" t="s">
        <v>314</v>
      </c>
      <c r="F71" s="678" t="s">
        <v>317</v>
      </c>
      <c r="G71" s="679" t="s">
        <v>415</v>
      </c>
      <c r="H71" s="679" t="str">
        <f t="shared" si="14"/>
        <v>niet van toepassing</v>
      </c>
      <c r="I71" s="689" t="s">
        <v>240</v>
      </c>
      <c r="J71" s="680"/>
      <c r="K71" s="680">
        <v>7.9</v>
      </c>
      <c r="L71" s="681" t="s">
        <v>225</v>
      </c>
      <c r="M71" s="677"/>
      <c r="N71" s="682"/>
      <c r="O71" s="682"/>
      <c r="P71" s="682">
        <f t="shared" si="21"/>
        <v>0</v>
      </c>
      <c r="Q71" s="683">
        <v>1</v>
      </c>
      <c r="R71" s="684">
        <v>1</v>
      </c>
      <c r="S71" s="685">
        <f t="shared" si="22"/>
        <v>0</v>
      </c>
      <c r="T71" s="685">
        <f t="shared" si="23"/>
        <v>0</v>
      </c>
      <c r="U71" s="685">
        <f t="shared" si="24"/>
        <v>0</v>
      </c>
      <c r="V71" s="685">
        <f t="shared" si="25"/>
        <v>0</v>
      </c>
      <c r="W71" s="686">
        <f t="shared" si="15"/>
        <v>0</v>
      </c>
      <c r="X71" s="686">
        <f t="shared" si="16"/>
        <v>0</v>
      </c>
      <c r="Y71" s="686">
        <f t="shared" si="17"/>
        <v>0</v>
      </c>
      <c r="Z71" s="686">
        <f t="shared" si="18"/>
        <v>0</v>
      </c>
      <c r="AA71" s="685">
        <f t="shared" si="19"/>
        <v>0</v>
      </c>
      <c r="AB71" s="687"/>
      <c r="AC71" s="688" t="e">
        <f>(S71+T71+U71)*'1.0-Contractblad'!$K$68</f>
        <v>#VALUE!</v>
      </c>
      <c r="AD71" s="688"/>
      <c r="AE71" s="48">
        <f t="shared" si="20"/>
        <v>0</v>
      </c>
      <c r="AF71" s="48">
        <f t="shared" si="26"/>
        <v>0</v>
      </c>
      <c r="AG71" s="48" t="str">
        <f t="shared" si="27"/>
        <v>nvt-0</v>
      </c>
    </row>
    <row r="72" spans="1:33" ht="12.75">
      <c r="A72" s="102"/>
      <c r="B72" s="364"/>
      <c r="C72" s="365"/>
      <c r="D72" s="676" t="s">
        <v>101</v>
      </c>
      <c r="E72" s="677" t="s">
        <v>314</v>
      </c>
      <c r="F72" s="678" t="s">
        <v>320</v>
      </c>
      <c r="G72" s="679" t="s">
        <v>416</v>
      </c>
      <c r="H72" s="679" t="str">
        <f t="shared" si="14"/>
        <v>administratieve -, personeels- en vergaderruimte</v>
      </c>
      <c r="I72" s="689" t="s">
        <v>238</v>
      </c>
      <c r="J72" s="680">
        <v>11.57</v>
      </c>
      <c r="K72" s="680"/>
      <c r="L72" s="681">
        <v>1026</v>
      </c>
      <c r="M72" s="677"/>
      <c r="N72" s="682"/>
      <c r="O72" s="682"/>
      <c r="P72" s="682">
        <f t="shared" si="21"/>
        <v>26</v>
      </c>
      <c r="Q72" s="683">
        <v>1</v>
      </c>
      <c r="R72" s="684">
        <v>1</v>
      </c>
      <c r="S72" s="685">
        <f t="shared" si="22"/>
        <v>0</v>
      </c>
      <c r="T72" s="685">
        <f t="shared" si="23"/>
        <v>0</v>
      </c>
      <c r="U72" s="685">
        <f t="shared" si="24"/>
        <v>0</v>
      </c>
      <c r="V72" s="685">
        <f t="shared" si="25"/>
        <v>0</v>
      </c>
      <c r="W72" s="686">
        <f t="shared" si="15"/>
        <v>0</v>
      </c>
      <c r="X72" s="686">
        <f t="shared" si="16"/>
        <v>0</v>
      </c>
      <c r="Y72" s="686">
        <f t="shared" si="17"/>
        <v>0</v>
      </c>
      <c r="Z72" s="686">
        <f t="shared" si="18"/>
        <v>0</v>
      </c>
      <c r="AA72" s="685">
        <f t="shared" si="19"/>
        <v>0</v>
      </c>
      <c r="AB72" s="687" t="s">
        <v>414</v>
      </c>
      <c r="AC72" s="688" t="e">
        <f>(S72+T72+U72)*'1.0-Contractblad'!$K$68</f>
        <v>#VALUE!</v>
      </c>
      <c r="AD72" s="688"/>
      <c r="AE72" s="48">
        <f t="shared" si="20"/>
        <v>0</v>
      </c>
      <c r="AF72" s="48">
        <f t="shared" si="26"/>
        <v>300.82</v>
      </c>
      <c r="AG72" s="48" t="str">
        <f t="shared" si="27"/>
        <v>1026-26</v>
      </c>
    </row>
    <row r="73" spans="1:33" ht="12.75">
      <c r="A73" s="102"/>
      <c r="B73" s="364"/>
      <c r="C73" s="365"/>
      <c r="D73" s="676" t="s">
        <v>101</v>
      </c>
      <c r="E73" s="677" t="s">
        <v>314</v>
      </c>
      <c r="F73" s="678" t="s">
        <v>323</v>
      </c>
      <c r="G73" s="679" t="s">
        <v>405</v>
      </c>
      <c r="H73" s="679" t="str">
        <f t="shared" si="14"/>
        <v>sanitaire ruimte (toilet-/doucheruimte)</v>
      </c>
      <c r="I73" s="689" t="s">
        <v>267</v>
      </c>
      <c r="J73" s="680">
        <v>1.82</v>
      </c>
      <c r="K73" s="680"/>
      <c r="L73" s="681">
        <v>4026</v>
      </c>
      <c r="M73" s="677"/>
      <c r="N73" s="682"/>
      <c r="O73" s="682"/>
      <c r="P73" s="682">
        <f t="shared" si="21"/>
        <v>26</v>
      </c>
      <c r="Q73" s="683">
        <v>1</v>
      </c>
      <c r="R73" s="684">
        <v>1</v>
      </c>
      <c r="S73" s="685">
        <f t="shared" si="22"/>
        <v>0</v>
      </c>
      <c r="T73" s="685">
        <f t="shared" si="23"/>
        <v>0</v>
      </c>
      <c r="U73" s="685">
        <f t="shared" si="24"/>
        <v>0</v>
      </c>
      <c r="V73" s="685">
        <f t="shared" si="25"/>
        <v>0</v>
      </c>
      <c r="W73" s="686">
        <f t="shared" si="15"/>
        <v>0</v>
      </c>
      <c r="X73" s="686">
        <f t="shared" si="16"/>
        <v>0</v>
      </c>
      <c r="Y73" s="686">
        <f t="shared" si="17"/>
        <v>0</v>
      </c>
      <c r="Z73" s="686">
        <f t="shared" si="18"/>
        <v>0</v>
      </c>
      <c r="AA73" s="685" t="str">
        <f t="shared" si="19"/>
        <v>S</v>
      </c>
      <c r="AB73" s="687" t="s">
        <v>414</v>
      </c>
      <c r="AC73" s="688" t="e">
        <f>(S73+T73+U73)*'1.0-Contractblad'!$K$68</f>
        <v>#VALUE!</v>
      </c>
      <c r="AD73" s="688"/>
      <c r="AE73" s="48">
        <f t="shared" si="20"/>
        <v>0</v>
      </c>
      <c r="AF73" s="48">
        <f t="shared" si="26"/>
        <v>47.32</v>
      </c>
      <c r="AG73" s="48" t="str">
        <f t="shared" si="27"/>
        <v>4026-26</v>
      </c>
    </row>
    <row r="74" spans="1:33" ht="12.75">
      <c r="A74" s="102"/>
      <c r="B74" s="364"/>
      <c r="C74" s="365"/>
      <c r="D74" s="676" t="s">
        <v>104</v>
      </c>
      <c r="E74" s="677" t="s">
        <v>314</v>
      </c>
      <c r="F74" s="678">
        <v>33001</v>
      </c>
      <c r="G74" s="679" t="s">
        <v>417</v>
      </c>
      <c r="H74" s="679" t="str">
        <f t="shared" si="14"/>
        <v>entree, gang, hal, repro, kopieer</v>
      </c>
      <c r="I74" s="689" t="s">
        <v>418</v>
      </c>
      <c r="J74" s="691">
        <v>65</v>
      </c>
      <c r="K74" s="680"/>
      <c r="L74" s="692">
        <v>3052</v>
      </c>
      <c r="M74" s="677"/>
      <c r="N74" s="682"/>
      <c r="O74" s="682"/>
      <c r="P74" s="682">
        <f t="shared" si="21"/>
        <v>52</v>
      </c>
      <c r="Q74" s="683">
        <v>1</v>
      </c>
      <c r="R74" s="684">
        <v>1</v>
      </c>
      <c r="S74" s="685">
        <f t="shared" si="22"/>
        <v>0</v>
      </c>
      <c r="T74" s="685">
        <f t="shared" si="23"/>
        <v>0</v>
      </c>
      <c r="U74" s="685">
        <f t="shared" si="24"/>
        <v>0</v>
      </c>
      <c r="V74" s="685">
        <f t="shared" si="25"/>
        <v>0</v>
      </c>
      <c r="W74" s="686">
        <f t="shared" si="15"/>
        <v>0</v>
      </c>
      <c r="X74" s="686">
        <f t="shared" si="16"/>
        <v>0</v>
      </c>
      <c r="Y74" s="686">
        <f t="shared" si="17"/>
        <v>0</v>
      </c>
      <c r="Z74" s="686">
        <f t="shared" si="18"/>
        <v>0</v>
      </c>
      <c r="AA74" s="685" t="str">
        <f t="shared" si="19"/>
        <v>V</v>
      </c>
      <c r="AB74" s="687"/>
      <c r="AC74" s="688" t="e">
        <f>(S74+T74+U74)*'1.0-Contractblad'!$K$68</f>
        <v>#VALUE!</v>
      </c>
      <c r="AD74" s="688"/>
      <c r="AE74" s="48">
        <f t="shared" si="20"/>
        <v>0</v>
      </c>
      <c r="AF74" s="48">
        <f t="shared" si="26"/>
        <v>3380</v>
      </c>
      <c r="AG74" s="48" t="str">
        <f t="shared" si="27"/>
        <v>3052-52</v>
      </c>
    </row>
    <row r="75" spans="1:33" ht="12.75">
      <c r="A75" s="102"/>
      <c r="B75" s="364"/>
      <c r="C75" s="365"/>
      <c r="D75" s="676" t="s">
        <v>104</v>
      </c>
      <c r="E75" s="677" t="s">
        <v>419</v>
      </c>
      <c r="F75" s="678">
        <v>33101</v>
      </c>
      <c r="G75" s="676" t="s">
        <v>420</v>
      </c>
      <c r="H75" s="679" t="str">
        <f t="shared" si="14"/>
        <v>niet van toepassing</v>
      </c>
      <c r="I75" s="689" t="s">
        <v>418</v>
      </c>
      <c r="J75" s="691"/>
      <c r="K75" s="680"/>
      <c r="L75" s="692" t="s">
        <v>225</v>
      </c>
      <c r="M75" s="677"/>
      <c r="N75" s="677"/>
      <c r="O75" s="682"/>
      <c r="P75" s="682">
        <f t="shared" si="21"/>
        <v>0</v>
      </c>
      <c r="Q75" s="683">
        <v>1</v>
      </c>
      <c r="R75" s="684">
        <v>1</v>
      </c>
      <c r="S75" s="685">
        <f t="shared" si="22"/>
        <v>0</v>
      </c>
      <c r="T75" s="685">
        <f t="shared" si="23"/>
        <v>0</v>
      </c>
      <c r="U75" s="685">
        <f t="shared" si="24"/>
        <v>0</v>
      </c>
      <c r="V75" s="685">
        <f t="shared" si="25"/>
        <v>0</v>
      </c>
      <c r="W75" s="686">
        <f t="shared" si="15"/>
        <v>0</v>
      </c>
      <c r="X75" s="686">
        <f t="shared" si="16"/>
        <v>0</v>
      </c>
      <c r="Y75" s="686">
        <f t="shared" si="17"/>
        <v>0</v>
      </c>
      <c r="Z75" s="686">
        <f t="shared" si="18"/>
        <v>0</v>
      </c>
      <c r="AA75" s="685">
        <f t="shared" si="19"/>
        <v>0</v>
      </c>
      <c r="AB75" s="693" t="s">
        <v>421</v>
      </c>
      <c r="AC75" s="688" t="e">
        <f>(S75+T75+U75)*'1.0-Contractblad'!$K$68</f>
        <v>#VALUE!</v>
      </c>
      <c r="AD75" s="688"/>
      <c r="AE75" s="48">
        <f t="shared" si="20"/>
        <v>0</v>
      </c>
      <c r="AF75" s="48">
        <f t="shared" si="26"/>
        <v>0</v>
      </c>
      <c r="AG75" s="48" t="str">
        <f t="shared" si="27"/>
        <v>nvt-0</v>
      </c>
    </row>
    <row r="76" spans="1:33" ht="12.75">
      <c r="A76" s="102"/>
      <c r="B76" s="364"/>
      <c r="C76" s="365"/>
      <c r="D76" s="676" t="s">
        <v>104</v>
      </c>
      <c r="E76" s="677" t="s">
        <v>419</v>
      </c>
      <c r="F76" s="678">
        <v>33102</v>
      </c>
      <c r="G76" s="676" t="s">
        <v>386</v>
      </c>
      <c r="H76" s="679" t="str">
        <f t="shared" si="14"/>
        <v>administratieve -, personeels- en vergaderruimte</v>
      </c>
      <c r="I76" s="689" t="s">
        <v>238</v>
      </c>
      <c r="J76" s="691">
        <v>22.09</v>
      </c>
      <c r="K76" s="680"/>
      <c r="L76" s="692">
        <v>1052</v>
      </c>
      <c r="M76" s="677"/>
      <c r="N76" s="682"/>
      <c r="O76" s="682"/>
      <c r="P76" s="682">
        <f t="shared" si="21"/>
        <v>52</v>
      </c>
      <c r="Q76" s="683">
        <v>1</v>
      </c>
      <c r="R76" s="684">
        <v>1</v>
      </c>
      <c r="S76" s="685">
        <f t="shared" si="22"/>
        <v>0</v>
      </c>
      <c r="T76" s="685">
        <f t="shared" si="23"/>
        <v>0</v>
      </c>
      <c r="U76" s="685">
        <f t="shared" si="24"/>
        <v>0</v>
      </c>
      <c r="V76" s="685">
        <f t="shared" si="25"/>
        <v>0</v>
      </c>
      <c r="W76" s="686">
        <f t="shared" si="15"/>
        <v>0</v>
      </c>
      <c r="X76" s="686">
        <f t="shared" si="16"/>
        <v>0</v>
      </c>
      <c r="Y76" s="686">
        <f t="shared" si="17"/>
        <v>0</v>
      </c>
      <c r="Z76" s="686">
        <f t="shared" si="18"/>
        <v>0</v>
      </c>
      <c r="AA76" s="685" t="str">
        <f t="shared" si="19"/>
        <v>B</v>
      </c>
      <c r="AB76" s="687"/>
      <c r="AC76" s="688" t="e">
        <f>(S76+T76+U76)*'1.0-Contractblad'!$K$68</f>
        <v>#VALUE!</v>
      </c>
      <c r="AD76" s="688"/>
      <c r="AE76" s="48">
        <f t="shared" si="20"/>
        <v>0</v>
      </c>
      <c r="AF76" s="48">
        <f t="shared" si="26"/>
        <v>1148.68</v>
      </c>
      <c r="AG76" s="48" t="str">
        <f t="shared" si="27"/>
        <v>1052-52</v>
      </c>
    </row>
    <row r="77" spans="1:33" ht="12.75">
      <c r="A77" s="102"/>
      <c r="B77" s="364"/>
      <c r="C77" s="365"/>
      <c r="D77" s="676" t="s">
        <v>104</v>
      </c>
      <c r="E77" s="677" t="s">
        <v>419</v>
      </c>
      <c r="F77" s="678">
        <v>33103</v>
      </c>
      <c r="G77" s="676" t="s">
        <v>422</v>
      </c>
      <c r="H77" s="679" t="str">
        <f t="shared" si="14"/>
        <v>labruimte</v>
      </c>
      <c r="I77" s="689" t="s">
        <v>423</v>
      </c>
      <c r="J77" s="691">
        <v>5</v>
      </c>
      <c r="K77" s="680"/>
      <c r="L77" s="692">
        <v>8052</v>
      </c>
      <c r="M77" s="677"/>
      <c r="N77" s="682"/>
      <c r="O77" s="682"/>
      <c r="P77" s="682">
        <f t="shared" si="21"/>
        <v>52</v>
      </c>
      <c r="Q77" s="683">
        <v>1</v>
      </c>
      <c r="R77" s="684">
        <v>1</v>
      </c>
      <c r="S77" s="685">
        <f t="shared" si="22"/>
        <v>0</v>
      </c>
      <c r="T77" s="685">
        <f t="shared" si="23"/>
        <v>0</v>
      </c>
      <c r="U77" s="685">
        <f t="shared" si="24"/>
        <v>0</v>
      </c>
      <c r="V77" s="685">
        <f t="shared" si="25"/>
        <v>0</v>
      </c>
      <c r="W77" s="686">
        <f t="shared" si="15"/>
        <v>0</v>
      </c>
      <c r="X77" s="686">
        <f t="shared" si="16"/>
        <v>0</v>
      </c>
      <c r="Y77" s="686">
        <f t="shared" si="17"/>
        <v>0</v>
      </c>
      <c r="Z77" s="686">
        <f t="shared" si="18"/>
        <v>0</v>
      </c>
      <c r="AA77" s="685" t="str">
        <f t="shared" si="19"/>
        <v>V</v>
      </c>
      <c r="AB77" s="687"/>
      <c r="AC77" s="688" t="e">
        <f>(S77+T77+U77)*'1.0-Contractblad'!$K$68</f>
        <v>#VALUE!</v>
      </c>
      <c r="AD77" s="688"/>
      <c r="AE77" s="48">
        <f t="shared" si="20"/>
        <v>0</v>
      </c>
      <c r="AF77" s="48">
        <f t="shared" si="26"/>
        <v>260</v>
      </c>
      <c r="AG77" s="48" t="str">
        <f t="shared" si="27"/>
        <v>8052-52</v>
      </c>
    </row>
    <row r="78" spans="1:33" ht="12.75">
      <c r="A78" s="102"/>
      <c r="B78" s="364"/>
      <c r="C78" s="365"/>
      <c r="D78" s="676" t="s">
        <v>104</v>
      </c>
      <c r="E78" s="677" t="s">
        <v>419</v>
      </c>
      <c r="F78" s="678">
        <v>33104</v>
      </c>
      <c r="G78" s="679" t="s">
        <v>424</v>
      </c>
      <c r="H78" s="679" t="str">
        <f t="shared" si="14"/>
        <v>entree, gang, hal, repro, kopieer</v>
      </c>
      <c r="I78" s="689" t="s">
        <v>238</v>
      </c>
      <c r="J78" s="691">
        <v>19.399999999999999</v>
      </c>
      <c r="K78" s="680"/>
      <c r="L78" s="692">
        <v>3052</v>
      </c>
      <c r="M78" s="677"/>
      <c r="N78" s="682"/>
      <c r="O78" s="682"/>
      <c r="P78" s="682">
        <f t="shared" si="21"/>
        <v>52</v>
      </c>
      <c r="Q78" s="683">
        <v>1</v>
      </c>
      <c r="R78" s="684">
        <v>1</v>
      </c>
      <c r="S78" s="685">
        <f t="shared" si="22"/>
        <v>0</v>
      </c>
      <c r="T78" s="685">
        <f t="shared" si="23"/>
        <v>0</v>
      </c>
      <c r="U78" s="685">
        <f t="shared" si="24"/>
        <v>0</v>
      </c>
      <c r="V78" s="685">
        <f t="shared" si="25"/>
        <v>0</v>
      </c>
      <c r="W78" s="686">
        <f t="shared" si="15"/>
        <v>0</v>
      </c>
      <c r="X78" s="686">
        <f t="shared" si="16"/>
        <v>0</v>
      </c>
      <c r="Y78" s="686">
        <f t="shared" si="17"/>
        <v>0</v>
      </c>
      <c r="Z78" s="686">
        <f t="shared" si="18"/>
        <v>0</v>
      </c>
      <c r="AA78" s="685" t="str">
        <f t="shared" si="19"/>
        <v>V</v>
      </c>
      <c r="AB78" s="687"/>
      <c r="AC78" s="688" t="e">
        <f>(S78+T78+U78)*'1.0-Contractblad'!$K$68</f>
        <v>#VALUE!</v>
      </c>
      <c r="AD78" s="688"/>
      <c r="AE78" s="48">
        <f t="shared" si="20"/>
        <v>0</v>
      </c>
      <c r="AF78" s="48">
        <f t="shared" si="26"/>
        <v>1008.8</v>
      </c>
      <c r="AG78" s="48" t="str">
        <f t="shared" si="27"/>
        <v>3052-52</v>
      </c>
    </row>
    <row r="79" spans="1:33" ht="12.75">
      <c r="A79" s="102"/>
      <c r="B79" s="364"/>
      <c r="C79" s="365"/>
      <c r="D79" s="676" t="s">
        <v>104</v>
      </c>
      <c r="E79" s="677" t="s">
        <v>419</v>
      </c>
      <c r="F79" s="678">
        <v>33105</v>
      </c>
      <c r="G79" s="679" t="s">
        <v>425</v>
      </c>
      <c r="H79" s="679" t="str">
        <f t="shared" si="14"/>
        <v>niet van toepassing</v>
      </c>
      <c r="I79" s="689" t="s">
        <v>423</v>
      </c>
      <c r="J79" s="691"/>
      <c r="K79" s="680">
        <v>2.7</v>
      </c>
      <c r="L79" s="692" t="s">
        <v>225</v>
      </c>
      <c r="M79" s="677"/>
      <c r="N79" s="682"/>
      <c r="O79" s="682"/>
      <c r="P79" s="682">
        <f t="shared" si="21"/>
        <v>0</v>
      </c>
      <c r="Q79" s="683">
        <v>1</v>
      </c>
      <c r="R79" s="684">
        <v>1</v>
      </c>
      <c r="S79" s="685">
        <f t="shared" si="22"/>
        <v>0</v>
      </c>
      <c r="T79" s="685">
        <f t="shared" si="23"/>
        <v>0</v>
      </c>
      <c r="U79" s="685">
        <f t="shared" si="24"/>
        <v>0</v>
      </c>
      <c r="V79" s="685">
        <f t="shared" si="25"/>
        <v>0</v>
      </c>
      <c r="W79" s="686">
        <f t="shared" si="15"/>
        <v>0</v>
      </c>
      <c r="X79" s="686">
        <f t="shared" si="16"/>
        <v>0</v>
      </c>
      <c r="Y79" s="686">
        <f t="shared" si="17"/>
        <v>0</v>
      </c>
      <c r="Z79" s="686">
        <f t="shared" si="18"/>
        <v>0</v>
      </c>
      <c r="AA79" s="685">
        <f t="shared" si="19"/>
        <v>0</v>
      </c>
      <c r="AB79" s="687"/>
      <c r="AC79" s="688" t="e">
        <f>(S79+T79+U79)*'1.0-Contractblad'!$K$68</f>
        <v>#VALUE!</v>
      </c>
      <c r="AD79" s="688"/>
      <c r="AE79" s="48">
        <f t="shared" si="20"/>
        <v>0</v>
      </c>
      <c r="AF79" s="48">
        <f t="shared" si="26"/>
        <v>0</v>
      </c>
      <c r="AG79" s="48" t="str">
        <f t="shared" si="27"/>
        <v>nvt-0</v>
      </c>
    </row>
    <row r="80" spans="1:33" ht="12.75">
      <c r="A80" s="102"/>
      <c r="B80" s="364"/>
      <c r="C80" s="365"/>
      <c r="D80" s="676" t="s">
        <v>104</v>
      </c>
      <c r="E80" s="677" t="s">
        <v>419</v>
      </c>
      <c r="F80" s="678">
        <v>33106</v>
      </c>
      <c r="G80" s="676" t="s">
        <v>426</v>
      </c>
      <c r="H80" s="679" t="str">
        <f t="shared" si="14"/>
        <v>sanitaire ruimte (toilet-/doucheruimte)</v>
      </c>
      <c r="I80" s="689" t="s">
        <v>423</v>
      </c>
      <c r="J80" s="691">
        <v>3.8</v>
      </c>
      <c r="K80" s="680"/>
      <c r="L80" s="692">
        <v>4052</v>
      </c>
      <c r="M80" s="677"/>
      <c r="N80" s="682"/>
      <c r="O80" s="682"/>
      <c r="P80" s="682">
        <f t="shared" si="21"/>
        <v>52</v>
      </c>
      <c r="Q80" s="683">
        <v>1</v>
      </c>
      <c r="R80" s="684">
        <v>1</v>
      </c>
      <c r="S80" s="685">
        <f t="shared" si="22"/>
        <v>0</v>
      </c>
      <c r="T80" s="685">
        <f t="shared" si="23"/>
        <v>0</v>
      </c>
      <c r="U80" s="685">
        <f t="shared" si="24"/>
        <v>0</v>
      </c>
      <c r="V80" s="685">
        <f t="shared" si="25"/>
        <v>0</v>
      </c>
      <c r="W80" s="686">
        <f t="shared" si="15"/>
        <v>0</v>
      </c>
      <c r="X80" s="686">
        <f t="shared" si="16"/>
        <v>0</v>
      </c>
      <c r="Y80" s="686">
        <f t="shared" si="17"/>
        <v>0</v>
      </c>
      <c r="Z80" s="686">
        <f t="shared" si="18"/>
        <v>0</v>
      </c>
      <c r="AA80" s="685" t="str">
        <f t="shared" si="19"/>
        <v>S</v>
      </c>
      <c r="AB80" s="687"/>
      <c r="AC80" s="688" t="e">
        <f>(S80+T80+U80)*'1.0-Contractblad'!$K$68</f>
        <v>#VALUE!</v>
      </c>
      <c r="AD80" s="688"/>
      <c r="AE80" s="48">
        <f t="shared" si="20"/>
        <v>0</v>
      </c>
      <c r="AF80" s="48">
        <f t="shared" si="26"/>
        <v>197.6</v>
      </c>
      <c r="AG80" s="48" t="str">
        <f t="shared" si="27"/>
        <v>4052-52</v>
      </c>
    </row>
    <row r="81" spans="1:33" ht="12.75">
      <c r="A81" s="102"/>
      <c r="B81" s="364"/>
      <c r="C81" s="365"/>
      <c r="D81" s="676" t="s">
        <v>104</v>
      </c>
      <c r="E81" s="677" t="s">
        <v>427</v>
      </c>
      <c r="F81" s="678">
        <v>33201</v>
      </c>
      <c r="G81" s="676" t="s">
        <v>420</v>
      </c>
      <c r="H81" s="679" t="str">
        <f t="shared" si="14"/>
        <v>niet van toepassing</v>
      </c>
      <c r="I81" s="689" t="s">
        <v>423</v>
      </c>
      <c r="J81" s="691"/>
      <c r="K81" s="680"/>
      <c r="L81" s="692" t="s">
        <v>225</v>
      </c>
      <c r="M81" s="677"/>
      <c r="N81" s="677"/>
      <c r="O81" s="682"/>
      <c r="P81" s="682">
        <f t="shared" si="21"/>
        <v>0</v>
      </c>
      <c r="Q81" s="683">
        <v>1</v>
      </c>
      <c r="R81" s="684">
        <v>1</v>
      </c>
      <c r="S81" s="685">
        <f t="shared" si="22"/>
        <v>0</v>
      </c>
      <c r="T81" s="685">
        <f t="shared" si="23"/>
        <v>0</v>
      </c>
      <c r="U81" s="685">
        <f t="shared" si="24"/>
        <v>0</v>
      </c>
      <c r="V81" s="685">
        <f t="shared" si="25"/>
        <v>0</v>
      </c>
      <c r="W81" s="686">
        <f t="shared" si="15"/>
        <v>0</v>
      </c>
      <c r="X81" s="686">
        <f t="shared" si="16"/>
        <v>0</v>
      </c>
      <c r="Y81" s="686">
        <f t="shared" si="17"/>
        <v>0</v>
      </c>
      <c r="Z81" s="686">
        <f t="shared" si="18"/>
        <v>0</v>
      </c>
      <c r="AA81" s="685">
        <f t="shared" si="19"/>
        <v>0</v>
      </c>
      <c r="AB81" s="693" t="s">
        <v>421</v>
      </c>
      <c r="AC81" s="688" t="e">
        <f>(S81+T81+U81)*'1.0-Contractblad'!$K$68</f>
        <v>#VALUE!</v>
      </c>
      <c r="AD81" s="688"/>
      <c r="AE81" s="48">
        <f t="shared" si="20"/>
        <v>0</v>
      </c>
      <c r="AF81" s="48">
        <f t="shared" si="26"/>
        <v>0</v>
      </c>
      <c r="AG81" s="48" t="str">
        <f t="shared" si="27"/>
        <v>nvt-0</v>
      </c>
    </row>
    <row r="82" spans="1:33" ht="12.75">
      <c r="A82" s="102"/>
      <c r="B82" s="364"/>
      <c r="C82" s="365"/>
      <c r="D82" s="676" t="s">
        <v>107</v>
      </c>
      <c r="E82" s="677" t="s">
        <v>314</v>
      </c>
      <c r="F82" s="678" t="s">
        <v>315</v>
      </c>
      <c r="G82" s="679" t="s">
        <v>318</v>
      </c>
      <c r="H82" s="679" t="str">
        <f t="shared" si="14"/>
        <v>entree, gang, hal, repro, kopieer</v>
      </c>
      <c r="I82" s="689" t="s">
        <v>234</v>
      </c>
      <c r="J82" s="691">
        <v>2.76</v>
      </c>
      <c r="K82" s="680"/>
      <c r="L82" s="692">
        <v>3104</v>
      </c>
      <c r="M82" s="677"/>
      <c r="N82" s="682"/>
      <c r="O82" s="682"/>
      <c r="P82" s="682">
        <f t="shared" si="21"/>
        <v>104</v>
      </c>
      <c r="Q82" s="683">
        <v>1.5</v>
      </c>
      <c r="R82" s="684">
        <v>1</v>
      </c>
      <c r="S82" s="685">
        <f t="shared" si="22"/>
        <v>0</v>
      </c>
      <c r="T82" s="685">
        <f t="shared" si="23"/>
        <v>0</v>
      </c>
      <c r="U82" s="685">
        <f t="shared" si="24"/>
        <v>0</v>
      </c>
      <c r="V82" s="685">
        <f t="shared" si="25"/>
        <v>0</v>
      </c>
      <c r="W82" s="686">
        <f t="shared" si="15"/>
        <v>0</v>
      </c>
      <c r="X82" s="686">
        <f t="shared" si="16"/>
        <v>0</v>
      </c>
      <c r="Y82" s="686">
        <f t="shared" si="17"/>
        <v>0</v>
      </c>
      <c r="Z82" s="686">
        <f t="shared" si="18"/>
        <v>0</v>
      </c>
      <c r="AA82" s="685" t="str">
        <f t="shared" si="19"/>
        <v>V</v>
      </c>
      <c r="AB82" s="687" t="s">
        <v>428</v>
      </c>
      <c r="AC82" s="688" t="e">
        <f>(S82+T82+U82)*'1.0-Contractblad'!$K$68</f>
        <v>#VALUE!</v>
      </c>
      <c r="AD82" s="688"/>
      <c r="AE82" s="48">
        <f t="shared" si="20"/>
        <v>0</v>
      </c>
      <c r="AF82" s="48">
        <f t="shared" si="26"/>
        <v>287.03999999999996</v>
      </c>
      <c r="AG82" s="48" t="str">
        <f t="shared" si="27"/>
        <v>3104-104</v>
      </c>
    </row>
    <row r="83" spans="1:33" ht="12.75">
      <c r="A83" s="102"/>
      <c r="B83" s="364"/>
      <c r="C83" s="365"/>
      <c r="D83" s="676" t="s">
        <v>107</v>
      </c>
      <c r="E83" s="677" t="s">
        <v>314</v>
      </c>
      <c r="F83" s="678" t="s">
        <v>317</v>
      </c>
      <c r="G83" s="679" t="s">
        <v>429</v>
      </c>
      <c r="H83" s="679" t="str">
        <f t="shared" si="14"/>
        <v>entree, gang, hal, repro, kopieer</v>
      </c>
      <c r="I83" s="689" t="s">
        <v>384</v>
      </c>
      <c r="J83" s="691">
        <v>11.7</v>
      </c>
      <c r="K83" s="680"/>
      <c r="L83" s="692">
        <v>3104</v>
      </c>
      <c r="M83" s="677"/>
      <c r="N83" s="682"/>
      <c r="O83" s="682"/>
      <c r="P83" s="682">
        <f t="shared" si="21"/>
        <v>104</v>
      </c>
      <c r="Q83" s="683">
        <v>1.5</v>
      </c>
      <c r="R83" s="684">
        <v>1</v>
      </c>
      <c r="S83" s="685">
        <f t="shared" si="22"/>
        <v>0</v>
      </c>
      <c r="T83" s="685">
        <f t="shared" si="23"/>
        <v>0</v>
      </c>
      <c r="U83" s="685">
        <f t="shared" si="24"/>
        <v>0</v>
      </c>
      <c r="V83" s="685">
        <f t="shared" si="25"/>
        <v>0</v>
      </c>
      <c r="W83" s="686">
        <f t="shared" si="15"/>
        <v>0</v>
      </c>
      <c r="X83" s="686">
        <f t="shared" si="16"/>
        <v>0</v>
      </c>
      <c r="Y83" s="686">
        <f t="shared" si="17"/>
        <v>0</v>
      </c>
      <c r="Z83" s="686">
        <f t="shared" si="18"/>
        <v>0</v>
      </c>
      <c r="AA83" s="685" t="str">
        <f t="shared" si="19"/>
        <v>V</v>
      </c>
      <c r="AB83" s="687" t="s">
        <v>428</v>
      </c>
      <c r="AC83" s="688" t="e">
        <f>(S83+T83+U83)*'1.0-Contractblad'!$K$68</f>
        <v>#VALUE!</v>
      </c>
      <c r="AD83" s="688"/>
      <c r="AE83" s="48">
        <f t="shared" si="20"/>
        <v>0</v>
      </c>
      <c r="AF83" s="48">
        <f t="shared" si="26"/>
        <v>1216.8</v>
      </c>
      <c r="AG83" s="48" t="str">
        <f t="shared" si="27"/>
        <v>3104-104</v>
      </c>
    </row>
    <row r="84" spans="1:33" ht="12.75">
      <c r="A84" s="102"/>
      <c r="B84" s="364"/>
      <c r="C84" s="365"/>
      <c r="D84" s="676" t="s">
        <v>107</v>
      </c>
      <c r="E84" s="677" t="s">
        <v>314</v>
      </c>
      <c r="F84" s="678" t="s">
        <v>320</v>
      </c>
      <c r="G84" s="679" t="s">
        <v>386</v>
      </c>
      <c r="H84" s="679" t="str">
        <f t="shared" si="14"/>
        <v>administratieve -, personeels- en vergaderruimte</v>
      </c>
      <c r="I84" s="689" t="s">
        <v>238</v>
      </c>
      <c r="J84" s="691">
        <v>23.25</v>
      </c>
      <c r="K84" s="680"/>
      <c r="L84" s="692">
        <v>1104</v>
      </c>
      <c r="M84" s="677"/>
      <c r="N84" s="682"/>
      <c r="O84" s="682"/>
      <c r="P84" s="682">
        <f t="shared" si="21"/>
        <v>104</v>
      </c>
      <c r="Q84" s="683">
        <v>1.5</v>
      </c>
      <c r="R84" s="684">
        <v>1</v>
      </c>
      <c r="S84" s="685">
        <f t="shared" si="22"/>
        <v>0</v>
      </c>
      <c r="T84" s="685">
        <f t="shared" si="23"/>
        <v>0</v>
      </c>
      <c r="U84" s="685">
        <f t="shared" si="24"/>
        <v>0</v>
      </c>
      <c r="V84" s="685">
        <f t="shared" si="25"/>
        <v>0</v>
      </c>
      <c r="W84" s="686">
        <f t="shared" si="15"/>
        <v>0</v>
      </c>
      <c r="X84" s="686">
        <f t="shared" si="16"/>
        <v>0</v>
      </c>
      <c r="Y84" s="686">
        <f t="shared" si="17"/>
        <v>0</v>
      </c>
      <c r="Z84" s="686">
        <f t="shared" si="18"/>
        <v>0</v>
      </c>
      <c r="AA84" s="685" t="str">
        <f t="shared" si="19"/>
        <v>B</v>
      </c>
      <c r="AB84" s="687" t="s">
        <v>428</v>
      </c>
      <c r="AC84" s="688" t="e">
        <f>(S84+T84+U84)*'1.0-Contractblad'!$K$68</f>
        <v>#VALUE!</v>
      </c>
      <c r="AD84" s="688"/>
      <c r="AE84" s="48">
        <f t="shared" si="20"/>
        <v>0</v>
      </c>
      <c r="AF84" s="48">
        <f t="shared" si="26"/>
        <v>2418</v>
      </c>
      <c r="AG84" s="48" t="str">
        <f t="shared" si="27"/>
        <v>1104-104</v>
      </c>
    </row>
    <row r="85" spans="1:33" ht="12.75">
      <c r="A85" s="102"/>
      <c r="B85" s="364"/>
      <c r="C85" s="365"/>
      <c r="D85" s="676" t="s">
        <v>107</v>
      </c>
      <c r="E85" s="677" t="s">
        <v>314</v>
      </c>
      <c r="F85" s="678" t="s">
        <v>323</v>
      </c>
      <c r="G85" s="679" t="s">
        <v>333</v>
      </c>
      <c r="H85" s="679" t="str">
        <f t="shared" si="14"/>
        <v>administratieve -, personeels- en vergaderruimte</v>
      </c>
      <c r="I85" s="689" t="s">
        <v>238</v>
      </c>
      <c r="J85" s="691">
        <v>35.14</v>
      </c>
      <c r="K85" s="680"/>
      <c r="L85" s="692">
        <v>1104</v>
      </c>
      <c r="M85" s="677"/>
      <c r="N85" s="682"/>
      <c r="O85" s="682"/>
      <c r="P85" s="682">
        <f t="shared" si="21"/>
        <v>104</v>
      </c>
      <c r="Q85" s="683">
        <v>1.5</v>
      </c>
      <c r="R85" s="684">
        <v>1</v>
      </c>
      <c r="S85" s="685">
        <f t="shared" si="22"/>
        <v>0</v>
      </c>
      <c r="T85" s="685">
        <f t="shared" si="23"/>
        <v>0</v>
      </c>
      <c r="U85" s="685">
        <f t="shared" si="24"/>
        <v>0</v>
      </c>
      <c r="V85" s="685">
        <f t="shared" si="25"/>
        <v>0</v>
      </c>
      <c r="W85" s="686">
        <f t="shared" si="15"/>
        <v>0</v>
      </c>
      <c r="X85" s="686">
        <f t="shared" si="16"/>
        <v>0</v>
      </c>
      <c r="Y85" s="686">
        <f t="shared" si="17"/>
        <v>0</v>
      </c>
      <c r="Z85" s="686">
        <f t="shared" si="18"/>
        <v>0</v>
      </c>
      <c r="AA85" s="685" t="str">
        <f t="shared" si="19"/>
        <v>B</v>
      </c>
      <c r="AB85" s="687" t="s">
        <v>428</v>
      </c>
      <c r="AC85" s="688" t="e">
        <f>(S85+T85+U85)*'1.0-Contractblad'!$K$68</f>
        <v>#VALUE!</v>
      </c>
      <c r="AD85" s="688"/>
      <c r="AE85" s="48">
        <f t="shared" si="20"/>
        <v>0</v>
      </c>
      <c r="AF85" s="48">
        <f t="shared" si="26"/>
        <v>3654.56</v>
      </c>
      <c r="AG85" s="48" t="str">
        <f t="shared" si="27"/>
        <v>1104-104</v>
      </c>
    </row>
    <row r="86" spans="1:33" ht="12.75">
      <c r="A86" s="102"/>
      <c r="B86" s="364"/>
      <c r="C86" s="365"/>
      <c r="D86" s="676" t="s">
        <v>107</v>
      </c>
      <c r="E86" s="677" t="s">
        <v>314</v>
      </c>
      <c r="F86" s="678" t="s">
        <v>325</v>
      </c>
      <c r="G86" s="679" t="s">
        <v>383</v>
      </c>
      <c r="H86" s="679" t="str">
        <f t="shared" si="14"/>
        <v>labruimte</v>
      </c>
      <c r="I86" s="689" t="s">
        <v>238</v>
      </c>
      <c r="J86" s="691">
        <v>11.61</v>
      </c>
      <c r="K86" s="680"/>
      <c r="L86" s="692">
        <v>8104</v>
      </c>
      <c r="M86" s="677"/>
      <c r="N86" s="682"/>
      <c r="O86" s="682"/>
      <c r="P86" s="682">
        <f t="shared" si="21"/>
        <v>104</v>
      </c>
      <c r="Q86" s="683">
        <v>1.5</v>
      </c>
      <c r="R86" s="684">
        <v>1</v>
      </c>
      <c r="S86" s="685">
        <f t="shared" si="22"/>
        <v>0</v>
      </c>
      <c r="T86" s="685">
        <f t="shared" si="23"/>
        <v>0</v>
      </c>
      <c r="U86" s="685">
        <f t="shared" si="24"/>
        <v>0</v>
      </c>
      <c r="V86" s="685">
        <f t="shared" si="25"/>
        <v>0</v>
      </c>
      <c r="W86" s="686">
        <f t="shared" si="15"/>
        <v>0</v>
      </c>
      <c r="X86" s="686">
        <f t="shared" si="16"/>
        <v>0</v>
      </c>
      <c r="Y86" s="686">
        <f t="shared" si="17"/>
        <v>0</v>
      </c>
      <c r="Z86" s="686">
        <f t="shared" si="18"/>
        <v>0</v>
      </c>
      <c r="AA86" s="685" t="str">
        <f t="shared" si="19"/>
        <v>V</v>
      </c>
      <c r="AB86" s="687" t="s">
        <v>428</v>
      </c>
      <c r="AC86" s="688" t="e">
        <f>(S86+T86+U86)*'1.0-Contractblad'!$K$68</f>
        <v>#VALUE!</v>
      </c>
      <c r="AD86" s="688"/>
      <c r="AE86" s="48">
        <f t="shared" si="20"/>
        <v>0</v>
      </c>
      <c r="AF86" s="48">
        <f t="shared" si="26"/>
        <v>1207.44</v>
      </c>
      <c r="AG86" s="48" t="str">
        <f t="shared" si="27"/>
        <v>8104-104</v>
      </c>
    </row>
    <row r="87" spans="1:33" ht="12.75">
      <c r="A87" s="102"/>
      <c r="B87" s="364"/>
      <c r="C87" s="365"/>
      <c r="D87" s="676" t="s">
        <v>107</v>
      </c>
      <c r="E87" s="677" t="s">
        <v>314</v>
      </c>
      <c r="F87" s="678" t="s">
        <v>327</v>
      </c>
      <c r="G87" s="679" t="s">
        <v>382</v>
      </c>
      <c r="H87" s="679" t="str">
        <f t="shared" si="14"/>
        <v>entree, gang, hal, repro, kopieer</v>
      </c>
      <c r="I87" s="689" t="s">
        <v>234</v>
      </c>
      <c r="J87" s="691">
        <v>22.9</v>
      </c>
      <c r="K87" s="680"/>
      <c r="L87" s="692">
        <v>3104</v>
      </c>
      <c r="M87" s="677"/>
      <c r="N87" s="682"/>
      <c r="O87" s="682"/>
      <c r="P87" s="682">
        <f t="shared" si="21"/>
        <v>104</v>
      </c>
      <c r="Q87" s="683">
        <v>1.5</v>
      </c>
      <c r="R87" s="684">
        <v>1</v>
      </c>
      <c r="S87" s="685">
        <f t="shared" si="22"/>
        <v>0</v>
      </c>
      <c r="T87" s="685">
        <f t="shared" si="23"/>
        <v>0</v>
      </c>
      <c r="U87" s="685">
        <f t="shared" si="24"/>
        <v>0</v>
      </c>
      <c r="V87" s="685">
        <f t="shared" si="25"/>
        <v>0</v>
      </c>
      <c r="W87" s="686">
        <f t="shared" si="15"/>
        <v>0</v>
      </c>
      <c r="X87" s="686">
        <f t="shared" si="16"/>
        <v>0</v>
      </c>
      <c r="Y87" s="686">
        <f t="shared" si="17"/>
        <v>0</v>
      </c>
      <c r="Z87" s="686">
        <f t="shared" si="18"/>
        <v>0</v>
      </c>
      <c r="AA87" s="685" t="str">
        <f t="shared" si="19"/>
        <v>V</v>
      </c>
      <c r="AB87" s="687" t="s">
        <v>428</v>
      </c>
      <c r="AC87" s="688" t="e">
        <f>(S87+T87+U87)*'1.0-Contractblad'!$K$68</f>
        <v>#VALUE!</v>
      </c>
      <c r="AD87" s="688"/>
      <c r="AE87" s="48">
        <f t="shared" si="20"/>
        <v>0</v>
      </c>
      <c r="AF87" s="48">
        <f t="shared" si="26"/>
        <v>2381.6</v>
      </c>
      <c r="AG87" s="48" t="str">
        <f t="shared" si="27"/>
        <v>3104-104</v>
      </c>
    </row>
    <row r="88" spans="1:33" ht="12.75">
      <c r="A88" s="102"/>
      <c r="B88" s="364"/>
      <c r="C88" s="365"/>
      <c r="D88" s="676" t="s">
        <v>107</v>
      </c>
      <c r="E88" s="677" t="s">
        <v>314</v>
      </c>
      <c r="F88" s="678" t="s">
        <v>330</v>
      </c>
      <c r="G88" s="679" t="s">
        <v>430</v>
      </c>
      <c r="H88" s="679" t="str">
        <f t="shared" si="14"/>
        <v>niet van toepassing</v>
      </c>
      <c r="I88" s="689" t="s">
        <v>431</v>
      </c>
      <c r="J88" s="691"/>
      <c r="K88" s="680">
        <v>10.8</v>
      </c>
      <c r="L88" s="692" t="s">
        <v>225</v>
      </c>
      <c r="M88" s="677"/>
      <c r="N88" s="682"/>
      <c r="O88" s="682"/>
      <c r="P88" s="682">
        <f t="shared" si="21"/>
        <v>0</v>
      </c>
      <c r="Q88" s="683">
        <v>1.5</v>
      </c>
      <c r="R88" s="684">
        <v>1</v>
      </c>
      <c r="S88" s="685">
        <f t="shared" si="22"/>
        <v>0</v>
      </c>
      <c r="T88" s="685">
        <f t="shared" si="23"/>
        <v>0</v>
      </c>
      <c r="U88" s="685">
        <f t="shared" si="24"/>
        <v>0</v>
      </c>
      <c r="V88" s="685">
        <f t="shared" si="25"/>
        <v>0</v>
      </c>
      <c r="W88" s="686">
        <f t="shared" si="15"/>
        <v>0</v>
      </c>
      <c r="X88" s="686">
        <f t="shared" si="16"/>
        <v>0</v>
      </c>
      <c r="Y88" s="686">
        <f t="shared" si="17"/>
        <v>0</v>
      </c>
      <c r="Z88" s="686">
        <f t="shared" si="18"/>
        <v>0</v>
      </c>
      <c r="AA88" s="685">
        <f t="shared" si="19"/>
        <v>0</v>
      </c>
      <c r="AB88" s="687"/>
      <c r="AC88" s="688" t="e">
        <f>(S88+T88+U88)*'1.0-Contractblad'!$K$68</f>
        <v>#VALUE!</v>
      </c>
      <c r="AD88" s="688"/>
      <c r="AE88" s="48">
        <f t="shared" si="20"/>
        <v>0</v>
      </c>
      <c r="AF88" s="48">
        <f t="shared" si="26"/>
        <v>0</v>
      </c>
      <c r="AG88" s="48" t="str">
        <f t="shared" si="27"/>
        <v>nvt-0</v>
      </c>
    </row>
    <row r="89" spans="1:33" ht="12.75">
      <c r="A89" s="102"/>
      <c r="B89" s="364"/>
      <c r="C89" s="365"/>
      <c r="D89" s="676" t="s">
        <v>107</v>
      </c>
      <c r="E89" s="677" t="s">
        <v>314</v>
      </c>
      <c r="F89" s="678" t="s">
        <v>332</v>
      </c>
      <c r="G89" s="679" t="s">
        <v>432</v>
      </c>
      <c r="H89" s="679" t="str">
        <f t="shared" si="14"/>
        <v>niet van toepassing</v>
      </c>
      <c r="I89" s="689" t="s">
        <v>433</v>
      </c>
      <c r="J89" s="691"/>
      <c r="K89" s="680">
        <v>25</v>
      </c>
      <c r="L89" s="692" t="s">
        <v>225</v>
      </c>
      <c r="M89" s="677"/>
      <c r="N89" s="682"/>
      <c r="O89" s="682"/>
      <c r="P89" s="682">
        <f t="shared" si="21"/>
        <v>0</v>
      </c>
      <c r="Q89" s="683">
        <v>1.5</v>
      </c>
      <c r="R89" s="684">
        <v>1</v>
      </c>
      <c r="S89" s="685">
        <f t="shared" si="22"/>
        <v>0</v>
      </c>
      <c r="T89" s="685">
        <f t="shared" si="23"/>
        <v>0</v>
      </c>
      <c r="U89" s="685">
        <f t="shared" si="24"/>
        <v>0</v>
      </c>
      <c r="V89" s="685">
        <f t="shared" si="25"/>
        <v>0</v>
      </c>
      <c r="W89" s="686">
        <f t="shared" si="15"/>
        <v>0</v>
      </c>
      <c r="X89" s="686">
        <f t="shared" si="16"/>
        <v>0</v>
      </c>
      <c r="Y89" s="686">
        <f t="shared" si="17"/>
        <v>0</v>
      </c>
      <c r="Z89" s="686">
        <f t="shared" si="18"/>
        <v>0</v>
      </c>
      <c r="AA89" s="685">
        <f t="shared" si="19"/>
        <v>0</v>
      </c>
      <c r="AB89" s="687"/>
      <c r="AC89" s="688" t="e">
        <f>(S89+T89+U89)*'1.0-Contractblad'!$K$68</f>
        <v>#VALUE!</v>
      </c>
      <c r="AD89" s="688"/>
      <c r="AE89" s="48">
        <f t="shared" si="20"/>
        <v>0</v>
      </c>
      <c r="AF89" s="48">
        <f t="shared" si="26"/>
        <v>0</v>
      </c>
      <c r="AG89" s="48" t="str">
        <f t="shared" si="27"/>
        <v>nvt-0</v>
      </c>
    </row>
    <row r="90" spans="1:33" ht="12.75">
      <c r="A90" s="102"/>
      <c r="B90" s="364"/>
      <c r="C90" s="365"/>
      <c r="D90" s="676" t="s">
        <v>107</v>
      </c>
      <c r="E90" s="677" t="s">
        <v>314</v>
      </c>
      <c r="F90" s="678" t="s">
        <v>334</v>
      </c>
      <c r="G90" s="679" t="s">
        <v>434</v>
      </c>
      <c r="H90" s="679" t="str">
        <f t="shared" si="14"/>
        <v>niet van toepassing</v>
      </c>
      <c r="I90" s="689" t="s">
        <v>238</v>
      </c>
      <c r="J90" s="691"/>
      <c r="K90" s="680">
        <v>13.89</v>
      </c>
      <c r="L90" s="692" t="s">
        <v>225</v>
      </c>
      <c r="M90" s="677"/>
      <c r="N90" s="682"/>
      <c r="O90" s="682"/>
      <c r="P90" s="682">
        <f t="shared" si="21"/>
        <v>0</v>
      </c>
      <c r="Q90" s="683">
        <v>1.5</v>
      </c>
      <c r="R90" s="684">
        <v>1</v>
      </c>
      <c r="S90" s="685">
        <f t="shared" si="22"/>
        <v>0</v>
      </c>
      <c r="T90" s="685">
        <f t="shared" si="23"/>
        <v>0</v>
      </c>
      <c r="U90" s="685">
        <f t="shared" si="24"/>
        <v>0</v>
      </c>
      <c r="V90" s="685">
        <f t="shared" si="25"/>
        <v>0</v>
      </c>
      <c r="W90" s="686">
        <f t="shared" si="15"/>
        <v>0</v>
      </c>
      <c r="X90" s="686">
        <f t="shared" si="16"/>
        <v>0</v>
      </c>
      <c r="Y90" s="686">
        <f t="shared" si="17"/>
        <v>0</v>
      </c>
      <c r="Z90" s="686">
        <f t="shared" si="18"/>
        <v>0</v>
      </c>
      <c r="AA90" s="685">
        <f t="shared" si="19"/>
        <v>0</v>
      </c>
      <c r="AB90" s="687"/>
      <c r="AC90" s="688" t="e">
        <f>(S90+T90+U90)*'1.0-Contractblad'!$K$68</f>
        <v>#VALUE!</v>
      </c>
      <c r="AD90" s="688"/>
      <c r="AE90" s="48">
        <f t="shared" si="20"/>
        <v>0</v>
      </c>
      <c r="AF90" s="48">
        <f t="shared" si="26"/>
        <v>0</v>
      </c>
      <c r="AG90" s="48" t="str">
        <f t="shared" si="27"/>
        <v>nvt-0</v>
      </c>
    </row>
    <row r="91" spans="1:33" ht="12.75">
      <c r="A91" s="102"/>
      <c r="B91" s="364"/>
      <c r="C91" s="365"/>
      <c r="D91" s="676" t="s">
        <v>107</v>
      </c>
      <c r="E91" s="677" t="s">
        <v>314</v>
      </c>
      <c r="F91" s="678" t="s">
        <v>391</v>
      </c>
      <c r="G91" s="679" t="s">
        <v>435</v>
      </c>
      <c r="H91" s="679" t="str">
        <f t="shared" si="14"/>
        <v>kleedruimten</v>
      </c>
      <c r="I91" s="689" t="s">
        <v>234</v>
      </c>
      <c r="J91" s="691">
        <v>25</v>
      </c>
      <c r="K91" s="680"/>
      <c r="L91" s="692">
        <v>10104</v>
      </c>
      <c r="M91" s="677"/>
      <c r="N91" s="682"/>
      <c r="O91" s="682"/>
      <c r="P91" s="682">
        <f t="shared" si="21"/>
        <v>104</v>
      </c>
      <c r="Q91" s="683">
        <v>1.5</v>
      </c>
      <c r="R91" s="684">
        <v>1</v>
      </c>
      <c r="S91" s="685">
        <f t="shared" si="22"/>
        <v>0</v>
      </c>
      <c r="T91" s="685">
        <f t="shared" si="23"/>
        <v>0</v>
      </c>
      <c r="U91" s="685">
        <f t="shared" si="24"/>
        <v>0</v>
      </c>
      <c r="V91" s="685">
        <f t="shared" si="25"/>
        <v>0</v>
      </c>
      <c r="W91" s="686">
        <f t="shared" si="15"/>
        <v>0</v>
      </c>
      <c r="X91" s="686">
        <f t="shared" si="16"/>
        <v>0</v>
      </c>
      <c r="Y91" s="686">
        <f t="shared" si="17"/>
        <v>0</v>
      </c>
      <c r="Z91" s="686">
        <f t="shared" si="18"/>
        <v>0</v>
      </c>
      <c r="AA91" s="685" t="str">
        <f t="shared" si="19"/>
        <v>V</v>
      </c>
      <c r="AB91" s="687" t="s">
        <v>428</v>
      </c>
      <c r="AC91" s="688" t="e">
        <f>(S91+T91+U91)*'1.0-Contractblad'!$K$68</f>
        <v>#VALUE!</v>
      </c>
      <c r="AD91" s="688"/>
      <c r="AE91" s="48">
        <f t="shared" si="20"/>
        <v>0</v>
      </c>
      <c r="AF91" s="48">
        <f t="shared" si="26"/>
        <v>2600</v>
      </c>
      <c r="AG91" s="48" t="str">
        <f t="shared" si="27"/>
        <v>10104-104</v>
      </c>
    </row>
    <row r="92" spans="1:33" ht="12.75">
      <c r="A92" s="102"/>
      <c r="B92" s="364"/>
      <c r="C92" s="365"/>
      <c r="D92" s="676" t="s">
        <v>107</v>
      </c>
      <c r="E92" s="677" t="s">
        <v>314</v>
      </c>
      <c r="F92" s="678" t="s">
        <v>337</v>
      </c>
      <c r="G92" s="679" t="s">
        <v>359</v>
      </c>
      <c r="H92" s="679" t="str">
        <f t="shared" si="14"/>
        <v>sanitaire ruimte (toilet-/doucheruimte)</v>
      </c>
      <c r="I92" s="689" t="s">
        <v>234</v>
      </c>
      <c r="J92" s="691">
        <v>2.76</v>
      </c>
      <c r="K92" s="680"/>
      <c r="L92" s="692">
        <v>4104</v>
      </c>
      <c r="M92" s="677"/>
      <c r="N92" s="682"/>
      <c r="O92" s="682"/>
      <c r="P92" s="682">
        <f t="shared" si="21"/>
        <v>104</v>
      </c>
      <c r="Q92" s="683">
        <v>1.5</v>
      </c>
      <c r="R92" s="684">
        <v>1</v>
      </c>
      <c r="S92" s="685">
        <f t="shared" si="22"/>
        <v>0</v>
      </c>
      <c r="T92" s="685">
        <f t="shared" si="23"/>
        <v>0</v>
      </c>
      <c r="U92" s="685">
        <f t="shared" si="24"/>
        <v>0</v>
      </c>
      <c r="V92" s="685">
        <f t="shared" si="25"/>
        <v>0</v>
      </c>
      <c r="W92" s="686">
        <f t="shared" si="15"/>
        <v>0</v>
      </c>
      <c r="X92" s="686">
        <f t="shared" si="16"/>
        <v>0</v>
      </c>
      <c r="Y92" s="686">
        <f t="shared" si="17"/>
        <v>0</v>
      </c>
      <c r="Z92" s="686">
        <f t="shared" si="18"/>
        <v>0</v>
      </c>
      <c r="AA92" s="685" t="str">
        <f t="shared" si="19"/>
        <v>S</v>
      </c>
      <c r="AB92" s="687" t="s">
        <v>428</v>
      </c>
      <c r="AC92" s="688" t="e">
        <f>(S92+T92+U92)*'1.0-Contractblad'!$K$68</f>
        <v>#VALUE!</v>
      </c>
      <c r="AD92" s="688"/>
      <c r="AE92" s="48">
        <f t="shared" si="20"/>
        <v>0</v>
      </c>
      <c r="AF92" s="48">
        <f t="shared" si="26"/>
        <v>287.03999999999996</v>
      </c>
      <c r="AG92" s="48" t="str">
        <f t="shared" si="27"/>
        <v>4104-104</v>
      </c>
    </row>
    <row r="93" spans="1:33" ht="12.75">
      <c r="A93" s="102"/>
      <c r="B93" s="364"/>
      <c r="C93" s="365"/>
      <c r="D93" s="676" t="s">
        <v>107</v>
      </c>
      <c r="E93" s="677" t="s">
        <v>314</v>
      </c>
      <c r="F93" s="678" t="s">
        <v>339</v>
      </c>
      <c r="G93" s="679" t="s">
        <v>359</v>
      </c>
      <c r="H93" s="679" t="str">
        <f t="shared" si="14"/>
        <v>sanitaire ruimte (toilet-/doucheruimte)</v>
      </c>
      <c r="I93" s="689" t="s">
        <v>234</v>
      </c>
      <c r="J93" s="691">
        <v>2.5</v>
      </c>
      <c r="K93" s="680"/>
      <c r="L93" s="692">
        <v>4104</v>
      </c>
      <c r="M93" s="677"/>
      <c r="N93" s="682"/>
      <c r="O93" s="682"/>
      <c r="P93" s="682">
        <f t="shared" si="21"/>
        <v>104</v>
      </c>
      <c r="Q93" s="683">
        <v>1.5</v>
      </c>
      <c r="R93" s="684">
        <v>1</v>
      </c>
      <c r="S93" s="685">
        <f t="shared" si="22"/>
        <v>0</v>
      </c>
      <c r="T93" s="685">
        <f t="shared" si="23"/>
        <v>0</v>
      </c>
      <c r="U93" s="685">
        <f t="shared" si="24"/>
        <v>0</v>
      </c>
      <c r="V93" s="685">
        <f t="shared" si="25"/>
        <v>0</v>
      </c>
      <c r="W93" s="686">
        <f t="shared" si="15"/>
        <v>0</v>
      </c>
      <c r="X93" s="686">
        <f t="shared" si="16"/>
        <v>0</v>
      </c>
      <c r="Y93" s="686">
        <f t="shared" si="17"/>
        <v>0</v>
      </c>
      <c r="Z93" s="686">
        <f t="shared" si="18"/>
        <v>0</v>
      </c>
      <c r="AA93" s="685" t="str">
        <f t="shared" si="19"/>
        <v>S</v>
      </c>
      <c r="AB93" s="687" t="s">
        <v>428</v>
      </c>
      <c r="AC93" s="688" t="e">
        <f>(S93+T93+U93)*'1.0-Contractblad'!$K$68</f>
        <v>#VALUE!</v>
      </c>
      <c r="AD93" s="688"/>
      <c r="AE93" s="48">
        <f t="shared" si="20"/>
        <v>0</v>
      </c>
      <c r="AF93" s="48">
        <f t="shared" si="26"/>
        <v>260</v>
      </c>
      <c r="AG93" s="48" t="str">
        <f t="shared" si="27"/>
        <v>4104-104</v>
      </c>
    </row>
    <row r="94" spans="1:33" ht="12.75">
      <c r="A94" s="102"/>
      <c r="B94" s="364"/>
      <c r="C94" s="365"/>
      <c r="D94" s="676" t="s">
        <v>107</v>
      </c>
      <c r="E94" s="677" t="s">
        <v>314</v>
      </c>
      <c r="F94" s="678" t="s">
        <v>436</v>
      </c>
      <c r="G94" s="676" t="s">
        <v>405</v>
      </c>
      <c r="H94" s="679" t="str">
        <f t="shared" si="14"/>
        <v>sanitaire ruimte (toilet-/doucheruimte)</v>
      </c>
      <c r="I94" s="689" t="s">
        <v>234</v>
      </c>
      <c r="J94" s="691">
        <v>1.06</v>
      </c>
      <c r="K94" s="680"/>
      <c r="L94" s="692">
        <v>4104</v>
      </c>
      <c r="M94" s="677"/>
      <c r="N94" s="682"/>
      <c r="O94" s="682"/>
      <c r="P94" s="682">
        <f t="shared" si="21"/>
        <v>104</v>
      </c>
      <c r="Q94" s="683">
        <v>1.5</v>
      </c>
      <c r="R94" s="684">
        <v>1</v>
      </c>
      <c r="S94" s="685">
        <f t="shared" si="22"/>
        <v>0</v>
      </c>
      <c r="T94" s="685">
        <f t="shared" si="23"/>
        <v>0</v>
      </c>
      <c r="U94" s="685">
        <f t="shared" si="24"/>
        <v>0</v>
      </c>
      <c r="V94" s="685">
        <f t="shared" si="25"/>
        <v>0</v>
      </c>
      <c r="W94" s="686">
        <f t="shared" si="15"/>
        <v>0</v>
      </c>
      <c r="X94" s="686">
        <f t="shared" si="16"/>
        <v>0</v>
      </c>
      <c r="Y94" s="686">
        <f t="shared" si="17"/>
        <v>0</v>
      </c>
      <c r="Z94" s="686">
        <f t="shared" si="18"/>
        <v>0</v>
      </c>
      <c r="AA94" s="685" t="str">
        <f t="shared" si="19"/>
        <v>S</v>
      </c>
      <c r="AB94" s="687" t="s">
        <v>428</v>
      </c>
      <c r="AC94" s="688" t="e">
        <f>(S94+T94+U94)*'1.0-Contractblad'!$K$68</f>
        <v>#VALUE!</v>
      </c>
      <c r="AD94" s="688"/>
      <c r="AE94" s="48">
        <f t="shared" si="20"/>
        <v>0</v>
      </c>
      <c r="AF94" s="48">
        <f t="shared" si="26"/>
        <v>110.24000000000001</v>
      </c>
      <c r="AG94" s="48" t="str">
        <f t="shared" si="27"/>
        <v>4104-104</v>
      </c>
    </row>
    <row r="95" spans="1:33" ht="12.75">
      <c r="A95" s="102"/>
      <c r="B95" s="364"/>
      <c r="C95" s="365"/>
      <c r="D95" s="676" t="s">
        <v>107</v>
      </c>
      <c r="E95" s="677" t="s">
        <v>314</v>
      </c>
      <c r="F95" s="678" t="s">
        <v>437</v>
      </c>
      <c r="G95" s="679" t="s">
        <v>438</v>
      </c>
      <c r="H95" s="679" t="str">
        <f t="shared" si="14"/>
        <v>sanitaire ruimte (toilet-/doucheruimte)</v>
      </c>
      <c r="I95" s="689" t="s">
        <v>234</v>
      </c>
      <c r="J95" s="691">
        <v>1.06</v>
      </c>
      <c r="K95" s="680"/>
      <c r="L95" s="692">
        <v>4104</v>
      </c>
      <c r="M95" s="677"/>
      <c r="N95" s="682"/>
      <c r="O95" s="682"/>
      <c r="P95" s="682">
        <f t="shared" si="21"/>
        <v>104</v>
      </c>
      <c r="Q95" s="683">
        <v>1.5</v>
      </c>
      <c r="R95" s="684">
        <v>1</v>
      </c>
      <c r="S95" s="685">
        <f t="shared" si="22"/>
        <v>0</v>
      </c>
      <c r="T95" s="685">
        <f t="shared" si="23"/>
        <v>0</v>
      </c>
      <c r="U95" s="685">
        <f t="shared" si="24"/>
        <v>0</v>
      </c>
      <c r="V95" s="685">
        <f t="shared" si="25"/>
        <v>0</v>
      </c>
      <c r="W95" s="686">
        <f t="shared" si="15"/>
        <v>0</v>
      </c>
      <c r="X95" s="686">
        <f t="shared" si="16"/>
        <v>0</v>
      </c>
      <c r="Y95" s="686">
        <f t="shared" si="17"/>
        <v>0</v>
      </c>
      <c r="Z95" s="686">
        <f t="shared" si="18"/>
        <v>0</v>
      </c>
      <c r="AA95" s="685" t="str">
        <f t="shared" si="19"/>
        <v>S</v>
      </c>
      <c r="AB95" s="687" t="s">
        <v>428</v>
      </c>
      <c r="AC95" s="688" t="e">
        <f>(S95+T95+U95)*'1.0-Contractblad'!$K$68</f>
        <v>#VALUE!</v>
      </c>
      <c r="AD95" s="688"/>
      <c r="AE95" s="48">
        <f t="shared" si="20"/>
        <v>0</v>
      </c>
      <c r="AF95" s="48">
        <f t="shared" si="26"/>
        <v>110.24000000000001</v>
      </c>
      <c r="AG95" s="48" t="str">
        <f t="shared" si="27"/>
        <v>4104-104</v>
      </c>
    </row>
    <row r="96" spans="1:33" ht="12.75">
      <c r="A96" s="102"/>
      <c r="B96" s="364"/>
      <c r="C96" s="365"/>
      <c r="D96" s="676" t="s">
        <v>107</v>
      </c>
      <c r="E96" s="677" t="s">
        <v>314</v>
      </c>
      <c r="F96" s="678" t="s">
        <v>439</v>
      </c>
      <c r="G96" s="679" t="s">
        <v>405</v>
      </c>
      <c r="H96" s="679" t="str">
        <f t="shared" si="14"/>
        <v>sanitaire ruimte (toilet-/doucheruimte)</v>
      </c>
      <c r="I96" s="689" t="s">
        <v>234</v>
      </c>
      <c r="J96" s="691">
        <v>1.06</v>
      </c>
      <c r="K96" s="680"/>
      <c r="L96" s="692">
        <v>4104</v>
      </c>
      <c r="M96" s="677"/>
      <c r="N96" s="682"/>
      <c r="O96" s="682"/>
      <c r="P96" s="682">
        <f t="shared" si="21"/>
        <v>104</v>
      </c>
      <c r="Q96" s="683">
        <v>1.5</v>
      </c>
      <c r="R96" s="684">
        <v>1</v>
      </c>
      <c r="S96" s="685">
        <f t="shared" si="22"/>
        <v>0</v>
      </c>
      <c r="T96" s="685">
        <f t="shared" si="23"/>
        <v>0</v>
      </c>
      <c r="U96" s="685">
        <f t="shared" si="24"/>
        <v>0</v>
      </c>
      <c r="V96" s="685">
        <f t="shared" si="25"/>
        <v>0</v>
      </c>
      <c r="W96" s="686">
        <f t="shared" si="15"/>
        <v>0</v>
      </c>
      <c r="X96" s="686">
        <f t="shared" si="16"/>
        <v>0</v>
      </c>
      <c r="Y96" s="686">
        <f t="shared" si="17"/>
        <v>0</v>
      </c>
      <c r="Z96" s="686">
        <f t="shared" si="18"/>
        <v>0</v>
      </c>
      <c r="AA96" s="685" t="str">
        <f t="shared" si="19"/>
        <v>S</v>
      </c>
      <c r="AB96" s="687" t="s">
        <v>428</v>
      </c>
      <c r="AC96" s="688" t="e">
        <f>(S96+T96+U96)*'1.0-Contractblad'!$K$68</f>
        <v>#VALUE!</v>
      </c>
      <c r="AD96" s="688"/>
      <c r="AE96" s="48">
        <f t="shared" si="20"/>
        <v>0</v>
      </c>
      <c r="AF96" s="48">
        <f t="shared" si="26"/>
        <v>110.24000000000001</v>
      </c>
      <c r="AG96" s="48" t="str">
        <f t="shared" si="27"/>
        <v>4104-104</v>
      </c>
    </row>
    <row r="97" spans="1:33" ht="12.75">
      <c r="A97" s="102"/>
      <c r="B97" s="364"/>
      <c r="C97" s="365"/>
      <c r="D97" s="676" t="s">
        <v>107</v>
      </c>
      <c r="E97" s="677" t="s">
        <v>314</v>
      </c>
      <c r="F97" s="678" t="s">
        <v>342</v>
      </c>
      <c r="G97" s="679" t="s">
        <v>407</v>
      </c>
      <c r="H97" s="679" t="str">
        <f t="shared" si="14"/>
        <v>sanitaire ruimte (toilet-/doucheruimte)</v>
      </c>
      <c r="I97" s="689" t="s">
        <v>234</v>
      </c>
      <c r="J97" s="691">
        <v>1.06</v>
      </c>
      <c r="K97" s="680"/>
      <c r="L97" s="692">
        <v>4104</v>
      </c>
      <c r="M97" s="677"/>
      <c r="N97" s="682"/>
      <c r="O97" s="682"/>
      <c r="P97" s="682">
        <f t="shared" si="21"/>
        <v>104</v>
      </c>
      <c r="Q97" s="683">
        <v>1.5</v>
      </c>
      <c r="R97" s="684">
        <v>1</v>
      </c>
      <c r="S97" s="685">
        <f t="shared" si="22"/>
        <v>0</v>
      </c>
      <c r="T97" s="685">
        <f t="shared" si="23"/>
        <v>0</v>
      </c>
      <c r="U97" s="685">
        <f t="shared" si="24"/>
        <v>0</v>
      </c>
      <c r="V97" s="685">
        <f t="shared" si="25"/>
        <v>0</v>
      </c>
      <c r="W97" s="686">
        <f t="shared" si="15"/>
        <v>0</v>
      </c>
      <c r="X97" s="686">
        <f t="shared" si="16"/>
        <v>0</v>
      </c>
      <c r="Y97" s="686">
        <f t="shared" si="17"/>
        <v>0</v>
      </c>
      <c r="Z97" s="686">
        <f t="shared" si="18"/>
        <v>0</v>
      </c>
      <c r="AA97" s="685" t="str">
        <f t="shared" si="19"/>
        <v>S</v>
      </c>
      <c r="AB97" s="687" t="s">
        <v>428</v>
      </c>
      <c r="AC97" s="688" t="e">
        <f>(S97+T97+U97)*'1.0-Contractblad'!$K$68</f>
        <v>#VALUE!</v>
      </c>
      <c r="AD97" s="688"/>
      <c r="AE97" s="48">
        <f t="shared" si="20"/>
        <v>0</v>
      </c>
      <c r="AF97" s="48">
        <f t="shared" si="26"/>
        <v>110.24000000000001</v>
      </c>
      <c r="AG97" s="48" t="str">
        <f t="shared" si="27"/>
        <v>4104-104</v>
      </c>
    </row>
    <row r="98" spans="1:33" ht="12.75">
      <c r="A98" s="102"/>
      <c r="B98" s="364"/>
      <c r="C98" s="365"/>
      <c r="D98" s="676" t="s">
        <v>107</v>
      </c>
      <c r="E98" s="677" t="s">
        <v>314</v>
      </c>
      <c r="F98" s="678" t="s">
        <v>394</v>
      </c>
      <c r="G98" s="679" t="s">
        <v>440</v>
      </c>
      <c r="H98" s="679" t="str">
        <f t="shared" si="14"/>
        <v>niet van toepassing</v>
      </c>
      <c r="I98" s="689" t="s">
        <v>240</v>
      </c>
      <c r="J98" s="691"/>
      <c r="K98" s="680"/>
      <c r="L98" s="692" t="s">
        <v>225</v>
      </c>
      <c r="M98" s="677"/>
      <c r="N98" s="682"/>
      <c r="O98" s="682"/>
      <c r="P98" s="682">
        <f t="shared" si="21"/>
        <v>0</v>
      </c>
      <c r="Q98" s="683">
        <v>1.5</v>
      </c>
      <c r="R98" s="684">
        <v>1</v>
      </c>
      <c r="S98" s="685">
        <f t="shared" si="22"/>
        <v>0</v>
      </c>
      <c r="T98" s="685">
        <f t="shared" si="23"/>
        <v>0</v>
      </c>
      <c r="U98" s="685">
        <f t="shared" si="24"/>
        <v>0</v>
      </c>
      <c r="V98" s="685">
        <f t="shared" si="25"/>
        <v>0</v>
      </c>
      <c r="W98" s="686">
        <f t="shared" si="15"/>
        <v>0</v>
      </c>
      <c r="X98" s="686">
        <f t="shared" si="16"/>
        <v>0</v>
      </c>
      <c r="Y98" s="686">
        <f t="shared" si="17"/>
        <v>0</v>
      </c>
      <c r="Z98" s="686">
        <f t="shared" si="18"/>
        <v>0</v>
      </c>
      <c r="AA98" s="685">
        <f t="shared" si="19"/>
        <v>0</v>
      </c>
      <c r="AB98" s="687"/>
      <c r="AC98" s="688" t="e">
        <f>(S98+T98+U98)*'1.0-Contractblad'!$K$68</f>
        <v>#VALUE!</v>
      </c>
      <c r="AD98" s="688"/>
      <c r="AE98" s="48">
        <f t="shared" si="20"/>
        <v>0</v>
      </c>
      <c r="AF98" s="48">
        <f t="shared" si="26"/>
        <v>0</v>
      </c>
      <c r="AG98" s="48" t="str">
        <f t="shared" si="27"/>
        <v>nvt-0</v>
      </c>
    </row>
    <row r="99" spans="1:33" ht="12.75">
      <c r="A99" s="102"/>
      <c r="B99" s="364"/>
      <c r="C99" s="365"/>
      <c r="D99" s="676" t="s">
        <v>107</v>
      </c>
      <c r="E99" s="677" t="s">
        <v>314</v>
      </c>
      <c r="F99" s="678" t="s">
        <v>348</v>
      </c>
      <c r="G99" s="679" t="s">
        <v>328</v>
      </c>
      <c r="H99" s="679" t="str">
        <f t="shared" si="14"/>
        <v>pantry, keuken, koffiecorner</v>
      </c>
      <c r="I99" s="689" t="s">
        <v>238</v>
      </c>
      <c r="J99" s="694">
        <v>24.07</v>
      </c>
      <c r="K99" s="680"/>
      <c r="L99" s="692">
        <v>5104</v>
      </c>
      <c r="M99" s="677"/>
      <c r="N99" s="682"/>
      <c r="O99" s="682"/>
      <c r="P99" s="682">
        <f t="shared" si="21"/>
        <v>104</v>
      </c>
      <c r="Q99" s="683">
        <v>1.5</v>
      </c>
      <c r="R99" s="684">
        <v>1</v>
      </c>
      <c r="S99" s="685">
        <f t="shared" si="22"/>
        <v>0</v>
      </c>
      <c r="T99" s="685">
        <f t="shared" si="23"/>
        <v>0</v>
      </c>
      <c r="U99" s="685">
        <f t="shared" si="24"/>
        <v>0</v>
      </c>
      <c r="V99" s="685">
        <f t="shared" si="25"/>
        <v>0</v>
      </c>
      <c r="W99" s="686">
        <f t="shared" si="15"/>
        <v>0</v>
      </c>
      <c r="X99" s="686">
        <f t="shared" si="16"/>
        <v>0</v>
      </c>
      <c r="Y99" s="686">
        <f t="shared" si="17"/>
        <v>0</v>
      </c>
      <c r="Z99" s="686">
        <f t="shared" si="18"/>
        <v>0</v>
      </c>
      <c r="AA99" s="685" t="str">
        <f t="shared" si="19"/>
        <v>V</v>
      </c>
      <c r="AB99" s="687" t="s">
        <v>428</v>
      </c>
      <c r="AC99" s="688" t="e">
        <f>(S99+T99+U99)*'1.0-Contractblad'!$K$68</f>
        <v>#VALUE!</v>
      </c>
      <c r="AD99" s="688"/>
      <c r="AE99" s="48">
        <f t="shared" si="20"/>
        <v>0</v>
      </c>
      <c r="AF99" s="48">
        <f t="shared" si="26"/>
        <v>2503.2800000000002</v>
      </c>
      <c r="AG99" s="48" t="str">
        <f t="shared" si="27"/>
        <v>5104-104</v>
      </c>
    </row>
    <row r="100" spans="1:33" ht="12.75">
      <c r="A100" s="102"/>
      <c r="B100" s="364"/>
      <c r="C100" s="365"/>
      <c r="D100" s="676" t="s">
        <v>109</v>
      </c>
      <c r="E100" s="677" t="s">
        <v>314</v>
      </c>
      <c r="F100" s="678" t="s">
        <v>441</v>
      </c>
      <c r="G100" s="676" t="s">
        <v>377</v>
      </c>
      <c r="H100" s="679" t="str">
        <f t="shared" si="14"/>
        <v>niet van toepassing</v>
      </c>
      <c r="I100" s="693" t="s">
        <v>442</v>
      </c>
      <c r="J100" s="680"/>
      <c r="K100" s="680">
        <v>2.2999999999999998</v>
      </c>
      <c r="L100" s="681" t="s">
        <v>225</v>
      </c>
      <c r="M100" s="677"/>
      <c r="N100" s="682"/>
      <c r="O100" s="682"/>
      <c r="P100" s="682">
        <f t="shared" si="21"/>
        <v>0</v>
      </c>
      <c r="Q100" s="683">
        <v>1</v>
      </c>
      <c r="R100" s="684">
        <v>1</v>
      </c>
      <c r="S100" s="685">
        <f t="shared" si="22"/>
        <v>0</v>
      </c>
      <c r="T100" s="685">
        <f t="shared" si="23"/>
        <v>0</v>
      </c>
      <c r="U100" s="685">
        <f t="shared" si="24"/>
        <v>0</v>
      </c>
      <c r="V100" s="685">
        <f t="shared" si="25"/>
        <v>0</v>
      </c>
      <c r="W100" s="686">
        <f t="shared" si="15"/>
        <v>0</v>
      </c>
      <c r="X100" s="686">
        <f t="shared" si="16"/>
        <v>0</v>
      </c>
      <c r="Y100" s="686">
        <f t="shared" si="17"/>
        <v>0</v>
      </c>
      <c r="Z100" s="686">
        <f t="shared" si="18"/>
        <v>0</v>
      </c>
      <c r="AA100" s="685">
        <f t="shared" si="19"/>
        <v>0</v>
      </c>
      <c r="AB100" s="687"/>
      <c r="AC100" s="688" t="e">
        <f>(S100+T100+U100)*'1.0-Contractblad'!$K$68</f>
        <v>#VALUE!</v>
      </c>
      <c r="AD100" s="688"/>
      <c r="AE100" s="48">
        <f t="shared" si="20"/>
        <v>0</v>
      </c>
      <c r="AF100" s="48">
        <f t="shared" si="26"/>
        <v>0</v>
      </c>
      <c r="AG100" s="48" t="str">
        <f t="shared" si="27"/>
        <v>nvt-0</v>
      </c>
    </row>
    <row r="101" spans="1:33" ht="12.75">
      <c r="A101" s="102"/>
      <c r="B101" s="364"/>
      <c r="C101" s="365"/>
      <c r="D101" s="676" t="s">
        <v>109</v>
      </c>
      <c r="E101" s="677" t="s">
        <v>314</v>
      </c>
      <c r="F101" s="678" t="s">
        <v>443</v>
      </c>
      <c r="G101" s="676" t="s">
        <v>318</v>
      </c>
      <c r="H101" s="679" t="str">
        <f t="shared" si="14"/>
        <v>entree, gang, hal, repro, kopieer</v>
      </c>
      <c r="I101" s="693" t="s">
        <v>240</v>
      </c>
      <c r="J101" s="680">
        <v>2.2999999999999998</v>
      </c>
      <c r="K101" s="680"/>
      <c r="L101" s="681">
        <v>3052</v>
      </c>
      <c r="M101" s="677"/>
      <c r="N101" s="682"/>
      <c r="O101" s="682"/>
      <c r="P101" s="682">
        <f t="shared" si="21"/>
        <v>52</v>
      </c>
      <c r="Q101" s="683">
        <v>1</v>
      </c>
      <c r="R101" s="684">
        <v>1</v>
      </c>
      <c r="S101" s="685">
        <f t="shared" si="22"/>
        <v>0</v>
      </c>
      <c r="T101" s="685">
        <f t="shared" si="23"/>
        <v>0</v>
      </c>
      <c r="U101" s="685">
        <f t="shared" si="24"/>
        <v>0</v>
      </c>
      <c r="V101" s="685">
        <f t="shared" si="25"/>
        <v>0</v>
      </c>
      <c r="W101" s="686">
        <f t="shared" si="15"/>
        <v>0</v>
      </c>
      <c r="X101" s="686">
        <f t="shared" si="16"/>
        <v>0</v>
      </c>
      <c r="Y101" s="686">
        <f t="shared" si="17"/>
        <v>0</v>
      </c>
      <c r="Z101" s="686">
        <f t="shared" si="18"/>
        <v>0</v>
      </c>
      <c r="AA101" s="685" t="str">
        <f t="shared" si="19"/>
        <v>V</v>
      </c>
      <c r="AB101" s="687" t="s">
        <v>444</v>
      </c>
      <c r="AC101" s="688" t="e">
        <f>(S101+T101+U101)*'1.0-Contractblad'!$K$68</f>
        <v>#VALUE!</v>
      </c>
      <c r="AD101" s="688"/>
      <c r="AE101" s="48">
        <f t="shared" si="20"/>
        <v>0</v>
      </c>
      <c r="AF101" s="48">
        <f t="shared" si="26"/>
        <v>119.6</v>
      </c>
      <c r="AG101" s="48" t="str">
        <f t="shared" si="27"/>
        <v>3052-52</v>
      </c>
    </row>
    <row r="102" spans="1:33" ht="12.75">
      <c r="A102" s="102"/>
      <c r="B102" s="364"/>
      <c r="C102" s="365"/>
      <c r="D102" s="676" t="s">
        <v>109</v>
      </c>
      <c r="E102" s="677" t="s">
        <v>314</v>
      </c>
      <c r="F102" s="678" t="s">
        <v>445</v>
      </c>
      <c r="G102" s="676" t="s">
        <v>382</v>
      </c>
      <c r="H102" s="679" t="str">
        <f t="shared" si="14"/>
        <v>entree, gang, hal, repro, kopieer</v>
      </c>
      <c r="I102" s="693" t="s">
        <v>234</v>
      </c>
      <c r="J102" s="680">
        <v>10</v>
      </c>
      <c r="K102" s="680"/>
      <c r="L102" s="681">
        <v>3052</v>
      </c>
      <c r="M102" s="677"/>
      <c r="N102" s="682"/>
      <c r="O102" s="682"/>
      <c r="P102" s="682">
        <f t="shared" si="21"/>
        <v>52</v>
      </c>
      <c r="Q102" s="683">
        <v>1</v>
      </c>
      <c r="R102" s="684">
        <v>1</v>
      </c>
      <c r="S102" s="685">
        <f t="shared" si="22"/>
        <v>0</v>
      </c>
      <c r="T102" s="685">
        <f t="shared" si="23"/>
        <v>0</v>
      </c>
      <c r="U102" s="685">
        <f t="shared" si="24"/>
        <v>0</v>
      </c>
      <c r="V102" s="685">
        <f t="shared" si="25"/>
        <v>0</v>
      </c>
      <c r="W102" s="686">
        <f t="shared" si="15"/>
        <v>0</v>
      </c>
      <c r="X102" s="686">
        <f t="shared" si="16"/>
        <v>0</v>
      </c>
      <c r="Y102" s="686">
        <f t="shared" si="17"/>
        <v>0</v>
      </c>
      <c r="Z102" s="686">
        <f t="shared" si="18"/>
        <v>0</v>
      </c>
      <c r="AA102" s="685" t="str">
        <f t="shared" si="19"/>
        <v>V</v>
      </c>
      <c r="AB102" s="687" t="s">
        <v>444</v>
      </c>
      <c r="AC102" s="688" t="e">
        <f>(S102+T102+U102)*'1.0-Contractblad'!$K$68</f>
        <v>#VALUE!</v>
      </c>
      <c r="AD102" s="688"/>
      <c r="AE102" s="48">
        <f t="shared" si="20"/>
        <v>0</v>
      </c>
      <c r="AF102" s="48">
        <f t="shared" si="26"/>
        <v>520</v>
      </c>
      <c r="AG102" s="48" t="str">
        <f t="shared" si="27"/>
        <v>3052-52</v>
      </c>
    </row>
    <row r="103" spans="1:33" ht="12.75">
      <c r="A103" s="102"/>
      <c r="B103" s="364"/>
      <c r="C103" s="365"/>
      <c r="D103" s="676" t="s">
        <v>109</v>
      </c>
      <c r="E103" s="677" t="s">
        <v>314</v>
      </c>
      <c r="F103" s="678" t="s">
        <v>446</v>
      </c>
      <c r="G103" s="676" t="s">
        <v>447</v>
      </c>
      <c r="H103" s="679" t="str">
        <f t="shared" si="14"/>
        <v>administratieve -, personeels- en vergaderruimte</v>
      </c>
      <c r="I103" s="693" t="s">
        <v>238</v>
      </c>
      <c r="J103" s="680">
        <v>59.95</v>
      </c>
      <c r="K103" s="680"/>
      <c r="L103" s="681">
        <v>1052</v>
      </c>
      <c r="M103" s="677"/>
      <c r="N103" s="682"/>
      <c r="O103" s="682"/>
      <c r="P103" s="682">
        <f t="shared" si="21"/>
        <v>52</v>
      </c>
      <c r="Q103" s="683">
        <v>1</v>
      </c>
      <c r="R103" s="684">
        <v>1</v>
      </c>
      <c r="S103" s="685">
        <f t="shared" si="22"/>
        <v>0</v>
      </c>
      <c r="T103" s="685">
        <f t="shared" si="23"/>
        <v>0</v>
      </c>
      <c r="U103" s="685">
        <f t="shared" si="24"/>
        <v>0</v>
      </c>
      <c r="V103" s="685">
        <f t="shared" si="25"/>
        <v>0</v>
      </c>
      <c r="W103" s="686">
        <f t="shared" si="15"/>
        <v>0</v>
      </c>
      <c r="X103" s="686">
        <f t="shared" si="16"/>
        <v>0</v>
      </c>
      <c r="Y103" s="686">
        <f t="shared" si="17"/>
        <v>0</v>
      </c>
      <c r="Z103" s="686">
        <f t="shared" si="18"/>
        <v>0</v>
      </c>
      <c r="AA103" s="685" t="str">
        <f t="shared" si="19"/>
        <v>B</v>
      </c>
      <c r="AB103" s="687" t="s">
        <v>444</v>
      </c>
      <c r="AC103" s="688" t="e">
        <f>(S103+T103+U103)*'1.0-Contractblad'!$K$68</f>
        <v>#VALUE!</v>
      </c>
      <c r="AD103" s="688"/>
      <c r="AE103" s="48">
        <f t="shared" si="20"/>
        <v>0</v>
      </c>
      <c r="AF103" s="48">
        <f t="shared" si="26"/>
        <v>3117.4</v>
      </c>
      <c r="AG103" s="48" t="str">
        <f t="shared" si="27"/>
        <v>1052-52</v>
      </c>
    </row>
    <row r="104" spans="1:33" ht="12.75">
      <c r="A104" s="102"/>
      <c r="B104" s="364"/>
      <c r="C104" s="365"/>
      <c r="D104" s="676" t="s">
        <v>109</v>
      </c>
      <c r="E104" s="677" t="s">
        <v>314</v>
      </c>
      <c r="F104" s="678" t="s">
        <v>448</v>
      </c>
      <c r="G104" s="676" t="s">
        <v>449</v>
      </c>
      <c r="H104" s="679" t="str">
        <f t="shared" ref="H104:H167" si="28">IF($L104="",0,VLOOKUP($L104,Kengetal,4,FALSE))</f>
        <v>entree, gang, hal, repro, kopieer</v>
      </c>
      <c r="I104" s="693" t="s">
        <v>234</v>
      </c>
      <c r="J104" s="680">
        <v>3.6</v>
      </c>
      <c r="K104" s="680"/>
      <c r="L104" s="681">
        <v>3052</v>
      </c>
      <c r="M104" s="677"/>
      <c r="N104" s="682"/>
      <c r="O104" s="682"/>
      <c r="P104" s="682">
        <f t="shared" si="21"/>
        <v>52</v>
      </c>
      <c r="Q104" s="683">
        <v>1</v>
      </c>
      <c r="R104" s="684">
        <v>1</v>
      </c>
      <c r="S104" s="685">
        <f t="shared" si="22"/>
        <v>0</v>
      </c>
      <c r="T104" s="685">
        <f t="shared" si="23"/>
        <v>0</v>
      </c>
      <c r="U104" s="685">
        <f t="shared" si="24"/>
        <v>0</v>
      </c>
      <c r="V104" s="685">
        <f t="shared" si="25"/>
        <v>0</v>
      </c>
      <c r="W104" s="686">
        <f t="shared" ref="W104:W167" si="29">IF($L104=0,0,VLOOKUP($L104,Kengetal,6,FALSE))</f>
        <v>0</v>
      </c>
      <c r="X104" s="686">
        <f t="shared" ref="X104:X167" si="30">IF($L104=0,0,VLOOKUP($L104,Kengetal,8,FALSE))</f>
        <v>0</v>
      </c>
      <c r="Y104" s="686">
        <f t="shared" ref="Y104:Y167" si="31">IF($M104=0,0,VLOOKUP($M104,Kengetal,6,FALSE))</f>
        <v>0</v>
      </c>
      <c r="Z104" s="686">
        <f t="shared" ref="Z104:Z167" si="32">IF($N104=0,0,VLOOKUP($N104,Kengetal,6,FALSE))</f>
        <v>0</v>
      </c>
      <c r="AA104" s="685" t="str">
        <f t="shared" ref="AA104:AA167" si="33">IF(L104="","",VLOOKUP(L104,Kengetal,15,FALSE))</f>
        <v>V</v>
      </c>
      <c r="AB104" s="687" t="s">
        <v>444</v>
      </c>
      <c r="AC104" s="688" t="e">
        <f>(S104+T104+U104)*'1.0-Contractblad'!$K$68</f>
        <v>#VALUE!</v>
      </c>
      <c r="AD104" s="688"/>
      <c r="AE104" s="48">
        <f t="shared" ref="AE104:AE167" si="34">IF(L104=8255,S104+T104,0)</f>
        <v>0</v>
      </c>
      <c r="AF104" s="48">
        <f t="shared" si="26"/>
        <v>187.20000000000002</v>
      </c>
      <c r="AG104" s="48" t="str">
        <f t="shared" si="27"/>
        <v>3052-52</v>
      </c>
    </row>
    <row r="105" spans="1:33" ht="12.75">
      <c r="A105" s="102"/>
      <c r="B105" s="364"/>
      <c r="C105" s="365"/>
      <c r="D105" s="676" t="s">
        <v>109</v>
      </c>
      <c r="E105" s="677" t="s">
        <v>314</v>
      </c>
      <c r="F105" s="678" t="s">
        <v>450</v>
      </c>
      <c r="G105" s="676" t="s">
        <v>405</v>
      </c>
      <c r="H105" s="679" t="str">
        <f t="shared" si="28"/>
        <v>sanitaire ruimte (toilet-/doucheruimte)</v>
      </c>
      <c r="I105" s="693" t="s">
        <v>234</v>
      </c>
      <c r="J105" s="680">
        <v>1.23</v>
      </c>
      <c r="K105" s="680"/>
      <c r="L105" s="681">
        <v>4052</v>
      </c>
      <c r="M105" s="677"/>
      <c r="N105" s="682"/>
      <c r="O105" s="682"/>
      <c r="P105" s="682">
        <f t="shared" ref="P105:P168" si="35">VLOOKUP(L105,Kengetal,3,FALSE)+VLOOKUP(M105,Kengetal,3,FALSE)+VLOOKUP(N105,Kengetal,3,FALSE)</f>
        <v>52</v>
      </c>
      <c r="Q105" s="683">
        <v>1</v>
      </c>
      <c r="R105" s="684">
        <v>1</v>
      </c>
      <c r="S105" s="685">
        <f t="shared" ref="S105:S168" si="36">W105*J105*Q105</f>
        <v>0</v>
      </c>
      <c r="T105" s="685">
        <f t="shared" ref="T105:T168" si="37">X105*J105*R105</f>
        <v>0</v>
      </c>
      <c r="U105" s="685">
        <f t="shared" ref="U105:U168" si="38">Y105*J105*Q105</f>
        <v>0</v>
      </c>
      <c r="V105" s="685">
        <f t="shared" ref="V105:V168" si="39">Z105*J105*T105</f>
        <v>0</v>
      </c>
      <c r="W105" s="686">
        <f t="shared" si="29"/>
        <v>0</v>
      </c>
      <c r="X105" s="686">
        <f t="shared" si="30"/>
        <v>0</v>
      </c>
      <c r="Y105" s="686">
        <f t="shared" si="31"/>
        <v>0</v>
      </c>
      <c r="Z105" s="686">
        <f t="shared" si="32"/>
        <v>0</v>
      </c>
      <c r="AA105" s="685" t="str">
        <f t="shared" si="33"/>
        <v>S</v>
      </c>
      <c r="AB105" s="687" t="s">
        <v>444</v>
      </c>
      <c r="AC105" s="688" t="e">
        <f>(S105+T105+U105)*'1.0-Contractblad'!$K$68</f>
        <v>#VALUE!</v>
      </c>
      <c r="AD105" s="688"/>
      <c r="AE105" s="48">
        <f t="shared" si="34"/>
        <v>0</v>
      </c>
      <c r="AF105" s="48">
        <f t="shared" ref="AF105:AF168" si="40">J105*P105</f>
        <v>63.96</v>
      </c>
      <c r="AG105" s="48" t="str">
        <f t="shared" ref="AG105:AG168" si="41">CONCATENATE(L105,"-",P105)</f>
        <v>4052-52</v>
      </c>
    </row>
    <row r="106" spans="1:33" ht="12.75">
      <c r="A106" s="102"/>
      <c r="B106" s="364"/>
      <c r="C106" s="365"/>
      <c r="D106" s="676" t="s">
        <v>109</v>
      </c>
      <c r="E106" s="677" t="s">
        <v>314</v>
      </c>
      <c r="F106" s="678" t="s">
        <v>451</v>
      </c>
      <c r="G106" s="676" t="s">
        <v>452</v>
      </c>
      <c r="H106" s="679" t="str">
        <f t="shared" si="28"/>
        <v>niet van toepassing</v>
      </c>
      <c r="I106" s="693" t="s">
        <v>240</v>
      </c>
      <c r="J106" s="680"/>
      <c r="K106" s="680">
        <v>3.54</v>
      </c>
      <c r="L106" s="681" t="s">
        <v>225</v>
      </c>
      <c r="M106" s="677"/>
      <c r="N106" s="682"/>
      <c r="O106" s="682"/>
      <c r="P106" s="682">
        <f t="shared" si="35"/>
        <v>0</v>
      </c>
      <c r="Q106" s="683">
        <v>1</v>
      </c>
      <c r="R106" s="684">
        <v>1</v>
      </c>
      <c r="S106" s="685">
        <f t="shared" si="36"/>
        <v>0</v>
      </c>
      <c r="T106" s="685">
        <f t="shared" si="37"/>
        <v>0</v>
      </c>
      <c r="U106" s="685">
        <f t="shared" si="38"/>
        <v>0</v>
      </c>
      <c r="V106" s="685">
        <f t="shared" si="39"/>
        <v>0</v>
      </c>
      <c r="W106" s="686">
        <f t="shared" si="29"/>
        <v>0</v>
      </c>
      <c r="X106" s="686">
        <f t="shared" si="30"/>
        <v>0</v>
      </c>
      <c r="Y106" s="686">
        <f t="shared" si="31"/>
        <v>0</v>
      </c>
      <c r="Z106" s="686">
        <f t="shared" si="32"/>
        <v>0</v>
      </c>
      <c r="AA106" s="685">
        <f t="shared" si="33"/>
        <v>0</v>
      </c>
      <c r="AB106" s="687"/>
      <c r="AC106" s="688" t="e">
        <f>(S106+T106+U106)*'1.0-Contractblad'!$K$68</f>
        <v>#VALUE!</v>
      </c>
      <c r="AD106" s="688"/>
      <c r="AE106" s="48">
        <f t="shared" si="34"/>
        <v>0</v>
      </c>
      <c r="AF106" s="48">
        <f t="shared" si="40"/>
        <v>0</v>
      </c>
      <c r="AG106" s="48" t="str">
        <f t="shared" si="41"/>
        <v>nvt-0</v>
      </c>
    </row>
    <row r="107" spans="1:33" ht="12.75">
      <c r="A107" s="102"/>
      <c r="B107" s="364"/>
      <c r="C107" s="365"/>
      <c r="D107" s="676" t="s">
        <v>109</v>
      </c>
      <c r="E107" s="677" t="s">
        <v>314</v>
      </c>
      <c r="F107" s="678" t="s">
        <v>453</v>
      </c>
      <c r="G107" s="676" t="s">
        <v>454</v>
      </c>
      <c r="H107" s="679" t="str">
        <f t="shared" si="28"/>
        <v>entree, gang, hal, repro, kopieer</v>
      </c>
      <c r="I107" s="693" t="s">
        <v>455</v>
      </c>
      <c r="J107" s="680">
        <v>1.25</v>
      </c>
      <c r="K107" s="680"/>
      <c r="L107" s="681">
        <v>3052</v>
      </c>
      <c r="M107" s="677"/>
      <c r="N107" s="682"/>
      <c r="O107" s="682"/>
      <c r="P107" s="682">
        <f t="shared" si="35"/>
        <v>52</v>
      </c>
      <c r="Q107" s="683">
        <v>1</v>
      </c>
      <c r="R107" s="684">
        <v>1</v>
      </c>
      <c r="S107" s="685">
        <f t="shared" si="36"/>
        <v>0</v>
      </c>
      <c r="T107" s="685">
        <f t="shared" si="37"/>
        <v>0</v>
      </c>
      <c r="U107" s="685">
        <f t="shared" si="38"/>
        <v>0</v>
      </c>
      <c r="V107" s="685">
        <f t="shared" si="39"/>
        <v>0</v>
      </c>
      <c r="W107" s="686">
        <f t="shared" si="29"/>
        <v>0</v>
      </c>
      <c r="X107" s="686">
        <f t="shared" si="30"/>
        <v>0</v>
      </c>
      <c r="Y107" s="686">
        <f t="shared" si="31"/>
        <v>0</v>
      </c>
      <c r="Z107" s="686">
        <f t="shared" si="32"/>
        <v>0</v>
      </c>
      <c r="AA107" s="685" t="str">
        <f t="shared" si="33"/>
        <v>V</v>
      </c>
      <c r="AB107" s="687" t="s">
        <v>444</v>
      </c>
      <c r="AC107" s="688" t="e">
        <f>(S107+T107+U107)*'1.0-Contractblad'!$K$68</f>
        <v>#VALUE!</v>
      </c>
      <c r="AD107" s="688"/>
      <c r="AE107" s="48">
        <f t="shared" si="34"/>
        <v>0</v>
      </c>
      <c r="AF107" s="48">
        <f t="shared" si="40"/>
        <v>65</v>
      </c>
      <c r="AG107" s="48" t="str">
        <f t="shared" si="41"/>
        <v>3052-52</v>
      </c>
    </row>
    <row r="108" spans="1:33" ht="12.75">
      <c r="A108" s="102"/>
      <c r="B108" s="364"/>
      <c r="C108" s="365"/>
      <c r="D108" s="676" t="s">
        <v>109</v>
      </c>
      <c r="E108" s="677" t="s">
        <v>314</v>
      </c>
      <c r="F108" s="678" t="s">
        <v>456</v>
      </c>
      <c r="G108" s="676" t="s">
        <v>392</v>
      </c>
      <c r="H108" s="679" t="str">
        <f t="shared" si="28"/>
        <v>niet van toepassing</v>
      </c>
      <c r="I108" s="693" t="s">
        <v>234</v>
      </c>
      <c r="J108" s="680"/>
      <c r="K108" s="680">
        <v>37.97</v>
      </c>
      <c r="L108" s="681" t="s">
        <v>225</v>
      </c>
      <c r="M108" s="677"/>
      <c r="N108" s="682"/>
      <c r="O108" s="682"/>
      <c r="P108" s="682">
        <f t="shared" si="35"/>
        <v>0</v>
      </c>
      <c r="Q108" s="683">
        <v>1</v>
      </c>
      <c r="R108" s="684">
        <v>1</v>
      </c>
      <c r="S108" s="685">
        <f t="shared" si="36"/>
        <v>0</v>
      </c>
      <c r="T108" s="685">
        <f t="shared" si="37"/>
        <v>0</v>
      </c>
      <c r="U108" s="685">
        <f t="shared" si="38"/>
        <v>0</v>
      </c>
      <c r="V108" s="685">
        <f t="shared" si="39"/>
        <v>0</v>
      </c>
      <c r="W108" s="686">
        <f t="shared" si="29"/>
        <v>0</v>
      </c>
      <c r="X108" s="686">
        <f t="shared" si="30"/>
        <v>0</v>
      </c>
      <c r="Y108" s="686">
        <f t="shared" si="31"/>
        <v>0</v>
      </c>
      <c r="Z108" s="686">
        <f t="shared" si="32"/>
        <v>0</v>
      </c>
      <c r="AA108" s="685">
        <f t="shared" si="33"/>
        <v>0</v>
      </c>
      <c r="AB108" s="687"/>
      <c r="AC108" s="688" t="e">
        <f>(S108+T108+U108)*'1.0-Contractblad'!$K$68</f>
        <v>#VALUE!</v>
      </c>
      <c r="AD108" s="688"/>
      <c r="AE108" s="48">
        <f t="shared" si="34"/>
        <v>0</v>
      </c>
      <c r="AF108" s="48">
        <f t="shared" si="40"/>
        <v>0</v>
      </c>
      <c r="AG108" s="48" t="str">
        <f t="shared" si="41"/>
        <v>nvt-0</v>
      </c>
    </row>
    <row r="109" spans="1:33" ht="12.75">
      <c r="A109" s="102"/>
      <c r="B109" s="364"/>
      <c r="C109" s="365"/>
      <c r="D109" s="676" t="s">
        <v>109</v>
      </c>
      <c r="E109" s="677" t="s">
        <v>314</v>
      </c>
      <c r="F109" s="678" t="s">
        <v>457</v>
      </c>
      <c r="G109" s="676" t="s">
        <v>458</v>
      </c>
      <c r="H109" s="679" t="str">
        <f t="shared" si="28"/>
        <v>trappenhuis</v>
      </c>
      <c r="I109" s="693" t="s">
        <v>459</v>
      </c>
      <c r="J109" s="680">
        <v>5</v>
      </c>
      <c r="K109" s="680"/>
      <c r="L109" s="681">
        <v>9052</v>
      </c>
      <c r="M109" s="677"/>
      <c r="N109" s="682"/>
      <c r="O109" s="682"/>
      <c r="P109" s="682">
        <f t="shared" si="35"/>
        <v>52</v>
      </c>
      <c r="Q109" s="683">
        <v>1</v>
      </c>
      <c r="R109" s="684">
        <v>1</v>
      </c>
      <c r="S109" s="685">
        <f t="shared" si="36"/>
        <v>0</v>
      </c>
      <c r="T109" s="685">
        <f t="shared" si="37"/>
        <v>0</v>
      </c>
      <c r="U109" s="685">
        <f t="shared" si="38"/>
        <v>0</v>
      </c>
      <c r="V109" s="685">
        <f t="shared" si="39"/>
        <v>0</v>
      </c>
      <c r="W109" s="686">
        <f t="shared" si="29"/>
        <v>0</v>
      </c>
      <c r="X109" s="686">
        <f t="shared" si="30"/>
        <v>0</v>
      </c>
      <c r="Y109" s="686">
        <f t="shared" si="31"/>
        <v>0</v>
      </c>
      <c r="Z109" s="686">
        <f t="shared" si="32"/>
        <v>0</v>
      </c>
      <c r="AA109" s="685" t="str">
        <f t="shared" si="33"/>
        <v>V</v>
      </c>
      <c r="AB109" s="687" t="s">
        <v>444</v>
      </c>
      <c r="AC109" s="688" t="e">
        <f>(S109+T109+U109)*'1.0-Contractblad'!$K$68</f>
        <v>#VALUE!</v>
      </c>
      <c r="AD109" s="688"/>
      <c r="AE109" s="48">
        <f t="shared" si="34"/>
        <v>0</v>
      </c>
      <c r="AF109" s="48">
        <f t="shared" si="40"/>
        <v>260</v>
      </c>
      <c r="AG109" s="48" t="str">
        <f t="shared" si="41"/>
        <v>9052-52</v>
      </c>
    </row>
    <row r="110" spans="1:33" ht="12.75">
      <c r="A110" s="102"/>
      <c r="B110" s="364"/>
      <c r="C110" s="365"/>
      <c r="D110" s="676" t="s">
        <v>109</v>
      </c>
      <c r="E110" s="677" t="s">
        <v>314</v>
      </c>
      <c r="F110" s="678" t="s">
        <v>460</v>
      </c>
      <c r="G110" s="676" t="s">
        <v>461</v>
      </c>
      <c r="H110" s="679" t="str">
        <f t="shared" si="28"/>
        <v>niet van toepassing</v>
      </c>
      <c r="I110" s="693" t="s">
        <v>431</v>
      </c>
      <c r="J110" s="680"/>
      <c r="K110" s="680">
        <v>26.58</v>
      </c>
      <c r="L110" s="681" t="s">
        <v>225</v>
      </c>
      <c r="M110" s="677"/>
      <c r="N110" s="682"/>
      <c r="O110" s="682"/>
      <c r="P110" s="682">
        <f t="shared" si="35"/>
        <v>0</v>
      </c>
      <c r="Q110" s="683">
        <v>1</v>
      </c>
      <c r="R110" s="684">
        <v>1</v>
      </c>
      <c r="S110" s="685">
        <f t="shared" si="36"/>
        <v>0</v>
      </c>
      <c r="T110" s="685">
        <f t="shared" si="37"/>
        <v>0</v>
      </c>
      <c r="U110" s="685">
        <f t="shared" si="38"/>
        <v>0</v>
      </c>
      <c r="V110" s="685">
        <f t="shared" si="39"/>
        <v>0</v>
      </c>
      <c r="W110" s="686">
        <f t="shared" si="29"/>
        <v>0</v>
      </c>
      <c r="X110" s="686">
        <f t="shared" si="30"/>
        <v>0</v>
      </c>
      <c r="Y110" s="686">
        <f t="shared" si="31"/>
        <v>0</v>
      </c>
      <c r="Z110" s="686">
        <f t="shared" si="32"/>
        <v>0</v>
      </c>
      <c r="AA110" s="685">
        <f t="shared" si="33"/>
        <v>0</v>
      </c>
      <c r="AB110" s="687"/>
      <c r="AC110" s="688" t="e">
        <f>(S110+T110+U110)*'1.0-Contractblad'!$K$68</f>
        <v>#VALUE!</v>
      </c>
      <c r="AD110" s="688"/>
      <c r="AE110" s="48">
        <f t="shared" si="34"/>
        <v>0</v>
      </c>
      <c r="AF110" s="48">
        <f t="shared" si="40"/>
        <v>0</v>
      </c>
      <c r="AG110" s="48" t="str">
        <f t="shared" si="41"/>
        <v>nvt-0</v>
      </c>
    </row>
    <row r="111" spans="1:33" ht="12.75">
      <c r="A111" s="102"/>
      <c r="B111" s="364"/>
      <c r="C111" s="365"/>
      <c r="D111" s="676" t="s">
        <v>109</v>
      </c>
      <c r="E111" s="677" t="s">
        <v>314</v>
      </c>
      <c r="F111" s="678" t="s">
        <v>462</v>
      </c>
      <c r="G111" s="676" t="s">
        <v>383</v>
      </c>
      <c r="H111" s="679" t="str">
        <f t="shared" si="28"/>
        <v>labruimte</v>
      </c>
      <c r="I111" s="693" t="s">
        <v>234</v>
      </c>
      <c r="J111" s="680">
        <v>4.91</v>
      </c>
      <c r="K111" s="680"/>
      <c r="L111" s="681">
        <v>8052</v>
      </c>
      <c r="M111" s="677"/>
      <c r="N111" s="682"/>
      <c r="O111" s="682"/>
      <c r="P111" s="682">
        <f t="shared" si="35"/>
        <v>52</v>
      </c>
      <c r="Q111" s="683">
        <v>1</v>
      </c>
      <c r="R111" s="684">
        <v>1</v>
      </c>
      <c r="S111" s="685">
        <f t="shared" si="36"/>
        <v>0</v>
      </c>
      <c r="T111" s="685">
        <f t="shared" si="37"/>
        <v>0</v>
      </c>
      <c r="U111" s="685">
        <f t="shared" si="38"/>
        <v>0</v>
      </c>
      <c r="V111" s="685">
        <f t="shared" si="39"/>
        <v>0</v>
      </c>
      <c r="W111" s="686">
        <f t="shared" si="29"/>
        <v>0</v>
      </c>
      <c r="X111" s="686">
        <f t="shared" si="30"/>
        <v>0</v>
      </c>
      <c r="Y111" s="686">
        <f t="shared" si="31"/>
        <v>0</v>
      </c>
      <c r="Z111" s="686">
        <f t="shared" si="32"/>
        <v>0</v>
      </c>
      <c r="AA111" s="685" t="str">
        <f t="shared" si="33"/>
        <v>V</v>
      </c>
      <c r="AB111" s="687" t="s">
        <v>444</v>
      </c>
      <c r="AC111" s="688" t="e">
        <f>(S111+T111+U111)*'1.0-Contractblad'!$K$68</f>
        <v>#VALUE!</v>
      </c>
      <c r="AD111" s="688"/>
      <c r="AE111" s="48">
        <f t="shared" si="34"/>
        <v>0</v>
      </c>
      <c r="AF111" s="48">
        <f t="shared" si="40"/>
        <v>255.32</v>
      </c>
      <c r="AG111" s="48" t="str">
        <f t="shared" si="41"/>
        <v>8052-52</v>
      </c>
    </row>
    <row r="112" spans="1:33" ht="12.75">
      <c r="A112" s="102"/>
      <c r="B112" s="364"/>
      <c r="C112" s="365"/>
      <c r="D112" s="676" t="s">
        <v>109</v>
      </c>
      <c r="E112" s="677" t="s">
        <v>314</v>
      </c>
      <c r="F112" s="678" t="s">
        <v>463</v>
      </c>
      <c r="G112" s="676" t="s">
        <v>464</v>
      </c>
      <c r="H112" s="679" t="str">
        <f t="shared" si="28"/>
        <v>sanitaire ruimte (toilet-/doucheruimte)</v>
      </c>
      <c r="I112" s="693" t="s">
        <v>234</v>
      </c>
      <c r="J112" s="680">
        <v>8.67</v>
      </c>
      <c r="K112" s="680"/>
      <c r="L112" s="681">
        <v>4052</v>
      </c>
      <c r="M112" s="677"/>
      <c r="N112" s="682"/>
      <c r="O112" s="682"/>
      <c r="P112" s="682">
        <f t="shared" si="35"/>
        <v>52</v>
      </c>
      <c r="Q112" s="683">
        <v>1</v>
      </c>
      <c r="R112" s="684">
        <v>1</v>
      </c>
      <c r="S112" s="685">
        <f t="shared" si="36"/>
        <v>0</v>
      </c>
      <c r="T112" s="685">
        <f t="shared" si="37"/>
        <v>0</v>
      </c>
      <c r="U112" s="685">
        <f t="shared" si="38"/>
        <v>0</v>
      </c>
      <c r="V112" s="685">
        <f t="shared" si="39"/>
        <v>0</v>
      </c>
      <c r="W112" s="686">
        <f t="shared" si="29"/>
        <v>0</v>
      </c>
      <c r="X112" s="686">
        <f t="shared" si="30"/>
        <v>0</v>
      </c>
      <c r="Y112" s="686">
        <f t="shared" si="31"/>
        <v>0</v>
      </c>
      <c r="Z112" s="686">
        <f t="shared" si="32"/>
        <v>0</v>
      </c>
      <c r="AA112" s="685" t="str">
        <f t="shared" si="33"/>
        <v>S</v>
      </c>
      <c r="AB112" s="687" t="s">
        <v>444</v>
      </c>
      <c r="AC112" s="688" t="e">
        <f>(S112+T112+U112)*'1.0-Contractblad'!$K$68</f>
        <v>#VALUE!</v>
      </c>
      <c r="AD112" s="688"/>
      <c r="AE112" s="48">
        <f t="shared" si="34"/>
        <v>0</v>
      </c>
      <c r="AF112" s="48">
        <f t="shared" si="40"/>
        <v>450.84</v>
      </c>
      <c r="AG112" s="48" t="str">
        <f t="shared" si="41"/>
        <v>4052-52</v>
      </c>
    </row>
    <row r="113" spans="1:33" ht="12.75">
      <c r="A113" s="102"/>
      <c r="B113" s="364"/>
      <c r="C113" s="365"/>
      <c r="D113" s="676" t="s">
        <v>109</v>
      </c>
      <c r="E113" s="677" t="s">
        <v>314</v>
      </c>
      <c r="F113" s="678" t="s">
        <v>465</v>
      </c>
      <c r="G113" s="676" t="s">
        <v>424</v>
      </c>
      <c r="H113" s="679" t="str">
        <f t="shared" si="28"/>
        <v>entree, gang, hal, repro, kopieer</v>
      </c>
      <c r="I113" s="693" t="s">
        <v>238</v>
      </c>
      <c r="J113" s="680">
        <v>38.43</v>
      </c>
      <c r="K113" s="680"/>
      <c r="L113" s="681">
        <v>3052</v>
      </c>
      <c r="M113" s="677"/>
      <c r="N113" s="682"/>
      <c r="O113" s="682"/>
      <c r="P113" s="682">
        <f t="shared" si="35"/>
        <v>52</v>
      </c>
      <c r="Q113" s="683">
        <v>1</v>
      </c>
      <c r="R113" s="684">
        <v>1</v>
      </c>
      <c r="S113" s="685">
        <f t="shared" si="36"/>
        <v>0</v>
      </c>
      <c r="T113" s="685">
        <f t="shared" si="37"/>
        <v>0</v>
      </c>
      <c r="U113" s="685">
        <f t="shared" si="38"/>
        <v>0</v>
      </c>
      <c r="V113" s="685">
        <f t="shared" si="39"/>
        <v>0</v>
      </c>
      <c r="W113" s="686">
        <f t="shared" si="29"/>
        <v>0</v>
      </c>
      <c r="X113" s="686">
        <f t="shared" si="30"/>
        <v>0</v>
      </c>
      <c r="Y113" s="686">
        <f t="shared" si="31"/>
        <v>0</v>
      </c>
      <c r="Z113" s="686">
        <f t="shared" si="32"/>
        <v>0</v>
      </c>
      <c r="AA113" s="685" t="str">
        <f t="shared" si="33"/>
        <v>V</v>
      </c>
      <c r="AB113" s="687" t="s">
        <v>444</v>
      </c>
      <c r="AC113" s="688" t="e">
        <f>(S113+T113+U113)*'1.0-Contractblad'!$K$68</f>
        <v>#VALUE!</v>
      </c>
      <c r="AD113" s="688"/>
      <c r="AE113" s="48">
        <f t="shared" si="34"/>
        <v>0</v>
      </c>
      <c r="AF113" s="48">
        <f t="shared" si="40"/>
        <v>1998.36</v>
      </c>
      <c r="AG113" s="48" t="str">
        <f t="shared" si="41"/>
        <v>3052-52</v>
      </c>
    </row>
    <row r="114" spans="1:33" ht="12.75">
      <c r="A114" s="102"/>
      <c r="B114" s="364"/>
      <c r="C114" s="365"/>
      <c r="D114" s="676" t="s">
        <v>112</v>
      </c>
      <c r="E114" s="677" t="s">
        <v>314</v>
      </c>
      <c r="F114" s="678" t="s">
        <v>466</v>
      </c>
      <c r="G114" s="679" t="s">
        <v>318</v>
      </c>
      <c r="H114" s="679" t="str">
        <f t="shared" si="28"/>
        <v>entree, gang, hal, repro, kopieer</v>
      </c>
      <c r="I114" s="689" t="s">
        <v>242</v>
      </c>
      <c r="J114" s="680">
        <v>13.1</v>
      </c>
      <c r="K114" s="680"/>
      <c r="L114" s="692">
        <v>3255</v>
      </c>
      <c r="M114" s="677"/>
      <c r="N114" s="682"/>
      <c r="O114" s="682"/>
      <c r="P114" s="682">
        <f t="shared" si="35"/>
        <v>255</v>
      </c>
      <c r="Q114" s="683">
        <v>0.78</v>
      </c>
      <c r="R114" s="684">
        <v>1</v>
      </c>
      <c r="S114" s="685">
        <f t="shared" si="36"/>
        <v>0</v>
      </c>
      <c r="T114" s="685">
        <f t="shared" si="37"/>
        <v>0</v>
      </c>
      <c r="U114" s="685">
        <f t="shared" si="38"/>
        <v>0</v>
      </c>
      <c r="V114" s="685">
        <f t="shared" si="39"/>
        <v>0</v>
      </c>
      <c r="W114" s="686">
        <f t="shared" si="29"/>
        <v>0</v>
      </c>
      <c r="X114" s="686">
        <f t="shared" si="30"/>
        <v>0</v>
      </c>
      <c r="Y114" s="686">
        <f t="shared" si="31"/>
        <v>0</v>
      </c>
      <c r="Z114" s="686">
        <f t="shared" si="32"/>
        <v>0</v>
      </c>
      <c r="AA114" s="685" t="str">
        <f t="shared" si="33"/>
        <v>V</v>
      </c>
      <c r="AB114" s="687"/>
      <c r="AC114" s="688" t="e">
        <f>(S114+T114+U114)*'1.0-Contractblad'!$K$68</f>
        <v>#VALUE!</v>
      </c>
      <c r="AD114" s="688"/>
      <c r="AE114" s="48">
        <f t="shared" si="34"/>
        <v>0</v>
      </c>
      <c r="AF114" s="48">
        <f t="shared" si="40"/>
        <v>3340.5</v>
      </c>
      <c r="AG114" s="48" t="str">
        <f t="shared" si="41"/>
        <v>3255-255</v>
      </c>
    </row>
    <row r="115" spans="1:33" ht="12.75">
      <c r="A115" s="102"/>
      <c r="B115" s="364"/>
      <c r="C115" s="365"/>
      <c r="D115" s="676" t="s">
        <v>112</v>
      </c>
      <c r="E115" s="677" t="s">
        <v>314</v>
      </c>
      <c r="F115" s="678" t="s">
        <v>467</v>
      </c>
      <c r="G115" s="679" t="s">
        <v>468</v>
      </c>
      <c r="H115" s="679" t="str">
        <f t="shared" si="28"/>
        <v>entree, gang, hal, repro, kopieer</v>
      </c>
      <c r="I115" s="689" t="s">
        <v>469</v>
      </c>
      <c r="J115" s="680">
        <v>47.1</v>
      </c>
      <c r="K115" s="680"/>
      <c r="L115" s="692">
        <v>3255</v>
      </c>
      <c r="M115" s="677"/>
      <c r="N115" s="682"/>
      <c r="O115" s="682"/>
      <c r="P115" s="682">
        <f t="shared" si="35"/>
        <v>255</v>
      </c>
      <c r="Q115" s="683">
        <v>0.78</v>
      </c>
      <c r="R115" s="684">
        <v>1</v>
      </c>
      <c r="S115" s="685">
        <f t="shared" si="36"/>
        <v>0</v>
      </c>
      <c r="T115" s="685">
        <f t="shared" si="37"/>
        <v>0</v>
      </c>
      <c r="U115" s="685">
        <f t="shared" si="38"/>
        <v>0</v>
      </c>
      <c r="V115" s="685">
        <f t="shared" si="39"/>
        <v>0</v>
      </c>
      <c r="W115" s="686">
        <f t="shared" si="29"/>
        <v>0</v>
      </c>
      <c r="X115" s="686">
        <f t="shared" si="30"/>
        <v>0</v>
      </c>
      <c r="Y115" s="686">
        <f t="shared" si="31"/>
        <v>0</v>
      </c>
      <c r="Z115" s="686">
        <f t="shared" si="32"/>
        <v>0</v>
      </c>
      <c r="AA115" s="685" t="str">
        <f t="shared" si="33"/>
        <v>V</v>
      </c>
      <c r="AB115" s="687"/>
      <c r="AC115" s="688" t="e">
        <f>(S115+T115+U115)*'1.0-Contractblad'!$K$68</f>
        <v>#VALUE!</v>
      </c>
      <c r="AD115" s="688"/>
      <c r="AE115" s="48">
        <f t="shared" si="34"/>
        <v>0</v>
      </c>
      <c r="AF115" s="48">
        <f t="shared" si="40"/>
        <v>12010.5</v>
      </c>
      <c r="AG115" s="48" t="str">
        <f t="shared" si="41"/>
        <v>3255-255</v>
      </c>
    </row>
    <row r="116" spans="1:33" ht="12.75">
      <c r="A116" s="102"/>
      <c r="B116" s="364"/>
      <c r="C116" s="365"/>
      <c r="D116" s="676" t="s">
        <v>112</v>
      </c>
      <c r="E116" s="677" t="s">
        <v>314</v>
      </c>
      <c r="F116" s="678" t="s">
        <v>320</v>
      </c>
      <c r="G116" s="679" t="s">
        <v>470</v>
      </c>
      <c r="H116" s="679" t="str">
        <f t="shared" si="28"/>
        <v>administratieve -, personeels- en vergaderruimte</v>
      </c>
      <c r="I116" s="689" t="s">
        <v>322</v>
      </c>
      <c r="J116" s="680">
        <v>82.9</v>
      </c>
      <c r="K116" s="680"/>
      <c r="L116" s="692">
        <v>1255</v>
      </c>
      <c r="M116" s="677"/>
      <c r="N116" s="682"/>
      <c r="O116" s="682"/>
      <c r="P116" s="682">
        <f t="shared" si="35"/>
        <v>255</v>
      </c>
      <c r="Q116" s="683">
        <v>0.78</v>
      </c>
      <c r="R116" s="684">
        <v>1</v>
      </c>
      <c r="S116" s="685">
        <f t="shared" si="36"/>
        <v>0</v>
      </c>
      <c r="T116" s="685">
        <f t="shared" si="37"/>
        <v>0</v>
      </c>
      <c r="U116" s="685">
        <f t="shared" si="38"/>
        <v>0</v>
      </c>
      <c r="V116" s="685">
        <f t="shared" si="39"/>
        <v>0</v>
      </c>
      <c r="W116" s="686">
        <f t="shared" si="29"/>
        <v>0</v>
      </c>
      <c r="X116" s="686">
        <f t="shared" si="30"/>
        <v>0</v>
      </c>
      <c r="Y116" s="686">
        <f t="shared" si="31"/>
        <v>0</v>
      </c>
      <c r="Z116" s="686">
        <f t="shared" si="32"/>
        <v>0</v>
      </c>
      <c r="AA116" s="685" t="str">
        <f t="shared" si="33"/>
        <v>B</v>
      </c>
      <c r="AB116" s="687"/>
      <c r="AC116" s="688" t="e">
        <f>(S116+T116+U116)*'1.0-Contractblad'!$K$68</f>
        <v>#VALUE!</v>
      </c>
      <c r="AD116" s="688"/>
      <c r="AE116" s="48">
        <f t="shared" si="34"/>
        <v>0</v>
      </c>
      <c r="AF116" s="48">
        <f t="shared" si="40"/>
        <v>21139.5</v>
      </c>
      <c r="AG116" s="48" t="str">
        <f t="shared" si="41"/>
        <v>1255-255</v>
      </c>
    </row>
    <row r="117" spans="1:33" ht="12.75">
      <c r="A117" s="102"/>
      <c r="B117" s="364"/>
      <c r="C117" s="365"/>
      <c r="D117" s="676" t="s">
        <v>112</v>
      </c>
      <c r="E117" s="677" t="s">
        <v>314</v>
      </c>
      <c r="F117" s="678" t="s">
        <v>323</v>
      </c>
      <c r="G117" s="679" t="s">
        <v>471</v>
      </c>
      <c r="H117" s="679" t="str">
        <f t="shared" si="28"/>
        <v>administratieve -, personeels- en vergaderruimte</v>
      </c>
      <c r="I117" s="689" t="s">
        <v>322</v>
      </c>
      <c r="J117" s="680">
        <v>6.16</v>
      </c>
      <c r="K117" s="680"/>
      <c r="L117" s="692">
        <v>1255</v>
      </c>
      <c r="M117" s="677"/>
      <c r="N117" s="682"/>
      <c r="O117" s="682"/>
      <c r="P117" s="682">
        <f t="shared" si="35"/>
        <v>255</v>
      </c>
      <c r="Q117" s="683">
        <v>0.78</v>
      </c>
      <c r="R117" s="684">
        <v>1</v>
      </c>
      <c r="S117" s="685">
        <f t="shared" si="36"/>
        <v>0</v>
      </c>
      <c r="T117" s="685">
        <f t="shared" si="37"/>
        <v>0</v>
      </c>
      <c r="U117" s="685">
        <f t="shared" si="38"/>
        <v>0</v>
      </c>
      <c r="V117" s="685">
        <f t="shared" si="39"/>
        <v>0</v>
      </c>
      <c r="W117" s="686">
        <f t="shared" si="29"/>
        <v>0</v>
      </c>
      <c r="X117" s="686">
        <f t="shared" si="30"/>
        <v>0</v>
      </c>
      <c r="Y117" s="686">
        <f t="shared" si="31"/>
        <v>0</v>
      </c>
      <c r="Z117" s="686">
        <f t="shared" si="32"/>
        <v>0</v>
      </c>
      <c r="AA117" s="685" t="str">
        <f t="shared" si="33"/>
        <v>B</v>
      </c>
      <c r="AB117" s="687"/>
      <c r="AC117" s="688" t="e">
        <f>(S117+T117+U117)*'1.0-Contractblad'!$K$68</f>
        <v>#VALUE!</v>
      </c>
      <c r="AD117" s="688"/>
      <c r="AE117" s="48">
        <f t="shared" si="34"/>
        <v>0</v>
      </c>
      <c r="AF117" s="48">
        <f t="shared" si="40"/>
        <v>1570.8</v>
      </c>
      <c r="AG117" s="48" t="str">
        <f t="shared" si="41"/>
        <v>1255-255</v>
      </c>
    </row>
    <row r="118" spans="1:33" ht="12.75">
      <c r="A118" s="102"/>
      <c r="B118" s="364"/>
      <c r="C118" s="365"/>
      <c r="D118" s="676" t="s">
        <v>112</v>
      </c>
      <c r="E118" s="677" t="s">
        <v>314</v>
      </c>
      <c r="F118" s="678" t="s">
        <v>325</v>
      </c>
      <c r="G118" s="679" t="s">
        <v>472</v>
      </c>
      <c r="H118" s="679" t="str">
        <f t="shared" si="28"/>
        <v>sanitaire ruimte (toilet-/doucheruimte)</v>
      </c>
      <c r="I118" s="689" t="s">
        <v>473</v>
      </c>
      <c r="J118" s="680">
        <v>5.08</v>
      </c>
      <c r="K118" s="680"/>
      <c r="L118" s="692">
        <v>4255</v>
      </c>
      <c r="M118" s="677"/>
      <c r="N118" s="682"/>
      <c r="O118" s="682"/>
      <c r="P118" s="682">
        <f t="shared" si="35"/>
        <v>255</v>
      </c>
      <c r="Q118" s="683">
        <v>0.78</v>
      </c>
      <c r="R118" s="684">
        <v>1</v>
      </c>
      <c r="S118" s="685">
        <f t="shared" si="36"/>
        <v>0</v>
      </c>
      <c r="T118" s="685">
        <f t="shared" si="37"/>
        <v>0</v>
      </c>
      <c r="U118" s="685">
        <f t="shared" si="38"/>
        <v>0</v>
      </c>
      <c r="V118" s="685">
        <f t="shared" si="39"/>
        <v>0</v>
      </c>
      <c r="W118" s="686">
        <f t="shared" si="29"/>
        <v>0</v>
      </c>
      <c r="X118" s="686">
        <f t="shared" si="30"/>
        <v>0</v>
      </c>
      <c r="Y118" s="686">
        <f t="shared" si="31"/>
        <v>0</v>
      </c>
      <c r="Z118" s="686">
        <f t="shared" si="32"/>
        <v>0</v>
      </c>
      <c r="AA118" s="685" t="str">
        <f t="shared" si="33"/>
        <v>S</v>
      </c>
      <c r="AB118" s="687"/>
      <c r="AC118" s="688" t="e">
        <f>(S118+T118+U118)*'1.0-Contractblad'!$K$68</f>
        <v>#VALUE!</v>
      </c>
      <c r="AD118" s="688"/>
      <c r="AE118" s="48">
        <f t="shared" si="34"/>
        <v>0</v>
      </c>
      <c r="AF118" s="48">
        <f t="shared" si="40"/>
        <v>1295.4000000000001</v>
      </c>
      <c r="AG118" s="48" t="str">
        <f t="shared" si="41"/>
        <v>4255-255</v>
      </c>
    </row>
    <row r="119" spans="1:33" ht="12.75">
      <c r="A119" s="102"/>
      <c r="B119" s="364"/>
      <c r="C119" s="365"/>
      <c r="D119" s="676" t="s">
        <v>112</v>
      </c>
      <c r="E119" s="677" t="s">
        <v>314</v>
      </c>
      <c r="F119" s="678" t="s">
        <v>327</v>
      </c>
      <c r="G119" s="679" t="s">
        <v>474</v>
      </c>
      <c r="H119" s="679" t="str">
        <f t="shared" si="28"/>
        <v>sanitaire ruimte (toilet-/doucheruimte)</v>
      </c>
      <c r="I119" s="689" t="s">
        <v>473</v>
      </c>
      <c r="J119" s="680">
        <v>3.49</v>
      </c>
      <c r="K119" s="680"/>
      <c r="L119" s="692">
        <v>4255</v>
      </c>
      <c r="M119" s="677"/>
      <c r="N119" s="682"/>
      <c r="O119" s="682"/>
      <c r="P119" s="682">
        <f t="shared" si="35"/>
        <v>255</v>
      </c>
      <c r="Q119" s="683">
        <v>0.78</v>
      </c>
      <c r="R119" s="684">
        <v>1</v>
      </c>
      <c r="S119" s="685">
        <f t="shared" si="36"/>
        <v>0</v>
      </c>
      <c r="T119" s="685">
        <f t="shared" si="37"/>
        <v>0</v>
      </c>
      <c r="U119" s="685">
        <f t="shared" si="38"/>
        <v>0</v>
      </c>
      <c r="V119" s="685">
        <f t="shared" si="39"/>
        <v>0</v>
      </c>
      <c r="W119" s="686">
        <f t="shared" si="29"/>
        <v>0</v>
      </c>
      <c r="X119" s="686">
        <f t="shared" si="30"/>
        <v>0</v>
      </c>
      <c r="Y119" s="686">
        <f t="shared" si="31"/>
        <v>0</v>
      </c>
      <c r="Z119" s="686">
        <f t="shared" si="32"/>
        <v>0</v>
      </c>
      <c r="AA119" s="685" t="str">
        <f t="shared" si="33"/>
        <v>S</v>
      </c>
      <c r="AB119" s="687"/>
      <c r="AC119" s="688" t="e">
        <f>(S119+T119+U119)*'1.0-Contractblad'!$K$68</f>
        <v>#VALUE!</v>
      </c>
      <c r="AD119" s="688"/>
      <c r="AE119" s="48">
        <f t="shared" si="34"/>
        <v>0</v>
      </c>
      <c r="AF119" s="48">
        <f t="shared" si="40"/>
        <v>889.95</v>
      </c>
      <c r="AG119" s="48" t="str">
        <f t="shared" si="41"/>
        <v>4255-255</v>
      </c>
    </row>
    <row r="120" spans="1:33" ht="12.75">
      <c r="A120" s="102"/>
      <c r="B120" s="364"/>
      <c r="C120" s="365"/>
      <c r="D120" s="676" t="s">
        <v>112</v>
      </c>
      <c r="E120" s="677" t="s">
        <v>314</v>
      </c>
      <c r="F120" s="678" t="s">
        <v>330</v>
      </c>
      <c r="G120" s="679" t="s">
        <v>475</v>
      </c>
      <c r="H120" s="679" t="str">
        <f t="shared" si="28"/>
        <v>entree, gang, hal, repro, kopieer</v>
      </c>
      <c r="I120" s="689" t="s">
        <v>322</v>
      </c>
      <c r="J120" s="680">
        <v>6.56</v>
      </c>
      <c r="K120" s="680"/>
      <c r="L120" s="692">
        <v>3255</v>
      </c>
      <c r="M120" s="677"/>
      <c r="N120" s="682"/>
      <c r="O120" s="682"/>
      <c r="P120" s="682">
        <f t="shared" si="35"/>
        <v>255</v>
      </c>
      <c r="Q120" s="683">
        <v>0.78</v>
      </c>
      <c r="R120" s="684">
        <v>1</v>
      </c>
      <c r="S120" s="685">
        <f t="shared" si="36"/>
        <v>0</v>
      </c>
      <c r="T120" s="685">
        <f t="shared" si="37"/>
        <v>0</v>
      </c>
      <c r="U120" s="685">
        <f t="shared" si="38"/>
        <v>0</v>
      </c>
      <c r="V120" s="685">
        <f t="shared" si="39"/>
        <v>0</v>
      </c>
      <c r="W120" s="686">
        <f t="shared" si="29"/>
        <v>0</v>
      </c>
      <c r="X120" s="686">
        <f t="shared" si="30"/>
        <v>0</v>
      </c>
      <c r="Y120" s="686">
        <f t="shared" si="31"/>
        <v>0</v>
      </c>
      <c r="Z120" s="686">
        <f t="shared" si="32"/>
        <v>0</v>
      </c>
      <c r="AA120" s="685" t="str">
        <f t="shared" si="33"/>
        <v>V</v>
      </c>
      <c r="AB120" s="687"/>
      <c r="AC120" s="688" t="e">
        <f>(S120+T120+U120)*'1.0-Contractblad'!$K$68</f>
        <v>#VALUE!</v>
      </c>
      <c r="AD120" s="688"/>
      <c r="AE120" s="48">
        <f t="shared" si="34"/>
        <v>0</v>
      </c>
      <c r="AF120" s="48">
        <f t="shared" si="40"/>
        <v>1672.8</v>
      </c>
      <c r="AG120" s="48" t="str">
        <f t="shared" si="41"/>
        <v>3255-255</v>
      </c>
    </row>
    <row r="121" spans="1:33" ht="12.75">
      <c r="A121" s="102"/>
      <c r="B121" s="364"/>
      <c r="C121" s="365"/>
      <c r="D121" s="676" t="s">
        <v>112</v>
      </c>
      <c r="E121" s="677" t="s">
        <v>314</v>
      </c>
      <c r="F121" s="678" t="s">
        <v>332</v>
      </c>
      <c r="G121" s="679" t="s">
        <v>476</v>
      </c>
      <c r="H121" s="679" t="str">
        <f t="shared" si="28"/>
        <v>sanitaire ruimte (toilet-/doucheruimte)</v>
      </c>
      <c r="I121" s="689" t="s">
        <v>473</v>
      </c>
      <c r="J121" s="680">
        <v>6.56</v>
      </c>
      <c r="K121" s="680"/>
      <c r="L121" s="692">
        <v>4255</v>
      </c>
      <c r="M121" s="677"/>
      <c r="N121" s="682"/>
      <c r="O121" s="682"/>
      <c r="P121" s="682">
        <f t="shared" si="35"/>
        <v>255</v>
      </c>
      <c r="Q121" s="683">
        <v>0.78</v>
      </c>
      <c r="R121" s="684">
        <v>1</v>
      </c>
      <c r="S121" s="685">
        <f t="shared" si="36"/>
        <v>0</v>
      </c>
      <c r="T121" s="685">
        <f t="shared" si="37"/>
        <v>0</v>
      </c>
      <c r="U121" s="685">
        <f t="shared" si="38"/>
        <v>0</v>
      </c>
      <c r="V121" s="685">
        <f t="shared" si="39"/>
        <v>0</v>
      </c>
      <c r="W121" s="686">
        <f t="shared" si="29"/>
        <v>0</v>
      </c>
      <c r="X121" s="686">
        <f t="shared" si="30"/>
        <v>0</v>
      </c>
      <c r="Y121" s="686">
        <f t="shared" si="31"/>
        <v>0</v>
      </c>
      <c r="Z121" s="686">
        <f t="shared" si="32"/>
        <v>0</v>
      </c>
      <c r="AA121" s="685" t="str">
        <f t="shared" si="33"/>
        <v>S</v>
      </c>
      <c r="AB121" s="687"/>
      <c r="AC121" s="688" t="e">
        <f>(S121+T121+U121)*'1.0-Contractblad'!$K$68</f>
        <v>#VALUE!</v>
      </c>
      <c r="AD121" s="688"/>
      <c r="AE121" s="48">
        <f t="shared" si="34"/>
        <v>0</v>
      </c>
      <c r="AF121" s="48">
        <f t="shared" si="40"/>
        <v>1672.8</v>
      </c>
      <c r="AG121" s="48" t="str">
        <f t="shared" si="41"/>
        <v>4255-255</v>
      </c>
    </row>
    <row r="122" spans="1:33" ht="12.75">
      <c r="A122" s="102"/>
      <c r="B122" s="364"/>
      <c r="C122" s="365"/>
      <c r="D122" s="676" t="s">
        <v>112</v>
      </c>
      <c r="E122" s="677" t="s">
        <v>314</v>
      </c>
      <c r="F122" s="678" t="s">
        <v>334</v>
      </c>
      <c r="G122" s="679" t="s">
        <v>477</v>
      </c>
      <c r="H122" s="679" t="str">
        <f t="shared" si="28"/>
        <v>entree, gang, hal, repro, kopieer</v>
      </c>
      <c r="I122" s="689" t="s">
        <v>322</v>
      </c>
      <c r="J122" s="680">
        <v>33.5</v>
      </c>
      <c r="K122" s="680"/>
      <c r="L122" s="692">
        <v>3255</v>
      </c>
      <c r="M122" s="677"/>
      <c r="N122" s="682"/>
      <c r="O122" s="682"/>
      <c r="P122" s="682">
        <f t="shared" si="35"/>
        <v>255</v>
      </c>
      <c r="Q122" s="683">
        <v>0.78</v>
      </c>
      <c r="R122" s="684">
        <v>1</v>
      </c>
      <c r="S122" s="685">
        <f t="shared" si="36"/>
        <v>0</v>
      </c>
      <c r="T122" s="685">
        <f t="shared" si="37"/>
        <v>0</v>
      </c>
      <c r="U122" s="685">
        <f t="shared" si="38"/>
        <v>0</v>
      </c>
      <c r="V122" s="685">
        <f t="shared" si="39"/>
        <v>0</v>
      </c>
      <c r="W122" s="686">
        <f t="shared" si="29"/>
        <v>0</v>
      </c>
      <c r="X122" s="686">
        <f t="shared" si="30"/>
        <v>0</v>
      </c>
      <c r="Y122" s="686">
        <f t="shared" si="31"/>
        <v>0</v>
      </c>
      <c r="Z122" s="686">
        <f t="shared" si="32"/>
        <v>0</v>
      </c>
      <c r="AA122" s="685" t="str">
        <f t="shared" si="33"/>
        <v>V</v>
      </c>
      <c r="AB122" s="687"/>
      <c r="AC122" s="688" t="e">
        <f>(S122+T122+U122)*'1.0-Contractblad'!$K$68</f>
        <v>#VALUE!</v>
      </c>
      <c r="AD122" s="688"/>
      <c r="AE122" s="48">
        <f t="shared" si="34"/>
        <v>0</v>
      </c>
      <c r="AF122" s="48">
        <f t="shared" si="40"/>
        <v>8542.5</v>
      </c>
      <c r="AG122" s="48" t="str">
        <f t="shared" si="41"/>
        <v>3255-255</v>
      </c>
    </row>
    <row r="123" spans="1:33" ht="12.75">
      <c r="A123" s="102"/>
      <c r="B123" s="364"/>
      <c r="C123" s="365"/>
      <c r="D123" s="676" t="s">
        <v>112</v>
      </c>
      <c r="E123" s="677" t="s">
        <v>314</v>
      </c>
      <c r="F123" s="678" t="s">
        <v>391</v>
      </c>
      <c r="G123" s="679" t="s">
        <v>470</v>
      </c>
      <c r="H123" s="679" t="str">
        <f t="shared" si="28"/>
        <v>administratieve -, personeels- en vergaderruimte</v>
      </c>
      <c r="I123" s="689" t="s">
        <v>322</v>
      </c>
      <c r="J123" s="680">
        <v>14.4</v>
      </c>
      <c r="K123" s="680"/>
      <c r="L123" s="692">
        <v>1255</v>
      </c>
      <c r="M123" s="677"/>
      <c r="N123" s="682"/>
      <c r="O123" s="682"/>
      <c r="P123" s="682">
        <f t="shared" si="35"/>
        <v>255</v>
      </c>
      <c r="Q123" s="683">
        <v>0.78</v>
      </c>
      <c r="R123" s="684">
        <v>1</v>
      </c>
      <c r="S123" s="685">
        <f t="shared" si="36"/>
        <v>0</v>
      </c>
      <c r="T123" s="685">
        <f t="shared" si="37"/>
        <v>0</v>
      </c>
      <c r="U123" s="685">
        <f t="shared" si="38"/>
        <v>0</v>
      </c>
      <c r="V123" s="685">
        <f t="shared" si="39"/>
        <v>0</v>
      </c>
      <c r="W123" s="686">
        <f t="shared" si="29"/>
        <v>0</v>
      </c>
      <c r="X123" s="686">
        <f t="shared" si="30"/>
        <v>0</v>
      </c>
      <c r="Y123" s="686">
        <f t="shared" si="31"/>
        <v>0</v>
      </c>
      <c r="Z123" s="686">
        <f t="shared" si="32"/>
        <v>0</v>
      </c>
      <c r="AA123" s="685" t="str">
        <f t="shared" si="33"/>
        <v>B</v>
      </c>
      <c r="AB123" s="687"/>
      <c r="AC123" s="688" t="e">
        <f>(S123+T123+U123)*'1.0-Contractblad'!$K$68</f>
        <v>#VALUE!</v>
      </c>
      <c r="AD123" s="688"/>
      <c r="AE123" s="48">
        <f t="shared" si="34"/>
        <v>0</v>
      </c>
      <c r="AF123" s="48">
        <f t="shared" si="40"/>
        <v>3672</v>
      </c>
      <c r="AG123" s="48" t="str">
        <f t="shared" si="41"/>
        <v>1255-255</v>
      </c>
    </row>
    <row r="124" spans="1:33" ht="12.75">
      <c r="A124" s="102"/>
      <c r="B124" s="364"/>
      <c r="C124" s="365"/>
      <c r="D124" s="676" t="s">
        <v>112</v>
      </c>
      <c r="E124" s="677" t="s">
        <v>314</v>
      </c>
      <c r="F124" s="678" t="s">
        <v>348</v>
      </c>
      <c r="G124" s="679" t="s">
        <v>478</v>
      </c>
      <c r="H124" s="679" t="str">
        <f t="shared" si="28"/>
        <v>kleedruimten</v>
      </c>
      <c r="I124" s="689" t="s">
        <v>473</v>
      </c>
      <c r="J124" s="680">
        <v>14.3</v>
      </c>
      <c r="K124" s="680"/>
      <c r="L124" s="692">
        <v>10255</v>
      </c>
      <c r="M124" s="677"/>
      <c r="N124" s="682"/>
      <c r="O124" s="682"/>
      <c r="P124" s="682">
        <f t="shared" si="35"/>
        <v>255</v>
      </c>
      <c r="Q124" s="683">
        <v>0.78</v>
      </c>
      <c r="R124" s="684">
        <v>1</v>
      </c>
      <c r="S124" s="685">
        <f t="shared" si="36"/>
        <v>0</v>
      </c>
      <c r="T124" s="685">
        <f t="shared" si="37"/>
        <v>0</v>
      </c>
      <c r="U124" s="685">
        <f t="shared" si="38"/>
        <v>0</v>
      </c>
      <c r="V124" s="685">
        <f t="shared" si="39"/>
        <v>0</v>
      </c>
      <c r="W124" s="686">
        <f t="shared" si="29"/>
        <v>0</v>
      </c>
      <c r="X124" s="686">
        <f t="shared" si="30"/>
        <v>0</v>
      </c>
      <c r="Y124" s="686">
        <f t="shared" si="31"/>
        <v>0</v>
      </c>
      <c r="Z124" s="686">
        <f t="shared" si="32"/>
        <v>0</v>
      </c>
      <c r="AA124" s="685" t="str">
        <f t="shared" si="33"/>
        <v>V</v>
      </c>
      <c r="AB124" s="687"/>
      <c r="AC124" s="688" t="e">
        <f>(S124+T124+U124)*'1.0-Contractblad'!$K$68</f>
        <v>#VALUE!</v>
      </c>
      <c r="AD124" s="688"/>
      <c r="AE124" s="48">
        <f t="shared" si="34"/>
        <v>0</v>
      </c>
      <c r="AF124" s="48">
        <f t="shared" si="40"/>
        <v>3646.5</v>
      </c>
      <c r="AG124" s="48" t="str">
        <f t="shared" si="41"/>
        <v>10255-255</v>
      </c>
    </row>
    <row r="125" spans="1:33" ht="12.75">
      <c r="A125" s="102"/>
      <c r="B125" s="364"/>
      <c r="C125" s="365"/>
      <c r="D125" s="676" t="s">
        <v>112</v>
      </c>
      <c r="E125" s="677" t="s">
        <v>314</v>
      </c>
      <c r="F125" s="678" t="s">
        <v>361</v>
      </c>
      <c r="G125" s="679" t="s">
        <v>479</v>
      </c>
      <c r="H125" s="679" t="str">
        <f t="shared" si="28"/>
        <v>sanitaire ruimte (toilet-/doucheruimte)</v>
      </c>
      <c r="I125" s="689" t="s">
        <v>473</v>
      </c>
      <c r="J125" s="680">
        <v>1.42</v>
      </c>
      <c r="K125" s="680"/>
      <c r="L125" s="692">
        <v>4255</v>
      </c>
      <c r="M125" s="677"/>
      <c r="N125" s="682"/>
      <c r="O125" s="682"/>
      <c r="P125" s="682">
        <f t="shared" si="35"/>
        <v>255</v>
      </c>
      <c r="Q125" s="683">
        <v>0.78</v>
      </c>
      <c r="R125" s="684">
        <v>1</v>
      </c>
      <c r="S125" s="685">
        <f t="shared" si="36"/>
        <v>0</v>
      </c>
      <c r="T125" s="685">
        <f t="shared" si="37"/>
        <v>0</v>
      </c>
      <c r="U125" s="685">
        <f t="shared" si="38"/>
        <v>0</v>
      </c>
      <c r="V125" s="685">
        <f t="shared" si="39"/>
        <v>0</v>
      </c>
      <c r="W125" s="686">
        <f t="shared" si="29"/>
        <v>0</v>
      </c>
      <c r="X125" s="686">
        <f t="shared" si="30"/>
        <v>0</v>
      </c>
      <c r="Y125" s="686">
        <f t="shared" si="31"/>
        <v>0</v>
      </c>
      <c r="Z125" s="686">
        <f t="shared" si="32"/>
        <v>0</v>
      </c>
      <c r="AA125" s="685" t="str">
        <f t="shared" si="33"/>
        <v>S</v>
      </c>
      <c r="AB125" s="687"/>
      <c r="AC125" s="688" t="e">
        <f>(S125+T125+U125)*'1.0-Contractblad'!$K$68</f>
        <v>#VALUE!</v>
      </c>
      <c r="AD125" s="688"/>
      <c r="AE125" s="48">
        <f t="shared" si="34"/>
        <v>0</v>
      </c>
      <c r="AF125" s="48">
        <f t="shared" si="40"/>
        <v>362.09999999999997</v>
      </c>
      <c r="AG125" s="48" t="str">
        <f t="shared" si="41"/>
        <v>4255-255</v>
      </c>
    </row>
    <row r="126" spans="1:33" ht="12.75">
      <c r="A126" s="102"/>
      <c r="B126" s="364"/>
      <c r="C126" s="365"/>
      <c r="D126" s="676" t="s">
        <v>112</v>
      </c>
      <c r="E126" s="677" t="s">
        <v>314</v>
      </c>
      <c r="F126" s="678" t="s">
        <v>363</v>
      </c>
      <c r="G126" s="679" t="s">
        <v>438</v>
      </c>
      <c r="H126" s="679" t="str">
        <f t="shared" si="28"/>
        <v>sanitaire ruimte (toilet-/doucheruimte)</v>
      </c>
      <c r="I126" s="689" t="s">
        <v>473</v>
      </c>
      <c r="J126" s="680">
        <v>1.42</v>
      </c>
      <c r="K126" s="680"/>
      <c r="L126" s="692">
        <v>4255</v>
      </c>
      <c r="M126" s="677"/>
      <c r="N126" s="682"/>
      <c r="O126" s="682"/>
      <c r="P126" s="682">
        <f t="shared" si="35"/>
        <v>255</v>
      </c>
      <c r="Q126" s="683">
        <v>0.78</v>
      </c>
      <c r="R126" s="684">
        <v>1</v>
      </c>
      <c r="S126" s="685">
        <f t="shared" si="36"/>
        <v>0</v>
      </c>
      <c r="T126" s="685">
        <f t="shared" si="37"/>
        <v>0</v>
      </c>
      <c r="U126" s="685">
        <f t="shared" si="38"/>
        <v>0</v>
      </c>
      <c r="V126" s="685">
        <f t="shared" si="39"/>
        <v>0</v>
      </c>
      <c r="W126" s="686">
        <f t="shared" si="29"/>
        <v>0</v>
      </c>
      <c r="X126" s="686">
        <f t="shared" si="30"/>
        <v>0</v>
      </c>
      <c r="Y126" s="686">
        <f t="shared" si="31"/>
        <v>0</v>
      </c>
      <c r="Z126" s="686">
        <f t="shared" si="32"/>
        <v>0</v>
      </c>
      <c r="AA126" s="685" t="str">
        <f t="shared" si="33"/>
        <v>S</v>
      </c>
      <c r="AB126" s="687"/>
      <c r="AC126" s="688" t="e">
        <f>(S126+T126+U126)*'1.0-Contractblad'!$K$68</f>
        <v>#VALUE!</v>
      </c>
      <c r="AD126" s="688"/>
      <c r="AE126" s="48">
        <f t="shared" si="34"/>
        <v>0</v>
      </c>
      <c r="AF126" s="48">
        <f t="shared" si="40"/>
        <v>362.09999999999997</v>
      </c>
      <c r="AG126" s="48" t="str">
        <f t="shared" si="41"/>
        <v>4255-255</v>
      </c>
    </row>
    <row r="127" spans="1:33" ht="12.75">
      <c r="A127" s="102"/>
      <c r="B127" s="364"/>
      <c r="C127" s="365"/>
      <c r="D127" s="676" t="s">
        <v>112</v>
      </c>
      <c r="E127" s="677" t="s">
        <v>314</v>
      </c>
      <c r="F127" s="678" t="s">
        <v>365</v>
      </c>
      <c r="G127" s="679" t="s">
        <v>480</v>
      </c>
      <c r="H127" s="679" t="str">
        <f t="shared" si="28"/>
        <v>sanitaire ruimte (toilet-/doucheruimte)</v>
      </c>
      <c r="I127" s="689" t="s">
        <v>473</v>
      </c>
      <c r="J127" s="680">
        <v>1.45</v>
      </c>
      <c r="K127" s="680"/>
      <c r="L127" s="692">
        <v>4255</v>
      </c>
      <c r="M127" s="677"/>
      <c r="N127" s="682"/>
      <c r="O127" s="682"/>
      <c r="P127" s="682">
        <f t="shared" si="35"/>
        <v>255</v>
      </c>
      <c r="Q127" s="683">
        <v>0.78</v>
      </c>
      <c r="R127" s="684">
        <v>1</v>
      </c>
      <c r="S127" s="685">
        <f t="shared" si="36"/>
        <v>0</v>
      </c>
      <c r="T127" s="685">
        <f t="shared" si="37"/>
        <v>0</v>
      </c>
      <c r="U127" s="685">
        <f t="shared" si="38"/>
        <v>0</v>
      </c>
      <c r="V127" s="685">
        <f t="shared" si="39"/>
        <v>0</v>
      </c>
      <c r="W127" s="686">
        <f t="shared" si="29"/>
        <v>0</v>
      </c>
      <c r="X127" s="686">
        <f t="shared" si="30"/>
        <v>0</v>
      </c>
      <c r="Y127" s="686">
        <f t="shared" si="31"/>
        <v>0</v>
      </c>
      <c r="Z127" s="686">
        <f t="shared" si="32"/>
        <v>0</v>
      </c>
      <c r="AA127" s="685" t="str">
        <f t="shared" si="33"/>
        <v>S</v>
      </c>
      <c r="AB127" s="687"/>
      <c r="AC127" s="688" t="e">
        <f>(S127+T127+U127)*'1.0-Contractblad'!$K$68</f>
        <v>#VALUE!</v>
      </c>
      <c r="AD127" s="688"/>
      <c r="AE127" s="48">
        <f t="shared" si="34"/>
        <v>0</v>
      </c>
      <c r="AF127" s="48">
        <f t="shared" si="40"/>
        <v>369.75</v>
      </c>
      <c r="AG127" s="48" t="str">
        <f t="shared" si="41"/>
        <v>4255-255</v>
      </c>
    </row>
    <row r="128" spans="1:33" ht="12.75">
      <c r="A128" s="102"/>
      <c r="B128" s="364"/>
      <c r="C128" s="365"/>
      <c r="D128" s="676" t="s">
        <v>112</v>
      </c>
      <c r="E128" s="677" t="s">
        <v>314</v>
      </c>
      <c r="F128" s="678" t="s">
        <v>411</v>
      </c>
      <c r="G128" s="679" t="s">
        <v>481</v>
      </c>
      <c r="H128" s="679" t="str">
        <f t="shared" si="28"/>
        <v>sanitaire ruimte (toilet-/doucheruimte)</v>
      </c>
      <c r="I128" s="689" t="s">
        <v>473</v>
      </c>
      <c r="J128" s="680">
        <v>81.2</v>
      </c>
      <c r="K128" s="680"/>
      <c r="L128" s="692">
        <v>4255</v>
      </c>
      <c r="M128" s="677"/>
      <c r="N128" s="682"/>
      <c r="O128" s="682"/>
      <c r="P128" s="682">
        <f t="shared" si="35"/>
        <v>255</v>
      </c>
      <c r="Q128" s="683">
        <v>0.78</v>
      </c>
      <c r="R128" s="684">
        <v>1</v>
      </c>
      <c r="S128" s="685">
        <f t="shared" si="36"/>
        <v>0</v>
      </c>
      <c r="T128" s="685">
        <f t="shared" si="37"/>
        <v>0</v>
      </c>
      <c r="U128" s="685">
        <f t="shared" si="38"/>
        <v>0</v>
      </c>
      <c r="V128" s="685">
        <f t="shared" si="39"/>
        <v>0</v>
      </c>
      <c r="W128" s="686">
        <f t="shared" si="29"/>
        <v>0</v>
      </c>
      <c r="X128" s="686">
        <f t="shared" si="30"/>
        <v>0</v>
      </c>
      <c r="Y128" s="686">
        <f t="shared" si="31"/>
        <v>0</v>
      </c>
      <c r="Z128" s="686">
        <f t="shared" si="32"/>
        <v>0</v>
      </c>
      <c r="AA128" s="685" t="str">
        <f t="shared" si="33"/>
        <v>S</v>
      </c>
      <c r="AB128" s="687" t="s">
        <v>482</v>
      </c>
      <c r="AC128" s="688" t="e">
        <f>(S128+T128+U128)*'1.0-Contractblad'!$K$68</f>
        <v>#VALUE!</v>
      </c>
      <c r="AD128" s="688"/>
      <c r="AE128" s="48">
        <f t="shared" si="34"/>
        <v>0</v>
      </c>
      <c r="AF128" s="48">
        <f t="shared" si="40"/>
        <v>20706</v>
      </c>
      <c r="AG128" s="48" t="str">
        <f t="shared" si="41"/>
        <v>4255-255</v>
      </c>
    </row>
    <row r="129" spans="1:33" ht="12.75">
      <c r="A129" s="102"/>
      <c r="B129" s="364"/>
      <c r="C129" s="365"/>
      <c r="D129" s="676" t="s">
        <v>112</v>
      </c>
      <c r="E129" s="677" t="s">
        <v>314</v>
      </c>
      <c r="F129" s="678" t="s">
        <v>412</v>
      </c>
      <c r="G129" s="679" t="s">
        <v>483</v>
      </c>
      <c r="H129" s="679" t="str">
        <f t="shared" si="28"/>
        <v>sanitaire ruimte (toilet-/doucheruimte)</v>
      </c>
      <c r="I129" s="689" t="s">
        <v>473</v>
      </c>
      <c r="J129" s="680"/>
      <c r="K129" s="680"/>
      <c r="L129" s="692">
        <v>4255</v>
      </c>
      <c r="M129" s="677"/>
      <c r="N129" s="682"/>
      <c r="O129" s="682"/>
      <c r="P129" s="682">
        <f t="shared" si="35"/>
        <v>255</v>
      </c>
      <c r="Q129" s="683">
        <v>0.78</v>
      </c>
      <c r="R129" s="684">
        <v>1</v>
      </c>
      <c r="S129" s="685">
        <f t="shared" si="36"/>
        <v>0</v>
      </c>
      <c r="T129" s="685">
        <f t="shared" si="37"/>
        <v>0</v>
      </c>
      <c r="U129" s="685">
        <f t="shared" si="38"/>
        <v>0</v>
      </c>
      <c r="V129" s="685">
        <f t="shared" si="39"/>
        <v>0</v>
      </c>
      <c r="W129" s="686">
        <f t="shared" si="29"/>
        <v>0</v>
      </c>
      <c r="X129" s="686">
        <f t="shared" si="30"/>
        <v>0</v>
      </c>
      <c r="Y129" s="686">
        <f t="shared" si="31"/>
        <v>0</v>
      </c>
      <c r="Z129" s="686">
        <f t="shared" si="32"/>
        <v>0</v>
      </c>
      <c r="AA129" s="685" t="str">
        <f t="shared" si="33"/>
        <v>S</v>
      </c>
      <c r="AB129" s="687" t="s">
        <v>482</v>
      </c>
      <c r="AC129" s="688" t="e">
        <f>(S129+T129+U129)*'1.0-Contractblad'!$K$68</f>
        <v>#VALUE!</v>
      </c>
      <c r="AD129" s="688"/>
      <c r="AE129" s="48">
        <f t="shared" si="34"/>
        <v>0</v>
      </c>
      <c r="AF129" s="48">
        <f t="shared" si="40"/>
        <v>0</v>
      </c>
      <c r="AG129" s="48" t="str">
        <f t="shared" si="41"/>
        <v>4255-255</v>
      </c>
    </row>
    <row r="130" spans="1:33" ht="12.75">
      <c r="A130" s="102"/>
      <c r="B130" s="364"/>
      <c r="C130" s="365"/>
      <c r="D130" s="676" t="s">
        <v>112</v>
      </c>
      <c r="E130" s="677" t="s">
        <v>314</v>
      </c>
      <c r="F130" s="678" t="s">
        <v>484</v>
      </c>
      <c r="G130" s="679" t="s">
        <v>483</v>
      </c>
      <c r="H130" s="679" t="str">
        <f t="shared" si="28"/>
        <v>sanitaire ruimte (toilet-/doucheruimte)</v>
      </c>
      <c r="I130" s="689" t="s">
        <v>473</v>
      </c>
      <c r="J130" s="680"/>
      <c r="K130" s="680"/>
      <c r="L130" s="692">
        <v>4255</v>
      </c>
      <c r="M130" s="677"/>
      <c r="N130" s="682"/>
      <c r="O130" s="682"/>
      <c r="P130" s="682">
        <f t="shared" si="35"/>
        <v>255</v>
      </c>
      <c r="Q130" s="683">
        <v>0.78</v>
      </c>
      <c r="R130" s="684">
        <v>1</v>
      </c>
      <c r="S130" s="685">
        <f t="shared" si="36"/>
        <v>0</v>
      </c>
      <c r="T130" s="685">
        <f t="shared" si="37"/>
        <v>0</v>
      </c>
      <c r="U130" s="685">
        <f t="shared" si="38"/>
        <v>0</v>
      </c>
      <c r="V130" s="685">
        <f t="shared" si="39"/>
        <v>0</v>
      </c>
      <c r="W130" s="686">
        <f t="shared" si="29"/>
        <v>0</v>
      </c>
      <c r="X130" s="686">
        <f t="shared" si="30"/>
        <v>0</v>
      </c>
      <c r="Y130" s="686">
        <f t="shared" si="31"/>
        <v>0</v>
      </c>
      <c r="Z130" s="686">
        <f t="shared" si="32"/>
        <v>0</v>
      </c>
      <c r="AA130" s="685" t="str">
        <f t="shared" si="33"/>
        <v>S</v>
      </c>
      <c r="AB130" s="687" t="s">
        <v>482</v>
      </c>
      <c r="AC130" s="688" t="e">
        <f>(S130+T130+U130)*'1.0-Contractblad'!$K$68</f>
        <v>#VALUE!</v>
      </c>
      <c r="AD130" s="688"/>
      <c r="AE130" s="48">
        <f t="shared" si="34"/>
        <v>0</v>
      </c>
      <c r="AF130" s="48">
        <f t="shared" si="40"/>
        <v>0</v>
      </c>
      <c r="AG130" s="48" t="str">
        <f t="shared" si="41"/>
        <v>4255-255</v>
      </c>
    </row>
    <row r="131" spans="1:33" ht="12.75">
      <c r="A131" s="102"/>
      <c r="B131" s="364"/>
      <c r="C131" s="365"/>
      <c r="D131" s="676" t="s">
        <v>112</v>
      </c>
      <c r="E131" s="677" t="s">
        <v>314</v>
      </c>
      <c r="F131" s="678" t="s">
        <v>485</v>
      </c>
      <c r="G131" s="679" t="s">
        <v>483</v>
      </c>
      <c r="H131" s="679" t="str">
        <f t="shared" si="28"/>
        <v>sanitaire ruimte (toilet-/doucheruimte)</v>
      </c>
      <c r="I131" s="689" t="s">
        <v>473</v>
      </c>
      <c r="J131" s="680"/>
      <c r="K131" s="680"/>
      <c r="L131" s="692">
        <v>4255</v>
      </c>
      <c r="M131" s="677"/>
      <c r="N131" s="682"/>
      <c r="O131" s="682"/>
      <c r="P131" s="682">
        <f t="shared" si="35"/>
        <v>255</v>
      </c>
      <c r="Q131" s="683">
        <v>0.78</v>
      </c>
      <c r="R131" s="684">
        <v>1</v>
      </c>
      <c r="S131" s="685">
        <f t="shared" si="36"/>
        <v>0</v>
      </c>
      <c r="T131" s="685">
        <f t="shared" si="37"/>
        <v>0</v>
      </c>
      <c r="U131" s="685">
        <f t="shared" si="38"/>
        <v>0</v>
      </c>
      <c r="V131" s="685">
        <f t="shared" si="39"/>
        <v>0</v>
      </c>
      <c r="W131" s="686">
        <f t="shared" si="29"/>
        <v>0</v>
      </c>
      <c r="X131" s="686">
        <f t="shared" si="30"/>
        <v>0</v>
      </c>
      <c r="Y131" s="686">
        <f t="shared" si="31"/>
        <v>0</v>
      </c>
      <c r="Z131" s="686">
        <f t="shared" si="32"/>
        <v>0</v>
      </c>
      <c r="AA131" s="685" t="str">
        <f t="shared" si="33"/>
        <v>S</v>
      </c>
      <c r="AB131" s="687" t="s">
        <v>482</v>
      </c>
      <c r="AC131" s="688" t="e">
        <f>(S131+T131+U131)*'1.0-Contractblad'!$K$68</f>
        <v>#VALUE!</v>
      </c>
      <c r="AD131" s="688"/>
      <c r="AE131" s="48">
        <f t="shared" si="34"/>
        <v>0</v>
      </c>
      <c r="AF131" s="48">
        <f t="shared" si="40"/>
        <v>0</v>
      </c>
      <c r="AG131" s="48" t="str">
        <f t="shared" si="41"/>
        <v>4255-255</v>
      </c>
    </row>
    <row r="132" spans="1:33" ht="12.75">
      <c r="A132" s="102"/>
      <c r="B132" s="364"/>
      <c r="C132" s="365"/>
      <c r="D132" s="676" t="s">
        <v>112</v>
      </c>
      <c r="E132" s="677" t="s">
        <v>314</v>
      </c>
      <c r="F132" s="678" t="s">
        <v>486</v>
      </c>
      <c r="G132" s="679" t="s">
        <v>483</v>
      </c>
      <c r="H132" s="679" t="str">
        <f t="shared" si="28"/>
        <v>sanitaire ruimte (toilet-/doucheruimte)</v>
      </c>
      <c r="I132" s="689" t="s">
        <v>473</v>
      </c>
      <c r="J132" s="680"/>
      <c r="K132" s="680"/>
      <c r="L132" s="692">
        <v>4255</v>
      </c>
      <c r="M132" s="677"/>
      <c r="N132" s="682"/>
      <c r="O132" s="682"/>
      <c r="P132" s="682">
        <f t="shared" si="35"/>
        <v>255</v>
      </c>
      <c r="Q132" s="683">
        <v>0.78</v>
      </c>
      <c r="R132" s="684">
        <v>1</v>
      </c>
      <c r="S132" s="685">
        <f t="shared" si="36"/>
        <v>0</v>
      </c>
      <c r="T132" s="685">
        <f t="shared" si="37"/>
        <v>0</v>
      </c>
      <c r="U132" s="685">
        <f t="shared" si="38"/>
        <v>0</v>
      </c>
      <c r="V132" s="685">
        <f t="shared" si="39"/>
        <v>0</v>
      </c>
      <c r="W132" s="686">
        <f t="shared" si="29"/>
        <v>0</v>
      </c>
      <c r="X132" s="686">
        <f t="shared" si="30"/>
        <v>0</v>
      </c>
      <c r="Y132" s="686">
        <f t="shared" si="31"/>
        <v>0</v>
      </c>
      <c r="Z132" s="686">
        <f t="shared" si="32"/>
        <v>0</v>
      </c>
      <c r="AA132" s="685" t="str">
        <f t="shared" si="33"/>
        <v>S</v>
      </c>
      <c r="AB132" s="687" t="s">
        <v>482</v>
      </c>
      <c r="AC132" s="688" t="e">
        <f>(S132+T132+U132)*'1.0-Contractblad'!$K$68</f>
        <v>#VALUE!</v>
      </c>
      <c r="AD132" s="688"/>
      <c r="AE132" s="48">
        <f t="shared" si="34"/>
        <v>0</v>
      </c>
      <c r="AF132" s="48">
        <f t="shared" si="40"/>
        <v>0</v>
      </c>
      <c r="AG132" s="48" t="str">
        <f t="shared" si="41"/>
        <v>4255-255</v>
      </c>
    </row>
    <row r="133" spans="1:33" ht="12.75">
      <c r="A133" s="102"/>
      <c r="B133" s="364"/>
      <c r="C133" s="365"/>
      <c r="D133" s="676" t="s">
        <v>112</v>
      </c>
      <c r="E133" s="677" t="s">
        <v>314</v>
      </c>
      <c r="F133" s="678" t="s">
        <v>487</v>
      </c>
      <c r="G133" s="679" t="s">
        <v>488</v>
      </c>
      <c r="H133" s="679" t="str">
        <f t="shared" si="28"/>
        <v>niet van toepassing</v>
      </c>
      <c r="I133" s="689" t="s">
        <v>473</v>
      </c>
      <c r="J133" s="680"/>
      <c r="K133" s="680">
        <v>5.99</v>
      </c>
      <c r="L133" s="692" t="s">
        <v>225</v>
      </c>
      <c r="M133" s="677"/>
      <c r="N133" s="682"/>
      <c r="O133" s="682"/>
      <c r="P133" s="682">
        <f t="shared" si="35"/>
        <v>0</v>
      </c>
      <c r="Q133" s="683">
        <v>0.78</v>
      </c>
      <c r="R133" s="684">
        <v>1</v>
      </c>
      <c r="S133" s="685">
        <f t="shared" si="36"/>
        <v>0</v>
      </c>
      <c r="T133" s="685">
        <f t="shared" si="37"/>
        <v>0</v>
      </c>
      <c r="U133" s="685">
        <f t="shared" si="38"/>
        <v>0</v>
      </c>
      <c r="V133" s="685">
        <f t="shared" si="39"/>
        <v>0</v>
      </c>
      <c r="W133" s="686">
        <f t="shared" si="29"/>
        <v>0</v>
      </c>
      <c r="X133" s="686">
        <f t="shared" si="30"/>
        <v>0</v>
      </c>
      <c r="Y133" s="686">
        <f t="shared" si="31"/>
        <v>0</v>
      </c>
      <c r="Z133" s="686">
        <f t="shared" si="32"/>
        <v>0</v>
      </c>
      <c r="AA133" s="685">
        <f t="shared" si="33"/>
        <v>0</v>
      </c>
      <c r="AB133" s="687"/>
      <c r="AC133" s="688" t="e">
        <f>(S133+T133+U133)*'1.0-Contractblad'!$K$68</f>
        <v>#VALUE!</v>
      </c>
      <c r="AD133" s="688"/>
      <c r="AE133" s="48">
        <f t="shared" si="34"/>
        <v>0</v>
      </c>
      <c r="AF133" s="48">
        <f t="shared" si="40"/>
        <v>0</v>
      </c>
      <c r="AG133" s="48" t="str">
        <f t="shared" si="41"/>
        <v>nvt-0</v>
      </c>
    </row>
    <row r="134" spans="1:33" ht="12.75">
      <c r="A134" s="102"/>
      <c r="B134" s="364"/>
      <c r="C134" s="365"/>
      <c r="D134" s="676" t="s">
        <v>112</v>
      </c>
      <c r="E134" s="677" t="s">
        <v>314</v>
      </c>
      <c r="F134" s="678" t="s">
        <v>489</v>
      </c>
      <c r="G134" s="679" t="s">
        <v>366</v>
      </c>
      <c r="H134" s="679" t="str">
        <f t="shared" si="28"/>
        <v>sanitaire ruimte (toilet-/doucheruimte)</v>
      </c>
      <c r="I134" s="689" t="s">
        <v>473</v>
      </c>
      <c r="J134" s="680">
        <v>5.99</v>
      </c>
      <c r="K134" s="680"/>
      <c r="L134" s="692">
        <v>4255</v>
      </c>
      <c r="M134" s="677"/>
      <c r="N134" s="682"/>
      <c r="O134" s="682"/>
      <c r="P134" s="682">
        <f t="shared" si="35"/>
        <v>255</v>
      </c>
      <c r="Q134" s="683">
        <v>0.78</v>
      </c>
      <c r="R134" s="684">
        <v>1</v>
      </c>
      <c r="S134" s="685">
        <f t="shared" si="36"/>
        <v>0</v>
      </c>
      <c r="T134" s="685">
        <f t="shared" si="37"/>
        <v>0</v>
      </c>
      <c r="U134" s="685">
        <f t="shared" si="38"/>
        <v>0</v>
      </c>
      <c r="V134" s="685">
        <f t="shared" si="39"/>
        <v>0</v>
      </c>
      <c r="W134" s="686">
        <f t="shared" si="29"/>
        <v>0</v>
      </c>
      <c r="X134" s="686">
        <f t="shared" si="30"/>
        <v>0</v>
      </c>
      <c r="Y134" s="686">
        <f t="shared" si="31"/>
        <v>0</v>
      </c>
      <c r="Z134" s="686">
        <f t="shared" si="32"/>
        <v>0</v>
      </c>
      <c r="AA134" s="685" t="str">
        <f t="shared" si="33"/>
        <v>S</v>
      </c>
      <c r="AB134" s="687"/>
      <c r="AC134" s="688" t="e">
        <f>(S134+T134+U134)*'1.0-Contractblad'!$K$68</f>
        <v>#VALUE!</v>
      </c>
      <c r="AD134" s="688"/>
      <c r="AE134" s="48">
        <f t="shared" si="34"/>
        <v>0</v>
      </c>
      <c r="AF134" s="48">
        <f t="shared" si="40"/>
        <v>1527.45</v>
      </c>
      <c r="AG134" s="48" t="str">
        <f t="shared" si="41"/>
        <v>4255-255</v>
      </c>
    </row>
    <row r="135" spans="1:33" ht="12.75">
      <c r="A135" s="102"/>
      <c r="B135" s="364"/>
      <c r="C135" s="365"/>
      <c r="D135" s="676" t="s">
        <v>112</v>
      </c>
      <c r="E135" s="677" t="s">
        <v>314</v>
      </c>
      <c r="F135" s="678" t="s">
        <v>490</v>
      </c>
      <c r="G135" s="679" t="s">
        <v>491</v>
      </c>
      <c r="H135" s="679" t="str">
        <f t="shared" si="28"/>
        <v>sanitaire ruimte (toilet-/doucheruimte)</v>
      </c>
      <c r="I135" s="689" t="s">
        <v>473</v>
      </c>
      <c r="J135" s="680">
        <v>1.45</v>
      </c>
      <c r="K135" s="680"/>
      <c r="L135" s="692">
        <v>4255</v>
      </c>
      <c r="M135" s="677"/>
      <c r="N135" s="682"/>
      <c r="O135" s="682"/>
      <c r="P135" s="682">
        <f t="shared" si="35"/>
        <v>255</v>
      </c>
      <c r="Q135" s="683">
        <v>0.78</v>
      </c>
      <c r="R135" s="684">
        <v>1</v>
      </c>
      <c r="S135" s="685">
        <f t="shared" si="36"/>
        <v>0</v>
      </c>
      <c r="T135" s="685">
        <f t="shared" si="37"/>
        <v>0</v>
      </c>
      <c r="U135" s="685">
        <f t="shared" si="38"/>
        <v>0</v>
      </c>
      <c r="V135" s="685">
        <f t="shared" si="39"/>
        <v>0</v>
      </c>
      <c r="W135" s="686">
        <f t="shared" si="29"/>
        <v>0</v>
      </c>
      <c r="X135" s="686">
        <f t="shared" si="30"/>
        <v>0</v>
      </c>
      <c r="Y135" s="686">
        <f t="shared" si="31"/>
        <v>0</v>
      </c>
      <c r="Z135" s="686">
        <f t="shared" si="32"/>
        <v>0</v>
      </c>
      <c r="AA135" s="685" t="str">
        <f t="shared" si="33"/>
        <v>S</v>
      </c>
      <c r="AB135" s="687"/>
      <c r="AC135" s="688" t="e">
        <f>(S135+T135+U135)*'1.0-Contractblad'!$K$68</f>
        <v>#VALUE!</v>
      </c>
      <c r="AD135" s="688"/>
      <c r="AE135" s="48">
        <f t="shared" si="34"/>
        <v>0</v>
      </c>
      <c r="AF135" s="48">
        <f t="shared" si="40"/>
        <v>369.75</v>
      </c>
      <c r="AG135" s="48" t="str">
        <f t="shared" si="41"/>
        <v>4255-255</v>
      </c>
    </row>
    <row r="136" spans="1:33" ht="12.75">
      <c r="A136" s="102"/>
      <c r="B136" s="364"/>
      <c r="C136" s="365"/>
      <c r="D136" s="676" t="s">
        <v>112</v>
      </c>
      <c r="E136" s="677" t="s">
        <v>314</v>
      </c>
      <c r="F136" s="678" t="s">
        <v>492</v>
      </c>
      <c r="G136" s="679" t="s">
        <v>491</v>
      </c>
      <c r="H136" s="679" t="str">
        <f t="shared" si="28"/>
        <v>sanitaire ruimte (toilet-/doucheruimte)</v>
      </c>
      <c r="I136" s="689" t="s">
        <v>473</v>
      </c>
      <c r="J136" s="680">
        <v>1.45</v>
      </c>
      <c r="K136" s="680"/>
      <c r="L136" s="692">
        <v>4255</v>
      </c>
      <c r="M136" s="677"/>
      <c r="N136" s="682"/>
      <c r="O136" s="682"/>
      <c r="P136" s="682">
        <f t="shared" si="35"/>
        <v>255</v>
      </c>
      <c r="Q136" s="683">
        <v>0.78</v>
      </c>
      <c r="R136" s="684">
        <v>1</v>
      </c>
      <c r="S136" s="685">
        <f t="shared" si="36"/>
        <v>0</v>
      </c>
      <c r="T136" s="685">
        <f t="shared" si="37"/>
        <v>0</v>
      </c>
      <c r="U136" s="685">
        <f t="shared" si="38"/>
        <v>0</v>
      </c>
      <c r="V136" s="685">
        <f t="shared" si="39"/>
        <v>0</v>
      </c>
      <c r="W136" s="686">
        <f t="shared" si="29"/>
        <v>0</v>
      </c>
      <c r="X136" s="686">
        <f t="shared" si="30"/>
        <v>0</v>
      </c>
      <c r="Y136" s="686">
        <f t="shared" si="31"/>
        <v>0</v>
      </c>
      <c r="Z136" s="686">
        <f t="shared" si="32"/>
        <v>0</v>
      </c>
      <c r="AA136" s="685" t="str">
        <f t="shared" si="33"/>
        <v>S</v>
      </c>
      <c r="AB136" s="687"/>
      <c r="AC136" s="688" t="e">
        <f>(S136+T136+U136)*'1.0-Contractblad'!$K$68</f>
        <v>#VALUE!</v>
      </c>
      <c r="AD136" s="688"/>
      <c r="AE136" s="48">
        <f t="shared" si="34"/>
        <v>0</v>
      </c>
      <c r="AF136" s="48">
        <f t="shared" si="40"/>
        <v>369.75</v>
      </c>
      <c r="AG136" s="48" t="str">
        <f t="shared" si="41"/>
        <v>4255-255</v>
      </c>
    </row>
    <row r="137" spans="1:33" ht="12.75">
      <c r="A137" s="102"/>
      <c r="B137" s="364"/>
      <c r="C137" s="365"/>
      <c r="D137" s="676" t="s">
        <v>112</v>
      </c>
      <c r="E137" s="677" t="s">
        <v>419</v>
      </c>
      <c r="F137" s="678" t="s">
        <v>493</v>
      </c>
      <c r="G137" s="679" t="s">
        <v>382</v>
      </c>
      <c r="H137" s="679" t="str">
        <f t="shared" si="28"/>
        <v>entree, gang, hal, repro, kopieer</v>
      </c>
      <c r="I137" s="689" t="s">
        <v>322</v>
      </c>
      <c r="J137" s="680">
        <v>20</v>
      </c>
      <c r="K137" s="680"/>
      <c r="L137" s="692">
        <v>3255</v>
      </c>
      <c r="M137" s="677"/>
      <c r="N137" s="682"/>
      <c r="O137" s="682"/>
      <c r="P137" s="682">
        <f t="shared" si="35"/>
        <v>255</v>
      </c>
      <c r="Q137" s="683">
        <v>0.78</v>
      </c>
      <c r="R137" s="684">
        <v>1</v>
      </c>
      <c r="S137" s="685">
        <f t="shared" si="36"/>
        <v>0</v>
      </c>
      <c r="T137" s="685">
        <f t="shared" si="37"/>
        <v>0</v>
      </c>
      <c r="U137" s="685">
        <f t="shared" si="38"/>
        <v>0</v>
      </c>
      <c r="V137" s="685">
        <f t="shared" si="39"/>
        <v>0</v>
      </c>
      <c r="W137" s="686">
        <f t="shared" si="29"/>
        <v>0</v>
      </c>
      <c r="X137" s="686">
        <f t="shared" si="30"/>
        <v>0</v>
      </c>
      <c r="Y137" s="686">
        <f t="shared" si="31"/>
        <v>0</v>
      </c>
      <c r="Z137" s="686">
        <f t="shared" si="32"/>
        <v>0</v>
      </c>
      <c r="AA137" s="685" t="str">
        <f t="shared" si="33"/>
        <v>V</v>
      </c>
      <c r="AB137" s="687"/>
      <c r="AC137" s="688" t="e">
        <f>(S137+T137+U137)*'1.0-Contractblad'!$K$68</f>
        <v>#VALUE!</v>
      </c>
      <c r="AD137" s="688"/>
      <c r="AE137" s="48">
        <f t="shared" si="34"/>
        <v>0</v>
      </c>
      <c r="AF137" s="48">
        <f t="shared" si="40"/>
        <v>5100</v>
      </c>
      <c r="AG137" s="48" t="str">
        <f t="shared" si="41"/>
        <v>3255-255</v>
      </c>
    </row>
    <row r="138" spans="1:33" ht="12.75">
      <c r="A138" s="102"/>
      <c r="B138" s="364"/>
      <c r="C138" s="365"/>
      <c r="D138" s="676" t="s">
        <v>112</v>
      </c>
      <c r="E138" s="677" t="s">
        <v>419</v>
      </c>
      <c r="F138" s="678" t="s">
        <v>494</v>
      </c>
      <c r="G138" s="679" t="s">
        <v>333</v>
      </c>
      <c r="H138" s="679" t="str">
        <f t="shared" si="28"/>
        <v>administratieve -, personeels- en vergaderruimte</v>
      </c>
      <c r="I138" s="689" t="s">
        <v>495</v>
      </c>
      <c r="J138" s="680">
        <v>19.100000000000001</v>
      </c>
      <c r="K138" s="680"/>
      <c r="L138" s="692">
        <v>1255</v>
      </c>
      <c r="M138" s="677"/>
      <c r="N138" s="682"/>
      <c r="O138" s="682"/>
      <c r="P138" s="682">
        <f t="shared" si="35"/>
        <v>255</v>
      </c>
      <c r="Q138" s="683">
        <v>0.78</v>
      </c>
      <c r="R138" s="684">
        <v>1</v>
      </c>
      <c r="S138" s="685">
        <f t="shared" si="36"/>
        <v>0</v>
      </c>
      <c r="T138" s="685">
        <f t="shared" si="37"/>
        <v>0</v>
      </c>
      <c r="U138" s="685">
        <f t="shared" si="38"/>
        <v>0</v>
      </c>
      <c r="V138" s="685">
        <f t="shared" si="39"/>
        <v>0</v>
      </c>
      <c r="W138" s="686">
        <f t="shared" si="29"/>
        <v>0</v>
      </c>
      <c r="X138" s="686">
        <f t="shared" si="30"/>
        <v>0</v>
      </c>
      <c r="Y138" s="686">
        <f t="shared" si="31"/>
        <v>0</v>
      </c>
      <c r="Z138" s="686">
        <f t="shared" si="32"/>
        <v>0</v>
      </c>
      <c r="AA138" s="685" t="str">
        <f t="shared" si="33"/>
        <v>B</v>
      </c>
      <c r="AB138" s="687"/>
      <c r="AC138" s="688" t="e">
        <f>(S138+T138+U138)*'1.0-Contractblad'!$K$68</f>
        <v>#VALUE!</v>
      </c>
      <c r="AD138" s="688"/>
      <c r="AE138" s="48">
        <f t="shared" si="34"/>
        <v>0</v>
      </c>
      <c r="AF138" s="48">
        <f t="shared" si="40"/>
        <v>4870.5</v>
      </c>
      <c r="AG138" s="48" t="str">
        <f t="shared" si="41"/>
        <v>1255-255</v>
      </c>
    </row>
    <row r="139" spans="1:33" ht="12.75">
      <c r="A139" s="102"/>
      <c r="B139" s="364"/>
      <c r="C139" s="365"/>
      <c r="D139" s="676" t="s">
        <v>112</v>
      </c>
      <c r="E139" s="677" t="s">
        <v>419</v>
      </c>
      <c r="F139" s="678" t="s">
        <v>496</v>
      </c>
      <c r="G139" s="679" t="s">
        <v>470</v>
      </c>
      <c r="H139" s="679" t="str">
        <f t="shared" si="28"/>
        <v>administratieve -, personeels- en vergaderruimte</v>
      </c>
      <c r="I139" s="689" t="s">
        <v>322</v>
      </c>
      <c r="J139" s="680">
        <v>93</v>
      </c>
      <c r="K139" s="680"/>
      <c r="L139" s="692">
        <v>1255</v>
      </c>
      <c r="M139" s="677"/>
      <c r="N139" s="682"/>
      <c r="O139" s="682"/>
      <c r="P139" s="682">
        <f t="shared" si="35"/>
        <v>255</v>
      </c>
      <c r="Q139" s="683">
        <v>0.78</v>
      </c>
      <c r="R139" s="684">
        <v>1</v>
      </c>
      <c r="S139" s="685">
        <f t="shared" si="36"/>
        <v>0</v>
      </c>
      <c r="T139" s="685">
        <f t="shared" si="37"/>
        <v>0</v>
      </c>
      <c r="U139" s="685">
        <f t="shared" si="38"/>
        <v>0</v>
      </c>
      <c r="V139" s="685">
        <f t="shared" si="39"/>
        <v>0</v>
      </c>
      <c r="W139" s="686">
        <f t="shared" si="29"/>
        <v>0</v>
      </c>
      <c r="X139" s="686">
        <f t="shared" si="30"/>
        <v>0</v>
      </c>
      <c r="Y139" s="686">
        <f t="shared" si="31"/>
        <v>0</v>
      </c>
      <c r="Z139" s="686">
        <f t="shared" si="32"/>
        <v>0</v>
      </c>
      <c r="AA139" s="685" t="str">
        <f t="shared" si="33"/>
        <v>B</v>
      </c>
      <c r="AB139" s="687"/>
      <c r="AC139" s="688" t="e">
        <f>(S139+T139+U139)*'1.0-Contractblad'!$K$68</f>
        <v>#VALUE!</v>
      </c>
      <c r="AD139" s="688"/>
      <c r="AE139" s="48">
        <f t="shared" si="34"/>
        <v>0</v>
      </c>
      <c r="AF139" s="48">
        <f t="shared" si="40"/>
        <v>23715</v>
      </c>
      <c r="AG139" s="48" t="str">
        <f t="shared" si="41"/>
        <v>1255-255</v>
      </c>
    </row>
    <row r="140" spans="1:33" ht="12.75">
      <c r="A140" s="102"/>
      <c r="B140" s="364"/>
      <c r="C140" s="365"/>
      <c r="D140" s="676" t="s">
        <v>112</v>
      </c>
      <c r="E140" s="677" t="s">
        <v>419</v>
      </c>
      <c r="F140" s="678" t="s">
        <v>497</v>
      </c>
      <c r="G140" s="679" t="s">
        <v>471</v>
      </c>
      <c r="H140" s="679" t="str">
        <f t="shared" si="28"/>
        <v>administratieve -, personeels- en vergaderruimte</v>
      </c>
      <c r="I140" s="689" t="s">
        <v>322</v>
      </c>
      <c r="J140" s="680">
        <v>6.24</v>
      </c>
      <c r="K140" s="680"/>
      <c r="L140" s="692">
        <v>1255</v>
      </c>
      <c r="M140" s="677"/>
      <c r="N140" s="682"/>
      <c r="O140" s="682"/>
      <c r="P140" s="682">
        <f t="shared" si="35"/>
        <v>255</v>
      </c>
      <c r="Q140" s="683">
        <v>0.78</v>
      </c>
      <c r="R140" s="684">
        <v>1</v>
      </c>
      <c r="S140" s="685">
        <f t="shared" si="36"/>
        <v>0</v>
      </c>
      <c r="T140" s="685">
        <f t="shared" si="37"/>
        <v>0</v>
      </c>
      <c r="U140" s="685">
        <f t="shared" si="38"/>
        <v>0</v>
      </c>
      <c r="V140" s="685">
        <f t="shared" si="39"/>
        <v>0</v>
      </c>
      <c r="W140" s="686">
        <f t="shared" si="29"/>
        <v>0</v>
      </c>
      <c r="X140" s="686">
        <f t="shared" si="30"/>
        <v>0</v>
      </c>
      <c r="Y140" s="686">
        <f t="shared" si="31"/>
        <v>0</v>
      </c>
      <c r="Z140" s="686">
        <f t="shared" si="32"/>
        <v>0</v>
      </c>
      <c r="AA140" s="685" t="str">
        <f t="shared" si="33"/>
        <v>B</v>
      </c>
      <c r="AB140" s="687"/>
      <c r="AC140" s="688" t="e">
        <f>(S140+T140+U140)*'1.0-Contractblad'!$K$68</f>
        <v>#VALUE!</v>
      </c>
      <c r="AD140" s="688"/>
      <c r="AE140" s="48">
        <f t="shared" si="34"/>
        <v>0</v>
      </c>
      <c r="AF140" s="48">
        <f t="shared" si="40"/>
        <v>1591.2</v>
      </c>
      <c r="AG140" s="48" t="str">
        <f t="shared" si="41"/>
        <v>1255-255</v>
      </c>
    </row>
    <row r="141" spans="1:33" ht="12.75">
      <c r="A141" s="102"/>
      <c r="B141" s="364"/>
      <c r="C141" s="365"/>
      <c r="D141" s="676" t="s">
        <v>112</v>
      </c>
      <c r="E141" s="677" t="s">
        <v>419</v>
      </c>
      <c r="F141" s="678" t="s">
        <v>498</v>
      </c>
      <c r="G141" s="679" t="s">
        <v>333</v>
      </c>
      <c r="H141" s="679" t="str">
        <f t="shared" si="28"/>
        <v>administratieve -, personeels- en vergaderruimte</v>
      </c>
      <c r="I141" s="689" t="s">
        <v>495</v>
      </c>
      <c r="J141" s="680">
        <v>27.9</v>
      </c>
      <c r="K141" s="680"/>
      <c r="L141" s="692">
        <v>1255</v>
      </c>
      <c r="M141" s="677"/>
      <c r="N141" s="682"/>
      <c r="O141" s="682"/>
      <c r="P141" s="682">
        <f t="shared" si="35"/>
        <v>255</v>
      </c>
      <c r="Q141" s="683">
        <v>0.78</v>
      </c>
      <c r="R141" s="684">
        <v>1</v>
      </c>
      <c r="S141" s="685">
        <f t="shared" si="36"/>
        <v>0</v>
      </c>
      <c r="T141" s="685">
        <f t="shared" si="37"/>
        <v>0</v>
      </c>
      <c r="U141" s="685">
        <f t="shared" si="38"/>
        <v>0</v>
      </c>
      <c r="V141" s="685">
        <f t="shared" si="39"/>
        <v>0</v>
      </c>
      <c r="W141" s="686">
        <f t="shared" si="29"/>
        <v>0</v>
      </c>
      <c r="X141" s="686">
        <f t="shared" si="30"/>
        <v>0</v>
      </c>
      <c r="Y141" s="686">
        <f t="shared" si="31"/>
        <v>0</v>
      </c>
      <c r="Z141" s="686">
        <f t="shared" si="32"/>
        <v>0</v>
      </c>
      <c r="AA141" s="685" t="str">
        <f t="shared" si="33"/>
        <v>B</v>
      </c>
      <c r="AB141" s="687"/>
      <c r="AC141" s="688" t="e">
        <f>(S141+T141+U141)*'1.0-Contractblad'!$K$68</f>
        <v>#VALUE!</v>
      </c>
      <c r="AD141" s="688"/>
      <c r="AE141" s="48">
        <f t="shared" si="34"/>
        <v>0</v>
      </c>
      <c r="AF141" s="48">
        <f t="shared" si="40"/>
        <v>7114.5</v>
      </c>
      <c r="AG141" s="48" t="str">
        <f t="shared" si="41"/>
        <v>1255-255</v>
      </c>
    </row>
    <row r="142" spans="1:33" ht="12.75">
      <c r="A142" s="102"/>
      <c r="B142" s="364"/>
      <c r="C142" s="365"/>
      <c r="D142" s="676" t="s">
        <v>112</v>
      </c>
      <c r="E142" s="677" t="s">
        <v>419</v>
      </c>
      <c r="F142" s="678" t="s">
        <v>499</v>
      </c>
      <c r="G142" s="679" t="s">
        <v>500</v>
      </c>
      <c r="H142" s="679" t="str">
        <f t="shared" si="28"/>
        <v>pantry, keuken, koffiecorner</v>
      </c>
      <c r="I142" s="689" t="s">
        <v>501</v>
      </c>
      <c r="J142" s="680">
        <v>109</v>
      </c>
      <c r="K142" s="680"/>
      <c r="L142" s="692">
        <v>5255</v>
      </c>
      <c r="M142" s="677"/>
      <c r="N142" s="682"/>
      <c r="O142" s="682"/>
      <c r="P142" s="682">
        <f t="shared" si="35"/>
        <v>255</v>
      </c>
      <c r="Q142" s="683">
        <v>0.78</v>
      </c>
      <c r="R142" s="684">
        <v>1</v>
      </c>
      <c r="S142" s="685">
        <f t="shared" si="36"/>
        <v>0</v>
      </c>
      <c r="T142" s="685">
        <f t="shared" si="37"/>
        <v>0</v>
      </c>
      <c r="U142" s="685">
        <f t="shared" si="38"/>
        <v>0</v>
      </c>
      <c r="V142" s="685">
        <f t="shared" si="39"/>
        <v>0</v>
      </c>
      <c r="W142" s="686">
        <f t="shared" si="29"/>
        <v>0</v>
      </c>
      <c r="X142" s="686">
        <f t="shared" si="30"/>
        <v>0</v>
      </c>
      <c r="Y142" s="686">
        <f t="shared" si="31"/>
        <v>0</v>
      </c>
      <c r="Z142" s="686">
        <f t="shared" si="32"/>
        <v>0</v>
      </c>
      <c r="AA142" s="685" t="str">
        <f t="shared" si="33"/>
        <v>V</v>
      </c>
      <c r="AB142" s="687"/>
      <c r="AC142" s="688" t="e">
        <f>(S142+T142+U142)*'1.0-Contractblad'!$K$68</f>
        <v>#VALUE!</v>
      </c>
      <c r="AD142" s="688"/>
      <c r="AE142" s="48">
        <f t="shared" si="34"/>
        <v>0</v>
      </c>
      <c r="AF142" s="48">
        <f t="shared" si="40"/>
        <v>27795</v>
      </c>
      <c r="AG142" s="48" t="str">
        <f t="shared" si="41"/>
        <v>5255-255</v>
      </c>
    </row>
    <row r="143" spans="1:33" ht="12.75">
      <c r="A143" s="102"/>
      <c r="B143" s="364"/>
      <c r="C143" s="365"/>
      <c r="D143" s="676" t="s">
        <v>112</v>
      </c>
      <c r="E143" s="677" t="s">
        <v>419</v>
      </c>
      <c r="F143" s="678" t="s">
        <v>502</v>
      </c>
      <c r="G143" s="679" t="s">
        <v>432</v>
      </c>
      <c r="H143" s="679" t="str">
        <f t="shared" si="28"/>
        <v>niet van toepassing</v>
      </c>
      <c r="I143" s="689" t="s">
        <v>322</v>
      </c>
      <c r="J143" s="680"/>
      <c r="K143" s="680">
        <v>16</v>
      </c>
      <c r="L143" s="692" t="s">
        <v>225</v>
      </c>
      <c r="M143" s="677"/>
      <c r="N143" s="682"/>
      <c r="O143" s="682"/>
      <c r="P143" s="682">
        <f t="shared" si="35"/>
        <v>0</v>
      </c>
      <c r="Q143" s="683">
        <v>0.78</v>
      </c>
      <c r="R143" s="684">
        <v>1</v>
      </c>
      <c r="S143" s="685">
        <f t="shared" si="36"/>
        <v>0</v>
      </c>
      <c r="T143" s="685">
        <f t="shared" si="37"/>
        <v>0</v>
      </c>
      <c r="U143" s="685">
        <f t="shared" si="38"/>
        <v>0</v>
      </c>
      <c r="V143" s="685">
        <f t="shared" si="39"/>
        <v>0</v>
      </c>
      <c r="W143" s="686">
        <f t="shared" si="29"/>
        <v>0</v>
      </c>
      <c r="X143" s="686">
        <f t="shared" si="30"/>
        <v>0</v>
      </c>
      <c r="Y143" s="686">
        <f t="shared" si="31"/>
        <v>0</v>
      </c>
      <c r="Z143" s="686">
        <f t="shared" si="32"/>
        <v>0</v>
      </c>
      <c r="AA143" s="685">
        <f t="shared" si="33"/>
        <v>0</v>
      </c>
      <c r="AB143" s="687"/>
      <c r="AC143" s="688" t="e">
        <f>(S143+T143+U143)*'1.0-Contractblad'!$K$68</f>
        <v>#VALUE!</v>
      </c>
      <c r="AD143" s="688"/>
      <c r="AE143" s="48">
        <f t="shared" si="34"/>
        <v>0</v>
      </c>
      <c r="AF143" s="48">
        <f t="shared" si="40"/>
        <v>0</v>
      </c>
      <c r="AG143" s="48" t="str">
        <f t="shared" si="41"/>
        <v>nvt-0</v>
      </c>
    </row>
    <row r="144" spans="1:33" ht="12.75">
      <c r="A144" s="102"/>
      <c r="B144" s="364"/>
      <c r="C144" s="365"/>
      <c r="D144" s="676" t="s">
        <v>112</v>
      </c>
      <c r="E144" s="677" t="s">
        <v>419</v>
      </c>
      <c r="F144" s="678" t="s">
        <v>503</v>
      </c>
      <c r="G144" s="679" t="s">
        <v>432</v>
      </c>
      <c r="H144" s="679" t="str">
        <f t="shared" si="28"/>
        <v>niet van toepassing</v>
      </c>
      <c r="I144" s="689" t="s">
        <v>322</v>
      </c>
      <c r="J144" s="680"/>
      <c r="K144" s="680">
        <v>10.1</v>
      </c>
      <c r="L144" s="692" t="s">
        <v>225</v>
      </c>
      <c r="M144" s="677"/>
      <c r="N144" s="682"/>
      <c r="O144" s="682"/>
      <c r="P144" s="682">
        <f t="shared" si="35"/>
        <v>0</v>
      </c>
      <c r="Q144" s="683">
        <v>0.78</v>
      </c>
      <c r="R144" s="684">
        <v>1</v>
      </c>
      <c r="S144" s="685">
        <f t="shared" si="36"/>
        <v>0</v>
      </c>
      <c r="T144" s="685">
        <f t="shared" si="37"/>
        <v>0</v>
      </c>
      <c r="U144" s="685">
        <f t="shared" si="38"/>
        <v>0</v>
      </c>
      <c r="V144" s="685">
        <f t="shared" si="39"/>
        <v>0</v>
      </c>
      <c r="W144" s="686">
        <f t="shared" si="29"/>
        <v>0</v>
      </c>
      <c r="X144" s="686">
        <f t="shared" si="30"/>
        <v>0</v>
      </c>
      <c r="Y144" s="686">
        <f t="shared" si="31"/>
        <v>0</v>
      </c>
      <c r="Z144" s="686">
        <f t="shared" si="32"/>
        <v>0</v>
      </c>
      <c r="AA144" s="685">
        <f t="shared" si="33"/>
        <v>0</v>
      </c>
      <c r="AB144" s="687"/>
      <c r="AC144" s="688" t="e">
        <f>(S144+T144+U144)*'1.0-Contractblad'!$K$68</f>
        <v>#VALUE!</v>
      </c>
      <c r="AD144" s="688"/>
      <c r="AE144" s="48">
        <f t="shared" si="34"/>
        <v>0</v>
      </c>
      <c r="AF144" s="48">
        <f t="shared" si="40"/>
        <v>0</v>
      </c>
      <c r="AG144" s="48" t="str">
        <f t="shared" si="41"/>
        <v>nvt-0</v>
      </c>
    </row>
    <row r="145" spans="1:33" ht="12.75">
      <c r="A145" s="102"/>
      <c r="B145" s="364"/>
      <c r="C145" s="365"/>
      <c r="D145" s="676" t="s">
        <v>112</v>
      </c>
      <c r="E145" s="677" t="s">
        <v>419</v>
      </c>
      <c r="F145" s="678" t="s">
        <v>504</v>
      </c>
      <c r="G145" s="679" t="s">
        <v>432</v>
      </c>
      <c r="H145" s="679" t="str">
        <f t="shared" si="28"/>
        <v>niet van toepassing</v>
      </c>
      <c r="I145" s="689" t="s">
        <v>322</v>
      </c>
      <c r="J145" s="680"/>
      <c r="K145" s="680">
        <v>9.94</v>
      </c>
      <c r="L145" s="692" t="s">
        <v>225</v>
      </c>
      <c r="M145" s="677"/>
      <c r="N145" s="682"/>
      <c r="O145" s="682"/>
      <c r="P145" s="682">
        <f t="shared" si="35"/>
        <v>0</v>
      </c>
      <c r="Q145" s="683">
        <v>0.78</v>
      </c>
      <c r="R145" s="684">
        <v>1</v>
      </c>
      <c r="S145" s="685">
        <f t="shared" si="36"/>
        <v>0</v>
      </c>
      <c r="T145" s="685">
        <f t="shared" si="37"/>
        <v>0</v>
      </c>
      <c r="U145" s="685">
        <f t="shared" si="38"/>
        <v>0</v>
      </c>
      <c r="V145" s="685">
        <f t="shared" si="39"/>
        <v>0</v>
      </c>
      <c r="W145" s="686">
        <f t="shared" si="29"/>
        <v>0</v>
      </c>
      <c r="X145" s="686">
        <f t="shared" si="30"/>
        <v>0</v>
      </c>
      <c r="Y145" s="686">
        <f t="shared" si="31"/>
        <v>0</v>
      </c>
      <c r="Z145" s="686">
        <f t="shared" si="32"/>
        <v>0</v>
      </c>
      <c r="AA145" s="685">
        <f t="shared" si="33"/>
        <v>0</v>
      </c>
      <c r="AB145" s="687"/>
      <c r="AC145" s="688" t="e">
        <f>(S145+T145+U145)*'1.0-Contractblad'!$K$68</f>
        <v>#VALUE!</v>
      </c>
      <c r="AD145" s="688"/>
      <c r="AE145" s="48">
        <f t="shared" si="34"/>
        <v>0</v>
      </c>
      <c r="AF145" s="48">
        <f t="shared" si="40"/>
        <v>0</v>
      </c>
      <c r="AG145" s="48" t="str">
        <f t="shared" si="41"/>
        <v>nvt-0</v>
      </c>
    </row>
    <row r="146" spans="1:33" ht="12.75">
      <c r="A146" s="102"/>
      <c r="B146" s="364"/>
      <c r="C146" s="365"/>
      <c r="D146" s="676" t="s">
        <v>112</v>
      </c>
      <c r="E146" s="677" t="s">
        <v>419</v>
      </c>
      <c r="F146" s="678" t="s">
        <v>505</v>
      </c>
      <c r="G146" s="679" t="s">
        <v>382</v>
      </c>
      <c r="H146" s="679" t="str">
        <f t="shared" si="28"/>
        <v>entree, gang, hal, repro, kopieer</v>
      </c>
      <c r="I146" s="689" t="s">
        <v>322</v>
      </c>
      <c r="J146" s="680">
        <v>21.6</v>
      </c>
      <c r="K146" s="680"/>
      <c r="L146" s="692">
        <v>3255</v>
      </c>
      <c r="M146" s="677"/>
      <c r="N146" s="682"/>
      <c r="O146" s="682"/>
      <c r="P146" s="682">
        <f t="shared" si="35"/>
        <v>255</v>
      </c>
      <c r="Q146" s="683">
        <v>0.78</v>
      </c>
      <c r="R146" s="684">
        <v>1</v>
      </c>
      <c r="S146" s="685">
        <f t="shared" si="36"/>
        <v>0</v>
      </c>
      <c r="T146" s="685">
        <f t="shared" si="37"/>
        <v>0</v>
      </c>
      <c r="U146" s="685">
        <f t="shared" si="38"/>
        <v>0</v>
      </c>
      <c r="V146" s="685">
        <f t="shared" si="39"/>
        <v>0</v>
      </c>
      <c r="W146" s="686">
        <f t="shared" si="29"/>
        <v>0</v>
      </c>
      <c r="X146" s="686">
        <f t="shared" si="30"/>
        <v>0</v>
      </c>
      <c r="Y146" s="686">
        <f t="shared" si="31"/>
        <v>0</v>
      </c>
      <c r="Z146" s="686">
        <f t="shared" si="32"/>
        <v>0</v>
      </c>
      <c r="AA146" s="685" t="str">
        <f t="shared" si="33"/>
        <v>V</v>
      </c>
      <c r="AB146" s="687"/>
      <c r="AC146" s="688" t="e">
        <f>(S146+T146+U146)*'1.0-Contractblad'!$K$68</f>
        <v>#VALUE!</v>
      </c>
      <c r="AD146" s="688"/>
      <c r="AE146" s="48">
        <f t="shared" si="34"/>
        <v>0</v>
      </c>
      <c r="AF146" s="48">
        <f t="shared" si="40"/>
        <v>5508</v>
      </c>
      <c r="AG146" s="48" t="str">
        <f t="shared" si="41"/>
        <v>3255-255</v>
      </c>
    </row>
    <row r="147" spans="1:33" ht="12.75">
      <c r="A147" s="102"/>
      <c r="B147" s="364"/>
      <c r="C147" s="365"/>
      <c r="D147" s="676" t="s">
        <v>112</v>
      </c>
      <c r="E147" s="677" t="s">
        <v>314</v>
      </c>
      <c r="F147" s="678" t="s">
        <v>506</v>
      </c>
      <c r="G147" s="679" t="s">
        <v>507</v>
      </c>
      <c r="H147" s="679" t="str">
        <f t="shared" si="28"/>
        <v>niet van toepassing</v>
      </c>
      <c r="I147" s="689" t="s">
        <v>240</v>
      </c>
      <c r="J147" s="680"/>
      <c r="K147" s="680"/>
      <c r="L147" s="692" t="s">
        <v>225</v>
      </c>
      <c r="M147" s="677"/>
      <c r="N147" s="682"/>
      <c r="O147" s="682"/>
      <c r="P147" s="682">
        <f t="shared" si="35"/>
        <v>0</v>
      </c>
      <c r="Q147" s="683">
        <v>0.78</v>
      </c>
      <c r="R147" s="684">
        <v>1</v>
      </c>
      <c r="S147" s="685">
        <f t="shared" si="36"/>
        <v>0</v>
      </c>
      <c r="T147" s="685">
        <f t="shared" si="37"/>
        <v>0</v>
      </c>
      <c r="U147" s="685">
        <f t="shared" si="38"/>
        <v>0</v>
      </c>
      <c r="V147" s="685">
        <f t="shared" si="39"/>
        <v>0</v>
      </c>
      <c r="W147" s="686">
        <f t="shared" si="29"/>
        <v>0</v>
      </c>
      <c r="X147" s="686">
        <f t="shared" si="30"/>
        <v>0</v>
      </c>
      <c r="Y147" s="686">
        <f t="shared" si="31"/>
        <v>0</v>
      </c>
      <c r="Z147" s="686">
        <f t="shared" si="32"/>
        <v>0</v>
      </c>
      <c r="AA147" s="685">
        <f t="shared" si="33"/>
        <v>0</v>
      </c>
      <c r="AB147" s="687"/>
      <c r="AC147" s="688" t="e">
        <f>(S147+T147+U147)*'1.0-Contractblad'!$K$68</f>
        <v>#VALUE!</v>
      </c>
      <c r="AD147" s="688"/>
      <c r="AE147" s="48">
        <f t="shared" si="34"/>
        <v>0</v>
      </c>
      <c r="AF147" s="48">
        <f t="shared" si="40"/>
        <v>0</v>
      </c>
      <c r="AG147" s="48" t="str">
        <f t="shared" si="41"/>
        <v>nvt-0</v>
      </c>
    </row>
    <row r="148" spans="1:33" ht="12.75">
      <c r="A148" s="102"/>
      <c r="B148" s="364"/>
      <c r="C148" s="365"/>
      <c r="D148" s="676" t="s">
        <v>112</v>
      </c>
      <c r="E148" s="677" t="s">
        <v>314</v>
      </c>
      <c r="F148" s="678" t="s">
        <v>508</v>
      </c>
      <c r="G148" s="679" t="s">
        <v>509</v>
      </c>
      <c r="H148" s="679" t="str">
        <f t="shared" si="28"/>
        <v>administratieve -, personeels- en vergaderruimte</v>
      </c>
      <c r="I148" s="689" t="s">
        <v>240</v>
      </c>
      <c r="J148" s="680"/>
      <c r="K148" s="680"/>
      <c r="L148" s="692">
        <v>1255</v>
      </c>
      <c r="M148" s="677"/>
      <c r="N148" s="682"/>
      <c r="O148" s="682"/>
      <c r="P148" s="682">
        <f t="shared" si="35"/>
        <v>255</v>
      </c>
      <c r="Q148" s="683">
        <v>0.78</v>
      </c>
      <c r="R148" s="684">
        <v>1</v>
      </c>
      <c r="S148" s="685">
        <f t="shared" si="36"/>
        <v>0</v>
      </c>
      <c r="T148" s="685">
        <f t="shared" si="37"/>
        <v>0</v>
      </c>
      <c r="U148" s="685">
        <f t="shared" si="38"/>
        <v>0</v>
      </c>
      <c r="V148" s="685">
        <f t="shared" si="39"/>
        <v>0</v>
      </c>
      <c r="W148" s="686">
        <f t="shared" si="29"/>
        <v>0</v>
      </c>
      <c r="X148" s="686">
        <f t="shared" si="30"/>
        <v>0</v>
      </c>
      <c r="Y148" s="686">
        <f t="shared" si="31"/>
        <v>0</v>
      </c>
      <c r="Z148" s="686">
        <f t="shared" si="32"/>
        <v>0</v>
      </c>
      <c r="AA148" s="685" t="str">
        <f t="shared" si="33"/>
        <v>B</v>
      </c>
      <c r="AB148" s="695"/>
      <c r="AC148" s="688" t="e">
        <f>(S148+T148+U148)*'1.0-Contractblad'!$K$68</f>
        <v>#VALUE!</v>
      </c>
      <c r="AD148" s="688"/>
      <c r="AE148" s="48">
        <f t="shared" si="34"/>
        <v>0</v>
      </c>
      <c r="AF148" s="48">
        <f t="shared" si="40"/>
        <v>0</v>
      </c>
      <c r="AG148" s="48" t="str">
        <f t="shared" si="41"/>
        <v>1255-255</v>
      </c>
    </row>
    <row r="149" spans="1:33" ht="12.75">
      <c r="A149" s="102"/>
      <c r="B149" s="364"/>
      <c r="C149" s="365"/>
      <c r="D149" s="676" t="s">
        <v>112</v>
      </c>
      <c r="E149" s="677" t="s">
        <v>314</v>
      </c>
      <c r="F149" s="678" t="s">
        <v>510</v>
      </c>
      <c r="G149" s="679" t="s">
        <v>440</v>
      </c>
      <c r="H149" s="679" t="str">
        <f t="shared" si="28"/>
        <v>niet van toepassing</v>
      </c>
      <c r="I149" s="689" t="s">
        <v>240</v>
      </c>
      <c r="J149" s="680"/>
      <c r="K149" s="680"/>
      <c r="L149" s="692" t="s">
        <v>225</v>
      </c>
      <c r="M149" s="677"/>
      <c r="N149" s="682"/>
      <c r="O149" s="682"/>
      <c r="P149" s="682">
        <f t="shared" si="35"/>
        <v>0</v>
      </c>
      <c r="Q149" s="683">
        <v>0.78</v>
      </c>
      <c r="R149" s="684">
        <v>1</v>
      </c>
      <c r="S149" s="685">
        <f t="shared" si="36"/>
        <v>0</v>
      </c>
      <c r="T149" s="685">
        <f t="shared" si="37"/>
        <v>0</v>
      </c>
      <c r="U149" s="685">
        <f t="shared" si="38"/>
        <v>0</v>
      </c>
      <c r="V149" s="685">
        <f t="shared" si="39"/>
        <v>0</v>
      </c>
      <c r="W149" s="686">
        <f t="shared" si="29"/>
        <v>0</v>
      </c>
      <c r="X149" s="686">
        <f t="shared" si="30"/>
        <v>0</v>
      </c>
      <c r="Y149" s="686">
        <f t="shared" si="31"/>
        <v>0</v>
      </c>
      <c r="Z149" s="686">
        <f t="shared" si="32"/>
        <v>0</v>
      </c>
      <c r="AA149" s="685">
        <f t="shared" si="33"/>
        <v>0</v>
      </c>
      <c r="AB149" s="695"/>
      <c r="AC149" s="688" t="e">
        <f>(S149+T149+U149)*'1.0-Contractblad'!$K$68</f>
        <v>#VALUE!</v>
      </c>
      <c r="AD149" s="688"/>
      <c r="AE149" s="48">
        <f t="shared" si="34"/>
        <v>0</v>
      </c>
      <c r="AF149" s="48">
        <f t="shared" si="40"/>
        <v>0</v>
      </c>
      <c r="AG149" s="48" t="str">
        <f t="shared" si="41"/>
        <v>nvt-0</v>
      </c>
    </row>
    <row r="150" spans="1:33" ht="12.75">
      <c r="A150" s="102"/>
      <c r="B150" s="364"/>
      <c r="C150" s="365"/>
      <c r="D150" s="676" t="s">
        <v>112</v>
      </c>
      <c r="E150" s="677" t="s">
        <v>314</v>
      </c>
      <c r="F150" s="678" t="s">
        <v>511</v>
      </c>
      <c r="G150" s="679" t="s">
        <v>512</v>
      </c>
      <c r="H150" s="679" t="str">
        <f t="shared" si="28"/>
        <v>niet van toepassing</v>
      </c>
      <c r="I150" s="689" t="s">
        <v>240</v>
      </c>
      <c r="J150" s="680"/>
      <c r="K150" s="680"/>
      <c r="L150" s="692" t="s">
        <v>225</v>
      </c>
      <c r="M150" s="677"/>
      <c r="N150" s="682"/>
      <c r="O150" s="682"/>
      <c r="P150" s="682">
        <f t="shared" si="35"/>
        <v>0</v>
      </c>
      <c r="Q150" s="683">
        <v>0.78</v>
      </c>
      <c r="R150" s="684">
        <v>1</v>
      </c>
      <c r="S150" s="685">
        <f t="shared" si="36"/>
        <v>0</v>
      </c>
      <c r="T150" s="685">
        <f t="shared" si="37"/>
        <v>0</v>
      </c>
      <c r="U150" s="685">
        <f t="shared" si="38"/>
        <v>0</v>
      </c>
      <c r="V150" s="685">
        <f t="shared" si="39"/>
        <v>0</v>
      </c>
      <c r="W150" s="686">
        <f t="shared" si="29"/>
        <v>0</v>
      </c>
      <c r="X150" s="686">
        <f t="shared" si="30"/>
        <v>0</v>
      </c>
      <c r="Y150" s="686">
        <f t="shared" si="31"/>
        <v>0</v>
      </c>
      <c r="Z150" s="686">
        <f t="shared" si="32"/>
        <v>0</v>
      </c>
      <c r="AA150" s="685">
        <f t="shared" si="33"/>
        <v>0</v>
      </c>
      <c r="AB150" s="695"/>
      <c r="AC150" s="688" t="e">
        <f>(S150+T150+U150)*'1.0-Contractblad'!$K$68</f>
        <v>#VALUE!</v>
      </c>
      <c r="AD150" s="688"/>
      <c r="AE150" s="48">
        <f t="shared" si="34"/>
        <v>0</v>
      </c>
      <c r="AF150" s="48">
        <f t="shared" si="40"/>
        <v>0</v>
      </c>
      <c r="AG150" s="48" t="str">
        <f t="shared" si="41"/>
        <v>nvt-0</v>
      </c>
    </row>
    <row r="151" spans="1:33" ht="12.75">
      <c r="A151" s="102"/>
      <c r="B151" s="364"/>
      <c r="C151" s="365"/>
      <c r="D151" s="676" t="s">
        <v>112</v>
      </c>
      <c r="E151" s="677" t="s">
        <v>314</v>
      </c>
      <c r="F151" s="678">
        <v>0.38</v>
      </c>
      <c r="G151" s="679" t="s">
        <v>440</v>
      </c>
      <c r="H151" s="679" t="str">
        <f t="shared" si="28"/>
        <v>niet van toepassing</v>
      </c>
      <c r="I151" s="689" t="s">
        <v>240</v>
      </c>
      <c r="J151" s="680"/>
      <c r="K151" s="680"/>
      <c r="L151" s="692" t="s">
        <v>225</v>
      </c>
      <c r="M151" s="677"/>
      <c r="N151" s="682"/>
      <c r="O151" s="682"/>
      <c r="P151" s="682">
        <f t="shared" si="35"/>
        <v>0</v>
      </c>
      <c r="Q151" s="683">
        <v>0.78</v>
      </c>
      <c r="R151" s="684">
        <v>1</v>
      </c>
      <c r="S151" s="685">
        <f t="shared" si="36"/>
        <v>0</v>
      </c>
      <c r="T151" s="685">
        <f t="shared" si="37"/>
        <v>0</v>
      </c>
      <c r="U151" s="685">
        <f t="shared" si="38"/>
        <v>0</v>
      </c>
      <c r="V151" s="685">
        <f t="shared" si="39"/>
        <v>0</v>
      </c>
      <c r="W151" s="686">
        <f t="shared" si="29"/>
        <v>0</v>
      </c>
      <c r="X151" s="686">
        <f t="shared" si="30"/>
        <v>0</v>
      </c>
      <c r="Y151" s="686">
        <f t="shared" si="31"/>
        <v>0</v>
      </c>
      <c r="Z151" s="686">
        <f t="shared" si="32"/>
        <v>0</v>
      </c>
      <c r="AA151" s="685">
        <f t="shared" si="33"/>
        <v>0</v>
      </c>
      <c r="AB151" s="695"/>
      <c r="AC151" s="688" t="e">
        <f>(S151+T151+U151)*'1.0-Contractblad'!$K$68</f>
        <v>#VALUE!</v>
      </c>
      <c r="AD151" s="688"/>
      <c r="AE151" s="48">
        <f t="shared" si="34"/>
        <v>0</v>
      </c>
      <c r="AF151" s="48">
        <f t="shared" si="40"/>
        <v>0</v>
      </c>
      <c r="AG151" s="48" t="str">
        <f t="shared" si="41"/>
        <v>nvt-0</v>
      </c>
    </row>
    <row r="152" spans="1:33" ht="12.75">
      <c r="A152" s="102"/>
      <c r="B152" s="364"/>
      <c r="C152" s="365"/>
      <c r="D152" s="676" t="s">
        <v>115</v>
      </c>
      <c r="E152" s="677" t="s">
        <v>314</v>
      </c>
      <c r="F152" s="678" t="s">
        <v>513</v>
      </c>
      <c r="G152" s="679" t="s">
        <v>514</v>
      </c>
      <c r="H152" s="679" t="str">
        <f t="shared" si="28"/>
        <v>buitenbordes</v>
      </c>
      <c r="I152" s="689" t="s">
        <v>319</v>
      </c>
      <c r="J152" s="680" t="s">
        <v>1092</v>
      </c>
      <c r="K152" s="680"/>
      <c r="L152" s="692">
        <v>16104</v>
      </c>
      <c r="M152" s="677"/>
      <c r="N152" s="682"/>
      <c r="O152" s="682"/>
      <c r="P152" s="682">
        <f t="shared" si="35"/>
        <v>104</v>
      </c>
      <c r="Q152" s="683">
        <v>1.1499999999999999</v>
      </c>
      <c r="R152" s="684">
        <v>1</v>
      </c>
      <c r="S152" s="685" t="e">
        <f t="shared" si="36"/>
        <v>#VALUE!</v>
      </c>
      <c r="T152" s="685" t="e">
        <f t="shared" si="37"/>
        <v>#VALUE!</v>
      </c>
      <c r="U152" s="685" t="e">
        <f t="shared" si="38"/>
        <v>#VALUE!</v>
      </c>
      <c r="V152" s="685" t="e">
        <f t="shared" si="39"/>
        <v>#VALUE!</v>
      </c>
      <c r="W152" s="686">
        <f t="shared" si="29"/>
        <v>0</v>
      </c>
      <c r="X152" s="686">
        <f t="shared" si="30"/>
        <v>0</v>
      </c>
      <c r="Y152" s="686">
        <f t="shared" si="31"/>
        <v>0</v>
      </c>
      <c r="Z152" s="686">
        <f t="shared" si="32"/>
        <v>0</v>
      </c>
      <c r="AA152" s="685" t="str">
        <f t="shared" si="33"/>
        <v>V</v>
      </c>
      <c r="AB152" s="687" t="s">
        <v>379</v>
      </c>
      <c r="AC152" s="688" t="e">
        <f>(S152+T152+U152)*'1.0-Contractblad'!$K$68</f>
        <v>#VALUE!</v>
      </c>
      <c r="AD152" s="688"/>
      <c r="AE152" s="48">
        <f t="shared" si="34"/>
        <v>0</v>
      </c>
      <c r="AF152" s="48" t="e">
        <f t="shared" si="40"/>
        <v>#VALUE!</v>
      </c>
      <c r="AG152" s="48" t="str">
        <f t="shared" si="41"/>
        <v>16104-104</v>
      </c>
    </row>
    <row r="153" spans="1:33" ht="12.75">
      <c r="A153" s="102"/>
      <c r="B153" s="364"/>
      <c r="C153" s="365"/>
      <c r="D153" s="676" t="s">
        <v>115</v>
      </c>
      <c r="E153" s="677" t="s">
        <v>314</v>
      </c>
      <c r="F153" s="678" t="s">
        <v>515</v>
      </c>
      <c r="G153" s="679" t="s">
        <v>516</v>
      </c>
      <c r="H153" s="679" t="str">
        <f t="shared" si="28"/>
        <v>entree, gang, hal, repro, kopieer</v>
      </c>
      <c r="I153" s="689" t="s">
        <v>238</v>
      </c>
      <c r="J153" s="680" t="s">
        <v>1091</v>
      </c>
      <c r="K153" s="680"/>
      <c r="L153" s="692">
        <v>3104</v>
      </c>
      <c r="M153" s="677"/>
      <c r="N153" s="682"/>
      <c r="O153" s="682"/>
      <c r="P153" s="682">
        <f t="shared" si="35"/>
        <v>104</v>
      </c>
      <c r="Q153" s="683">
        <v>1.1499999999999999</v>
      </c>
      <c r="R153" s="684">
        <v>1</v>
      </c>
      <c r="S153" s="685" t="e">
        <f t="shared" si="36"/>
        <v>#VALUE!</v>
      </c>
      <c r="T153" s="685" t="e">
        <f t="shared" si="37"/>
        <v>#VALUE!</v>
      </c>
      <c r="U153" s="685" t="e">
        <f t="shared" si="38"/>
        <v>#VALUE!</v>
      </c>
      <c r="V153" s="685" t="e">
        <f t="shared" si="39"/>
        <v>#VALUE!</v>
      </c>
      <c r="W153" s="686">
        <f t="shared" si="29"/>
        <v>0</v>
      </c>
      <c r="X153" s="686">
        <f t="shared" si="30"/>
        <v>0</v>
      </c>
      <c r="Y153" s="686">
        <f t="shared" si="31"/>
        <v>0</v>
      </c>
      <c r="Z153" s="686">
        <f t="shared" si="32"/>
        <v>0</v>
      </c>
      <c r="AA153" s="685" t="str">
        <f t="shared" si="33"/>
        <v>V</v>
      </c>
      <c r="AB153" s="687" t="s">
        <v>379</v>
      </c>
      <c r="AC153" s="688" t="e">
        <f>(S153+T153+U153)*'1.0-Contractblad'!$K$68</f>
        <v>#VALUE!</v>
      </c>
      <c r="AD153" s="688"/>
      <c r="AE153" s="48">
        <f t="shared" si="34"/>
        <v>0</v>
      </c>
      <c r="AF153" s="48" t="e">
        <f t="shared" si="40"/>
        <v>#VALUE!</v>
      </c>
      <c r="AG153" s="48" t="str">
        <f t="shared" si="41"/>
        <v>3104-104</v>
      </c>
    </row>
    <row r="154" spans="1:33" ht="12.75">
      <c r="A154" s="102"/>
      <c r="B154" s="364"/>
      <c r="C154" s="365"/>
      <c r="D154" s="676" t="s">
        <v>115</v>
      </c>
      <c r="E154" s="677" t="s">
        <v>314</v>
      </c>
      <c r="F154" s="678" t="s">
        <v>517</v>
      </c>
      <c r="G154" s="679" t="s">
        <v>396</v>
      </c>
      <c r="H154" s="679" t="str">
        <f t="shared" si="28"/>
        <v>entree, gang, hal, repro, kopieer</v>
      </c>
      <c r="I154" s="689" t="s">
        <v>238</v>
      </c>
      <c r="J154" s="680">
        <v>3.7</v>
      </c>
      <c r="K154" s="680"/>
      <c r="L154" s="692">
        <v>3104</v>
      </c>
      <c r="M154" s="677"/>
      <c r="N154" s="682"/>
      <c r="O154" s="682"/>
      <c r="P154" s="682">
        <f t="shared" si="35"/>
        <v>104</v>
      </c>
      <c r="Q154" s="683">
        <v>1.1499999999999999</v>
      </c>
      <c r="R154" s="684">
        <v>1</v>
      </c>
      <c r="S154" s="685">
        <f t="shared" si="36"/>
        <v>0</v>
      </c>
      <c r="T154" s="685">
        <f t="shared" si="37"/>
        <v>0</v>
      </c>
      <c r="U154" s="685">
        <f t="shared" si="38"/>
        <v>0</v>
      </c>
      <c r="V154" s="685">
        <f t="shared" si="39"/>
        <v>0</v>
      </c>
      <c r="W154" s="686">
        <f t="shared" si="29"/>
        <v>0</v>
      </c>
      <c r="X154" s="686">
        <f t="shared" si="30"/>
        <v>0</v>
      </c>
      <c r="Y154" s="686">
        <f t="shared" si="31"/>
        <v>0</v>
      </c>
      <c r="Z154" s="686">
        <f t="shared" si="32"/>
        <v>0</v>
      </c>
      <c r="AA154" s="685" t="str">
        <f t="shared" si="33"/>
        <v>V</v>
      </c>
      <c r="AB154" s="687" t="s">
        <v>379</v>
      </c>
      <c r="AC154" s="688" t="e">
        <f>(S154+T154+U154)*'1.0-Contractblad'!$K$68</f>
        <v>#VALUE!</v>
      </c>
      <c r="AD154" s="688"/>
      <c r="AE154" s="48">
        <f t="shared" si="34"/>
        <v>0</v>
      </c>
      <c r="AF154" s="48">
        <f t="shared" si="40"/>
        <v>384.8</v>
      </c>
      <c r="AG154" s="48" t="str">
        <f t="shared" si="41"/>
        <v>3104-104</v>
      </c>
    </row>
    <row r="155" spans="1:33" ht="12.75">
      <c r="A155" s="102"/>
      <c r="B155" s="364"/>
      <c r="C155" s="365"/>
      <c r="D155" s="676" t="s">
        <v>115</v>
      </c>
      <c r="E155" s="677" t="s">
        <v>314</v>
      </c>
      <c r="F155" s="678" t="s">
        <v>518</v>
      </c>
      <c r="G155" s="679" t="s">
        <v>519</v>
      </c>
      <c r="H155" s="679" t="str">
        <f t="shared" si="28"/>
        <v>entree, gang, hal, repro, kopieer</v>
      </c>
      <c r="I155" s="689" t="s">
        <v>238</v>
      </c>
      <c r="J155" s="680">
        <v>3.05</v>
      </c>
      <c r="K155" s="680"/>
      <c r="L155" s="692">
        <v>3104</v>
      </c>
      <c r="M155" s="677"/>
      <c r="N155" s="682"/>
      <c r="O155" s="682"/>
      <c r="P155" s="682">
        <f t="shared" si="35"/>
        <v>104</v>
      </c>
      <c r="Q155" s="683">
        <v>1.1499999999999999</v>
      </c>
      <c r="R155" s="684">
        <v>1</v>
      </c>
      <c r="S155" s="685">
        <f t="shared" si="36"/>
        <v>0</v>
      </c>
      <c r="T155" s="685">
        <f t="shared" si="37"/>
        <v>0</v>
      </c>
      <c r="U155" s="685">
        <f t="shared" si="38"/>
        <v>0</v>
      </c>
      <c r="V155" s="685">
        <f t="shared" si="39"/>
        <v>0</v>
      </c>
      <c r="W155" s="686">
        <f t="shared" si="29"/>
        <v>0</v>
      </c>
      <c r="X155" s="686">
        <f t="shared" si="30"/>
        <v>0</v>
      </c>
      <c r="Y155" s="686">
        <f t="shared" si="31"/>
        <v>0</v>
      </c>
      <c r="Z155" s="686">
        <f t="shared" si="32"/>
        <v>0</v>
      </c>
      <c r="AA155" s="685" t="str">
        <f t="shared" si="33"/>
        <v>V</v>
      </c>
      <c r="AB155" s="687" t="s">
        <v>379</v>
      </c>
      <c r="AC155" s="688" t="e">
        <f>(S155+T155+U155)*'1.0-Contractblad'!$K$68</f>
        <v>#VALUE!</v>
      </c>
      <c r="AD155" s="688"/>
      <c r="AE155" s="48">
        <f t="shared" si="34"/>
        <v>0</v>
      </c>
      <c r="AF155" s="48">
        <f t="shared" si="40"/>
        <v>317.2</v>
      </c>
      <c r="AG155" s="48" t="str">
        <f t="shared" si="41"/>
        <v>3104-104</v>
      </c>
    </row>
    <row r="156" spans="1:33" ht="12.75">
      <c r="A156" s="102"/>
      <c r="B156" s="364"/>
      <c r="C156" s="365"/>
      <c r="D156" s="676" t="s">
        <v>115</v>
      </c>
      <c r="E156" s="677" t="s">
        <v>314</v>
      </c>
      <c r="F156" s="678" t="s">
        <v>520</v>
      </c>
      <c r="G156" s="679" t="s">
        <v>405</v>
      </c>
      <c r="H156" s="679" t="str">
        <f t="shared" si="28"/>
        <v>sanitaire ruimte (toilet-/doucheruimte)</v>
      </c>
      <c r="I156" s="689" t="s">
        <v>234</v>
      </c>
      <c r="J156" s="680">
        <v>1.19</v>
      </c>
      <c r="K156" s="680"/>
      <c r="L156" s="692">
        <v>4104</v>
      </c>
      <c r="M156" s="677"/>
      <c r="N156" s="682"/>
      <c r="O156" s="682"/>
      <c r="P156" s="682">
        <f t="shared" si="35"/>
        <v>104</v>
      </c>
      <c r="Q156" s="683">
        <v>1.1499999999999999</v>
      </c>
      <c r="R156" s="684">
        <v>1</v>
      </c>
      <c r="S156" s="685">
        <f t="shared" si="36"/>
        <v>0</v>
      </c>
      <c r="T156" s="685">
        <f t="shared" si="37"/>
        <v>0</v>
      </c>
      <c r="U156" s="685">
        <f t="shared" si="38"/>
        <v>0</v>
      </c>
      <c r="V156" s="685">
        <f t="shared" si="39"/>
        <v>0</v>
      </c>
      <c r="W156" s="686">
        <f t="shared" si="29"/>
        <v>0</v>
      </c>
      <c r="X156" s="686">
        <f t="shared" si="30"/>
        <v>0</v>
      </c>
      <c r="Y156" s="686">
        <f t="shared" si="31"/>
        <v>0</v>
      </c>
      <c r="Z156" s="686">
        <f t="shared" si="32"/>
        <v>0</v>
      </c>
      <c r="AA156" s="685" t="str">
        <f t="shared" si="33"/>
        <v>S</v>
      </c>
      <c r="AB156" s="687" t="s">
        <v>379</v>
      </c>
      <c r="AC156" s="688" t="e">
        <f>(S156+T156+U156)*'1.0-Contractblad'!$K$68</f>
        <v>#VALUE!</v>
      </c>
      <c r="AD156" s="688"/>
      <c r="AE156" s="48">
        <f t="shared" si="34"/>
        <v>0</v>
      </c>
      <c r="AF156" s="48">
        <f t="shared" si="40"/>
        <v>123.75999999999999</v>
      </c>
      <c r="AG156" s="48" t="str">
        <f t="shared" si="41"/>
        <v>4104-104</v>
      </c>
    </row>
    <row r="157" spans="1:33" ht="12.75">
      <c r="A157" s="102"/>
      <c r="B157" s="364"/>
      <c r="C157" s="365"/>
      <c r="D157" s="676" t="s">
        <v>115</v>
      </c>
      <c r="E157" s="677" t="s">
        <v>314</v>
      </c>
      <c r="F157" s="678" t="s">
        <v>521</v>
      </c>
      <c r="G157" s="679" t="s">
        <v>405</v>
      </c>
      <c r="H157" s="679" t="str">
        <f t="shared" si="28"/>
        <v>sanitaire ruimte (toilet-/doucheruimte)</v>
      </c>
      <c r="I157" s="689" t="s">
        <v>234</v>
      </c>
      <c r="J157" s="680">
        <v>1.19</v>
      </c>
      <c r="K157" s="680"/>
      <c r="L157" s="692">
        <v>4104</v>
      </c>
      <c r="M157" s="677"/>
      <c r="N157" s="682"/>
      <c r="O157" s="682"/>
      <c r="P157" s="682">
        <f t="shared" si="35"/>
        <v>104</v>
      </c>
      <c r="Q157" s="683">
        <v>1.1499999999999999</v>
      </c>
      <c r="R157" s="684">
        <v>1</v>
      </c>
      <c r="S157" s="685">
        <f t="shared" si="36"/>
        <v>0</v>
      </c>
      <c r="T157" s="685">
        <f t="shared" si="37"/>
        <v>0</v>
      </c>
      <c r="U157" s="685">
        <f t="shared" si="38"/>
        <v>0</v>
      </c>
      <c r="V157" s="685">
        <f t="shared" si="39"/>
        <v>0</v>
      </c>
      <c r="W157" s="686">
        <f t="shared" si="29"/>
        <v>0</v>
      </c>
      <c r="X157" s="686">
        <f t="shared" si="30"/>
        <v>0</v>
      </c>
      <c r="Y157" s="686">
        <f t="shared" si="31"/>
        <v>0</v>
      </c>
      <c r="Z157" s="686">
        <f t="shared" si="32"/>
        <v>0</v>
      </c>
      <c r="AA157" s="685" t="str">
        <f t="shared" si="33"/>
        <v>S</v>
      </c>
      <c r="AB157" s="687" t="s">
        <v>379</v>
      </c>
      <c r="AC157" s="688" t="e">
        <f>(S157+T157+U157)*'1.0-Contractblad'!$K$68</f>
        <v>#VALUE!</v>
      </c>
      <c r="AD157" s="688"/>
      <c r="AE157" s="48">
        <f t="shared" si="34"/>
        <v>0</v>
      </c>
      <c r="AF157" s="48">
        <f t="shared" si="40"/>
        <v>123.75999999999999</v>
      </c>
      <c r="AG157" s="48" t="str">
        <f t="shared" si="41"/>
        <v>4104-104</v>
      </c>
    </row>
    <row r="158" spans="1:33" ht="12.75">
      <c r="A158" s="102"/>
      <c r="B158" s="364"/>
      <c r="C158" s="365"/>
      <c r="D158" s="676" t="s">
        <v>115</v>
      </c>
      <c r="E158" s="677" t="s">
        <v>314</v>
      </c>
      <c r="F158" s="678" t="s">
        <v>522</v>
      </c>
      <c r="G158" s="679" t="s">
        <v>523</v>
      </c>
      <c r="H158" s="679" t="str">
        <f t="shared" si="28"/>
        <v>administratieve -, personeels- en vergaderruimte</v>
      </c>
      <c r="I158" s="689" t="s">
        <v>238</v>
      </c>
      <c r="J158" s="680">
        <v>25.75</v>
      </c>
      <c r="K158" s="680"/>
      <c r="L158" s="692">
        <v>1104</v>
      </c>
      <c r="M158" s="677"/>
      <c r="N158" s="682"/>
      <c r="O158" s="682"/>
      <c r="P158" s="682">
        <f t="shared" si="35"/>
        <v>104</v>
      </c>
      <c r="Q158" s="683">
        <v>1.1499999999999999</v>
      </c>
      <c r="R158" s="684">
        <v>1</v>
      </c>
      <c r="S158" s="685">
        <f t="shared" si="36"/>
        <v>0</v>
      </c>
      <c r="T158" s="685">
        <f t="shared" si="37"/>
        <v>0</v>
      </c>
      <c r="U158" s="685">
        <f t="shared" si="38"/>
        <v>0</v>
      </c>
      <c r="V158" s="685">
        <f t="shared" si="39"/>
        <v>0</v>
      </c>
      <c r="W158" s="686">
        <f t="shared" si="29"/>
        <v>0</v>
      </c>
      <c r="X158" s="686">
        <f t="shared" si="30"/>
        <v>0</v>
      </c>
      <c r="Y158" s="686">
        <f t="shared" si="31"/>
        <v>0</v>
      </c>
      <c r="Z158" s="686">
        <f t="shared" si="32"/>
        <v>0</v>
      </c>
      <c r="AA158" s="685" t="str">
        <f t="shared" si="33"/>
        <v>B</v>
      </c>
      <c r="AB158" s="687" t="s">
        <v>379</v>
      </c>
      <c r="AC158" s="688" t="e">
        <f>(S158+T158+U158)*'1.0-Contractblad'!$K$68</f>
        <v>#VALUE!</v>
      </c>
      <c r="AD158" s="688"/>
      <c r="AE158" s="48">
        <f t="shared" si="34"/>
        <v>0</v>
      </c>
      <c r="AF158" s="48">
        <f t="shared" si="40"/>
        <v>2678</v>
      </c>
      <c r="AG158" s="48" t="str">
        <f t="shared" si="41"/>
        <v>1104-104</v>
      </c>
    </row>
    <row r="159" spans="1:33" ht="12.75">
      <c r="A159" s="102"/>
      <c r="B159" s="364"/>
      <c r="C159" s="365"/>
      <c r="D159" s="676" t="s">
        <v>115</v>
      </c>
      <c r="E159" s="677" t="s">
        <v>314</v>
      </c>
      <c r="F159" s="678" t="s">
        <v>524</v>
      </c>
      <c r="G159" s="679" t="s">
        <v>525</v>
      </c>
      <c r="H159" s="679" t="str">
        <f t="shared" si="28"/>
        <v>entree, gang, hal, repro, kopieer</v>
      </c>
      <c r="I159" s="689" t="s">
        <v>319</v>
      </c>
      <c r="J159" s="680">
        <v>2.5</v>
      </c>
      <c r="K159" s="680"/>
      <c r="L159" s="692">
        <v>3104</v>
      </c>
      <c r="M159" s="677"/>
      <c r="N159" s="682"/>
      <c r="O159" s="682"/>
      <c r="P159" s="682">
        <f t="shared" si="35"/>
        <v>104</v>
      </c>
      <c r="Q159" s="683">
        <v>1.1499999999999999</v>
      </c>
      <c r="R159" s="684">
        <v>1</v>
      </c>
      <c r="S159" s="685">
        <f t="shared" si="36"/>
        <v>0</v>
      </c>
      <c r="T159" s="685">
        <f t="shared" si="37"/>
        <v>0</v>
      </c>
      <c r="U159" s="685">
        <f t="shared" si="38"/>
        <v>0</v>
      </c>
      <c r="V159" s="685">
        <f t="shared" si="39"/>
        <v>0</v>
      </c>
      <c r="W159" s="686">
        <f t="shared" si="29"/>
        <v>0</v>
      </c>
      <c r="X159" s="686">
        <f t="shared" si="30"/>
        <v>0</v>
      </c>
      <c r="Y159" s="686">
        <f t="shared" si="31"/>
        <v>0</v>
      </c>
      <c r="Z159" s="686">
        <f t="shared" si="32"/>
        <v>0</v>
      </c>
      <c r="AA159" s="685" t="str">
        <f t="shared" si="33"/>
        <v>V</v>
      </c>
      <c r="AB159" s="687" t="s">
        <v>379</v>
      </c>
      <c r="AC159" s="688" t="e">
        <f>(S159+T159+U159)*'1.0-Contractblad'!$K$68</f>
        <v>#VALUE!</v>
      </c>
      <c r="AD159" s="688"/>
      <c r="AE159" s="48">
        <f t="shared" si="34"/>
        <v>0</v>
      </c>
      <c r="AF159" s="48">
        <f t="shared" si="40"/>
        <v>260</v>
      </c>
      <c r="AG159" s="48" t="str">
        <f t="shared" si="41"/>
        <v>3104-104</v>
      </c>
    </row>
    <row r="160" spans="1:33" ht="12.75">
      <c r="A160" s="102"/>
      <c r="B160" s="364"/>
      <c r="C160" s="365"/>
      <c r="D160" s="676" t="s">
        <v>115</v>
      </c>
      <c r="E160" s="677" t="s">
        <v>314</v>
      </c>
      <c r="F160" s="678" t="s">
        <v>526</v>
      </c>
      <c r="G160" s="679" t="s">
        <v>392</v>
      </c>
      <c r="H160" s="679" t="str">
        <f t="shared" si="28"/>
        <v>niet van toepassing</v>
      </c>
      <c r="I160" s="689" t="s">
        <v>527</v>
      </c>
      <c r="J160" s="680"/>
      <c r="K160" s="680">
        <v>134.76</v>
      </c>
      <c r="L160" s="692" t="s">
        <v>225</v>
      </c>
      <c r="M160" s="677"/>
      <c r="N160" s="682"/>
      <c r="O160" s="682"/>
      <c r="P160" s="682">
        <f t="shared" si="35"/>
        <v>0</v>
      </c>
      <c r="Q160" s="683">
        <v>1.1499999999999999</v>
      </c>
      <c r="R160" s="684">
        <v>1</v>
      </c>
      <c r="S160" s="685">
        <f t="shared" si="36"/>
        <v>0</v>
      </c>
      <c r="T160" s="685">
        <f t="shared" si="37"/>
        <v>0</v>
      </c>
      <c r="U160" s="685">
        <f t="shared" si="38"/>
        <v>0</v>
      </c>
      <c r="V160" s="685">
        <f t="shared" si="39"/>
        <v>0</v>
      </c>
      <c r="W160" s="686">
        <f t="shared" si="29"/>
        <v>0</v>
      </c>
      <c r="X160" s="686">
        <f t="shared" si="30"/>
        <v>0</v>
      </c>
      <c r="Y160" s="686">
        <f t="shared" si="31"/>
        <v>0</v>
      </c>
      <c r="Z160" s="686">
        <f t="shared" si="32"/>
        <v>0</v>
      </c>
      <c r="AA160" s="685">
        <f t="shared" si="33"/>
        <v>0</v>
      </c>
      <c r="AB160" s="687"/>
      <c r="AC160" s="688" t="e">
        <f>(S160+T160+U160)*'1.0-Contractblad'!$K$68</f>
        <v>#VALUE!</v>
      </c>
      <c r="AD160" s="688"/>
      <c r="AE160" s="48">
        <f t="shared" si="34"/>
        <v>0</v>
      </c>
      <c r="AF160" s="48">
        <f t="shared" si="40"/>
        <v>0</v>
      </c>
      <c r="AG160" s="48" t="str">
        <f t="shared" si="41"/>
        <v>nvt-0</v>
      </c>
    </row>
    <row r="161" spans="1:33" ht="12.75">
      <c r="A161" s="102"/>
      <c r="B161" s="364"/>
      <c r="C161" s="365"/>
      <c r="D161" s="676" t="s">
        <v>115</v>
      </c>
      <c r="E161" s="677" t="s">
        <v>314</v>
      </c>
      <c r="F161" s="678" t="s">
        <v>528</v>
      </c>
      <c r="G161" s="679" t="s">
        <v>529</v>
      </c>
      <c r="H161" s="679" t="str">
        <f t="shared" si="28"/>
        <v>kleedruimten</v>
      </c>
      <c r="I161" s="689" t="s">
        <v>234</v>
      </c>
      <c r="J161" s="680">
        <v>41.68</v>
      </c>
      <c r="K161" s="680"/>
      <c r="L161" s="692">
        <v>10104</v>
      </c>
      <c r="M161" s="677"/>
      <c r="N161" s="682"/>
      <c r="O161" s="682"/>
      <c r="P161" s="682">
        <f t="shared" si="35"/>
        <v>104</v>
      </c>
      <c r="Q161" s="683">
        <v>1.1499999999999999</v>
      </c>
      <c r="R161" s="684">
        <v>1</v>
      </c>
      <c r="S161" s="685">
        <f t="shared" si="36"/>
        <v>0</v>
      </c>
      <c r="T161" s="685">
        <f t="shared" si="37"/>
        <v>0</v>
      </c>
      <c r="U161" s="685">
        <f t="shared" si="38"/>
        <v>0</v>
      </c>
      <c r="V161" s="685">
        <f t="shared" si="39"/>
        <v>0</v>
      </c>
      <c r="W161" s="686">
        <f t="shared" si="29"/>
        <v>0</v>
      </c>
      <c r="X161" s="686">
        <f t="shared" si="30"/>
        <v>0</v>
      </c>
      <c r="Y161" s="686">
        <f t="shared" si="31"/>
        <v>0</v>
      </c>
      <c r="Z161" s="686">
        <f t="shared" si="32"/>
        <v>0</v>
      </c>
      <c r="AA161" s="685" t="str">
        <f t="shared" si="33"/>
        <v>V</v>
      </c>
      <c r="AB161" s="687" t="s">
        <v>379</v>
      </c>
      <c r="AC161" s="688" t="e">
        <f>(S161+T161+U161)*'1.0-Contractblad'!$K$68</f>
        <v>#VALUE!</v>
      </c>
      <c r="AD161" s="688"/>
      <c r="AE161" s="48">
        <f t="shared" si="34"/>
        <v>0</v>
      </c>
      <c r="AF161" s="48">
        <f t="shared" si="40"/>
        <v>4334.72</v>
      </c>
      <c r="AG161" s="48" t="str">
        <f t="shared" si="41"/>
        <v>10104-104</v>
      </c>
    </row>
    <row r="162" spans="1:33" ht="12.75">
      <c r="A162" s="102"/>
      <c r="B162" s="364"/>
      <c r="C162" s="365"/>
      <c r="D162" s="676" t="s">
        <v>115</v>
      </c>
      <c r="E162" s="677" t="s">
        <v>314</v>
      </c>
      <c r="F162" s="678" t="s">
        <v>530</v>
      </c>
      <c r="G162" s="679" t="s">
        <v>405</v>
      </c>
      <c r="H162" s="679" t="str">
        <f t="shared" si="28"/>
        <v>administratieve -, personeels- en vergaderruimte</v>
      </c>
      <c r="I162" s="689" t="s">
        <v>234</v>
      </c>
      <c r="J162" s="680">
        <v>1.21</v>
      </c>
      <c r="K162" s="680"/>
      <c r="L162" s="692">
        <v>1104</v>
      </c>
      <c r="M162" s="677"/>
      <c r="N162" s="682"/>
      <c r="O162" s="682"/>
      <c r="P162" s="682">
        <f t="shared" si="35"/>
        <v>104</v>
      </c>
      <c r="Q162" s="683">
        <v>1.1499999999999999</v>
      </c>
      <c r="R162" s="684">
        <v>1</v>
      </c>
      <c r="S162" s="685">
        <f t="shared" si="36"/>
        <v>0</v>
      </c>
      <c r="T162" s="685">
        <f t="shared" si="37"/>
        <v>0</v>
      </c>
      <c r="U162" s="685">
        <f t="shared" si="38"/>
        <v>0</v>
      </c>
      <c r="V162" s="685">
        <f t="shared" si="39"/>
        <v>0</v>
      </c>
      <c r="W162" s="686">
        <f t="shared" si="29"/>
        <v>0</v>
      </c>
      <c r="X162" s="686">
        <f t="shared" si="30"/>
        <v>0</v>
      </c>
      <c r="Y162" s="686">
        <f t="shared" si="31"/>
        <v>0</v>
      </c>
      <c r="Z162" s="686">
        <f t="shared" si="32"/>
        <v>0</v>
      </c>
      <c r="AA162" s="685" t="str">
        <f t="shared" si="33"/>
        <v>B</v>
      </c>
      <c r="AB162" s="687" t="s">
        <v>379</v>
      </c>
      <c r="AC162" s="688" t="e">
        <f>(S162+T162+U162)*'1.0-Contractblad'!$K$68</f>
        <v>#VALUE!</v>
      </c>
      <c r="AD162" s="688"/>
      <c r="AE162" s="48">
        <f t="shared" si="34"/>
        <v>0</v>
      </c>
      <c r="AF162" s="48">
        <f t="shared" si="40"/>
        <v>125.84</v>
      </c>
      <c r="AG162" s="48" t="str">
        <f t="shared" si="41"/>
        <v>1104-104</v>
      </c>
    </row>
    <row r="163" spans="1:33" ht="12.75">
      <c r="A163" s="102"/>
      <c r="B163" s="364"/>
      <c r="C163" s="365"/>
      <c r="D163" s="676" t="s">
        <v>115</v>
      </c>
      <c r="E163" s="677" t="s">
        <v>314</v>
      </c>
      <c r="F163" s="678" t="s">
        <v>531</v>
      </c>
      <c r="G163" s="679" t="s">
        <v>359</v>
      </c>
      <c r="H163" s="679" t="str">
        <f t="shared" si="28"/>
        <v>sanitaire ruimte (toilet-/doucheruimte)</v>
      </c>
      <c r="I163" s="689" t="s">
        <v>234</v>
      </c>
      <c r="J163" s="680">
        <v>2.4</v>
      </c>
      <c r="K163" s="680"/>
      <c r="L163" s="692">
        <v>4104</v>
      </c>
      <c r="M163" s="677"/>
      <c r="N163" s="682"/>
      <c r="O163" s="682"/>
      <c r="P163" s="682">
        <f t="shared" si="35"/>
        <v>104</v>
      </c>
      <c r="Q163" s="683">
        <v>1.1499999999999999</v>
      </c>
      <c r="R163" s="684">
        <v>1</v>
      </c>
      <c r="S163" s="685">
        <f t="shared" si="36"/>
        <v>0</v>
      </c>
      <c r="T163" s="685">
        <f t="shared" si="37"/>
        <v>0</v>
      </c>
      <c r="U163" s="685">
        <f t="shared" si="38"/>
        <v>0</v>
      </c>
      <c r="V163" s="685">
        <f t="shared" si="39"/>
        <v>0</v>
      </c>
      <c r="W163" s="686">
        <f t="shared" si="29"/>
        <v>0</v>
      </c>
      <c r="X163" s="686">
        <f t="shared" si="30"/>
        <v>0</v>
      </c>
      <c r="Y163" s="686">
        <f t="shared" si="31"/>
        <v>0</v>
      </c>
      <c r="Z163" s="686">
        <f t="shared" si="32"/>
        <v>0</v>
      </c>
      <c r="AA163" s="685" t="str">
        <f t="shared" si="33"/>
        <v>S</v>
      </c>
      <c r="AB163" s="687" t="s">
        <v>379</v>
      </c>
      <c r="AC163" s="688" t="e">
        <f>(S163+T163+U163)*'1.0-Contractblad'!$K$68</f>
        <v>#VALUE!</v>
      </c>
      <c r="AD163" s="688"/>
      <c r="AE163" s="48">
        <f t="shared" si="34"/>
        <v>0</v>
      </c>
      <c r="AF163" s="48">
        <f t="shared" si="40"/>
        <v>249.6</v>
      </c>
      <c r="AG163" s="48" t="str">
        <f t="shared" si="41"/>
        <v>4104-104</v>
      </c>
    </row>
    <row r="164" spans="1:33" ht="12.75">
      <c r="A164" s="102"/>
      <c r="B164" s="364"/>
      <c r="C164" s="365"/>
      <c r="D164" s="676" t="s">
        <v>115</v>
      </c>
      <c r="E164" s="677" t="s">
        <v>314</v>
      </c>
      <c r="F164" s="678" t="s">
        <v>532</v>
      </c>
      <c r="G164" s="679" t="s">
        <v>359</v>
      </c>
      <c r="H164" s="679" t="str">
        <f t="shared" si="28"/>
        <v>sanitaire ruimte (toilet-/doucheruimte)</v>
      </c>
      <c r="I164" s="689" t="s">
        <v>234</v>
      </c>
      <c r="J164" s="680">
        <v>2.4</v>
      </c>
      <c r="K164" s="680"/>
      <c r="L164" s="692">
        <v>4104</v>
      </c>
      <c r="M164" s="677"/>
      <c r="N164" s="682"/>
      <c r="O164" s="682"/>
      <c r="P164" s="682">
        <f t="shared" si="35"/>
        <v>104</v>
      </c>
      <c r="Q164" s="683">
        <v>1.1499999999999999</v>
      </c>
      <c r="R164" s="684">
        <v>1</v>
      </c>
      <c r="S164" s="685">
        <f t="shared" si="36"/>
        <v>0</v>
      </c>
      <c r="T164" s="685">
        <f t="shared" si="37"/>
        <v>0</v>
      </c>
      <c r="U164" s="685">
        <f t="shared" si="38"/>
        <v>0</v>
      </c>
      <c r="V164" s="685">
        <f t="shared" si="39"/>
        <v>0</v>
      </c>
      <c r="W164" s="686">
        <f t="shared" si="29"/>
        <v>0</v>
      </c>
      <c r="X164" s="686">
        <f t="shared" si="30"/>
        <v>0</v>
      </c>
      <c r="Y164" s="686">
        <f t="shared" si="31"/>
        <v>0</v>
      </c>
      <c r="Z164" s="686">
        <f t="shared" si="32"/>
        <v>0</v>
      </c>
      <c r="AA164" s="685" t="str">
        <f t="shared" si="33"/>
        <v>S</v>
      </c>
      <c r="AB164" s="687" t="s">
        <v>379</v>
      </c>
      <c r="AC164" s="688" t="e">
        <f>(S164+T164+U164)*'1.0-Contractblad'!$K$68</f>
        <v>#VALUE!</v>
      </c>
      <c r="AD164" s="688"/>
      <c r="AE164" s="48">
        <f t="shared" si="34"/>
        <v>0</v>
      </c>
      <c r="AF164" s="48">
        <f t="shared" si="40"/>
        <v>249.6</v>
      </c>
      <c r="AG164" s="48" t="str">
        <f t="shared" si="41"/>
        <v>4104-104</v>
      </c>
    </row>
    <row r="165" spans="1:33" ht="12.75">
      <c r="A165" s="102"/>
      <c r="B165" s="364"/>
      <c r="C165" s="365"/>
      <c r="D165" s="676" t="s">
        <v>115</v>
      </c>
      <c r="E165" s="677" t="s">
        <v>314</v>
      </c>
      <c r="F165" s="678" t="s">
        <v>533</v>
      </c>
      <c r="G165" s="679" t="s">
        <v>359</v>
      </c>
      <c r="H165" s="679" t="str">
        <f t="shared" si="28"/>
        <v>sanitaire ruimte (toilet-/doucheruimte)</v>
      </c>
      <c r="I165" s="689" t="s">
        <v>234</v>
      </c>
      <c r="J165" s="680">
        <v>2.4</v>
      </c>
      <c r="K165" s="680"/>
      <c r="L165" s="692">
        <v>4104</v>
      </c>
      <c r="M165" s="677"/>
      <c r="N165" s="682"/>
      <c r="O165" s="682"/>
      <c r="P165" s="682">
        <f t="shared" si="35"/>
        <v>104</v>
      </c>
      <c r="Q165" s="683">
        <v>1.1499999999999999</v>
      </c>
      <c r="R165" s="684">
        <v>1</v>
      </c>
      <c r="S165" s="685">
        <f t="shared" si="36"/>
        <v>0</v>
      </c>
      <c r="T165" s="685">
        <f t="shared" si="37"/>
        <v>0</v>
      </c>
      <c r="U165" s="685">
        <f t="shared" si="38"/>
        <v>0</v>
      </c>
      <c r="V165" s="685">
        <f t="shared" si="39"/>
        <v>0</v>
      </c>
      <c r="W165" s="686">
        <f t="shared" si="29"/>
        <v>0</v>
      </c>
      <c r="X165" s="686">
        <f t="shared" si="30"/>
        <v>0</v>
      </c>
      <c r="Y165" s="686">
        <f t="shared" si="31"/>
        <v>0</v>
      </c>
      <c r="Z165" s="686">
        <f t="shared" si="32"/>
        <v>0</v>
      </c>
      <c r="AA165" s="685" t="str">
        <f t="shared" si="33"/>
        <v>S</v>
      </c>
      <c r="AB165" s="687" t="s">
        <v>379</v>
      </c>
      <c r="AC165" s="688" t="e">
        <f>(S165+T165+U165)*'1.0-Contractblad'!$K$68</f>
        <v>#VALUE!</v>
      </c>
      <c r="AD165" s="688"/>
      <c r="AE165" s="48">
        <f t="shared" si="34"/>
        <v>0</v>
      </c>
      <c r="AF165" s="48">
        <f t="shared" si="40"/>
        <v>249.6</v>
      </c>
      <c r="AG165" s="48" t="str">
        <f t="shared" si="41"/>
        <v>4104-104</v>
      </c>
    </row>
    <row r="166" spans="1:33" ht="12.75">
      <c r="A166" s="102"/>
      <c r="B166" s="364"/>
      <c r="C166" s="365"/>
      <c r="D166" s="676" t="s">
        <v>115</v>
      </c>
      <c r="E166" s="677" t="s">
        <v>314</v>
      </c>
      <c r="F166" s="678" t="s">
        <v>534</v>
      </c>
      <c r="G166" s="679" t="s">
        <v>409</v>
      </c>
      <c r="H166" s="679" t="str">
        <f t="shared" si="28"/>
        <v>sanitaire ruimte (toilet-/doucheruimte)</v>
      </c>
      <c r="I166" s="689" t="s">
        <v>234</v>
      </c>
      <c r="J166" s="680">
        <v>1.2</v>
      </c>
      <c r="K166" s="680"/>
      <c r="L166" s="692">
        <v>4104</v>
      </c>
      <c r="M166" s="677"/>
      <c r="N166" s="682"/>
      <c r="O166" s="682"/>
      <c r="P166" s="682">
        <f t="shared" si="35"/>
        <v>104</v>
      </c>
      <c r="Q166" s="683">
        <v>1.1499999999999999</v>
      </c>
      <c r="R166" s="684">
        <v>1</v>
      </c>
      <c r="S166" s="685">
        <f t="shared" si="36"/>
        <v>0</v>
      </c>
      <c r="T166" s="685">
        <f t="shared" si="37"/>
        <v>0</v>
      </c>
      <c r="U166" s="685">
        <f t="shared" si="38"/>
        <v>0</v>
      </c>
      <c r="V166" s="685">
        <f t="shared" si="39"/>
        <v>0</v>
      </c>
      <c r="W166" s="686">
        <f t="shared" si="29"/>
        <v>0</v>
      </c>
      <c r="X166" s="686">
        <f t="shared" si="30"/>
        <v>0</v>
      </c>
      <c r="Y166" s="686">
        <f t="shared" si="31"/>
        <v>0</v>
      </c>
      <c r="Z166" s="686">
        <f t="shared" si="32"/>
        <v>0</v>
      </c>
      <c r="AA166" s="685" t="str">
        <f t="shared" si="33"/>
        <v>S</v>
      </c>
      <c r="AB166" s="687" t="s">
        <v>379</v>
      </c>
      <c r="AC166" s="688" t="e">
        <f>(S166+T166+U166)*'1.0-Contractblad'!$K$68</f>
        <v>#VALUE!</v>
      </c>
      <c r="AD166" s="688"/>
      <c r="AE166" s="48">
        <f t="shared" si="34"/>
        <v>0</v>
      </c>
      <c r="AF166" s="48">
        <f t="shared" si="40"/>
        <v>124.8</v>
      </c>
      <c r="AG166" s="48" t="str">
        <f t="shared" si="41"/>
        <v>4104-104</v>
      </c>
    </row>
    <row r="167" spans="1:33" ht="12.75">
      <c r="A167" s="102"/>
      <c r="B167" s="364"/>
      <c r="C167" s="365"/>
      <c r="D167" s="676" t="s">
        <v>115</v>
      </c>
      <c r="E167" s="677" t="s">
        <v>314</v>
      </c>
      <c r="F167" s="678" t="s">
        <v>535</v>
      </c>
      <c r="G167" s="679" t="s">
        <v>359</v>
      </c>
      <c r="H167" s="679" t="str">
        <f t="shared" si="28"/>
        <v>sanitaire ruimte (toilet-/doucheruimte)</v>
      </c>
      <c r="I167" s="689" t="s">
        <v>234</v>
      </c>
      <c r="J167" s="680">
        <v>2.4300000000000002</v>
      </c>
      <c r="K167" s="680"/>
      <c r="L167" s="692">
        <v>4104</v>
      </c>
      <c r="M167" s="677"/>
      <c r="N167" s="682"/>
      <c r="O167" s="682"/>
      <c r="P167" s="682">
        <f t="shared" si="35"/>
        <v>104</v>
      </c>
      <c r="Q167" s="683">
        <v>1.1499999999999999</v>
      </c>
      <c r="R167" s="684">
        <v>1</v>
      </c>
      <c r="S167" s="685">
        <f t="shared" si="36"/>
        <v>0</v>
      </c>
      <c r="T167" s="685">
        <f t="shared" si="37"/>
        <v>0</v>
      </c>
      <c r="U167" s="685">
        <f t="shared" si="38"/>
        <v>0</v>
      </c>
      <c r="V167" s="685">
        <f t="shared" si="39"/>
        <v>0</v>
      </c>
      <c r="W167" s="686">
        <f t="shared" si="29"/>
        <v>0</v>
      </c>
      <c r="X167" s="686">
        <f t="shared" si="30"/>
        <v>0</v>
      </c>
      <c r="Y167" s="686">
        <f t="shared" si="31"/>
        <v>0</v>
      </c>
      <c r="Z167" s="686">
        <f t="shared" si="32"/>
        <v>0</v>
      </c>
      <c r="AA167" s="685" t="str">
        <f t="shared" si="33"/>
        <v>S</v>
      </c>
      <c r="AB167" s="687" t="s">
        <v>379</v>
      </c>
      <c r="AC167" s="688" t="e">
        <f>(S167+T167+U167)*'1.0-Contractblad'!$K$68</f>
        <v>#VALUE!</v>
      </c>
      <c r="AD167" s="688"/>
      <c r="AE167" s="48">
        <f t="shared" si="34"/>
        <v>0</v>
      </c>
      <c r="AF167" s="48">
        <f t="shared" si="40"/>
        <v>252.72000000000003</v>
      </c>
      <c r="AG167" s="48" t="str">
        <f t="shared" si="41"/>
        <v>4104-104</v>
      </c>
    </row>
    <row r="168" spans="1:33" ht="12.75">
      <c r="A168" s="102"/>
      <c r="B168" s="364"/>
      <c r="C168" s="365"/>
      <c r="D168" s="676" t="s">
        <v>115</v>
      </c>
      <c r="E168" s="677" t="s">
        <v>314</v>
      </c>
      <c r="F168" s="678" t="s">
        <v>536</v>
      </c>
      <c r="G168" s="679" t="s">
        <v>388</v>
      </c>
      <c r="H168" s="679" t="str">
        <f t="shared" ref="H168:H233" si="42">IF($L168="",0,VLOOKUP($L168,Kengetal,4,FALSE))</f>
        <v>niet van toepassing</v>
      </c>
      <c r="I168" s="689" t="s">
        <v>238</v>
      </c>
      <c r="J168" s="680"/>
      <c r="K168" s="680">
        <v>17.760000000000002</v>
      </c>
      <c r="L168" s="692" t="s">
        <v>225</v>
      </c>
      <c r="M168" s="677"/>
      <c r="N168" s="682"/>
      <c r="O168" s="682"/>
      <c r="P168" s="682">
        <f t="shared" si="35"/>
        <v>0</v>
      </c>
      <c r="Q168" s="683">
        <v>1.1499999999999999</v>
      </c>
      <c r="R168" s="684">
        <v>1</v>
      </c>
      <c r="S168" s="685">
        <f t="shared" si="36"/>
        <v>0</v>
      </c>
      <c r="T168" s="685">
        <f t="shared" si="37"/>
        <v>0</v>
      </c>
      <c r="U168" s="685">
        <f t="shared" si="38"/>
        <v>0</v>
      </c>
      <c r="V168" s="685">
        <f t="shared" si="39"/>
        <v>0</v>
      </c>
      <c r="W168" s="686">
        <f t="shared" ref="W168:W224" si="43">IF($L168=0,0,VLOOKUP($L168,Kengetal,6,FALSE))</f>
        <v>0</v>
      </c>
      <c r="X168" s="686">
        <f t="shared" ref="X168:X224" si="44">IF($L168=0,0,VLOOKUP($L168,Kengetal,8,FALSE))</f>
        <v>0</v>
      </c>
      <c r="Y168" s="686">
        <f t="shared" ref="Y168:Y224" si="45">IF($M168=0,0,VLOOKUP($M168,Kengetal,6,FALSE))</f>
        <v>0</v>
      </c>
      <c r="Z168" s="686">
        <f t="shared" ref="Z168:Z224" si="46">IF($N168=0,0,VLOOKUP($N168,Kengetal,6,FALSE))</f>
        <v>0</v>
      </c>
      <c r="AA168" s="685">
        <f t="shared" ref="AA168:AA224" si="47">IF(L168="","",VLOOKUP(L168,Kengetal,15,FALSE))</f>
        <v>0</v>
      </c>
      <c r="AB168" s="687"/>
      <c r="AC168" s="688" t="e">
        <f>(S168+T168+U168)*'1.0-Contractblad'!$K$68</f>
        <v>#VALUE!</v>
      </c>
      <c r="AD168" s="688"/>
      <c r="AE168" s="48">
        <f t="shared" ref="AE168:AE224" si="48">IF(L168=8255,S168+T168,0)</f>
        <v>0</v>
      </c>
      <c r="AF168" s="48">
        <f t="shared" si="40"/>
        <v>0</v>
      </c>
      <c r="AG168" s="48" t="str">
        <f t="shared" si="41"/>
        <v>nvt-0</v>
      </c>
    </row>
    <row r="169" spans="1:33" ht="12.75">
      <c r="A169" s="102"/>
      <c r="B169" s="364"/>
      <c r="C169" s="365"/>
      <c r="D169" s="676" t="s">
        <v>115</v>
      </c>
      <c r="E169" s="677" t="s">
        <v>314</v>
      </c>
      <c r="F169" s="678" t="s">
        <v>537</v>
      </c>
      <c r="G169" s="679" t="s">
        <v>538</v>
      </c>
      <c r="H169" s="679" t="str">
        <f t="shared" si="42"/>
        <v>administratieve -, personeels- en vergaderruimte</v>
      </c>
      <c r="I169" s="689" t="s">
        <v>238</v>
      </c>
      <c r="J169" s="680">
        <v>83.2</v>
      </c>
      <c r="K169" s="680"/>
      <c r="L169" s="692">
        <v>1104</v>
      </c>
      <c r="M169" s="677"/>
      <c r="N169" s="682"/>
      <c r="O169" s="682"/>
      <c r="P169" s="682">
        <f t="shared" ref="P169:P225" si="49">VLOOKUP(L169,Kengetal,3,FALSE)+VLOOKUP(M169,Kengetal,3,FALSE)+VLOOKUP(N169,Kengetal,3,FALSE)</f>
        <v>104</v>
      </c>
      <c r="Q169" s="683">
        <v>1.1499999999999999</v>
      </c>
      <c r="R169" s="684">
        <v>1</v>
      </c>
      <c r="S169" s="685">
        <f t="shared" ref="S169:S225" si="50">W169*J169*Q169</f>
        <v>0</v>
      </c>
      <c r="T169" s="685">
        <f t="shared" ref="T169:T225" si="51">X169*J169*R169</f>
        <v>0</v>
      </c>
      <c r="U169" s="685">
        <f t="shared" ref="U169:U225" si="52">Y169*J169*Q169</f>
        <v>0</v>
      </c>
      <c r="V169" s="685">
        <f t="shared" ref="V169:V225" si="53">Z169*J169*T169</f>
        <v>0</v>
      </c>
      <c r="W169" s="686">
        <f t="shared" si="43"/>
        <v>0</v>
      </c>
      <c r="X169" s="686">
        <f t="shared" si="44"/>
        <v>0</v>
      </c>
      <c r="Y169" s="686">
        <f t="shared" si="45"/>
        <v>0</v>
      </c>
      <c r="Z169" s="686">
        <f t="shared" si="46"/>
        <v>0</v>
      </c>
      <c r="AA169" s="685" t="str">
        <f t="shared" si="47"/>
        <v>B</v>
      </c>
      <c r="AB169" s="687" t="s">
        <v>379</v>
      </c>
      <c r="AC169" s="688" t="e">
        <f>(S169+T169+U169)*'1.0-Contractblad'!$K$68</f>
        <v>#VALUE!</v>
      </c>
      <c r="AD169" s="688"/>
      <c r="AE169" s="48">
        <f t="shared" si="48"/>
        <v>0</v>
      </c>
      <c r="AF169" s="48">
        <f t="shared" ref="AF169:AF225" si="54">J169*P169</f>
        <v>8652.8000000000011</v>
      </c>
      <c r="AG169" s="48" t="str">
        <f t="shared" ref="AG169:AG225" si="55">CONCATENATE(L169,"-",P169)</f>
        <v>1104-104</v>
      </c>
    </row>
    <row r="170" spans="1:33" ht="12.75">
      <c r="A170" s="102"/>
      <c r="B170" s="364"/>
      <c r="C170" s="365"/>
      <c r="D170" s="676" t="s">
        <v>115</v>
      </c>
      <c r="E170" s="677" t="s">
        <v>314</v>
      </c>
      <c r="F170" s="678" t="s">
        <v>539</v>
      </c>
      <c r="G170" s="679" t="s">
        <v>540</v>
      </c>
      <c r="H170" s="679" t="str">
        <f t="shared" si="42"/>
        <v>administratieve -, personeels- en vergaderruimte</v>
      </c>
      <c r="I170" s="689" t="s">
        <v>234</v>
      </c>
      <c r="J170" s="680">
        <v>14.14</v>
      </c>
      <c r="K170" s="680" t="s">
        <v>77</v>
      </c>
      <c r="L170" s="692">
        <v>1104</v>
      </c>
      <c r="M170" s="677"/>
      <c r="N170" s="682"/>
      <c r="O170" s="682"/>
      <c r="P170" s="682">
        <f t="shared" si="49"/>
        <v>104</v>
      </c>
      <c r="Q170" s="683">
        <v>1.1499999999999999</v>
      </c>
      <c r="R170" s="684">
        <v>1</v>
      </c>
      <c r="S170" s="685">
        <f t="shared" si="50"/>
        <v>0</v>
      </c>
      <c r="T170" s="685">
        <f t="shared" si="51"/>
        <v>0</v>
      </c>
      <c r="U170" s="685">
        <f t="shared" si="52"/>
        <v>0</v>
      </c>
      <c r="V170" s="685">
        <f t="shared" si="53"/>
        <v>0</v>
      </c>
      <c r="W170" s="686">
        <f t="shared" si="43"/>
        <v>0</v>
      </c>
      <c r="X170" s="686">
        <f t="shared" si="44"/>
        <v>0</v>
      </c>
      <c r="Y170" s="686">
        <f t="shared" si="45"/>
        <v>0</v>
      </c>
      <c r="Z170" s="686">
        <f t="shared" si="46"/>
        <v>0</v>
      </c>
      <c r="AA170" s="685" t="str">
        <f t="shared" si="47"/>
        <v>B</v>
      </c>
      <c r="AB170" s="687" t="s">
        <v>379</v>
      </c>
      <c r="AC170" s="688" t="e">
        <f>(S170+T170+U170)*'1.0-Contractblad'!$K$68</f>
        <v>#VALUE!</v>
      </c>
      <c r="AD170" s="688"/>
      <c r="AE170" s="48">
        <f t="shared" si="48"/>
        <v>0</v>
      </c>
      <c r="AF170" s="48">
        <f t="shared" si="54"/>
        <v>1470.56</v>
      </c>
      <c r="AG170" s="48" t="str">
        <f t="shared" si="55"/>
        <v>1104-104</v>
      </c>
    </row>
    <row r="171" spans="1:33" ht="12.75">
      <c r="A171" s="102"/>
      <c r="B171" s="364"/>
      <c r="C171" s="365"/>
      <c r="D171" s="676" t="s">
        <v>115</v>
      </c>
      <c r="E171" s="677" t="s">
        <v>314</v>
      </c>
      <c r="F171" s="678" t="s">
        <v>541</v>
      </c>
      <c r="G171" s="679" t="s">
        <v>388</v>
      </c>
      <c r="H171" s="679" t="str">
        <f t="shared" si="42"/>
        <v>niet van toepassing</v>
      </c>
      <c r="I171" s="689" t="s">
        <v>238</v>
      </c>
      <c r="J171" s="680"/>
      <c r="K171" s="680">
        <v>24.96</v>
      </c>
      <c r="L171" s="692" t="s">
        <v>225</v>
      </c>
      <c r="M171" s="677"/>
      <c r="N171" s="682"/>
      <c r="O171" s="682"/>
      <c r="P171" s="682">
        <f t="shared" si="49"/>
        <v>0</v>
      </c>
      <c r="Q171" s="683">
        <v>1.1499999999999999</v>
      </c>
      <c r="R171" s="684">
        <v>1</v>
      </c>
      <c r="S171" s="685">
        <f t="shared" si="50"/>
        <v>0</v>
      </c>
      <c r="T171" s="685">
        <f t="shared" si="51"/>
        <v>0</v>
      </c>
      <c r="U171" s="685">
        <f t="shared" si="52"/>
        <v>0</v>
      </c>
      <c r="V171" s="685">
        <f t="shared" si="53"/>
        <v>0</v>
      </c>
      <c r="W171" s="686">
        <f t="shared" si="43"/>
        <v>0</v>
      </c>
      <c r="X171" s="686">
        <f t="shared" si="44"/>
        <v>0</v>
      </c>
      <c r="Y171" s="686">
        <f t="shared" si="45"/>
        <v>0</v>
      </c>
      <c r="Z171" s="686">
        <f t="shared" si="46"/>
        <v>0</v>
      </c>
      <c r="AA171" s="685">
        <f t="shared" si="47"/>
        <v>0</v>
      </c>
      <c r="AB171" s="687"/>
      <c r="AC171" s="688" t="e">
        <f>(S171+T171+U171)*'1.0-Contractblad'!$K$68</f>
        <v>#VALUE!</v>
      </c>
      <c r="AD171" s="688"/>
      <c r="AE171" s="48">
        <f t="shared" si="48"/>
        <v>0</v>
      </c>
      <c r="AF171" s="48">
        <f t="shared" si="54"/>
        <v>0</v>
      </c>
      <c r="AG171" s="48" t="str">
        <f t="shared" si="55"/>
        <v>nvt-0</v>
      </c>
    </row>
    <row r="172" spans="1:33" ht="12.75">
      <c r="A172" s="102"/>
      <c r="B172" s="364"/>
      <c r="C172" s="365"/>
      <c r="D172" s="676" t="s">
        <v>115</v>
      </c>
      <c r="E172" s="677" t="s">
        <v>314</v>
      </c>
      <c r="F172" s="678" t="s">
        <v>542</v>
      </c>
      <c r="G172" s="679" t="s">
        <v>543</v>
      </c>
      <c r="H172" s="679" t="str">
        <f t="shared" si="42"/>
        <v>pantry, keuken, koffiecorner</v>
      </c>
      <c r="I172" s="689" t="s">
        <v>238</v>
      </c>
      <c r="J172" s="680">
        <v>11.6</v>
      </c>
      <c r="K172" s="680"/>
      <c r="L172" s="692">
        <v>5104</v>
      </c>
      <c r="M172" s="677"/>
      <c r="N172" s="682"/>
      <c r="O172" s="682"/>
      <c r="P172" s="682">
        <f t="shared" si="49"/>
        <v>104</v>
      </c>
      <c r="Q172" s="683">
        <v>1.1499999999999999</v>
      </c>
      <c r="R172" s="684">
        <v>1</v>
      </c>
      <c r="S172" s="685">
        <f t="shared" si="50"/>
        <v>0</v>
      </c>
      <c r="T172" s="685">
        <f t="shared" si="51"/>
        <v>0</v>
      </c>
      <c r="U172" s="685">
        <f t="shared" si="52"/>
        <v>0</v>
      </c>
      <c r="V172" s="685">
        <f t="shared" si="53"/>
        <v>0</v>
      </c>
      <c r="W172" s="686">
        <f t="shared" si="43"/>
        <v>0</v>
      </c>
      <c r="X172" s="686">
        <f t="shared" si="44"/>
        <v>0</v>
      </c>
      <c r="Y172" s="686">
        <f t="shared" si="45"/>
        <v>0</v>
      </c>
      <c r="Z172" s="686">
        <f t="shared" si="46"/>
        <v>0</v>
      </c>
      <c r="AA172" s="685" t="str">
        <f t="shared" si="47"/>
        <v>V</v>
      </c>
      <c r="AB172" s="687" t="s">
        <v>379</v>
      </c>
      <c r="AC172" s="688" t="e">
        <f>(S172+T172+U172)*'1.0-Contractblad'!$K$68</f>
        <v>#VALUE!</v>
      </c>
      <c r="AD172" s="688"/>
      <c r="AE172" s="48">
        <f t="shared" si="48"/>
        <v>0</v>
      </c>
      <c r="AF172" s="48">
        <f t="shared" si="54"/>
        <v>1206.3999999999999</v>
      </c>
      <c r="AG172" s="48" t="str">
        <f t="shared" si="55"/>
        <v>5104-104</v>
      </c>
    </row>
    <row r="173" spans="1:33" ht="12.75">
      <c r="A173" s="102"/>
      <c r="B173" s="364"/>
      <c r="C173" s="365"/>
      <c r="D173" s="676" t="s">
        <v>115</v>
      </c>
      <c r="E173" s="677" t="s">
        <v>314</v>
      </c>
      <c r="F173" s="678" t="s">
        <v>544</v>
      </c>
      <c r="G173" s="679" t="s">
        <v>328</v>
      </c>
      <c r="H173" s="679" t="str">
        <f t="shared" si="42"/>
        <v>pantry, keuken, koffiecorner</v>
      </c>
      <c r="I173" s="689" t="s">
        <v>238</v>
      </c>
      <c r="J173" s="680">
        <v>58.7</v>
      </c>
      <c r="K173" s="680"/>
      <c r="L173" s="692">
        <v>5104</v>
      </c>
      <c r="M173" s="677"/>
      <c r="N173" s="682"/>
      <c r="O173" s="682"/>
      <c r="P173" s="682">
        <f t="shared" si="49"/>
        <v>104</v>
      </c>
      <c r="Q173" s="683">
        <v>1.1499999999999999</v>
      </c>
      <c r="R173" s="684">
        <v>1</v>
      </c>
      <c r="S173" s="685">
        <f t="shared" si="50"/>
        <v>0</v>
      </c>
      <c r="T173" s="685">
        <f t="shared" si="51"/>
        <v>0</v>
      </c>
      <c r="U173" s="685">
        <f t="shared" si="52"/>
        <v>0</v>
      </c>
      <c r="V173" s="685">
        <f t="shared" si="53"/>
        <v>0</v>
      </c>
      <c r="W173" s="686">
        <f t="shared" si="43"/>
        <v>0</v>
      </c>
      <c r="X173" s="686">
        <f t="shared" si="44"/>
        <v>0</v>
      </c>
      <c r="Y173" s="686">
        <f t="shared" si="45"/>
        <v>0</v>
      </c>
      <c r="Z173" s="686">
        <f t="shared" si="46"/>
        <v>0</v>
      </c>
      <c r="AA173" s="685" t="str">
        <f t="shared" si="47"/>
        <v>V</v>
      </c>
      <c r="AB173" s="687" t="s">
        <v>379</v>
      </c>
      <c r="AC173" s="688" t="e">
        <f>(S173+T173+U173)*'1.0-Contractblad'!$K$68</f>
        <v>#VALUE!</v>
      </c>
      <c r="AD173" s="688"/>
      <c r="AE173" s="48">
        <f t="shared" si="48"/>
        <v>0</v>
      </c>
      <c r="AF173" s="48">
        <f t="shared" si="54"/>
        <v>6104.8</v>
      </c>
      <c r="AG173" s="48" t="str">
        <f t="shared" si="55"/>
        <v>5104-104</v>
      </c>
    </row>
    <row r="174" spans="1:33" ht="12.75">
      <c r="A174" s="102"/>
      <c r="B174" s="364"/>
      <c r="C174" s="365"/>
      <c r="D174" s="676" t="s">
        <v>115</v>
      </c>
      <c r="E174" s="677" t="s">
        <v>314</v>
      </c>
      <c r="F174" s="678" t="s">
        <v>545</v>
      </c>
      <c r="G174" s="679" t="s">
        <v>546</v>
      </c>
      <c r="H174" s="679" t="str">
        <f t="shared" si="42"/>
        <v>entree, gang, hal, repro, kopieer</v>
      </c>
      <c r="I174" s="689" t="s">
        <v>238</v>
      </c>
      <c r="J174" s="680">
        <v>23.7</v>
      </c>
      <c r="K174" s="680"/>
      <c r="L174" s="692">
        <v>3104</v>
      </c>
      <c r="M174" s="677"/>
      <c r="N174" s="682"/>
      <c r="O174" s="682"/>
      <c r="P174" s="682">
        <f t="shared" si="49"/>
        <v>104</v>
      </c>
      <c r="Q174" s="683">
        <v>1.1499999999999999</v>
      </c>
      <c r="R174" s="684">
        <v>1</v>
      </c>
      <c r="S174" s="685">
        <f t="shared" si="50"/>
        <v>0</v>
      </c>
      <c r="T174" s="685">
        <f t="shared" si="51"/>
        <v>0</v>
      </c>
      <c r="U174" s="685">
        <f t="shared" si="52"/>
        <v>0</v>
      </c>
      <c r="V174" s="685">
        <f t="shared" si="53"/>
        <v>0</v>
      </c>
      <c r="W174" s="686">
        <f t="shared" si="43"/>
        <v>0</v>
      </c>
      <c r="X174" s="686">
        <f t="shared" si="44"/>
        <v>0</v>
      </c>
      <c r="Y174" s="686">
        <f t="shared" si="45"/>
        <v>0</v>
      </c>
      <c r="Z174" s="686">
        <f t="shared" si="46"/>
        <v>0</v>
      </c>
      <c r="AA174" s="685" t="str">
        <f t="shared" si="47"/>
        <v>V</v>
      </c>
      <c r="AB174" s="687" t="s">
        <v>379</v>
      </c>
      <c r="AC174" s="688" t="e">
        <f>(S174+T174+U174)*'1.0-Contractblad'!$K$68</f>
        <v>#VALUE!</v>
      </c>
      <c r="AD174" s="688"/>
      <c r="AE174" s="48">
        <f t="shared" si="48"/>
        <v>0</v>
      </c>
      <c r="AF174" s="48">
        <f t="shared" si="54"/>
        <v>2464.7999999999997</v>
      </c>
      <c r="AG174" s="48" t="str">
        <f t="shared" si="55"/>
        <v>3104-104</v>
      </c>
    </row>
    <row r="175" spans="1:33" ht="12.75">
      <c r="A175" s="102"/>
      <c r="B175" s="364"/>
      <c r="C175" s="365"/>
      <c r="D175" s="676" t="s">
        <v>115</v>
      </c>
      <c r="E175" s="677" t="s">
        <v>314</v>
      </c>
      <c r="F175" s="678" t="s">
        <v>547</v>
      </c>
      <c r="G175" s="679" t="s">
        <v>386</v>
      </c>
      <c r="H175" s="679" t="str">
        <f t="shared" si="42"/>
        <v>administratieve -, personeels- en vergaderruimte</v>
      </c>
      <c r="I175" s="689" t="s">
        <v>234</v>
      </c>
      <c r="J175" s="680">
        <v>15.7</v>
      </c>
      <c r="K175" s="680"/>
      <c r="L175" s="692">
        <v>1104</v>
      </c>
      <c r="M175" s="677"/>
      <c r="N175" s="682"/>
      <c r="O175" s="682"/>
      <c r="P175" s="682">
        <f t="shared" si="49"/>
        <v>104</v>
      </c>
      <c r="Q175" s="683">
        <v>1.1499999999999999</v>
      </c>
      <c r="R175" s="684">
        <v>1</v>
      </c>
      <c r="S175" s="685">
        <f t="shared" si="50"/>
        <v>0</v>
      </c>
      <c r="T175" s="685">
        <f t="shared" si="51"/>
        <v>0</v>
      </c>
      <c r="U175" s="685">
        <f t="shared" si="52"/>
        <v>0</v>
      </c>
      <c r="V175" s="685">
        <f t="shared" si="53"/>
        <v>0</v>
      </c>
      <c r="W175" s="686">
        <f t="shared" si="43"/>
        <v>0</v>
      </c>
      <c r="X175" s="686">
        <f t="shared" si="44"/>
        <v>0</v>
      </c>
      <c r="Y175" s="686">
        <f t="shared" si="45"/>
        <v>0</v>
      </c>
      <c r="Z175" s="686">
        <f t="shared" si="46"/>
        <v>0</v>
      </c>
      <c r="AA175" s="685" t="str">
        <f t="shared" si="47"/>
        <v>B</v>
      </c>
      <c r="AB175" s="687" t="s">
        <v>379</v>
      </c>
      <c r="AC175" s="688" t="e">
        <f>(S175+T175+U175)*'1.0-Contractblad'!$K$68</f>
        <v>#VALUE!</v>
      </c>
      <c r="AD175" s="688"/>
      <c r="AE175" s="48">
        <f t="shared" si="48"/>
        <v>0</v>
      </c>
      <c r="AF175" s="48">
        <f t="shared" si="54"/>
        <v>1632.8</v>
      </c>
      <c r="AG175" s="48" t="str">
        <f t="shared" si="55"/>
        <v>1104-104</v>
      </c>
    </row>
    <row r="176" spans="1:33" ht="12.75">
      <c r="A176" s="102"/>
      <c r="B176" s="364"/>
      <c r="C176" s="365"/>
      <c r="D176" s="676" t="s">
        <v>115</v>
      </c>
      <c r="E176" s="677" t="s">
        <v>419</v>
      </c>
      <c r="F176" s="678" t="s">
        <v>548</v>
      </c>
      <c r="G176" s="679" t="s">
        <v>549</v>
      </c>
      <c r="H176" s="679" t="str">
        <f t="shared" si="42"/>
        <v>entree, gang, hal, repro, kopieer</v>
      </c>
      <c r="I176" s="689" t="s">
        <v>234</v>
      </c>
      <c r="J176" s="680"/>
      <c r="K176" s="680">
        <v>10.74</v>
      </c>
      <c r="L176" s="692">
        <v>3104</v>
      </c>
      <c r="M176" s="677"/>
      <c r="N176" s="682"/>
      <c r="O176" s="682"/>
      <c r="P176" s="682">
        <f t="shared" si="49"/>
        <v>104</v>
      </c>
      <c r="Q176" s="683">
        <v>1.1499999999999999</v>
      </c>
      <c r="R176" s="684">
        <v>1</v>
      </c>
      <c r="S176" s="685">
        <f t="shared" si="50"/>
        <v>0</v>
      </c>
      <c r="T176" s="685">
        <f t="shared" si="51"/>
        <v>0</v>
      </c>
      <c r="U176" s="685">
        <f t="shared" si="52"/>
        <v>0</v>
      </c>
      <c r="V176" s="685">
        <f t="shared" si="53"/>
        <v>0</v>
      </c>
      <c r="W176" s="686">
        <f t="shared" si="43"/>
        <v>0</v>
      </c>
      <c r="X176" s="686">
        <f t="shared" si="44"/>
        <v>0</v>
      </c>
      <c r="Y176" s="686">
        <f t="shared" si="45"/>
        <v>0</v>
      </c>
      <c r="Z176" s="686">
        <f t="shared" si="46"/>
        <v>0</v>
      </c>
      <c r="AA176" s="685" t="str">
        <f t="shared" si="47"/>
        <v>V</v>
      </c>
      <c r="AB176" s="687" t="s">
        <v>379</v>
      </c>
      <c r="AC176" s="688" t="e">
        <f>(S176+T176+U176)*'1.0-Contractblad'!$K$68</f>
        <v>#VALUE!</v>
      </c>
      <c r="AD176" s="688"/>
      <c r="AE176" s="48">
        <f t="shared" si="48"/>
        <v>0</v>
      </c>
      <c r="AF176" s="48">
        <f t="shared" si="54"/>
        <v>0</v>
      </c>
      <c r="AG176" s="48" t="str">
        <f t="shared" si="55"/>
        <v>3104-104</v>
      </c>
    </row>
    <row r="177" spans="1:33" ht="12.75">
      <c r="A177" s="102"/>
      <c r="B177" s="364"/>
      <c r="C177" s="365"/>
      <c r="D177" s="676" t="s">
        <v>115</v>
      </c>
      <c r="E177" s="677" t="s">
        <v>314</v>
      </c>
      <c r="F177" s="678" t="s">
        <v>550</v>
      </c>
      <c r="G177" s="679" t="s">
        <v>551</v>
      </c>
      <c r="H177" s="679" t="str">
        <f t="shared" si="42"/>
        <v>entree, gang, hal, repro, kopieer</v>
      </c>
      <c r="I177" s="689" t="s">
        <v>234</v>
      </c>
      <c r="J177" s="680">
        <v>11.03</v>
      </c>
      <c r="K177" s="680"/>
      <c r="L177" s="692">
        <v>3104</v>
      </c>
      <c r="M177" s="677"/>
      <c r="N177" s="682"/>
      <c r="O177" s="682"/>
      <c r="P177" s="682">
        <f t="shared" si="49"/>
        <v>104</v>
      </c>
      <c r="Q177" s="683">
        <v>1.1499999999999999</v>
      </c>
      <c r="R177" s="684">
        <v>1</v>
      </c>
      <c r="S177" s="685">
        <f t="shared" si="50"/>
        <v>0</v>
      </c>
      <c r="T177" s="685">
        <f t="shared" si="51"/>
        <v>0</v>
      </c>
      <c r="U177" s="685">
        <f t="shared" si="52"/>
        <v>0</v>
      </c>
      <c r="V177" s="685">
        <f t="shared" si="53"/>
        <v>0</v>
      </c>
      <c r="W177" s="686">
        <f t="shared" si="43"/>
        <v>0</v>
      </c>
      <c r="X177" s="686">
        <f t="shared" si="44"/>
        <v>0</v>
      </c>
      <c r="Y177" s="686">
        <f t="shared" si="45"/>
        <v>0</v>
      </c>
      <c r="Z177" s="686">
        <f t="shared" si="46"/>
        <v>0</v>
      </c>
      <c r="AA177" s="685" t="str">
        <f t="shared" si="47"/>
        <v>V</v>
      </c>
      <c r="AB177" s="687" t="s">
        <v>379</v>
      </c>
      <c r="AC177" s="688" t="e">
        <f>(S177+T177+U177)*'1.0-Contractblad'!$K$68</f>
        <v>#VALUE!</v>
      </c>
      <c r="AD177" s="688"/>
      <c r="AE177" s="48">
        <f t="shared" si="48"/>
        <v>0</v>
      </c>
      <c r="AF177" s="48">
        <f t="shared" si="54"/>
        <v>1147.1199999999999</v>
      </c>
      <c r="AG177" s="48" t="str">
        <f t="shared" si="55"/>
        <v>3104-104</v>
      </c>
    </row>
    <row r="178" spans="1:33" ht="12.75">
      <c r="A178" s="102"/>
      <c r="B178" s="364"/>
      <c r="C178" s="365"/>
      <c r="D178" s="676" t="s">
        <v>115</v>
      </c>
      <c r="E178" s="677" t="s">
        <v>314</v>
      </c>
      <c r="F178" s="678" t="s">
        <v>552</v>
      </c>
      <c r="G178" s="679" t="s">
        <v>553</v>
      </c>
      <c r="H178" s="679" t="str">
        <f t="shared" si="42"/>
        <v>administratieve -, personeels- en vergaderruimte</v>
      </c>
      <c r="I178" s="689" t="s">
        <v>384</v>
      </c>
      <c r="J178" s="680">
        <v>10.76</v>
      </c>
      <c r="K178" s="680"/>
      <c r="L178" s="692">
        <v>1104</v>
      </c>
      <c r="M178" s="677"/>
      <c r="N178" s="682"/>
      <c r="O178" s="682"/>
      <c r="P178" s="682">
        <f t="shared" si="49"/>
        <v>104</v>
      </c>
      <c r="Q178" s="683">
        <v>1.1499999999999999</v>
      </c>
      <c r="R178" s="684">
        <v>1</v>
      </c>
      <c r="S178" s="685">
        <f t="shared" si="50"/>
        <v>0</v>
      </c>
      <c r="T178" s="685">
        <f t="shared" si="51"/>
        <v>0</v>
      </c>
      <c r="U178" s="685">
        <f t="shared" si="52"/>
        <v>0</v>
      </c>
      <c r="V178" s="685">
        <f t="shared" si="53"/>
        <v>0</v>
      </c>
      <c r="W178" s="686">
        <f t="shared" si="43"/>
        <v>0</v>
      </c>
      <c r="X178" s="686">
        <f t="shared" si="44"/>
        <v>0</v>
      </c>
      <c r="Y178" s="686">
        <f t="shared" si="45"/>
        <v>0</v>
      </c>
      <c r="Z178" s="686">
        <f t="shared" si="46"/>
        <v>0</v>
      </c>
      <c r="AA178" s="685" t="str">
        <f t="shared" si="47"/>
        <v>B</v>
      </c>
      <c r="AB178" s="687" t="s">
        <v>379</v>
      </c>
      <c r="AC178" s="688" t="e">
        <f>(S178+T178+U178)*'1.0-Contractblad'!$K$68</f>
        <v>#VALUE!</v>
      </c>
      <c r="AD178" s="688"/>
      <c r="AE178" s="48">
        <f t="shared" si="48"/>
        <v>0</v>
      </c>
      <c r="AF178" s="48">
        <f t="shared" si="54"/>
        <v>1119.04</v>
      </c>
      <c r="AG178" s="48" t="str">
        <f t="shared" si="55"/>
        <v>1104-104</v>
      </c>
    </row>
    <row r="179" spans="1:33" ht="12.75">
      <c r="A179" s="102"/>
      <c r="B179" s="364"/>
      <c r="C179" s="365"/>
      <c r="D179" s="676" t="s">
        <v>118</v>
      </c>
      <c r="E179" s="677" t="s">
        <v>314</v>
      </c>
      <c r="F179" s="678" t="s">
        <v>315</v>
      </c>
      <c r="G179" s="679" t="s">
        <v>554</v>
      </c>
      <c r="H179" s="679" t="str">
        <f t="shared" si="42"/>
        <v>entree, gang, hal, repro, kopieer</v>
      </c>
      <c r="I179" s="689" t="s">
        <v>238</v>
      </c>
      <c r="J179" s="680">
        <v>42.5</v>
      </c>
      <c r="K179" s="680"/>
      <c r="L179" s="692">
        <v>3255</v>
      </c>
      <c r="M179" s="677"/>
      <c r="N179" s="682"/>
      <c r="O179" s="682"/>
      <c r="P179" s="682">
        <f t="shared" si="49"/>
        <v>255</v>
      </c>
      <c r="Q179" s="683">
        <v>0.8</v>
      </c>
      <c r="R179" s="684">
        <v>1</v>
      </c>
      <c r="S179" s="685">
        <f t="shared" si="50"/>
        <v>0</v>
      </c>
      <c r="T179" s="685">
        <f t="shared" si="51"/>
        <v>0</v>
      </c>
      <c r="U179" s="685">
        <f t="shared" si="52"/>
        <v>0</v>
      </c>
      <c r="V179" s="685">
        <f t="shared" si="53"/>
        <v>0</v>
      </c>
      <c r="W179" s="686">
        <f t="shared" si="43"/>
        <v>0</v>
      </c>
      <c r="X179" s="686">
        <f t="shared" si="44"/>
        <v>0</v>
      </c>
      <c r="Y179" s="686">
        <f t="shared" si="45"/>
        <v>0</v>
      </c>
      <c r="Z179" s="686">
        <f t="shared" si="46"/>
        <v>0</v>
      </c>
      <c r="AA179" s="685" t="str">
        <f t="shared" si="47"/>
        <v>V</v>
      </c>
      <c r="AB179" s="687"/>
      <c r="AC179" s="688" t="e">
        <f>(S179+T179+U179)*'1.0-Contractblad'!$K$68</f>
        <v>#VALUE!</v>
      </c>
      <c r="AD179" s="688"/>
      <c r="AE179" s="48">
        <f t="shared" si="48"/>
        <v>0</v>
      </c>
      <c r="AF179" s="48">
        <f t="shared" si="54"/>
        <v>10837.5</v>
      </c>
      <c r="AG179" s="48" t="str">
        <f t="shared" si="55"/>
        <v>3255-255</v>
      </c>
    </row>
    <row r="180" spans="1:33" ht="12.75">
      <c r="A180" s="102"/>
      <c r="B180" s="364"/>
      <c r="C180" s="365"/>
      <c r="D180" s="676" t="s">
        <v>118</v>
      </c>
      <c r="E180" s="677" t="s">
        <v>314</v>
      </c>
      <c r="F180" s="678" t="s">
        <v>317</v>
      </c>
      <c r="G180" s="679" t="s">
        <v>316</v>
      </c>
      <c r="H180" s="679" t="str">
        <f t="shared" si="42"/>
        <v>niet van toepassing</v>
      </c>
      <c r="I180" s="689" t="s">
        <v>555</v>
      </c>
      <c r="J180" s="680"/>
      <c r="K180" s="680">
        <v>0.7</v>
      </c>
      <c r="L180" s="692" t="s">
        <v>225</v>
      </c>
      <c r="M180" s="677"/>
      <c r="N180" s="682"/>
      <c r="O180" s="682"/>
      <c r="P180" s="682">
        <f t="shared" si="49"/>
        <v>0</v>
      </c>
      <c r="Q180" s="683">
        <v>0.8</v>
      </c>
      <c r="R180" s="684">
        <v>1</v>
      </c>
      <c r="S180" s="685">
        <f t="shared" si="50"/>
        <v>0</v>
      </c>
      <c r="T180" s="685">
        <f t="shared" si="51"/>
        <v>0</v>
      </c>
      <c r="U180" s="685">
        <f t="shared" si="52"/>
        <v>0</v>
      </c>
      <c r="V180" s="685">
        <f t="shared" si="53"/>
        <v>0</v>
      </c>
      <c r="W180" s="686">
        <f t="shared" si="43"/>
        <v>0</v>
      </c>
      <c r="X180" s="686">
        <f t="shared" si="44"/>
        <v>0</v>
      </c>
      <c r="Y180" s="686">
        <f t="shared" si="45"/>
        <v>0</v>
      </c>
      <c r="Z180" s="686">
        <f t="shared" si="46"/>
        <v>0</v>
      </c>
      <c r="AA180" s="685">
        <f t="shared" si="47"/>
        <v>0</v>
      </c>
      <c r="AB180" s="687"/>
      <c r="AC180" s="688" t="e">
        <f>(S180+T180+U180)*'1.0-Contractblad'!$K$68</f>
        <v>#VALUE!</v>
      </c>
      <c r="AD180" s="688"/>
      <c r="AE180" s="48">
        <f t="shared" si="48"/>
        <v>0</v>
      </c>
      <c r="AF180" s="48">
        <f t="shared" si="54"/>
        <v>0</v>
      </c>
      <c r="AG180" s="48" t="str">
        <f t="shared" si="55"/>
        <v>nvt-0</v>
      </c>
    </row>
    <row r="181" spans="1:33" ht="12.75">
      <c r="A181" s="102"/>
      <c r="B181" s="364"/>
      <c r="C181" s="365"/>
      <c r="D181" s="676" t="s">
        <v>118</v>
      </c>
      <c r="E181" s="677" t="s">
        <v>314</v>
      </c>
      <c r="F181" s="678">
        <v>0.03</v>
      </c>
      <c r="G181" s="679" t="s">
        <v>386</v>
      </c>
      <c r="H181" s="679" t="str">
        <f t="shared" si="42"/>
        <v>administratieve -, personeels- en vergaderruimte</v>
      </c>
      <c r="I181" s="689" t="s">
        <v>238</v>
      </c>
      <c r="J181" s="680">
        <v>40.799999999999997</v>
      </c>
      <c r="K181" s="680"/>
      <c r="L181" s="692">
        <v>1255</v>
      </c>
      <c r="M181" s="677"/>
      <c r="N181" s="682"/>
      <c r="O181" s="682"/>
      <c r="P181" s="682">
        <f t="shared" si="49"/>
        <v>255</v>
      </c>
      <c r="Q181" s="683">
        <v>0.8</v>
      </c>
      <c r="R181" s="684">
        <v>1</v>
      </c>
      <c r="S181" s="685">
        <f t="shared" si="50"/>
        <v>0</v>
      </c>
      <c r="T181" s="685">
        <f t="shared" si="51"/>
        <v>0</v>
      </c>
      <c r="U181" s="685">
        <f t="shared" si="52"/>
        <v>0</v>
      </c>
      <c r="V181" s="685">
        <f t="shared" si="53"/>
        <v>0</v>
      </c>
      <c r="W181" s="686">
        <f t="shared" si="43"/>
        <v>0</v>
      </c>
      <c r="X181" s="686">
        <f t="shared" si="44"/>
        <v>0</v>
      </c>
      <c r="Y181" s="686">
        <f t="shared" si="45"/>
        <v>0</v>
      </c>
      <c r="Z181" s="686">
        <f t="shared" si="46"/>
        <v>0</v>
      </c>
      <c r="AA181" s="685" t="str">
        <f t="shared" si="47"/>
        <v>B</v>
      </c>
      <c r="AB181" s="687"/>
      <c r="AC181" s="688" t="e">
        <f>(S181+T181+U181)*'1.0-Contractblad'!$K$68</f>
        <v>#VALUE!</v>
      </c>
      <c r="AD181" s="688"/>
      <c r="AE181" s="48">
        <f t="shared" si="48"/>
        <v>0</v>
      </c>
      <c r="AF181" s="48">
        <f t="shared" si="54"/>
        <v>10404</v>
      </c>
      <c r="AG181" s="48" t="str">
        <f t="shared" si="55"/>
        <v>1255-255</v>
      </c>
    </row>
    <row r="182" spans="1:33" ht="12.75">
      <c r="A182" s="102"/>
      <c r="B182" s="364"/>
      <c r="C182" s="365"/>
      <c r="D182" s="676" t="s">
        <v>118</v>
      </c>
      <c r="E182" s="677" t="s">
        <v>314</v>
      </c>
      <c r="F182" s="678">
        <v>0.04</v>
      </c>
      <c r="G182" s="679" t="s">
        <v>331</v>
      </c>
      <c r="H182" s="679" t="str">
        <f t="shared" si="42"/>
        <v>administratieve -, personeels- en vergaderruimte</v>
      </c>
      <c r="I182" s="689" t="s">
        <v>238</v>
      </c>
      <c r="J182" s="680">
        <v>5.0999999999999996</v>
      </c>
      <c r="K182" s="680"/>
      <c r="L182" s="692">
        <v>1255</v>
      </c>
      <c r="M182" s="677"/>
      <c r="N182" s="682"/>
      <c r="O182" s="682"/>
      <c r="P182" s="682">
        <f t="shared" si="49"/>
        <v>255</v>
      </c>
      <c r="Q182" s="683">
        <v>0.8</v>
      </c>
      <c r="R182" s="684">
        <v>1</v>
      </c>
      <c r="S182" s="685">
        <f t="shared" si="50"/>
        <v>0</v>
      </c>
      <c r="T182" s="685">
        <f t="shared" si="51"/>
        <v>0</v>
      </c>
      <c r="U182" s="685">
        <f t="shared" si="52"/>
        <v>0</v>
      </c>
      <c r="V182" s="685">
        <f t="shared" si="53"/>
        <v>0</v>
      </c>
      <c r="W182" s="686">
        <f t="shared" si="43"/>
        <v>0</v>
      </c>
      <c r="X182" s="686">
        <f t="shared" si="44"/>
        <v>0</v>
      </c>
      <c r="Y182" s="686">
        <f t="shared" si="45"/>
        <v>0</v>
      </c>
      <c r="Z182" s="686">
        <f t="shared" si="46"/>
        <v>0</v>
      </c>
      <c r="AA182" s="685" t="str">
        <f t="shared" si="47"/>
        <v>B</v>
      </c>
      <c r="AB182" s="687"/>
      <c r="AC182" s="688" t="e">
        <f>(S182+T182+U182)*'1.0-Contractblad'!$K$68</f>
        <v>#VALUE!</v>
      </c>
      <c r="AD182" s="688"/>
      <c r="AE182" s="48">
        <f t="shared" si="48"/>
        <v>0</v>
      </c>
      <c r="AF182" s="48">
        <f t="shared" si="54"/>
        <v>1300.5</v>
      </c>
      <c r="AG182" s="48" t="str">
        <f t="shared" si="55"/>
        <v>1255-255</v>
      </c>
    </row>
    <row r="183" spans="1:33" ht="12.75">
      <c r="A183" s="102"/>
      <c r="B183" s="364"/>
      <c r="C183" s="365"/>
      <c r="D183" s="676" t="s">
        <v>118</v>
      </c>
      <c r="E183" s="677" t="s">
        <v>314</v>
      </c>
      <c r="F183" s="678">
        <v>0.05</v>
      </c>
      <c r="G183" s="679" t="s">
        <v>372</v>
      </c>
      <c r="H183" s="679" t="str">
        <f t="shared" si="42"/>
        <v>niet van toepassing</v>
      </c>
      <c r="I183" s="689" t="s">
        <v>240</v>
      </c>
      <c r="J183" s="680"/>
      <c r="K183" s="680">
        <v>131</v>
      </c>
      <c r="L183" s="692" t="s">
        <v>225</v>
      </c>
      <c r="M183" s="677"/>
      <c r="N183" s="682"/>
      <c r="O183" s="682"/>
      <c r="P183" s="682">
        <f t="shared" si="49"/>
        <v>0</v>
      </c>
      <c r="Q183" s="683">
        <v>0.8</v>
      </c>
      <c r="R183" s="684">
        <v>1</v>
      </c>
      <c r="S183" s="685">
        <f t="shared" si="50"/>
        <v>0</v>
      </c>
      <c r="T183" s="685">
        <f t="shared" si="51"/>
        <v>0</v>
      </c>
      <c r="U183" s="685">
        <f t="shared" si="52"/>
        <v>0</v>
      </c>
      <c r="V183" s="685">
        <f t="shared" si="53"/>
        <v>0</v>
      </c>
      <c r="W183" s="686">
        <f t="shared" si="43"/>
        <v>0</v>
      </c>
      <c r="X183" s="686">
        <f t="shared" si="44"/>
        <v>0</v>
      </c>
      <c r="Y183" s="686">
        <f t="shared" si="45"/>
        <v>0</v>
      </c>
      <c r="Z183" s="686">
        <f t="shared" si="46"/>
        <v>0</v>
      </c>
      <c r="AA183" s="685">
        <f t="shared" si="47"/>
        <v>0</v>
      </c>
      <c r="AB183" s="687"/>
      <c r="AC183" s="688" t="e">
        <f>(S183+T183+U183)*'1.0-Contractblad'!$K$68</f>
        <v>#VALUE!</v>
      </c>
      <c r="AD183" s="688"/>
      <c r="AE183" s="48">
        <f t="shared" si="48"/>
        <v>0</v>
      </c>
      <c r="AF183" s="48">
        <f t="shared" si="54"/>
        <v>0</v>
      </c>
      <c r="AG183" s="48" t="str">
        <f t="shared" si="55"/>
        <v>nvt-0</v>
      </c>
    </row>
    <row r="184" spans="1:33" ht="12.75">
      <c r="A184" s="102"/>
      <c r="B184" s="364"/>
      <c r="C184" s="365"/>
      <c r="D184" s="676" t="s">
        <v>118</v>
      </c>
      <c r="E184" s="677" t="s">
        <v>314</v>
      </c>
      <c r="F184" s="678" t="s">
        <v>327</v>
      </c>
      <c r="G184" s="679" t="s">
        <v>556</v>
      </c>
      <c r="H184" s="679" t="str">
        <f t="shared" si="42"/>
        <v>niet van toepassing</v>
      </c>
      <c r="I184" s="689" t="s">
        <v>240</v>
      </c>
      <c r="J184" s="680"/>
      <c r="K184" s="680">
        <v>10</v>
      </c>
      <c r="L184" s="692" t="s">
        <v>225</v>
      </c>
      <c r="M184" s="677"/>
      <c r="N184" s="682"/>
      <c r="O184" s="682"/>
      <c r="P184" s="682">
        <f t="shared" si="49"/>
        <v>0</v>
      </c>
      <c r="Q184" s="683">
        <v>0.8</v>
      </c>
      <c r="R184" s="684">
        <v>1</v>
      </c>
      <c r="S184" s="685">
        <f t="shared" si="50"/>
        <v>0</v>
      </c>
      <c r="T184" s="685">
        <f t="shared" si="51"/>
        <v>0</v>
      </c>
      <c r="U184" s="685">
        <f t="shared" si="52"/>
        <v>0</v>
      </c>
      <c r="V184" s="685">
        <f t="shared" si="53"/>
        <v>0</v>
      </c>
      <c r="W184" s="686">
        <f t="shared" si="43"/>
        <v>0</v>
      </c>
      <c r="X184" s="686">
        <f t="shared" si="44"/>
        <v>0</v>
      </c>
      <c r="Y184" s="686">
        <f t="shared" si="45"/>
        <v>0</v>
      </c>
      <c r="Z184" s="686">
        <f t="shared" si="46"/>
        <v>0</v>
      </c>
      <c r="AA184" s="685">
        <f t="shared" si="47"/>
        <v>0</v>
      </c>
      <c r="AB184" s="687"/>
      <c r="AC184" s="688" t="e">
        <f>(S184+T184+U184)*'1.0-Contractblad'!$K$68</f>
        <v>#VALUE!</v>
      </c>
      <c r="AD184" s="688"/>
      <c r="AE184" s="48">
        <f t="shared" si="48"/>
        <v>0</v>
      </c>
      <c r="AF184" s="48">
        <f t="shared" si="54"/>
        <v>0</v>
      </c>
      <c r="AG184" s="48" t="str">
        <f t="shared" si="55"/>
        <v>nvt-0</v>
      </c>
    </row>
    <row r="185" spans="1:33" ht="12.75">
      <c r="A185" s="102"/>
      <c r="B185" s="364"/>
      <c r="C185" s="365"/>
      <c r="D185" s="676" t="s">
        <v>118</v>
      </c>
      <c r="E185" s="677" t="s">
        <v>314</v>
      </c>
      <c r="F185" s="678" t="s">
        <v>330</v>
      </c>
      <c r="G185" s="679" t="s">
        <v>393</v>
      </c>
      <c r="H185" s="679" t="str">
        <f t="shared" si="42"/>
        <v>niet van toepassing</v>
      </c>
      <c r="I185" s="689" t="s">
        <v>557</v>
      </c>
      <c r="J185" s="680"/>
      <c r="K185" s="680">
        <v>37.5</v>
      </c>
      <c r="L185" s="692" t="s">
        <v>225</v>
      </c>
      <c r="M185" s="677"/>
      <c r="N185" s="682"/>
      <c r="O185" s="682"/>
      <c r="P185" s="682">
        <f t="shared" si="49"/>
        <v>0</v>
      </c>
      <c r="Q185" s="683">
        <v>0.8</v>
      </c>
      <c r="R185" s="684">
        <v>1</v>
      </c>
      <c r="S185" s="685">
        <f t="shared" si="50"/>
        <v>0</v>
      </c>
      <c r="T185" s="685">
        <f t="shared" si="51"/>
        <v>0</v>
      </c>
      <c r="U185" s="685">
        <f t="shared" si="52"/>
        <v>0</v>
      </c>
      <c r="V185" s="685">
        <f t="shared" si="53"/>
        <v>0</v>
      </c>
      <c r="W185" s="686">
        <f t="shared" si="43"/>
        <v>0</v>
      </c>
      <c r="X185" s="686">
        <f t="shared" si="44"/>
        <v>0</v>
      </c>
      <c r="Y185" s="686">
        <f t="shared" si="45"/>
        <v>0</v>
      </c>
      <c r="Z185" s="686">
        <f t="shared" si="46"/>
        <v>0</v>
      </c>
      <c r="AA185" s="685">
        <f t="shared" si="47"/>
        <v>0</v>
      </c>
      <c r="AB185" s="687"/>
      <c r="AC185" s="688" t="e">
        <f>(S185+T185+U185)*'1.0-Contractblad'!$K$68</f>
        <v>#VALUE!</v>
      </c>
      <c r="AD185" s="688"/>
      <c r="AE185" s="48">
        <f t="shared" si="48"/>
        <v>0</v>
      </c>
      <c r="AF185" s="48">
        <f t="shared" si="54"/>
        <v>0</v>
      </c>
      <c r="AG185" s="48" t="str">
        <f t="shared" si="55"/>
        <v>nvt-0</v>
      </c>
    </row>
    <row r="186" spans="1:33" ht="12.75">
      <c r="A186" s="102"/>
      <c r="B186" s="364"/>
      <c r="C186" s="365"/>
      <c r="D186" s="676" t="s">
        <v>118</v>
      </c>
      <c r="E186" s="677" t="s">
        <v>314</v>
      </c>
      <c r="F186" s="678" t="s">
        <v>558</v>
      </c>
      <c r="G186" s="679" t="s">
        <v>559</v>
      </c>
      <c r="H186" s="679" t="str">
        <f t="shared" si="42"/>
        <v>entree, gang, hal, repro, kopieer</v>
      </c>
      <c r="I186" s="689" t="s">
        <v>319</v>
      </c>
      <c r="J186" s="680">
        <v>5</v>
      </c>
      <c r="K186" s="680"/>
      <c r="L186" s="692">
        <v>3255</v>
      </c>
      <c r="M186" s="677"/>
      <c r="N186" s="682"/>
      <c r="O186" s="682"/>
      <c r="P186" s="682">
        <f t="shared" si="49"/>
        <v>255</v>
      </c>
      <c r="Q186" s="683">
        <v>0.8</v>
      </c>
      <c r="R186" s="684">
        <v>1</v>
      </c>
      <c r="S186" s="685">
        <f t="shared" si="50"/>
        <v>0</v>
      </c>
      <c r="T186" s="685">
        <f t="shared" si="51"/>
        <v>0</v>
      </c>
      <c r="U186" s="685">
        <f t="shared" si="52"/>
        <v>0</v>
      </c>
      <c r="V186" s="685">
        <f t="shared" si="53"/>
        <v>0</v>
      </c>
      <c r="W186" s="686">
        <f t="shared" si="43"/>
        <v>0</v>
      </c>
      <c r="X186" s="686">
        <f t="shared" si="44"/>
        <v>0</v>
      </c>
      <c r="Y186" s="686">
        <f t="shared" si="45"/>
        <v>0</v>
      </c>
      <c r="Z186" s="686">
        <f t="shared" si="46"/>
        <v>0</v>
      </c>
      <c r="AA186" s="685" t="str">
        <f t="shared" si="47"/>
        <v>V</v>
      </c>
      <c r="AB186" s="687"/>
      <c r="AC186" s="688" t="e">
        <f>(S186+T186+U186)*'1.0-Contractblad'!$K$68</f>
        <v>#VALUE!</v>
      </c>
      <c r="AD186" s="688"/>
      <c r="AE186" s="48">
        <f t="shared" si="48"/>
        <v>0</v>
      </c>
      <c r="AF186" s="48">
        <f t="shared" si="54"/>
        <v>1275</v>
      </c>
      <c r="AG186" s="48" t="str">
        <f t="shared" si="55"/>
        <v>3255-255</v>
      </c>
    </row>
    <row r="187" spans="1:33" ht="12.75">
      <c r="A187" s="102"/>
      <c r="B187" s="364"/>
      <c r="C187" s="365"/>
      <c r="D187" s="676" t="s">
        <v>118</v>
      </c>
      <c r="E187" s="677" t="s">
        <v>314</v>
      </c>
      <c r="F187" s="678" t="s">
        <v>332</v>
      </c>
      <c r="G187" s="679" t="s">
        <v>560</v>
      </c>
      <c r="H187" s="679" t="str">
        <f t="shared" si="42"/>
        <v>entree, gang, hal, repro, kopieer</v>
      </c>
      <c r="I187" s="689" t="s">
        <v>238</v>
      </c>
      <c r="J187" s="680">
        <v>5.7</v>
      </c>
      <c r="K187" s="680"/>
      <c r="L187" s="692">
        <v>3255</v>
      </c>
      <c r="M187" s="677"/>
      <c r="N187" s="682"/>
      <c r="O187" s="682"/>
      <c r="P187" s="682">
        <f t="shared" si="49"/>
        <v>255</v>
      </c>
      <c r="Q187" s="683">
        <v>0.8</v>
      </c>
      <c r="R187" s="684">
        <v>1</v>
      </c>
      <c r="S187" s="685">
        <f t="shared" si="50"/>
        <v>0</v>
      </c>
      <c r="T187" s="685">
        <f t="shared" si="51"/>
        <v>0</v>
      </c>
      <c r="U187" s="685">
        <f t="shared" si="52"/>
        <v>0</v>
      </c>
      <c r="V187" s="685">
        <f t="shared" si="53"/>
        <v>0</v>
      </c>
      <c r="W187" s="686">
        <f t="shared" si="43"/>
        <v>0</v>
      </c>
      <c r="X187" s="686">
        <f t="shared" si="44"/>
        <v>0</v>
      </c>
      <c r="Y187" s="686">
        <f t="shared" si="45"/>
        <v>0</v>
      </c>
      <c r="Z187" s="686">
        <f t="shared" si="46"/>
        <v>0</v>
      </c>
      <c r="AA187" s="685" t="str">
        <f t="shared" si="47"/>
        <v>V</v>
      </c>
      <c r="AB187" s="687"/>
      <c r="AC187" s="688" t="e">
        <f>(S187+T187+U187)*'1.0-Contractblad'!$K$68</f>
        <v>#VALUE!</v>
      </c>
      <c r="AD187" s="688"/>
      <c r="AE187" s="48">
        <f t="shared" si="48"/>
        <v>0</v>
      </c>
      <c r="AF187" s="48">
        <f t="shared" si="54"/>
        <v>1453.5</v>
      </c>
      <c r="AG187" s="48" t="str">
        <f t="shared" si="55"/>
        <v>3255-255</v>
      </c>
    </row>
    <row r="188" spans="1:33" ht="12.75">
      <c r="A188" s="102"/>
      <c r="B188" s="364"/>
      <c r="C188" s="365"/>
      <c r="D188" s="676" t="s">
        <v>118</v>
      </c>
      <c r="E188" s="677" t="s">
        <v>314</v>
      </c>
      <c r="F188" s="678" t="s">
        <v>334</v>
      </c>
      <c r="G188" s="679" t="s">
        <v>561</v>
      </c>
      <c r="H188" s="679" t="str">
        <f t="shared" si="42"/>
        <v>sanitaire ruimte (toilet-/doucheruimte)</v>
      </c>
      <c r="I188" s="689" t="s">
        <v>473</v>
      </c>
      <c r="J188" s="680">
        <v>44.9</v>
      </c>
      <c r="K188" s="680"/>
      <c r="L188" s="692">
        <v>4255</v>
      </c>
      <c r="M188" s="679"/>
      <c r="N188" s="682"/>
      <c r="O188" s="682"/>
      <c r="P188" s="682">
        <f t="shared" si="49"/>
        <v>255</v>
      </c>
      <c r="Q188" s="683">
        <v>0.8</v>
      </c>
      <c r="R188" s="684">
        <v>1</v>
      </c>
      <c r="S188" s="685">
        <f t="shared" si="50"/>
        <v>0</v>
      </c>
      <c r="T188" s="685">
        <f t="shared" si="51"/>
        <v>0</v>
      </c>
      <c r="U188" s="685">
        <f t="shared" si="52"/>
        <v>0</v>
      </c>
      <c r="V188" s="685">
        <f t="shared" si="53"/>
        <v>0</v>
      </c>
      <c r="W188" s="686">
        <f t="shared" si="43"/>
        <v>0</v>
      </c>
      <c r="X188" s="686">
        <f t="shared" si="44"/>
        <v>0</v>
      </c>
      <c r="Y188" s="686">
        <f t="shared" si="45"/>
        <v>0</v>
      </c>
      <c r="Z188" s="686">
        <f t="shared" si="46"/>
        <v>0</v>
      </c>
      <c r="AA188" s="685" t="str">
        <f t="shared" si="47"/>
        <v>S</v>
      </c>
      <c r="AB188" s="687" t="s">
        <v>562</v>
      </c>
      <c r="AC188" s="688" t="e">
        <f>(S188+T188+U188)*'1.0-Contractblad'!$K$68</f>
        <v>#VALUE!</v>
      </c>
      <c r="AD188" s="688"/>
      <c r="AE188" s="48">
        <f t="shared" si="48"/>
        <v>0</v>
      </c>
      <c r="AF188" s="48">
        <f t="shared" si="54"/>
        <v>11449.5</v>
      </c>
      <c r="AG188" s="48" t="str">
        <f t="shared" si="55"/>
        <v>4255-255</v>
      </c>
    </row>
    <row r="189" spans="1:33" ht="12.75">
      <c r="A189" s="102"/>
      <c r="B189" s="364"/>
      <c r="C189" s="365"/>
      <c r="D189" s="676" t="s">
        <v>118</v>
      </c>
      <c r="E189" s="677" t="s">
        <v>314</v>
      </c>
      <c r="F189" s="678" t="s">
        <v>391</v>
      </c>
      <c r="G189" s="679" t="s">
        <v>562</v>
      </c>
      <c r="H189" s="679" t="str">
        <f t="shared" si="42"/>
        <v>entree, gang, hal, repro, kopieer</v>
      </c>
      <c r="I189" s="689" t="s">
        <v>473</v>
      </c>
      <c r="J189" s="680"/>
      <c r="K189" s="680"/>
      <c r="L189" s="692">
        <v>3255</v>
      </c>
      <c r="M189" s="679"/>
      <c r="N189" s="682"/>
      <c r="O189" s="682"/>
      <c r="P189" s="682">
        <f t="shared" si="49"/>
        <v>255</v>
      </c>
      <c r="Q189" s="683">
        <v>0.8</v>
      </c>
      <c r="R189" s="684">
        <v>1</v>
      </c>
      <c r="S189" s="685">
        <f t="shared" si="50"/>
        <v>0</v>
      </c>
      <c r="T189" s="685">
        <f t="shared" si="51"/>
        <v>0</v>
      </c>
      <c r="U189" s="685">
        <f t="shared" si="52"/>
        <v>0</v>
      </c>
      <c r="V189" s="685">
        <f t="shared" si="53"/>
        <v>0</v>
      </c>
      <c r="W189" s="686">
        <f t="shared" si="43"/>
        <v>0</v>
      </c>
      <c r="X189" s="686">
        <f t="shared" si="44"/>
        <v>0</v>
      </c>
      <c r="Y189" s="686">
        <f t="shared" si="45"/>
        <v>0</v>
      </c>
      <c r="Z189" s="686">
        <f t="shared" si="46"/>
        <v>0</v>
      </c>
      <c r="AA189" s="685" t="str">
        <f t="shared" si="47"/>
        <v>V</v>
      </c>
      <c r="AB189" s="687" t="s">
        <v>562</v>
      </c>
      <c r="AC189" s="688" t="e">
        <f>(S189+T189+U189)*'1.0-Contractblad'!$K$68</f>
        <v>#VALUE!</v>
      </c>
      <c r="AD189" s="688"/>
      <c r="AE189" s="48">
        <f t="shared" si="48"/>
        <v>0</v>
      </c>
      <c r="AF189" s="48">
        <f t="shared" si="54"/>
        <v>0</v>
      </c>
      <c r="AG189" s="48" t="str">
        <f t="shared" si="55"/>
        <v>3255-255</v>
      </c>
    </row>
    <row r="190" spans="1:33" ht="12.75">
      <c r="A190" s="102"/>
      <c r="B190" s="364"/>
      <c r="C190" s="365"/>
      <c r="D190" s="676" t="s">
        <v>118</v>
      </c>
      <c r="E190" s="677" t="s">
        <v>314</v>
      </c>
      <c r="F190" s="678" t="s">
        <v>342</v>
      </c>
      <c r="G190" s="679" t="s">
        <v>563</v>
      </c>
      <c r="H190" s="679" t="str">
        <f t="shared" si="42"/>
        <v>sanitaire ruimte (toilet-/doucheruimte)</v>
      </c>
      <c r="I190" s="689" t="s">
        <v>473</v>
      </c>
      <c r="J190" s="680"/>
      <c r="K190" s="680"/>
      <c r="L190" s="692">
        <v>4255</v>
      </c>
      <c r="M190" s="679"/>
      <c r="N190" s="682"/>
      <c r="O190" s="682"/>
      <c r="P190" s="682">
        <f t="shared" si="49"/>
        <v>255</v>
      </c>
      <c r="Q190" s="683">
        <v>0.8</v>
      </c>
      <c r="R190" s="684">
        <v>1</v>
      </c>
      <c r="S190" s="685">
        <f t="shared" si="50"/>
        <v>0</v>
      </c>
      <c r="T190" s="685">
        <f t="shared" si="51"/>
        <v>0</v>
      </c>
      <c r="U190" s="685">
        <f t="shared" si="52"/>
        <v>0</v>
      </c>
      <c r="V190" s="685">
        <f t="shared" si="53"/>
        <v>0</v>
      </c>
      <c r="W190" s="686">
        <f t="shared" si="43"/>
        <v>0</v>
      </c>
      <c r="X190" s="686">
        <f t="shared" si="44"/>
        <v>0</v>
      </c>
      <c r="Y190" s="686">
        <f t="shared" si="45"/>
        <v>0</v>
      </c>
      <c r="Z190" s="686">
        <f t="shared" si="46"/>
        <v>0</v>
      </c>
      <c r="AA190" s="685" t="str">
        <f t="shared" si="47"/>
        <v>S</v>
      </c>
      <c r="AB190" s="687" t="s">
        <v>562</v>
      </c>
      <c r="AC190" s="688" t="e">
        <f>(S190+T190+U190)*'1.0-Contractblad'!$K$68</f>
        <v>#VALUE!</v>
      </c>
      <c r="AD190" s="688"/>
      <c r="AE190" s="48">
        <f t="shared" si="48"/>
        <v>0</v>
      </c>
      <c r="AF190" s="48">
        <f t="shared" si="54"/>
        <v>0</v>
      </c>
      <c r="AG190" s="48" t="str">
        <f t="shared" si="55"/>
        <v>4255-255</v>
      </c>
    </row>
    <row r="191" spans="1:33" ht="12.75">
      <c r="A191" s="102"/>
      <c r="B191" s="364"/>
      <c r="C191" s="365"/>
      <c r="D191" s="676" t="s">
        <v>118</v>
      </c>
      <c r="E191" s="677" t="s">
        <v>314</v>
      </c>
      <c r="F191" s="678" t="s">
        <v>394</v>
      </c>
      <c r="G191" s="679" t="s">
        <v>564</v>
      </c>
      <c r="H191" s="679" t="str">
        <f t="shared" si="42"/>
        <v>sanitaire ruimte (toilet-/doucheruimte)</v>
      </c>
      <c r="I191" s="689" t="s">
        <v>473</v>
      </c>
      <c r="J191" s="680"/>
      <c r="K191" s="680"/>
      <c r="L191" s="692">
        <v>4255</v>
      </c>
      <c r="M191" s="679"/>
      <c r="N191" s="682"/>
      <c r="O191" s="682"/>
      <c r="P191" s="682">
        <f t="shared" si="49"/>
        <v>255</v>
      </c>
      <c r="Q191" s="683">
        <v>0.8</v>
      </c>
      <c r="R191" s="684">
        <v>1</v>
      </c>
      <c r="S191" s="685">
        <f t="shared" si="50"/>
        <v>0</v>
      </c>
      <c r="T191" s="685">
        <f t="shared" si="51"/>
        <v>0</v>
      </c>
      <c r="U191" s="685">
        <f t="shared" si="52"/>
        <v>0</v>
      </c>
      <c r="V191" s="685">
        <f t="shared" si="53"/>
        <v>0</v>
      </c>
      <c r="W191" s="686">
        <f t="shared" si="43"/>
        <v>0</v>
      </c>
      <c r="X191" s="686">
        <f t="shared" si="44"/>
        <v>0</v>
      </c>
      <c r="Y191" s="686">
        <f t="shared" si="45"/>
        <v>0</v>
      </c>
      <c r="Z191" s="686">
        <f t="shared" si="46"/>
        <v>0</v>
      </c>
      <c r="AA191" s="685" t="str">
        <f t="shared" si="47"/>
        <v>S</v>
      </c>
      <c r="AB191" s="687" t="s">
        <v>562</v>
      </c>
      <c r="AC191" s="688" t="e">
        <f>(S191+T191+U191)*'1.0-Contractblad'!$K$68</f>
        <v>#VALUE!</v>
      </c>
      <c r="AD191" s="688"/>
      <c r="AE191" s="48">
        <f t="shared" si="48"/>
        <v>0</v>
      </c>
      <c r="AF191" s="48">
        <f t="shared" si="54"/>
        <v>0</v>
      </c>
      <c r="AG191" s="48" t="str">
        <f t="shared" si="55"/>
        <v>4255-255</v>
      </c>
    </row>
    <row r="192" spans="1:33" ht="12.75">
      <c r="A192" s="102"/>
      <c r="B192" s="364"/>
      <c r="C192" s="365"/>
      <c r="D192" s="676" t="s">
        <v>118</v>
      </c>
      <c r="E192" s="677" t="s">
        <v>314</v>
      </c>
      <c r="F192" s="678" t="s">
        <v>348</v>
      </c>
      <c r="G192" s="679" t="s">
        <v>564</v>
      </c>
      <c r="H192" s="679" t="str">
        <f t="shared" si="42"/>
        <v>sanitaire ruimte (toilet-/doucheruimte)</v>
      </c>
      <c r="I192" s="689" t="s">
        <v>473</v>
      </c>
      <c r="J192" s="680"/>
      <c r="K192" s="680"/>
      <c r="L192" s="692">
        <v>4255</v>
      </c>
      <c r="M192" s="679"/>
      <c r="N192" s="682"/>
      <c r="O192" s="682"/>
      <c r="P192" s="682">
        <f t="shared" si="49"/>
        <v>255</v>
      </c>
      <c r="Q192" s="683">
        <v>0.8</v>
      </c>
      <c r="R192" s="684">
        <v>1</v>
      </c>
      <c r="S192" s="685">
        <f t="shared" si="50"/>
        <v>0</v>
      </c>
      <c r="T192" s="685">
        <f t="shared" si="51"/>
        <v>0</v>
      </c>
      <c r="U192" s="685">
        <f t="shared" si="52"/>
        <v>0</v>
      </c>
      <c r="V192" s="685">
        <f t="shared" si="53"/>
        <v>0</v>
      </c>
      <c r="W192" s="686">
        <f t="shared" si="43"/>
        <v>0</v>
      </c>
      <c r="X192" s="686">
        <f t="shared" si="44"/>
        <v>0</v>
      </c>
      <c r="Y192" s="686">
        <f t="shared" si="45"/>
        <v>0</v>
      </c>
      <c r="Z192" s="686">
        <f t="shared" si="46"/>
        <v>0</v>
      </c>
      <c r="AA192" s="685" t="str">
        <f t="shared" si="47"/>
        <v>S</v>
      </c>
      <c r="AB192" s="687" t="s">
        <v>562</v>
      </c>
      <c r="AC192" s="688" t="e">
        <f>(S192+T192+U192)*'1.0-Contractblad'!$K$68</f>
        <v>#VALUE!</v>
      </c>
      <c r="AD192" s="688"/>
      <c r="AE192" s="48">
        <f t="shared" si="48"/>
        <v>0</v>
      </c>
      <c r="AF192" s="48">
        <f t="shared" si="54"/>
        <v>0</v>
      </c>
      <c r="AG192" s="48" t="str">
        <f t="shared" si="55"/>
        <v>4255-255</v>
      </c>
    </row>
    <row r="193" spans="1:33" ht="12.75">
      <c r="A193" s="102"/>
      <c r="B193" s="364"/>
      <c r="C193" s="365"/>
      <c r="D193" s="676" t="s">
        <v>118</v>
      </c>
      <c r="E193" s="677" t="s">
        <v>314</v>
      </c>
      <c r="F193" s="678" t="s">
        <v>361</v>
      </c>
      <c r="G193" s="679" t="s">
        <v>565</v>
      </c>
      <c r="H193" s="679" t="str">
        <f t="shared" si="42"/>
        <v>sanitaire ruimte (toilet-/doucheruimte)</v>
      </c>
      <c r="I193" s="689" t="s">
        <v>473</v>
      </c>
      <c r="J193" s="680">
        <v>7.97</v>
      </c>
      <c r="K193" s="680"/>
      <c r="L193" s="692">
        <v>4255</v>
      </c>
      <c r="M193" s="677"/>
      <c r="N193" s="682"/>
      <c r="O193" s="682"/>
      <c r="P193" s="682">
        <f t="shared" si="49"/>
        <v>255</v>
      </c>
      <c r="Q193" s="683">
        <v>0.8</v>
      </c>
      <c r="R193" s="684">
        <v>1</v>
      </c>
      <c r="S193" s="685">
        <f t="shared" si="50"/>
        <v>0</v>
      </c>
      <c r="T193" s="685">
        <f t="shared" si="51"/>
        <v>0</v>
      </c>
      <c r="U193" s="685">
        <f t="shared" si="52"/>
        <v>0</v>
      </c>
      <c r="V193" s="685">
        <f t="shared" si="53"/>
        <v>0</v>
      </c>
      <c r="W193" s="686">
        <f t="shared" si="43"/>
        <v>0</v>
      </c>
      <c r="X193" s="686">
        <f t="shared" si="44"/>
        <v>0</v>
      </c>
      <c r="Y193" s="686">
        <f t="shared" si="45"/>
        <v>0</v>
      </c>
      <c r="Z193" s="686">
        <f t="shared" si="46"/>
        <v>0</v>
      </c>
      <c r="AA193" s="685" t="str">
        <f t="shared" si="47"/>
        <v>S</v>
      </c>
      <c r="AB193" s="687"/>
      <c r="AC193" s="688" t="e">
        <f>(S193+T193+U193)*'1.0-Contractblad'!$K$68</f>
        <v>#VALUE!</v>
      </c>
      <c r="AD193" s="688"/>
      <c r="AE193" s="48">
        <f t="shared" si="48"/>
        <v>0</v>
      </c>
      <c r="AF193" s="48">
        <f t="shared" si="54"/>
        <v>2032.35</v>
      </c>
      <c r="AG193" s="48" t="str">
        <f t="shared" si="55"/>
        <v>4255-255</v>
      </c>
    </row>
    <row r="194" spans="1:33" ht="12.75">
      <c r="A194" s="102"/>
      <c r="B194" s="364"/>
      <c r="C194" s="365"/>
      <c r="D194" s="676" t="s">
        <v>118</v>
      </c>
      <c r="E194" s="677" t="s">
        <v>314</v>
      </c>
      <c r="F194" s="678" t="s">
        <v>363</v>
      </c>
      <c r="G194" s="679" t="s">
        <v>566</v>
      </c>
      <c r="H194" s="679" t="str">
        <f t="shared" si="42"/>
        <v>niet van toepassing</v>
      </c>
      <c r="I194" s="689" t="s">
        <v>322</v>
      </c>
      <c r="J194" s="680"/>
      <c r="K194" s="680">
        <v>6.45</v>
      </c>
      <c r="L194" s="692" t="s">
        <v>225</v>
      </c>
      <c r="M194" s="677"/>
      <c r="N194" s="682"/>
      <c r="O194" s="682"/>
      <c r="P194" s="682">
        <f t="shared" si="49"/>
        <v>0</v>
      </c>
      <c r="Q194" s="683">
        <v>0.8</v>
      </c>
      <c r="R194" s="684">
        <v>1</v>
      </c>
      <c r="S194" s="685">
        <f t="shared" si="50"/>
        <v>0</v>
      </c>
      <c r="T194" s="685">
        <f t="shared" si="51"/>
        <v>0</v>
      </c>
      <c r="U194" s="685">
        <f t="shared" si="52"/>
        <v>0</v>
      </c>
      <c r="V194" s="685">
        <f t="shared" si="53"/>
        <v>0</v>
      </c>
      <c r="W194" s="686">
        <f t="shared" si="43"/>
        <v>0</v>
      </c>
      <c r="X194" s="686">
        <f t="shared" si="44"/>
        <v>0</v>
      </c>
      <c r="Y194" s="686">
        <f t="shared" si="45"/>
        <v>0</v>
      </c>
      <c r="Z194" s="686">
        <f t="shared" si="46"/>
        <v>0</v>
      </c>
      <c r="AA194" s="685">
        <f t="shared" si="47"/>
        <v>0</v>
      </c>
      <c r="AB194" s="687"/>
      <c r="AC194" s="688" t="e">
        <f>(S194+T194+U194)*'1.0-Contractblad'!$K$68</f>
        <v>#VALUE!</v>
      </c>
      <c r="AD194" s="688"/>
      <c r="AE194" s="48">
        <f t="shared" si="48"/>
        <v>0</v>
      </c>
      <c r="AF194" s="48">
        <f t="shared" si="54"/>
        <v>0</v>
      </c>
      <c r="AG194" s="48" t="str">
        <f t="shared" si="55"/>
        <v>nvt-0</v>
      </c>
    </row>
    <row r="195" spans="1:33" ht="12.75">
      <c r="A195" s="102"/>
      <c r="B195" s="364"/>
      <c r="C195" s="365"/>
      <c r="D195" s="676" t="s">
        <v>118</v>
      </c>
      <c r="E195" s="677" t="s">
        <v>314</v>
      </c>
      <c r="F195" s="678" t="s">
        <v>365</v>
      </c>
      <c r="G195" s="679" t="s">
        <v>347</v>
      </c>
      <c r="H195" s="679" t="str">
        <f t="shared" si="42"/>
        <v>sanitaire ruimte (toilet-/doucheruimte)</v>
      </c>
      <c r="I195" s="689" t="s">
        <v>473</v>
      </c>
      <c r="J195" s="680">
        <v>3.7</v>
      </c>
      <c r="K195" s="680"/>
      <c r="L195" s="692">
        <v>4255</v>
      </c>
      <c r="M195" s="677"/>
      <c r="N195" s="682"/>
      <c r="O195" s="682"/>
      <c r="P195" s="682">
        <f t="shared" si="49"/>
        <v>255</v>
      </c>
      <c r="Q195" s="683">
        <v>0.8</v>
      </c>
      <c r="R195" s="684">
        <v>1</v>
      </c>
      <c r="S195" s="685">
        <f t="shared" si="50"/>
        <v>0</v>
      </c>
      <c r="T195" s="685">
        <f t="shared" si="51"/>
        <v>0</v>
      </c>
      <c r="U195" s="685">
        <f t="shared" si="52"/>
        <v>0</v>
      </c>
      <c r="V195" s="685">
        <f t="shared" si="53"/>
        <v>0</v>
      </c>
      <c r="W195" s="686">
        <f t="shared" si="43"/>
        <v>0</v>
      </c>
      <c r="X195" s="686">
        <f t="shared" si="44"/>
        <v>0</v>
      </c>
      <c r="Y195" s="686">
        <f t="shared" si="45"/>
        <v>0</v>
      </c>
      <c r="Z195" s="686">
        <f t="shared" si="46"/>
        <v>0</v>
      </c>
      <c r="AA195" s="685" t="str">
        <f t="shared" si="47"/>
        <v>S</v>
      </c>
      <c r="AB195" s="687"/>
      <c r="AC195" s="688" t="e">
        <f>(S195+T195+U195)*'1.0-Contractblad'!$K$68</f>
        <v>#VALUE!</v>
      </c>
      <c r="AD195" s="688"/>
      <c r="AE195" s="48">
        <f t="shared" si="48"/>
        <v>0</v>
      </c>
      <c r="AF195" s="48">
        <f t="shared" si="54"/>
        <v>943.5</v>
      </c>
      <c r="AG195" s="48" t="str">
        <f t="shared" si="55"/>
        <v>4255-255</v>
      </c>
    </row>
    <row r="196" spans="1:33" ht="12.75">
      <c r="A196" s="102"/>
      <c r="B196" s="364"/>
      <c r="C196" s="365"/>
      <c r="D196" s="676" t="s">
        <v>118</v>
      </c>
      <c r="E196" s="677" t="s">
        <v>314</v>
      </c>
      <c r="F196" s="678" t="s">
        <v>367</v>
      </c>
      <c r="G196" s="679" t="s">
        <v>366</v>
      </c>
      <c r="H196" s="679" t="str">
        <f t="shared" si="42"/>
        <v>sanitaire ruimte (toilet-/doucheruimte)</v>
      </c>
      <c r="I196" s="689" t="s">
        <v>473</v>
      </c>
      <c r="J196" s="680">
        <v>6.41</v>
      </c>
      <c r="K196" s="680"/>
      <c r="L196" s="692">
        <v>4255</v>
      </c>
      <c r="M196" s="677"/>
      <c r="N196" s="682"/>
      <c r="O196" s="682"/>
      <c r="P196" s="682">
        <f t="shared" si="49"/>
        <v>255</v>
      </c>
      <c r="Q196" s="683">
        <v>0.8</v>
      </c>
      <c r="R196" s="684">
        <v>1</v>
      </c>
      <c r="S196" s="685">
        <f t="shared" si="50"/>
        <v>0</v>
      </c>
      <c r="T196" s="685">
        <f t="shared" si="51"/>
        <v>0</v>
      </c>
      <c r="U196" s="685">
        <f t="shared" si="52"/>
        <v>0</v>
      </c>
      <c r="V196" s="685">
        <f t="shared" si="53"/>
        <v>0</v>
      </c>
      <c r="W196" s="686">
        <f t="shared" si="43"/>
        <v>0</v>
      </c>
      <c r="X196" s="686">
        <f t="shared" si="44"/>
        <v>0</v>
      </c>
      <c r="Y196" s="686">
        <f t="shared" si="45"/>
        <v>0</v>
      </c>
      <c r="Z196" s="686">
        <f t="shared" si="46"/>
        <v>0</v>
      </c>
      <c r="AA196" s="685" t="str">
        <f t="shared" si="47"/>
        <v>S</v>
      </c>
      <c r="AB196" s="687"/>
      <c r="AC196" s="688" t="e">
        <f>(S196+T196+U196)*'1.0-Contractblad'!$K$68</f>
        <v>#VALUE!</v>
      </c>
      <c r="AD196" s="688"/>
      <c r="AE196" s="48">
        <f t="shared" si="48"/>
        <v>0</v>
      </c>
      <c r="AF196" s="48">
        <f t="shared" si="54"/>
        <v>1634.55</v>
      </c>
      <c r="AG196" s="48" t="str">
        <f t="shared" si="55"/>
        <v>4255-255</v>
      </c>
    </row>
    <row r="197" spans="1:33" ht="12.75">
      <c r="A197" s="102"/>
      <c r="B197" s="364"/>
      <c r="C197" s="365"/>
      <c r="D197" s="676" t="s">
        <v>118</v>
      </c>
      <c r="E197" s="677" t="s">
        <v>314</v>
      </c>
      <c r="F197" s="678" t="s">
        <v>369</v>
      </c>
      <c r="G197" s="676" t="s">
        <v>567</v>
      </c>
      <c r="H197" s="679" t="str">
        <f t="shared" si="42"/>
        <v>sanitaire ruimte (toilet-/doucheruimte)</v>
      </c>
      <c r="I197" s="689" t="s">
        <v>473</v>
      </c>
      <c r="J197" s="680">
        <v>20.6</v>
      </c>
      <c r="K197" s="680"/>
      <c r="L197" s="692">
        <v>4255</v>
      </c>
      <c r="M197" s="677"/>
      <c r="N197" s="682"/>
      <c r="O197" s="682"/>
      <c r="P197" s="682">
        <f t="shared" si="49"/>
        <v>255</v>
      </c>
      <c r="Q197" s="683">
        <v>0.8</v>
      </c>
      <c r="R197" s="684">
        <v>1</v>
      </c>
      <c r="S197" s="685">
        <f t="shared" si="50"/>
        <v>0</v>
      </c>
      <c r="T197" s="685">
        <f t="shared" si="51"/>
        <v>0</v>
      </c>
      <c r="U197" s="685">
        <f t="shared" si="52"/>
        <v>0</v>
      </c>
      <c r="V197" s="685">
        <f t="shared" si="53"/>
        <v>0</v>
      </c>
      <c r="W197" s="686">
        <f t="shared" si="43"/>
        <v>0</v>
      </c>
      <c r="X197" s="686">
        <f t="shared" si="44"/>
        <v>0</v>
      </c>
      <c r="Y197" s="686">
        <f t="shared" si="45"/>
        <v>0</v>
      </c>
      <c r="Z197" s="686">
        <f t="shared" si="46"/>
        <v>0</v>
      </c>
      <c r="AA197" s="685" t="str">
        <f t="shared" si="47"/>
        <v>S</v>
      </c>
      <c r="AB197" s="687"/>
      <c r="AC197" s="688" t="e">
        <f>(S197+T197+U197)*'1.0-Contractblad'!$K$68</f>
        <v>#VALUE!</v>
      </c>
      <c r="AD197" s="688"/>
      <c r="AE197" s="48">
        <f t="shared" si="48"/>
        <v>0</v>
      </c>
      <c r="AF197" s="48">
        <f t="shared" si="54"/>
        <v>5253</v>
      </c>
      <c r="AG197" s="48" t="str">
        <f t="shared" si="55"/>
        <v>4255-255</v>
      </c>
    </row>
    <row r="198" spans="1:33" ht="12.75">
      <c r="A198" s="102"/>
      <c r="B198" s="364"/>
      <c r="C198" s="365"/>
      <c r="D198" s="676" t="s">
        <v>118</v>
      </c>
      <c r="E198" s="677" t="s">
        <v>314</v>
      </c>
      <c r="F198" s="678" t="s">
        <v>371</v>
      </c>
      <c r="G198" s="679" t="s">
        <v>563</v>
      </c>
      <c r="H198" s="679" t="str">
        <f t="shared" si="42"/>
        <v>sanitaire ruimte (toilet-/doucheruimte)</v>
      </c>
      <c r="I198" s="689" t="s">
        <v>473</v>
      </c>
      <c r="J198" s="680">
        <v>5.04</v>
      </c>
      <c r="K198" s="680" t="s">
        <v>77</v>
      </c>
      <c r="L198" s="692">
        <v>4255</v>
      </c>
      <c r="M198" s="677"/>
      <c r="N198" s="682"/>
      <c r="O198" s="682"/>
      <c r="P198" s="682">
        <f t="shared" si="49"/>
        <v>255</v>
      </c>
      <c r="Q198" s="683">
        <v>0.8</v>
      </c>
      <c r="R198" s="684">
        <v>1</v>
      </c>
      <c r="S198" s="685">
        <f t="shared" si="50"/>
        <v>0</v>
      </c>
      <c r="T198" s="685">
        <f t="shared" si="51"/>
        <v>0</v>
      </c>
      <c r="U198" s="685">
        <f t="shared" si="52"/>
        <v>0</v>
      </c>
      <c r="V198" s="685">
        <f t="shared" si="53"/>
        <v>0</v>
      </c>
      <c r="W198" s="686">
        <f t="shared" si="43"/>
        <v>0</v>
      </c>
      <c r="X198" s="686">
        <f t="shared" si="44"/>
        <v>0</v>
      </c>
      <c r="Y198" s="686">
        <f t="shared" si="45"/>
        <v>0</v>
      </c>
      <c r="Z198" s="686">
        <f t="shared" si="46"/>
        <v>0</v>
      </c>
      <c r="AA198" s="685" t="str">
        <f t="shared" si="47"/>
        <v>S</v>
      </c>
      <c r="AB198" s="687"/>
      <c r="AC198" s="688" t="e">
        <f>(S198+T198+U198)*'1.0-Contractblad'!$K$68</f>
        <v>#VALUE!</v>
      </c>
      <c r="AD198" s="688"/>
      <c r="AE198" s="48">
        <f t="shared" si="48"/>
        <v>0</v>
      </c>
      <c r="AF198" s="48">
        <f t="shared" si="54"/>
        <v>1285.2</v>
      </c>
      <c r="AG198" s="48" t="str">
        <f t="shared" si="55"/>
        <v>4255-255</v>
      </c>
    </row>
    <row r="199" spans="1:33" ht="12.75">
      <c r="A199" s="102"/>
      <c r="B199" s="364"/>
      <c r="C199" s="365"/>
      <c r="D199" s="676" t="s">
        <v>118</v>
      </c>
      <c r="E199" s="677" t="s">
        <v>314</v>
      </c>
      <c r="F199" s="678" t="s">
        <v>411</v>
      </c>
      <c r="G199" s="679" t="s">
        <v>568</v>
      </c>
      <c r="H199" s="679" t="str">
        <f t="shared" si="42"/>
        <v>niet van toepassing</v>
      </c>
      <c r="I199" s="689" t="s">
        <v>238</v>
      </c>
      <c r="J199" s="680"/>
      <c r="K199" s="680">
        <v>1.41</v>
      </c>
      <c r="L199" s="692" t="s">
        <v>225</v>
      </c>
      <c r="M199" s="677"/>
      <c r="N199" s="682"/>
      <c r="O199" s="682"/>
      <c r="P199" s="682">
        <f t="shared" si="49"/>
        <v>0</v>
      </c>
      <c r="Q199" s="683">
        <v>0.8</v>
      </c>
      <c r="R199" s="684">
        <v>1</v>
      </c>
      <c r="S199" s="685">
        <f t="shared" si="50"/>
        <v>0</v>
      </c>
      <c r="T199" s="685">
        <f t="shared" si="51"/>
        <v>0</v>
      </c>
      <c r="U199" s="685">
        <f t="shared" si="52"/>
        <v>0</v>
      </c>
      <c r="V199" s="685">
        <f t="shared" si="53"/>
        <v>0</v>
      </c>
      <c r="W199" s="686">
        <f t="shared" si="43"/>
        <v>0</v>
      </c>
      <c r="X199" s="686">
        <f t="shared" si="44"/>
        <v>0</v>
      </c>
      <c r="Y199" s="686">
        <f t="shared" si="45"/>
        <v>0</v>
      </c>
      <c r="Z199" s="686">
        <f t="shared" si="46"/>
        <v>0</v>
      </c>
      <c r="AA199" s="685">
        <f t="shared" si="47"/>
        <v>0</v>
      </c>
      <c r="AB199" s="687"/>
      <c r="AC199" s="688" t="e">
        <f>(S199+T199+U199)*'1.0-Contractblad'!$K$68</f>
        <v>#VALUE!</v>
      </c>
      <c r="AD199" s="688"/>
      <c r="AE199" s="48">
        <f t="shared" si="48"/>
        <v>0</v>
      </c>
      <c r="AF199" s="48">
        <f t="shared" si="54"/>
        <v>0</v>
      </c>
      <c r="AG199" s="48" t="str">
        <f t="shared" si="55"/>
        <v>nvt-0</v>
      </c>
    </row>
    <row r="200" spans="1:33" ht="12.75">
      <c r="A200" s="102"/>
      <c r="B200" s="364"/>
      <c r="C200" s="365"/>
      <c r="D200" s="676" t="s">
        <v>118</v>
      </c>
      <c r="E200" s="677" t="s">
        <v>314</v>
      </c>
      <c r="F200" s="678" t="s">
        <v>412</v>
      </c>
      <c r="G200" s="679" t="s">
        <v>568</v>
      </c>
      <c r="H200" s="679" t="str">
        <f t="shared" si="42"/>
        <v>niet van toepassing</v>
      </c>
      <c r="I200" s="689" t="s">
        <v>238</v>
      </c>
      <c r="J200" s="680"/>
      <c r="K200" s="680">
        <v>2.64</v>
      </c>
      <c r="L200" s="692" t="s">
        <v>225</v>
      </c>
      <c r="M200" s="677"/>
      <c r="N200" s="682"/>
      <c r="O200" s="682"/>
      <c r="P200" s="682">
        <f t="shared" si="49"/>
        <v>0</v>
      </c>
      <c r="Q200" s="683">
        <v>0.8</v>
      </c>
      <c r="R200" s="684">
        <v>1</v>
      </c>
      <c r="S200" s="685">
        <f t="shared" si="50"/>
        <v>0</v>
      </c>
      <c r="T200" s="685">
        <f t="shared" si="51"/>
        <v>0</v>
      </c>
      <c r="U200" s="685">
        <f t="shared" si="52"/>
        <v>0</v>
      </c>
      <c r="V200" s="685">
        <f t="shared" si="53"/>
        <v>0</v>
      </c>
      <c r="W200" s="686">
        <f t="shared" si="43"/>
        <v>0</v>
      </c>
      <c r="X200" s="686">
        <f t="shared" si="44"/>
        <v>0</v>
      </c>
      <c r="Y200" s="686">
        <f t="shared" si="45"/>
        <v>0</v>
      </c>
      <c r="Z200" s="686">
        <f t="shared" si="46"/>
        <v>0</v>
      </c>
      <c r="AA200" s="685">
        <f t="shared" si="47"/>
        <v>0</v>
      </c>
      <c r="AB200" s="687"/>
      <c r="AC200" s="688" t="e">
        <f>(S200+T200+U200)*'1.0-Contractblad'!$K$68</f>
        <v>#VALUE!</v>
      </c>
      <c r="AD200" s="688"/>
      <c r="AE200" s="48">
        <f t="shared" si="48"/>
        <v>0</v>
      </c>
      <c r="AF200" s="48">
        <f t="shared" si="54"/>
        <v>0</v>
      </c>
      <c r="AG200" s="48" t="str">
        <f t="shared" si="55"/>
        <v>nvt-0</v>
      </c>
    </row>
    <row r="201" spans="1:33" ht="12.75">
      <c r="A201" s="102"/>
      <c r="B201" s="364"/>
      <c r="C201" s="365"/>
      <c r="D201" s="676" t="s">
        <v>118</v>
      </c>
      <c r="E201" s="677" t="s">
        <v>314</v>
      </c>
      <c r="F201" s="678" t="s">
        <v>569</v>
      </c>
      <c r="G201" s="679" t="s">
        <v>333</v>
      </c>
      <c r="H201" s="679" t="str">
        <f t="shared" si="42"/>
        <v>administratieve -, personeels- en vergaderruimte</v>
      </c>
      <c r="I201" s="689" t="s">
        <v>238</v>
      </c>
      <c r="J201" s="680">
        <v>16.3</v>
      </c>
      <c r="K201" s="680"/>
      <c r="L201" s="692">
        <v>1255</v>
      </c>
      <c r="M201" s="677"/>
      <c r="N201" s="682"/>
      <c r="O201" s="682"/>
      <c r="P201" s="682">
        <f t="shared" si="49"/>
        <v>255</v>
      </c>
      <c r="Q201" s="683">
        <v>0.8</v>
      </c>
      <c r="R201" s="684">
        <v>1</v>
      </c>
      <c r="S201" s="685">
        <f t="shared" si="50"/>
        <v>0</v>
      </c>
      <c r="T201" s="685">
        <f t="shared" si="51"/>
        <v>0</v>
      </c>
      <c r="U201" s="685">
        <f t="shared" si="52"/>
        <v>0</v>
      </c>
      <c r="V201" s="685">
        <f t="shared" si="53"/>
        <v>0</v>
      </c>
      <c r="W201" s="686">
        <f t="shared" si="43"/>
        <v>0</v>
      </c>
      <c r="X201" s="686">
        <f t="shared" si="44"/>
        <v>0</v>
      </c>
      <c r="Y201" s="686">
        <f t="shared" si="45"/>
        <v>0</v>
      </c>
      <c r="Z201" s="686">
        <f t="shared" si="46"/>
        <v>0</v>
      </c>
      <c r="AA201" s="685" t="str">
        <f t="shared" si="47"/>
        <v>B</v>
      </c>
      <c r="AB201" s="687"/>
      <c r="AC201" s="688" t="e">
        <f>(S201+T201+U201)*'1.0-Contractblad'!$K$68</f>
        <v>#VALUE!</v>
      </c>
      <c r="AD201" s="688"/>
      <c r="AE201" s="48">
        <f t="shared" si="48"/>
        <v>0</v>
      </c>
      <c r="AF201" s="48">
        <f t="shared" si="54"/>
        <v>4156.5</v>
      </c>
      <c r="AG201" s="48" t="str">
        <f t="shared" si="55"/>
        <v>1255-255</v>
      </c>
    </row>
    <row r="202" spans="1:33" ht="12.75">
      <c r="A202" s="102"/>
      <c r="B202" s="364"/>
      <c r="C202" s="365"/>
      <c r="D202" s="676" t="s">
        <v>118</v>
      </c>
      <c r="E202" s="677" t="s">
        <v>314</v>
      </c>
      <c r="F202" s="678" t="s">
        <v>487</v>
      </c>
      <c r="G202" s="679" t="s">
        <v>349</v>
      </c>
      <c r="H202" s="679" t="str">
        <f t="shared" si="42"/>
        <v>niet van toepassing</v>
      </c>
      <c r="I202" s="689" t="s">
        <v>240</v>
      </c>
      <c r="J202" s="680"/>
      <c r="K202" s="680">
        <v>540</v>
      </c>
      <c r="L202" s="692" t="s">
        <v>225</v>
      </c>
      <c r="M202" s="677"/>
      <c r="N202" s="682"/>
      <c r="O202" s="682"/>
      <c r="P202" s="682">
        <f t="shared" si="49"/>
        <v>0</v>
      </c>
      <c r="Q202" s="683">
        <v>0.8</v>
      </c>
      <c r="R202" s="684">
        <v>1</v>
      </c>
      <c r="S202" s="685">
        <f t="shared" si="50"/>
        <v>0</v>
      </c>
      <c r="T202" s="685">
        <f t="shared" si="51"/>
        <v>0</v>
      </c>
      <c r="U202" s="685">
        <f t="shared" si="52"/>
        <v>0</v>
      </c>
      <c r="V202" s="685">
        <f t="shared" si="53"/>
        <v>0</v>
      </c>
      <c r="W202" s="686">
        <f t="shared" si="43"/>
        <v>0</v>
      </c>
      <c r="X202" s="686">
        <f t="shared" si="44"/>
        <v>0</v>
      </c>
      <c r="Y202" s="686">
        <f t="shared" si="45"/>
        <v>0</v>
      </c>
      <c r="Z202" s="686">
        <f t="shared" si="46"/>
        <v>0</v>
      </c>
      <c r="AA202" s="685">
        <f t="shared" si="47"/>
        <v>0</v>
      </c>
      <c r="AB202" s="687"/>
      <c r="AC202" s="688" t="e">
        <f>(S202+T202+U202)*'1.0-Contractblad'!$K$68</f>
        <v>#VALUE!</v>
      </c>
      <c r="AD202" s="688"/>
      <c r="AE202" s="48">
        <f t="shared" si="48"/>
        <v>0</v>
      </c>
      <c r="AF202" s="48">
        <f t="shared" si="54"/>
        <v>0</v>
      </c>
      <c r="AG202" s="48" t="str">
        <f t="shared" si="55"/>
        <v>nvt-0</v>
      </c>
    </row>
    <row r="203" spans="1:33" ht="12.75">
      <c r="A203" s="102"/>
      <c r="B203" s="364"/>
      <c r="C203" s="365"/>
      <c r="D203" s="676" t="s">
        <v>118</v>
      </c>
      <c r="E203" s="677" t="s">
        <v>419</v>
      </c>
      <c r="F203" s="678" t="s">
        <v>493</v>
      </c>
      <c r="G203" s="679" t="s">
        <v>382</v>
      </c>
      <c r="H203" s="679" t="str">
        <f t="shared" si="42"/>
        <v>entree, gang, hal, repro, kopieer</v>
      </c>
      <c r="I203" s="689" t="s">
        <v>238</v>
      </c>
      <c r="J203" s="680">
        <v>3.43</v>
      </c>
      <c r="K203" s="680"/>
      <c r="L203" s="692">
        <v>3255</v>
      </c>
      <c r="M203" s="677"/>
      <c r="N203" s="682"/>
      <c r="O203" s="682"/>
      <c r="P203" s="682">
        <f t="shared" si="49"/>
        <v>255</v>
      </c>
      <c r="Q203" s="683">
        <v>0.8</v>
      </c>
      <c r="R203" s="684">
        <v>1</v>
      </c>
      <c r="S203" s="685">
        <f t="shared" si="50"/>
        <v>0</v>
      </c>
      <c r="T203" s="685">
        <f t="shared" si="51"/>
        <v>0</v>
      </c>
      <c r="U203" s="685">
        <f t="shared" si="52"/>
        <v>0</v>
      </c>
      <c r="V203" s="685">
        <f t="shared" si="53"/>
        <v>0</v>
      </c>
      <c r="W203" s="686">
        <f t="shared" si="43"/>
        <v>0</v>
      </c>
      <c r="X203" s="686">
        <f t="shared" si="44"/>
        <v>0</v>
      </c>
      <c r="Y203" s="686">
        <f t="shared" si="45"/>
        <v>0</v>
      </c>
      <c r="Z203" s="686">
        <f t="shared" si="46"/>
        <v>0</v>
      </c>
      <c r="AA203" s="685" t="str">
        <f t="shared" si="47"/>
        <v>V</v>
      </c>
      <c r="AB203" s="687"/>
      <c r="AC203" s="688" t="e">
        <f>(S203+T203+U203)*'1.0-Contractblad'!$K$68</f>
        <v>#VALUE!</v>
      </c>
      <c r="AD203" s="688"/>
      <c r="AE203" s="48">
        <f t="shared" si="48"/>
        <v>0</v>
      </c>
      <c r="AF203" s="48">
        <f t="shared" si="54"/>
        <v>874.65000000000009</v>
      </c>
      <c r="AG203" s="48" t="str">
        <f t="shared" si="55"/>
        <v>3255-255</v>
      </c>
    </row>
    <row r="204" spans="1:33" ht="12.75">
      <c r="A204" s="102"/>
      <c r="B204" s="364"/>
      <c r="C204" s="365"/>
      <c r="D204" s="676" t="s">
        <v>118</v>
      </c>
      <c r="E204" s="677" t="s">
        <v>419</v>
      </c>
      <c r="F204" s="678" t="s">
        <v>494</v>
      </c>
      <c r="G204" s="679" t="s">
        <v>328</v>
      </c>
      <c r="H204" s="679" t="str">
        <f t="shared" si="42"/>
        <v>pantry, keuken, koffiecorner</v>
      </c>
      <c r="I204" s="689" t="s">
        <v>570</v>
      </c>
      <c r="J204" s="680">
        <v>45.9</v>
      </c>
      <c r="K204" s="680"/>
      <c r="L204" s="692">
        <v>5255</v>
      </c>
      <c r="M204" s="677"/>
      <c r="N204" s="682"/>
      <c r="O204" s="682"/>
      <c r="P204" s="682">
        <f t="shared" si="49"/>
        <v>255</v>
      </c>
      <c r="Q204" s="683">
        <v>0.8</v>
      </c>
      <c r="R204" s="684">
        <v>1</v>
      </c>
      <c r="S204" s="685">
        <f t="shared" si="50"/>
        <v>0</v>
      </c>
      <c r="T204" s="685">
        <f t="shared" si="51"/>
        <v>0</v>
      </c>
      <c r="U204" s="685">
        <f t="shared" si="52"/>
        <v>0</v>
      </c>
      <c r="V204" s="685">
        <f t="shared" si="53"/>
        <v>0</v>
      </c>
      <c r="W204" s="686">
        <f t="shared" si="43"/>
        <v>0</v>
      </c>
      <c r="X204" s="686">
        <f t="shared" si="44"/>
        <v>0</v>
      </c>
      <c r="Y204" s="686">
        <f t="shared" si="45"/>
        <v>0</v>
      </c>
      <c r="Z204" s="686">
        <f t="shared" si="46"/>
        <v>0</v>
      </c>
      <c r="AA204" s="685" t="str">
        <f t="shared" si="47"/>
        <v>V</v>
      </c>
      <c r="AB204" s="687"/>
      <c r="AC204" s="688" t="e">
        <f>(S204+T204+U204)*'1.0-Contractblad'!$K$68</f>
        <v>#VALUE!</v>
      </c>
      <c r="AD204" s="688"/>
      <c r="AE204" s="48">
        <f t="shared" si="48"/>
        <v>0</v>
      </c>
      <c r="AF204" s="48">
        <f t="shared" si="54"/>
        <v>11704.5</v>
      </c>
      <c r="AG204" s="48" t="str">
        <f t="shared" si="55"/>
        <v>5255-255</v>
      </c>
    </row>
    <row r="205" spans="1:33" ht="12.75">
      <c r="A205" s="102"/>
      <c r="B205" s="364"/>
      <c r="C205" s="365"/>
      <c r="D205" s="676" t="s">
        <v>118</v>
      </c>
      <c r="E205" s="677">
        <v>1</v>
      </c>
      <c r="F205" s="678" t="s">
        <v>496</v>
      </c>
      <c r="G205" s="679" t="s">
        <v>364</v>
      </c>
      <c r="H205" s="679" t="str">
        <f t="shared" si="42"/>
        <v>niet van toepassing</v>
      </c>
      <c r="I205" s="689" t="s">
        <v>322</v>
      </c>
      <c r="J205" s="680"/>
      <c r="K205" s="680">
        <v>9.27</v>
      </c>
      <c r="L205" s="692" t="s">
        <v>225</v>
      </c>
      <c r="M205" s="677"/>
      <c r="N205" s="682"/>
      <c r="O205" s="682"/>
      <c r="P205" s="682">
        <f t="shared" si="49"/>
        <v>0</v>
      </c>
      <c r="Q205" s="683">
        <v>0.8</v>
      </c>
      <c r="R205" s="684">
        <v>1</v>
      </c>
      <c r="S205" s="685">
        <f t="shared" si="50"/>
        <v>0</v>
      </c>
      <c r="T205" s="685">
        <f t="shared" si="51"/>
        <v>0</v>
      </c>
      <c r="U205" s="685">
        <f t="shared" si="52"/>
        <v>0</v>
      </c>
      <c r="V205" s="685">
        <f t="shared" si="53"/>
        <v>0</v>
      </c>
      <c r="W205" s="686">
        <f t="shared" si="43"/>
        <v>0</v>
      </c>
      <c r="X205" s="686">
        <f t="shared" si="44"/>
        <v>0</v>
      </c>
      <c r="Y205" s="686">
        <f t="shared" si="45"/>
        <v>0</v>
      </c>
      <c r="Z205" s="686">
        <f t="shared" si="46"/>
        <v>0</v>
      </c>
      <c r="AA205" s="685">
        <f t="shared" si="47"/>
        <v>0</v>
      </c>
      <c r="AB205" s="687"/>
      <c r="AC205" s="688" t="e">
        <f>(S205+T205+U205)*'1.0-Contractblad'!$K$68</f>
        <v>#VALUE!</v>
      </c>
      <c r="AD205" s="688"/>
      <c r="AE205" s="48">
        <f t="shared" si="48"/>
        <v>0</v>
      </c>
      <c r="AF205" s="48">
        <f t="shared" si="54"/>
        <v>0</v>
      </c>
      <c r="AG205" s="48" t="str">
        <f t="shared" si="55"/>
        <v>nvt-0</v>
      </c>
    </row>
    <row r="206" spans="1:33" ht="12.75">
      <c r="A206" s="102"/>
      <c r="B206" s="364"/>
      <c r="C206" s="365"/>
      <c r="D206" s="676" t="s">
        <v>118</v>
      </c>
      <c r="E206" s="677">
        <v>1</v>
      </c>
      <c r="F206" s="678" t="s">
        <v>497</v>
      </c>
      <c r="G206" s="679" t="s">
        <v>571</v>
      </c>
      <c r="H206" s="679" t="str">
        <f t="shared" si="42"/>
        <v>niet van toepassing</v>
      </c>
      <c r="I206" s="689" t="s">
        <v>557</v>
      </c>
      <c r="J206" s="680"/>
      <c r="K206" s="680">
        <v>104</v>
      </c>
      <c r="L206" s="692" t="s">
        <v>225</v>
      </c>
      <c r="M206" s="677"/>
      <c r="N206" s="682"/>
      <c r="O206" s="682"/>
      <c r="P206" s="682">
        <f t="shared" si="49"/>
        <v>0</v>
      </c>
      <c r="Q206" s="683">
        <v>0.8</v>
      </c>
      <c r="R206" s="684">
        <v>1</v>
      </c>
      <c r="S206" s="685">
        <f t="shared" si="50"/>
        <v>0</v>
      </c>
      <c r="T206" s="685">
        <f t="shared" si="51"/>
        <v>0</v>
      </c>
      <c r="U206" s="685">
        <f t="shared" si="52"/>
        <v>0</v>
      </c>
      <c r="V206" s="685">
        <f t="shared" si="53"/>
        <v>0</v>
      </c>
      <c r="W206" s="686">
        <f t="shared" si="43"/>
        <v>0</v>
      </c>
      <c r="X206" s="686">
        <f t="shared" si="44"/>
        <v>0</v>
      </c>
      <c r="Y206" s="686">
        <f t="shared" si="45"/>
        <v>0</v>
      </c>
      <c r="Z206" s="686">
        <f t="shared" si="46"/>
        <v>0</v>
      </c>
      <c r="AA206" s="685">
        <f t="shared" si="47"/>
        <v>0</v>
      </c>
      <c r="AB206" s="695"/>
      <c r="AC206" s="688" t="e">
        <f>(S206+T206+U206)*'1.0-Contractblad'!$K$68</f>
        <v>#VALUE!</v>
      </c>
      <c r="AD206" s="688"/>
      <c r="AE206" s="48">
        <f t="shared" si="48"/>
        <v>0</v>
      </c>
      <c r="AF206" s="48">
        <f t="shared" si="54"/>
        <v>0</v>
      </c>
      <c r="AG206" s="48" t="str">
        <f t="shared" si="55"/>
        <v>nvt-0</v>
      </c>
    </row>
    <row r="207" spans="1:33" ht="12.75">
      <c r="A207" s="102"/>
      <c r="B207" s="364"/>
      <c r="C207" s="365"/>
      <c r="D207" s="676" t="s">
        <v>118</v>
      </c>
      <c r="E207" s="677">
        <v>1</v>
      </c>
      <c r="F207" s="678" t="s">
        <v>498</v>
      </c>
      <c r="G207" s="679" t="s">
        <v>571</v>
      </c>
      <c r="H207" s="679" t="str">
        <f t="shared" si="42"/>
        <v>niet van toepassing</v>
      </c>
      <c r="I207" s="689" t="s">
        <v>557</v>
      </c>
      <c r="J207" s="680"/>
      <c r="K207" s="680">
        <v>65.3</v>
      </c>
      <c r="L207" s="692" t="s">
        <v>225</v>
      </c>
      <c r="M207" s="677"/>
      <c r="N207" s="682"/>
      <c r="O207" s="682"/>
      <c r="P207" s="682">
        <f t="shared" si="49"/>
        <v>0</v>
      </c>
      <c r="Q207" s="683">
        <v>0.8</v>
      </c>
      <c r="R207" s="684">
        <v>1</v>
      </c>
      <c r="S207" s="685">
        <f t="shared" si="50"/>
        <v>0</v>
      </c>
      <c r="T207" s="685">
        <f t="shared" si="51"/>
        <v>0</v>
      </c>
      <c r="U207" s="685">
        <f t="shared" si="52"/>
        <v>0</v>
      </c>
      <c r="V207" s="685">
        <f t="shared" si="53"/>
        <v>0</v>
      </c>
      <c r="W207" s="686">
        <f t="shared" si="43"/>
        <v>0</v>
      </c>
      <c r="X207" s="686">
        <f t="shared" si="44"/>
        <v>0</v>
      </c>
      <c r="Y207" s="686">
        <f t="shared" si="45"/>
        <v>0</v>
      </c>
      <c r="Z207" s="686">
        <f t="shared" si="46"/>
        <v>0</v>
      </c>
      <c r="AA207" s="685">
        <f t="shared" si="47"/>
        <v>0</v>
      </c>
      <c r="AB207" s="695"/>
      <c r="AC207" s="688" t="e">
        <f>(S207+T207+U207)*'1.0-Contractblad'!$K$68</f>
        <v>#VALUE!</v>
      </c>
      <c r="AD207" s="688"/>
      <c r="AE207" s="48">
        <f t="shared" si="48"/>
        <v>0</v>
      </c>
      <c r="AF207" s="48">
        <f t="shared" si="54"/>
        <v>0</v>
      </c>
      <c r="AG207" s="48" t="str">
        <f t="shared" si="55"/>
        <v>nvt-0</v>
      </c>
    </row>
    <row r="208" spans="1:33" ht="12.75">
      <c r="A208" s="102"/>
      <c r="B208" s="364"/>
      <c r="C208" s="365"/>
      <c r="D208" s="676" t="s">
        <v>118</v>
      </c>
      <c r="E208" s="677">
        <v>1</v>
      </c>
      <c r="F208" s="678" t="s">
        <v>499</v>
      </c>
      <c r="G208" s="679" t="s">
        <v>572</v>
      </c>
      <c r="H208" s="679" t="str">
        <f t="shared" si="42"/>
        <v>niet van toepassing</v>
      </c>
      <c r="I208" s="689" t="s">
        <v>256</v>
      </c>
      <c r="J208" s="680"/>
      <c r="K208" s="680">
        <v>3.72</v>
      </c>
      <c r="L208" s="692" t="s">
        <v>225</v>
      </c>
      <c r="M208" s="677"/>
      <c r="N208" s="682"/>
      <c r="O208" s="682"/>
      <c r="P208" s="682">
        <f t="shared" si="49"/>
        <v>0</v>
      </c>
      <c r="Q208" s="683">
        <v>0.8</v>
      </c>
      <c r="R208" s="684">
        <v>1</v>
      </c>
      <c r="S208" s="685">
        <f t="shared" si="50"/>
        <v>0</v>
      </c>
      <c r="T208" s="685">
        <f t="shared" si="51"/>
        <v>0</v>
      </c>
      <c r="U208" s="685">
        <f t="shared" si="52"/>
        <v>0</v>
      </c>
      <c r="V208" s="685">
        <f t="shared" si="53"/>
        <v>0</v>
      </c>
      <c r="W208" s="686">
        <f t="shared" si="43"/>
        <v>0</v>
      </c>
      <c r="X208" s="686">
        <f t="shared" si="44"/>
        <v>0</v>
      </c>
      <c r="Y208" s="686">
        <f t="shared" si="45"/>
        <v>0</v>
      </c>
      <c r="Z208" s="686">
        <f t="shared" si="46"/>
        <v>0</v>
      </c>
      <c r="AA208" s="685">
        <f t="shared" si="47"/>
        <v>0</v>
      </c>
      <c r="AB208" s="695"/>
      <c r="AC208" s="688" t="e">
        <f>(S208+T208+U208)*'1.0-Contractblad'!$K$68</f>
        <v>#VALUE!</v>
      </c>
      <c r="AD208" s="688"/>
      <c r="AE208" s="48">
        <f t="shared" si="48"/>
        <v>0</v>
      </c>
      <c r="AF208" s="48">
        <f t="shared" si="54"/>
        <v>0</v>
      </c>
      <c r="AG208" s="48" t="str">
        <f t="shared" si="55"/>
        <v>nvt-0</v>
      </c>
    </row>
    <row r="209" spans="1:33" ht="12.75">
      <c r="A209" s="102"/>
      <c r="B209" s="364"/>
      <c r="C209" s="365"/>
      <c r="D209" s="676" t="s">
        <v>118</v>
      </c>
      <c r="E209" s="677">
        <v>1</v>
      </c>
      <c r="F209" s="678" t="s">
        <v>502</v>
      </c>
      <c r="G209" s="679" t="s">
        <v>430</v>
      </c>
      <c r="H209" s="679" t="str">
        <f t="shared" si="42"/>
        <v>niet van toepassing</v>
      </c>
      <c r="I209" s="689" t="s">
        <v>557</v>
      </c>
      <c r="J209" s="680"/>
      <c r="K209" s="680">
        <v>27.7</v>
      </c>
      <c r="L209" s="692" t="s">
        <v>225</v>
      </c>
      <c r="M209" s="677"/>
      <c r="N209" s="682"/>
      <c r="O209" s="682"/>
      <c r="P209" s="682">
        <f t="shared" si="49"/>
        <v>0</v>
      </c>
      <c r="Q209" s="683">
        <v>0.8</v>
      </c>
      <c r="R209" s="684">
        <v>1</v>
      </c>
      <c r="S209" s="685">
        <f t="shared" si="50"/>
        <v>0</v>
      </c>
      <c r="T209" s="685">
        <f t="shared" si="51"/>
        <v>0</v>
      </c>
      <c r="U209" s="685">
        <f t="shared" si="52"/>
        <v>0</v>
      </c>
      <c r="V209" s="685">
        <f t="shared" si="53"/>
        <v>0</v>
      </c>
      <c r="W209" s="686">
        <f t="shared" si="43"/>
        <v>0</v>
      </c>
      <c r="X209" s="686">
        <f t="shared" si="44"/>
        <v>0</v>
      </c>
      <c r="Y209" s="686">
        <f t="shared" si="45"/>
        <v>0</v>
      </c>
      <c r="Z209" s="686">
        <f t="shared" si="46"/>
        <v>0</v>
      </c>
      <c r="AA209" s="685">
        <f t="shared" si="47"/>
        <v>0</v>
      </c>
      <c r="AB209" s="695"/>
      <c r="AC209" s="688" t="e">
        <f>(S209+T209+U209)*'1.0-Contractblad'!$K$68</f>
        <v>#VALUE!</v>
      </c>
      <c r="AD209" s="688"/>
      <c r="AE209" s="48">
        <f t="shared" si="48"/>
        <v>0</v>
      </c>
      <c r="AF209" s="48">
        <f t="shared" si="54"/>
        <v>0</v>
      </c>
      <c r="AG209" s="48" t="str">
        <f t="shared" si="55"/>
        <v>nvt-0</v>
      </c>
    </row>
    <row r="210" spans="1:33" ht="12.75">
      <c r="A210" s="102"/>
      <c r="B210" s="364"/>
      <c r="C210" s="365"/>
      <c r="D210" s="676" t="s">
        <v>118</v>
      </c>
      <c r="E210" s="677" t="s">
        <v>314</v>
      </c>
      <c r="F210" s="678" t="s">
        <v>315</v>
      </c>
      <c r="G210" s="679" t="s">
        <v>573</v>
      </c>
      <c r="H210" s="679" t="str">
        <f t="shared" si="42"/>
        <v>niet van toepassing</v>
      </c>
      <c r="I210" s="689" t="s">
        <v>240</v>
      </c>
      <c r="J210" s="680"/>
      <c r="K210" s="680">
        <v>200</v>
      </c>
      <c r="L210" s="692" t="s">
        <v>225</v>
      </c>
      <c r="M210" s="677"/>
      <c r="N210" s="682"/>
      <c r="O210" s="682"/>
      <c r="P210" s="682">
        <f t="shared" si="49"/>
        <v>0</v>
      </c>
      <c r="Q210" s="683">
        <v>0.8</v>
      </c>
      <c r="R210" s="684">
        <v>1</v>
      </c>
      <c r="S210" s="685">
        <f t="shared" si="50"/>
        <v>0</v>
      </c>
      <c r="T210" s="685">
        <f t="shared" si="51"/>
        <v>0</v>
      </c>
      <c r="U210" s="685">
        <f t="shared" si="52"/>
        <v>0</v>
      </c>
      <c r="V210" s="685">
        <f t="shared" si="53"/>
        <v>0</v>
      </c>
      <c r="W210" s="686">
        <f t="shared" si="43"/>
        <v>0</v>
      </c>
      <c r="X210" s="686">
        <f t="shared" si="44"/>
        <v>0</v>
      </c>
      <c r="Y210" s="686">
        <f t="shared" si="45"/>
        <v>0</v>
      </c>
      <c r="Z210" s="686">
        <f t="shared" si="46"/>
        <v>0</v>
      </c>
      <c r="AA210" s="685">
        <f t="shared" si="47"/>
        <v>0</v>
      </c>
      <c r="AB210" s="695"/>
      <c r="AC210" s="688" t="e">
        <f>(S210+T210+U210)*'1.0-Contractblad'!$K$68</f>
        <v>#VALUE!</v>
      </c>
      <c r="AD210" s="688"/>
      <c r="AE210" s="48">
        <f t="shared" si="48"/>
        <v>0</v>
      </c>
      <c r="AF210" s="48">
        <f t="shared" si="54"/>
        <v>0</v>
      </c>
      <c r="AG210" s="48" t="str">
        <f t="shared" si="55"/>
        <v>nvt-0</v>
      </c>
    </row>
    <row r="211" spans="1:33" ht="12.75">
      <c r="A211" s="102"/>
      <c r="B211" s="364"/>
      <c r="C211" s="365"/>
      <c r="D211" s="676" t="s">
        <v>118</v>
      </c>
      <c r="E211" s="677" t="s">
        <v>314</v>
      </c>
      <c r="F211" s="678" t="s">
        <v>315</v>
      </c>
      <c r="G211" s="679" t="s">
        <v>574</v>
      </c>
      <c r="H211" s="679" t="str">
        <f t="shared" si="42"/>
        <v>niet van toepassing</v>
      </c>
      <c r="I211" s="689" t="s">
        <v>240</v>
      </c>
      <c r="J211" s="680"/>
      <c r="K211" s="680">
        <v>185</v>
      </c>
      <c r="L211" s="692" t="s">
        <v>225</v>
      </c>
      <c r="M211" s="677"/>
      <c r="N211" s="682"/>
      <c r="O211" s="682"/>
      <c r="P211" s="682">
        <f t="shared" si="49"/>
        <v>0</v>
      </c>
      <c r="Q211" s="683">
        <v>0.8</v>
      </c>
      <c r="R211" s="684">
        <v>1</v>
      </c>
      <c r="S211" s="685">
        <f t="shared" si="50"/>
        <v>0</v>
      </c>
      <c r="T211" s="685">
        <f t="shared" si="51"/>
        <v>0</v>
      </c>
      <c r="U211" s="685">
        <f t="shared" si="52"/>
        <v>0</v>
      </c>
      <c r="V211" s="685">
        <f t="shared" si="53"/>
        <v>0</v>
      </c>
      <c r="W211" s="686">
        <f t="shared" si="43"/>
        <v>0</v>
      </c>
      <c r="X211" s="686">
        <f t="shared" si="44"/>
        <v>0</v>
      </c>
      <c r="Y211" s="686">
        <f t="shared" si="45"/>
        <v>0</v>
      </c>
      <c r="Z211" s="686">
        <f t="shared" si="46"/>
        <v>0</v>
      </c>
      <c r="AA211" s="685">
        <f t="shared" si="47"/>
        <v>0</v>
      </c>
      <c r="AB211" s="695"/>
      <c r="AC211" s="688" t="e">
        <f>(S211+T211+U211)*'1.0-Contractblad'!$K$68</f>
        <v>#VALUE!</v>
      </c>
      <c r="AD211" s="688"/>
      <c r="AE211" s="48">
        <f t="shared" si="48"/>
        <v>0</v>
      </c>
      <c r="AF211" s="48">
        <f t="shared" si="54"/>
        <v>0</v>
      </c>
      <c r="AG211" s="48" t="str">
        <f t="shared" si="55"/>
        <v>nvt-0</v>
      </c>
    </row>
    <row r="212" spans="1:33" ht="12.75">
      <c r="A212" s="102"/>
      <c r="B212" s="364"/>
      <c r="C212" s="365"/>
      <c r="D212" s="676" t="s">
        <v>118</v>
      </c>
      <c r="E212" s="677" t="s">
        <v>314</v>
      </c>
      <c r="F212" s="678" t="s">
        <v>315</v>
      </c>
      <c r="G212" s="679" t="s">
        <v>575</v>
      </c>
      <c r="H212" s="679" t="str">
        <f t="shared" si="42"/>
        <v>niet van toepassing</v>
      </c>
      <c r="I212" s="689" t="s">
        <v>240</v>
      </c>
      <c r="J212" s="680"/>
      <c r="K212" s="680">
        <v>185</v>
      </c>
      <c r="L212" s="692" t="s">
        <v>225</v>
      </c>
      <c r="M212" s="677"/>
      <c r="N212" s="682"/>
      <c r="O212" s="682"/>
      <c r="P212" s="682">
        <f t="shared" si="49"/>
        <v>0</v>
      </c>
      <c r="Q212" s="683">
        <v>0.8</v>
      </c>
      <c r="R212" s="684">
        <v>1</v>
      </c>
      <c r="S212" s="685">
        <f t="shared" si="50"/>
        <v>0</v>
      </c>
      <c r="T212" s="685">
        <f t="shared" si="51"/>
        <v>0</v>
      </c>
      <c r="U212" s="685">
        <f t="shared" si="52"/>
        <v>0</v>
      </c>
      <c r="V212" s="685">
        <f t="shared" si="53"/>
        <v>0</v>
      </c>
      <c r="W212" s="686">
        <f t="shared" si="43"/>
        <v>0</v>
      </c>
      <c r="X212" s="686">
        <f t="shared" si="44"/>
        <v>0</v>
      </c>
      <c r="Y212" s="686">
        <f t="shared" si="45"/>
        <v>0</v>
      </c>
      <c r="Z212" s="686">
        <f t="shared" si="46"/>
        <v>0</v>
      </c>
      <c r="AA212" s="685">
        <f t="shared" si="47"/>
        <v>0</v>
      </c>
      <c r="AB212" s="695"/>
      <c r="AC212" s="688" t="e">
        <f>(S212+T212+U212)*'1.0-Contractblad'!$K$68</f>
        <v>#VALUE!</v>
      </c>
      <c r="AD212" s="688"/>
      <c r="AE212" s="48">
        <f t="shared" si="48"/>
        <v>0</v>
      </c>
      <c r="AF212" s="48">
        <f t="shared" si="54"/>
        <v>0</v>
      </c>
      <c r="AG212" s="48" t="str">
        <f t="shared" si="55"/>
        <v>nvt-0</v>
      </c>
    </row>
    <row r="213" spans="1:33" ht="12.75">
      <c r="A213" s="102"/>
      <c r="B213" s="364"/>
      <c r="C213" s="365"/>
      <c r="D213" s="676" t="s">
        <v>121</v>
      </c>
      <c r="E213" s="677" t="s">
        <v>314</v>
      </c>
      <c r="F213" s="678" t="s">
        <v>576</v>
      </c>
      <c r="G213" s="679" t="s">
        <v>577</v>
      </c>
      <c r="H213" s="679" t="str">
        <f t="shared" si="42"/>
        <v>entree, gang, hal, repro, kopieer</v>
      </c>
      <c r="I213" s="689" t="s">
        <v>578</v>
      </c>
      <c r="J213" s="680">
        <v>13.52</v>
      </c>
      <c r="K213" s="680"/>
      <c r="L213" s="692">
        <v>3255</v>
      </c>
      <c r="M213" s="677"/>
      <c r="N213" s="682"/>
      <c r="O213" s="682"/>
      <c r="P213" s="682">
        <f t="shared" si="49"/>
        <v>255</v>
      </c>
      <c r="Q213" s="683">
        <v>1</v>
      </c>
      <c r="R213" s="684">
        <v>1</v>
      </c>
      <c r="S213" s="685">
        <f t="shared" si="50"/>
        <v>0</v>
      </c>
      <c r="T213" s="685">
        <f t="shared" si="51"/>
        <v>0</v>
      </c>
      <c r="U213" s="685">
        <f t="shared" si="52"/>
        <v>0</v>
      </c>
      <c r="V213" s="685">
        <f t="shared" si="53"/>
        <v>0</v>
      </c>
      <c r="W213" s="686">
        <f t="shared" si="43"/>
        <v>0</v>
      </c>
      <c r="X213" s="686">
        <f t="shared" si="44"/>
        <v>0</v>
      </c>
      <c r="Y213" s="686">
        <f t="shared" si="45"/>
        <v>0</v>
      </c>
      <c r="Z213" s="686">
        <f t="shared" si="46"/>
        <v>0</v>
      </c>
      <c r="AA213" s="685" t="str">
        <f t="shared" si="47"/>
        <v>V</v>
      </c>
      <c r="AB213" s="695"/>
      <c r="AC213" s="688" t="e">
        <f>(S213+T213+U213)*'1.0-Contractblad'!$K$68</f>
        <v>#VALUE!</v>
      </c>
      <c r="AD213" s="688"/>
      <c r="AE213" s="48">
        <f t="shared" si="48"/>
        <v>0</v>
      </c>
      <c r="AF213" s="48">
        <f t="shared" si="54"/>
        <v>3447.6</v>
      </c>
      <c r="AG213" s="48" t="str">
        <f t="shared" si="55"/>
        <v>3255-255</v>
      </c>
    </row>
    <row r="214" spans="1:33" ht="12.75">
      <c r="A214" s="102"/>
      <c r="B214" s="364"/>
      <c r="C214" s="365"/>
      <c r="D214" s="676" t="s">
        <v>121</v>
      </c>
      <c r="E214" s="677" t="s">
        <v>314</v>
      </c>
      <c r="F214" s="678" t="s">
        <v>579</v>
      </c>
      <c r="G214" s="679" t="s">
        <v>398</v>
      </c>
      <c r="H214" s="679" t="str">
        <f t="shared" si="42"/>
        <v>kleedruimten</v>
      </c>
      <c r="I214" s="689" t="s">
        <v>578</v>
      </c>
      <c r="J214" s="680">
        <v>57.08</v>
      </c>
      <c r="K214" s="680"/>
      <c r="L214" s="692">
        <v>10255</v>
      </c>
      <c r="M214" s="679"/>
      <c r="N214" s="682"/>
      <c r="O214" s="682"/>
      <c r="P214" s="682">
        <f t="shared" si="49"/>
        <v>255</v>
      </c>
      <c r="Q214" s="683">
        <v>1</v>
      </c>
      <c r="R214" s="684">
        <v>1</v>
      </c>
      <c r="S214" s="685">
        <f t="shared" si="50"/>
        <v>0</v>
      </c>
      <c r="T214" s="685">
        <f t="shared" si="51"/>
        <v>0</v>
      </c>
      <c r="U214" s="685">
        <f t="shared" si="52"/>
        <v>0</v>
      </c>
      <c r="V214" s="685">
        <f t="shared" si="53"/>
        <v>0</v>
      </c>
      <c r="W214" s="686">
        <f t="shared" si="43"/>
        <v>0</v>
      </c>
      <c r="X214" s="686">
        <f t="shared" si="44"/>
        <v>0</v>
      </c>
      <c r="Y214" s="686">
        <f t="shared" si="45"/>
        <v>0</v>
      </c>
      <c r="Z214" s="686">
        <f t="shared" si="46"/>
        <v>0</v>
      </c>
      <c r="AA214" s="685" t="str">
        <f t="shared" si="47"/>
        <v>V</v>
      </c>
      <c r="AB214" s="687" t="s">
        <v>580</v>
      </c>
      <c r="AC214" s="688" t="e">
        <f>(S214+T214+U214)*'1.0-Contractblad'!$K$68</f>
        <v>#VALUE!</v>
      </c>
      <c r="AD214" s="688"/>
      <c r="AE214" s="48">
        <f t="shared" si="48"/>
        <v>0</v>
      </c>
      <c r="AF214" s="48">
        <f t="shared" si="54"/>
        <v>14555.4</v>
      </c>
      <c r="AG214" s="48" t="str">
        <f t="shared" si="55"/>
        <v>10255-255</v>
      </c>
    </row>
    <row r="215" spans="1:33" ht="12.75">
      <c r="A215" s="102"/>
      <c r="B215" s="364"/>
      <c r="C215" s="365"/>
      <c r="D215" s="676" t="s">
        <v>121</v>
      </c>
      <c r="E215" s="677" t="s">
        <v>314</v>
      </c>
      <c r="F215" s="678" t="s">
        <v>581</v>
      </c>
      <c r="G215" s="679" t="s">
        <v>582</v>
      </c>
      <c r="H215" s="679" t="str">
        <f t="shared" si="42"/>
        <v>sanitaire ruimte (toilet-/doucheruimte)</v>
      </c>
      <c r="I215" s="689" t="s">
        <v>578</v>
      </c>
      <c r="J215" s="680"/>
      <c r="K215" s="680"/>
      <c r="L215" s="692">
        <v>4255</v>
      </c>
      <c r="M215" s="679"/>
      <c r="N215" s="682"/>
      <c r="O215" s="682"/>
      <c r="P215" s="682">
        <f t="shared" si="49"/>
        <v>255</v>
      </c>
      <c r="Q215" s="683">
        <v>1</v>
      </c>
      <c r="R215" s="684">
        <v>1</v>
      </c>
      <c r="S215" s="685">
        <f t="shared" si="50"/>
        <v>0</v>
      </c>
      <c r="T215" s="685">
        <f t="shared" si="51"/>
        <v>0</v>
      </c>
      <c r="U215" s="685">
        <f t="shared" si="52"/>
        <v>0</v>
      </c>
      <c r="V215" s="685">
        <f t="shared" si="53"/>
        <v>0</v>
      </c>
      <c r="W215" s="686">
        <f t="shared" si="43"/>
        <v>0</v>
      </c>
      <c r="X215" s="686">
        <f t="shared" si="44"/>
        <v>0</v>
      </c>
      <c r="Y215" s="686">
        <f t="shared" si="45"/>
        <v>0</v>
      </c>
      <c r="Z215" s="686">
        <f t="shared" si="46"/>
        <v>0</v>
      </c>
      <c r="AA215" s="685" t="str">
        <f t="shared" si="47"/>
        <v>S</v>
      </c>
      <c r="AB215" s="687" t="s">
        <v>580</v>
      </c>
      <c r="AC215" s="688" t="e">
        <f>(S215+T215+U215)*'1.0-Contractblad'!$K$68</f>
        <v>#VALUE!</v>
      </c>
      <c r="AD215" s="688"/>
      <c r="AE215" s="48">
        <f t="shared" si="48"/>
        <v>0</v>
      </c>
      <c r="AF215" s="48">
        <f t="shared" si="54"/>
        <v>0</v>
      </c>
      <c r="AG215" s="48" t="str">
        <f t="shared" si="55"/>
        <v>4255-255</v>
      </c>
    </row>
    <row r="216" spans="1:33" ht="12.75">
      <c r="A216" s="102"/>
      <c r="B216" s="364"/>
      <c r="C216" s="365"/>
      <c r="D216" s="676" t="s">
        <v>121</v>
      </c>
      <c r="E216" s="677" t="s">
        <v>314</v>
      </c>
      <c r="F216" s="678" t="s">
        <v>583</v>
      </c>
      <c r="G216" s="679" t="s">
        <v>584</v>
      </c>
      <c r="H216" s="679" t="str">
        <f t="shared" si="42"/>
        <v>sanitaire ruimte (toilet-/doucheruimte)</v>
      </c>
      <c r="I216" s="689" t="s">
        <v>578</v>
      </c>
      <c r="J216" s="680"/>
      <c r="K216" s="680"/>
      <c r="L216" s="692">
        <v>4255</v>
      </c>
      <c r="M216" s="679"/>
      <c r="N216" s="682"/>
      <c r="O216" s="682"/>
      <c r="P216" s="682">
        <f t="shared" si="49"/>
        <v>255</v>
      </c>
      <c r="Q216" s="683">
        <v>1</v>
      </c>
      <c r="R216" s="684">
        <v>1</v>
      </c>
      <c r="S216" s="685">
        <f t="shared" si="50"/>
        <v>0</v>
      </c>
      <c r="T216" s="685">
        <f t="shared" si="51"/>
        <v>0</v>
      </c>
      <c r="U216" s="685">
        <f t="shared" si="52"/>
        <v>0</v>
      </c>
      <c r="V216" s="685">
        <f t="shared" si="53"/>
        <v>0</v>
      </c>
      <c r="W216" s="686">
        <f t="shared" si="43"/>
        <v>0</v>
      </c>
      <c r="X216" s="686">
        <f t="shared" si="44"/>
        <v>0</v>
      </c>
      <c r="Y216" s="686">
        <f t="shared" si="45"/>
        <v>0</v>
      </c>
      <c r="Z216" s="686">
        <f t="shared" si="46"/>
        <v>0</v>
      </c>
      <c r="AA216" s="685" t="str">
        <f t="shared" si="47"/>
        <v>S</v>
      </c>
      <c r="AB216" s="687" t="s">
        <v>580</v>
      </c>
      <c r="AC216" s="688" t="e">
        <f>(S216+T216+U216)*'1.0-Contractblad'!$K$68</f>
        <v>#VALUE!</v>
      </c>
      <c r="AD216" s="688"/>
      <c r="AE216" s="48">
        <f t="shared" si="48"/>
        <v>0</v>
      </c>
      <c r="AF216" s="48">
        <f t="shared" si="54"/>
        <v>0</v>
      </c>
      <c r="AG216" s="48" t="str">
        <f t="shared" si="55"/>
        <v>4255-255</v>
      </c>
    </row>
    <row r="217" spans="1:33" ht="12.75">
      <c r="A217" s="102"/>
      <c r="B217" s="364"/>
      <c r="C217" s="365"/>
      <c r="D217" s="676" t="s">
        <v>121</v>
      </c>
      <c r="E217" s="677" t="s">
        <v>314</v>
      </c>
      <c r="F217" s="678" t="s">
        <v>585</v>
      </c>
      <c r="G217" s="679" t="s">
        <v>584</v>
      </c>
      <c r="H217" s="679" t="str">
        <f t="shared" si="42"/>
        <v>sanitaire ruimte (toilet-/doucheruimte)</v>
      </c>
      <c r="I217" s="689" t="s">
        <v>578</v>
      </c>
      <c r="J217" s="680"/>
      <c r="K217" s="680"/>
      <c r="L217" s="692">
        <v>4255</v>
      </c>
      <c r="M217" s="679"/>
      <c r="N217" s="682"/>
      <c r="O217" s="682"/>
      <c r="P217" s="682">
        <f t="shared" si="49"/>
        <v>255</v>
      </c>
      <c r="Q217" s="683">
        <v>1</v>
      </c>
      <c r="R217" s="684">
        <v>1</v>
      </c>
      <c r="S217" s="685">
        <f t="shared" si="50"/>
        <v>0</v>
      </c>
      <c r="T217" s="685">
        <f t="shared" si="51"/>
        <v>0</v>
      </c>
      <c r="U217" s="685">
        <f t="shared" si="52"/>
        <v>0</v>
      </c>
      <c r="V217" s="685">
        <f t="shared" si="53"/>
        <v>0</v>
      </c>
      <c r="W217" s="686">
        <f t="shared" si="43"/>
        <v>0</v>
      </c>
      <c r="X217" s="686">
        <f t="shared" si="44"/>
        <v>0</v>
      </c>
      <c r="Y217" s="686">
        <f t="shared" si="45"/>
        <v>0</v>
      </c>
      <c r="Z217" s="686">
        <f t="shared" si="46"/>
        <v>0</v>
      </c>
      <c r="AA217" s="685" t="str">
        <f t="shared" si="47"/>
        <v>S</v>
      </c>
      <c r="AB217" s="687" t="s">
        <v>580</v>
      </c>
      <c r="AC217" s="688" t="e">
        <f>(S217+T217+U217)*'1.0-Contractblad'!$K$68</f>
        <v>#VALUE!</v>
      </c>
      <c r="AD217" s="688"/>
      <c r="AE217" s="48">
        <f t="shared" si="48"/>
        <v>0</v>
      </c>
      <c r="AF217" s="48">
        <f t="shared" si="54"/>
        <v>0</v>
      </c>
      <c r="AG217" s="48" t="str">
        <f t="shared" si="55"/>
        <v>4255-255</v>
      </c>
    </row>
    <row r="218" spans="1:33" ht="12.75">
      <c r="A218" s="102"/>
      <c r="B218" s="364"/>
      <c r="C218" s="365"/>
      <c r="D218" s="676" t="s">
        <v>121</v>
      </c>
      <c r="E218" s="677" t="s">
        <v>314</v>
      </c>
      <c r="F218" s="678" t="s">
        <v>586</v>
      </c>
      <c r="G218" s="679" t="s">
        <v>584</v>
      </c>
      <c r="H218" s="679" t="str">
        <f t="shared" si="42"/>
        <v>sanitaire ruimte (toilet-/doucheruimte)</v>
      </c>
      <c r="I218" s="689" t="s">
        <v>578</v>
      </c>
      <c r="J218" s="680"/>
      <c r="K218" s="680"/>
      <c r="L218" s="692">
        <v>4255</v>
      </c>
      <c r="M218" s="679"/>
      <c r="N218" s="682"/>
      <c r="O218" s="682"/>
      <c r="P218" s="682">
        <f t="shared" si="49"/>
        <v>255</v>
      </c>
      <c r="Q218" s="683">
        <v>1</v>
      </c>
      <c r="R218" s="684">
        <v>1</v>
      </c>
      <c r="S218" s="685">
        <f t="shared" si="50"/>
        <v>0</v>
      </c>
      <c r="T218" s="685">
        <f t="shared" si="51"/>
        <v>0</v>
      </c>
      <c r="U218" s="685">
        <f t="shared" si="52"/>
        <v>0</v>
      </c>
      <c r="V218" s="685">
        <f t="shared" si="53"/>
        <v>0</v>
      </c>
      <c r="W218" s="686">
        <f t="shared" si="43"/>
        <v>0</v>
      </c>
      <c r="X218" s="686">
        <f t="shared" si="44"/>
        <v>0</v>
      </c>
      <c r="Y218" s="686">
        <f t="shared" si="45"/>
        <v>0</v>
      </c>
      <c r="Z218" s="686">
        <f t="shared" si="46"/>
        <v>0</v>
      </c>
      <c r="AA218" s="685" t="str">
        <f t="shared" si="47"/>
        <v>S</v>
      </c>
      <c r="AB218" s="687" t="s">
        <v>580</v>
      </c>
      <c r="AC218" s="688" t="e">
        <f>(S218+T218+U218)*'1.0-Contractblad'!$K$68</f>
        <v>#VALUE!</v>
      </c>
      <c r="AD218" s="688"/>
      <c r="AE218" s="48">
        <f t="shared" si="48"/>
        <v>0</v>
      </c>
      <c r="AF218" s="48">
        <f t="shared" si="54"/>
        <v>0</v>
      </c>
      <c r="AG218" s="48" t="str">
        <f t="shared" si="55"/>
        <v>4255-255</v>
      </c>
    </row>
    <row r="219" spans="1:33" ht="12.75">
      <c r="A219" s="102"/>
      <c r="B219" s="364"/>
      <c r="C219" s="365"/>
      <c r="D219" s="676" t="s">
        <v>121</v>
      </c>
      <c r="E219" s="677" t="s">
        <v>314</v>
      </c>
      <c r="F219" s="678" t="s">
        <v>587</v>
      </c>
      <c r="G219" s="679" t="s">
        <v>588</v>
      </c>
      <c r="H219" s="679" t="str">
        <f t="shared" si="42"/>
        <v>sanitaire ruimte (toilet-/doucheruimte)</v>
      </c>
      <c r="I219" s="689" t="s">
        <v>578</v>
      </c>
      <c r="J219" s="680">
        <v>11.07</v>
      </c>
      <c r="K219" s="680"/>
      <c r="L219" s="692">
        <v>4255</v>
      </c>
      <c r="M219" s="677"/>
      <c r="N219" s="682"/>
      <c r="O219" s="682"/>
      <c r="P219" s="682">
        <f t="shared" si="49"/>
        <v>255</v>
      </c>
      <c r="Q219" s="683">
        <v>1</v>
      </c>
      <c r="R219" s="684">
        <v>1</v>
      </c>
      <c r="S219" s="685">
        <f t="shared" si="50"/>
        <v>0</v>
      </c>
      <c r="T219" s="685">
        <f t="shared" si="51"/>
        <v>0</v>
      </c>
      <c r="U219" s="685">
        <f t="shared" si="52"/>
        <v>0</v>
      </c>
      <c r="V219" s="685">
        <f t="shared" si="53"/>
        <v>0</v>
      </c>
      <c r="W219" s="686">
        <f t="shared" si="43"/>
        <v>0</v>
      </c>
      <c r="X219" s="686">
        <f t="shared" si="44"/>
        <v>0</v>
      </c>
      <c r="Y219" s="686">
        <f t="shared" si="45"/>
        <v>0</v>
      </c>
      <c r="Z219" s="686">
        <f t="shared" si="46"/>
        <v>0</v>
      </c>
      <c r="AA219" s="685" t="str">
        <f t="shared" si="47"/>
        <v>S</v>
      </c>
      <c r="AB219" s="687"/>
      <c r="AC219" s="688" t="e">
        <f>(S219+T219+U219)*'1.0-Contractblad'!$K$68</f>
        <v>#VALUE!</v>
      </c>
      <c r="AD219" s="688"/>
      <c r="AE219" s="48">
        <f t="shared" si="48"/>
        <v>0</v>
      </c>
      <c r="AF219" s="48">
        <f t="shared" si="54"/>
        <v>2822.85</v>
      </c>
      <c r="AG219" s="48" t="str">
        <f t="shared" si="55"/>
        <v>4255-255</v>
      </c>
    </row>
    <row r="220" spans="1:33" ht="12.75">
      <c r="A220" s="102"/>
      <c r="B220" s="364"/>
      <c r="C220" s="365"/>
      <c r="D220" s="676" t="s">
        <v>121</v>
      </c>
      <c r="E220" s="677" t="s">
        <v>314</v>
      </c>
      <c r="F220" s="678" t="s">
        <v>589</v>
      </c>
      <c r="G220" s="679" t="s">
        <v>590</v>
      </c>
      <c r="H220" s="679" t="str">
        <f t="shared" si="42"/>
        <v>entree, gang, hal, repro, kopieer</v>
      </c>
      <c r="I220" s="689" t="s">
        <v>578</v>
      </c>
      <c r="J220" s="680">
        <v>6.81</v>
      </c>
      <c r="K220" s="680"/>
      <c r="L220" s="692">
        <v>3255</v>
      </c>
      <c r="M220" s="677"/>
      <c r="N220" s="682"/>
      <c r="O220" s="682"/>
      <c r="P220" s="682">
        <f t="shared" si="49"/>
        <v>255</v>
      </c>
      <c r="Q220" s="683">
        <v>1</v>
      </c>
      <c r="R220" s="684">
        <v>1</v>
      </c>
      <c r="S220" s="685">
        <f t="shared" si="50"/>
        <v>0</v>
      </c>
      <c r="T220" s="685">
        <f t="shared" si="51"/>
        <v>0</v>
      </c>
      <c r="U220" s="685">
        <f t="shared" si="52"/>
        <v>0</v>
      </c>
      <c r="V220" s="685">
        <f t="shared" si="53"/>
        <v>0</v>
      </c>
      <c r="W220" s="686">
        <f t="shared" si="43"/>
        <v>0</v>
      </c>
      <c r="X220" s="686">
        <f t="shared" si="44"/>
        <v>0</v>
      </c>
      <c r="Y220" s="686">
        <f t="shared" si="45"/>
        <v>0</v>
      </c>
      <c r="Z220" s="686">
        <f t="shared" si="46"/>
        <v>0</v>
      </c>
      <c r="AA220" s="685" t="str">
        <f t="shared" si="47"/>
        <v>V</v>
      </c>
      <c r="AB220" s="687"/>
      <c r="AC220" s="688" t="e">
        <f>(S220+T220+U220)*'1.0-Contractblad'!$K$68</f>
        <v>#VALUE!</v>
      </c>
      <c r="AD220" s="688"/>
      <c r="AE220" s="48">
        <f t="shared" si="48"/>
        <v>0</v>
      </c>
      <c r="AF220" s="48">
        <f t="shared" si="54"/>
        <v>1736.55</v>
      </c>
      <c r="AG220" s="48" t="str">
        <f t="shared" si="55"/>
        <v>3255-255</v>
      </c>
    </row>
    <row r="221" spans="1:33" ht="12.75">
      <c r="A221" s="102"/>
      <c r="B221" s="364"/>
      <c r="C221" s="365"/>
      <c r="D221" s="676" t="s">
        <v>121</v>
      </c>
      <c r="E221" s="677" t="s">
        <v>314</v>
      </c>
      <c r="F221" s="678" t="s">
        <v>591</v>
      </c>
      <c r="G221" s="679" t="s">
        <v>382</v>
      </c>
      <c r="H221" s="679" t="str">
        <f t="shared" si="42"/>
        <v>entree, gang, hal, repro, kopieer</v>
      </c>
      <c r="I221" s="689" t="s">
        <v>238</v>
      </c>
      <c r="J221" s="680">
        <v>15.75</v>
      </c>
      <c r="K221" s="680"/>
      <c r="L221" s="692">
        <v>3255</v>
      </c>
      <c r="M221" s="677"/>
      <c r="N221" s="682"/>
      <c r="O221" s="682"/>
      <c r="P221" s="682">
        <f t="shared" si="49"/>
        <v>255</v>
      </c>
      <c r="Q221" s="683">
        <v>1</v>
      </c>
      <c r="R221" s="684">
        <v>1</v>
      </c>
      <c r="S221" s="685">
        <f t="shared" si="50"/>
        <v>0</v>
      </c>
      <c r="T221" s="685">
        <f t="shared" si="51"/>
        <v>0</v>
      </c>
      <c r="U221" s="685">
        <f t="shared" si="52"/>
        <v>0</v>
      </c>
      <c r="V221" s="685">
        <f t="shared" si="53"/>
        <v>0</v>
      </c>
      <c r="W221" s="686">
        <f t="shared" si="43"/>
        <v>0</v>
      </c>
      <c r="X221" s="686">
        <f t="shared" si="44"/>
        <v>0</v>
      </c>
      <c r="Y221" s="686">
        <f t="shared" si="45"/>
        <v>0</v>
      </c>
      <c r="Z221" s="686">
        <f t="shared" si="46"/>
        <v>0</v>
      </c>
      <c r="AA221" s="685" t="str">
        <f t="shared" si="47"/>
        <v>V</v>
      </c>
      <c r="AB221" s="687"/>
      <c r="AC221" s="688" t="e">
        <f>(S221+T221+U221)*'1.0-Contractblad'!$K$68</f>
        <v>#VALUE!</v>
      </c>
      <c r="AD221" s="688"/>
      <c r="AE221" s="48">
        <f t="shared" si="48"/>
        <v>0</v>
      </c>
      <c r="AF221" s="48">
        <f t="shared" si="54"/>
        <v>4016.25</v>
      </c>
      <c r="AG221" s="48" t="str">
        <f t="shared" si="55"/>
        <v>3255-255</v>
      </c>
    </row>
    <row r="222" spans="1:33" ht="12.75">
      <c r="A222" s="102"/>
      <c r="B222" s="364"/>
      <c r="C222" s="365"/>
      <c r="D222" s="676" t="s">
        <v>121</v>
      </c>
      <c r="E222" s="677" t="s">
        <v>314</v>
      </c>
      <c r="F222" s="678" t="s">
        <v>592</v>
      </c>
      <c r="G222" s="679" t="s">
        <v>593</v>
      </c>
      <c r="H222" s="679" t="str">
        <f t="shared" si="42"/>
        <v>entree, gang, hal, repro, kopieer</v>
      </c>
      <c r="I222" s="689" t="s">
        <v>238</v>
      </c>
      <c r="J222" s="680">
        <v>13.39</v>
      </c>
      <c r="K222" s="680"/>
      <c r="L222" s="692">
        <v>3255</v>
      </c>
      <c r="M222" s="677"/>
      <c r="N222" s="682"/>
      <c r="O222" s="682"/>
      <c r="P222" s="682">
        <f t="shared" si="49"/>
        <v>255</v>
      </c>
      <c r="Q222" s="683">
        <v>1</v>
      </c>
      <c r="R222" s="684">
        <v>1</v>
      </c>
      <c r="S222" s="685">
        <f t="shared" si="50"/>
        <v>0</v>
      </c>
      <c r="T222" s="685">
        <f t="shared" si="51"/>
        <v>0</v>
      </c>
      <c r="U222" s="685">
        <f t="shared" si="52"/>
        <v>0</v>
      </c>
      <c r="V222" s="685">
        <f t="shared" si="53"/>
        <v>0</v>
      </c>
      <c r="W222" s="686">
        <f t="shared" si="43"/>
        <v>0</v>
      </c>
      <c r="X222" s="686">
        <f t="shared" si="44"/>
        <v>0</v>
      </c>
      <c r="Y222" s="686">
        <f t="shared" si="45"/>
        <v>0</v>
      </c>
      <c r="Z222" s="686">
        <f t="shared" si="46"/>
        <v>0</v>
      </c>
      <c r="AA222" s="685" t="str">
        <f t="shared" si="47"/>
        <v>V</v>
      </c>
      <c r="AB222" s="687"/>
      <c r="AC222" s="688" t="e">
        <f>(S222+T222+U222)*'1.0-Contractblad'!$K$68</f>
        <v>#VALUE!</v>
      </c>
      <c r="AD222" s="688"/>
      <c r="AE222" s="48">
        <f t="shared" si="48"/>
        <v>0</v>
      </c>
      <c r="AF222" s="48">
        <f t="shared" si="54"/>
        <v>3414.4500000000003</v>
      </c>
      <c r="AG222" s="48" t="str">
        <f t="shared" si="55"/>
        <v>3255-255</v>
      </c>
    </row>
    <row r="223" spans="1:33" ht="12.75">
      <c r="A223" s="102"/>
      <c r="B223" s="364"/>
      <c r="C223" s="365"/>
      <c r="D223" s="676" t="s">
        <v>121</v>
      </c>
      <c r="E223" s="677" t="s">
        <v>314</v>
      </c>
      <c r="F223" s="678" t="s">
        <v>594</v>
      </c>
      <c r="G223" s="679" t="s">
        <v>595</v>
      </c>
      <c r="H223" s="679" t="str">
        <f t="shared" si="42"/>
        <v>entree, gang, hal, repro, kopieer</v>
      </c>
      <c r="I223" s="689" t="s">
        <v>238</v>
      </c>
      <c r="J223" s="680">
        <v>14.4</v>
      </c>
      <c r="K223" s="680"/>
      <c r="L223" s="692">
        <v>3255</v>
      </c>
      <c r="M223" s="677"/>
      <c r="N223" s="682"/>
      <c r="O223" s="682"/>
      <c r="P223" s="682">
        <f t="shared" si="49"/>
        <v>255</v>
      </c>
      <c r="Q223" s="683">
        <v>1</v>
      </c>
      <c r="R223" s="684">
        <v>1</v>
      </c>
      <c r="S223" s="685">
        <f t="shared" si="50"/>
        <v>0</v>
      </c>
      <c r="T223" s="685">
        <f t="shared" si="51"/>
        <v>0</v>
      </c>
      <c r="U223" s="685">
        <f t="shared" si="52"/>
        <v>0</v>
      </c>
      <c r="V223" s="685">
        <f t="shared" si="53"/>
        <v>0</v>
      </c>
      <c r="W223" s="686">
        <f t="shared" si="43"/>
        <v>0</v>
      </c>
      <c r="X223" s="686">
        <f t="shared" si="44"/>
        <v>0</v>
      </c>
      <c r="Y223" s="686">
        <f t="shared" si="45"/>
        <v>0</v>
      </c>
      <c r="Z223" s="686">
        <f t="shared" si="46"/>
        <v>0</v>
      </c>
      <c r="AA223" s="685" t="str">
        <f t="shared" si="47"/>
        <v>V</v>
      </c>
      <c r="AB223" s="687"/>
      <c r="AC223" s="688" t="e">
        <f>(S223+T223+U223)*'1.0-Contractblad'!$K$68</f>
        <v>#VALUE!</v>
      </c>
      <c r="AD223" s="688"/>
      <c r="AE223" s="48">
        <f t="shared" si="48"/>
        <v>0</v>
      </c>
      <c r="AF223" s="48">
        <f t="shared" si="54"/>
        <v>3672</v>
      </c>
      <c r="AG223" s="48" t="str">
        <f t="shared" si="55"/>
        <v>3255-255</v>
      </c>
    </row>
    <row r="224" spans="1:33" ht="12.75">
      <c r="A224" s="102"/>
      <c r="B224" s="364"/>
      <c r="C224" s="365"/>
      <c r="D224" s="676" t="s">
        <v>121</v>
      </c>
      <c r="E224" s="677" t="s">
        <v>314</v>
      </c>
      <c r="F224" s="678" t="s">
        <v>596</v>
      </c>
      <c r="G224" s="679" t="s">
        <v>405</v>
      </c>
      <c r="H224" s="679" t="str">
        <f t="shared" si="42"/>
        <v>sanitaire ruimte (toilet-/doucheruimte)</v>
      </c>
      <c r="I224" s="689" t="s">
        <v>578</v>
      </c>
      <c r="J224" s="680">
        <v>2.5499999999999998</v>
      </c>
      <c r="K224" s="680"/>
      <c r="L224" s="692">
        <v>4255</v>
      </c>
      <c r="M224" s="677"/>
      <c r="N224" s="682"/>
      <c r="O224" s="682"/>
      <c r="P224" s="682">
        <f t="shared" si="49"/>
        <v>255</v>
      </c>
      <c r="Q224" s="683">
        <v>1</v>
      </c>
      <c r="R224" s="684">
        <v>1</v>
      </c>
      <c r="S224" s="685">
        <f t="shared" si="50"/>
        <v>0</v>
      </c>
      <c r="T224" s="685">
        <f t="shared" si="51"/>
        <v>0</v>
      </c>
      <c r="U224" s="685">
        <f t="shared" si="52"/>
        <v>0</v>
      </c>
      <c r="V224" s="685">
        <f t="shared" si="53"/>
        <v>0</v>
      </c>
      <c r="W224" s="686">
        <f t="shared" si="43"/>
        <v>0</v>
      </c>
      <c r="X224" s="686">
        <f t="shared" si="44"/>
        <v>0</v>
      </c>
      <c r="Y224" s="686">
        <f t="shared" si="45"/>
        <v>0</v>
      </c>
      <c r="Z224" s="686">
        <f t="shared" si="46"/>
        <v>0</v>
      </c>
      <c r="AA224" s="685" t="str">
        <f t="shared" si="47"/>
        <v>S</v>
      </c>
      <c r="AB224" s="687"/>
      <c r="AC224" s="688" t="e">
        <f>(S224+T224+U224)*'1.0-Contractblad'!$K$68</f>
        <v>#VALUE!</v>
      </c>
      <c r="AD224" s="688"/>
      <c r="AE224" s="48">
        <f t="shared" si="48"/>
        <v>0</v>
      </c>
      <c r="AF224" s="48">
        <f t="shared" si="54"/>
        <v>650.25</v>
      </c>
      <c r="AG224" s="48" t="str">
        <f t="shared" si="55"/>
        <v>4255-255</v>
      </c>
    </row>
    <row r="225" spans="1:33" ht="12.75">
      <c r="A225" s="102"/>
      <c r="B225" s="364"/>
      <c r="C225" s="365"/>
      <c r="D225" s="676" t="s">
        <v>121</v>
      </c>
      <c r="E225" s="677" t="s">
        <v>314</v>
      </c>
      <c r="F225" s="678" t="s">
        <v>597</v>
      </c>
      <c r="G225" s="676" t="s">
        <v>386</v>
      </c>
      <c r="H225" s="679" t="str">
        <f t="shared" si="42"/>
        <v>administratieve -, personeels- en vergaderruimte</v>
      </c>
      <c r="I225" s="689" t="s">
        <v>238</v>
      </c>
      <c r="J225" s="680">
        <v>69.510000000000005</v>
      </c>
      <c r="K225" s="680"/>
      <c r="L225" s="692">
        <v>1255</v>
      </c>
      <c r="M225" s="677"/>
      <c r="N225" s="682"/>
      <c r="O225" s="682"/>
      <c r="P225" s="682">
        <f t="shared" si="49"/>
        <v>255</v>
      </c>
      <c r="Q225" s="683">
        <v>1</v>
      </c>
      <c r="R225" s="684">
        <v>1</v>
      </c>
      <c r="S225" s="685">
        <f t="shared" si="50"/>
        <v>0</v>
      </c>
      <c r="T225" s="685">
        <f t="shared" si="51"/>
        <v>0</v>
      </c>
      <c r="U225" s="685">
        <f t="shared" si="52"/>
        <v>0</v>
      </c>
      <c r="V225" s="685">
        <f t="shared" si="53"/>
        <v>0</v>
      </c>
      <c r="W225" s="686">
        <f t="shared" ref="W225:W278" si="56">IF($L225=0,0,VLOOKUP($L225,Kengetal,6,FALSE))</f>
        <v>0</v>
      </c>
      <c r="X225" s="686">
        <f t="shared" ref="X225:X278" si="57">IF($L225=0,0,VLOOKUP($L225,Kengetal,8,FALSE))</f>
        <v>0</v>
      </c>
      <c r="Y225" s="686">
        <f t="shared" ref="Y225:Y278" si="58">IF($M225=0,0,VLOOKUP($M225,Kengetal,6,FALSE))</f>
        <v>0</v>
      </c>
      <c r="Z225" s="686">
        <f t="shared" ref="Z225:Z278" si="59">IF($N225=0,0,VLOOKUP($N225,Kengetal,6,FALSE))</f>
        <v>0</v>
      </c>
      <c r="AA225" s="685" t="str">
        <f t="shared" ref="AA225:AA278" si="60">IF(L225="","",VLOOKUP(L225,Kengetal,15,FALSE))</f>
        <v>B</v>
      </c>
      <c r="AB225" s="687"/>
      <c r="AC225" s="688" t="e">
        <f>(S225+T225+U225)*'1.0-Contractblad'!$K$68</f>
        <v>#VALUE!</v>
      </c>
      <c r="AD225" s="688"/>
      <c r="AE225" s="48">
        <f t="shared" ref="AE225:AE278" si="61">IF(L225=8255,S225+T225,0)</f>
        <v>0</v>
      </c>
      <c r="AF225" s="48">
        <f t="shared" si="54"/>
        <v>17725.050000000003</v>
      </c>
      <c r="AG225" s="48" t="str">
        <f t="shared" si="55"/>
        <v>1255-255</v>
      </c>
    </row>
    <row r="226" spans="1:33" ht="12.75">
      <c r="A226" s="102"/>
      <c r="B226" s="364"/>
      <c r="C226" s="365"/>
      <c r="D226" s="676" t="s">
        <v>121</v>
      </c>
      <c r="E226" s="677" t="s">
        <v>314</v>
      </c>
      <c r="F226" s="678" t="s">
        <v>598</v>
      </c>
      <c r="G226" s="679" t="s">
        <v>599</v>
      </c>
      <c r="H226" s="679" t="str">
        <f t="shared" si="42"/>
        <v>administratieve -, personeels- en vergaderruimte</v>
      </c>
      <c r="I226" s="689" t="s">
        <v>238</v>
      </c>
      <c r="J226" s="680">
        <v>19.260000000000002</v>
      </c>
      <c r="K226" s="680"/>
      <c r="L226" s="692">
        <v>1255</v>
      </c>
      <c r="M226" s="677"/>
      <c r="N226" s="682"/>
      <c r="O226" s="682"/>
      <c r="P226" s="682">
        <f t="shared" ref="P226:P279" si="62">VLOOKUP(L226,Kengetal,3,FALSE)+VLOOKUP(M226,Kengetal,3,FALSE)+VLOOKUP(N226,Kengetal,3,FALSE)</f>
        <v>255</v>
      </c>
      <c r="Q226" s="683">
        <v>1</v>
      </c>
      <c r="R226" s="684">
        <v>1</v>
      </c>
      <c r="S226" s="685">
        <f t="shared" ref="S226:S279" si="63">W226*J226*Q226</f>
        <v>0</v>
      </c>
      <c r="T226" s="685">
        <f t="shared" ref="T226:T279" si="64">X226*J226*R226</f>
        <v>0</v>
      </c>
      <c r="U226" s="685">
        <f t="shared" ref="U226:U279" si="65">Y226*J226*Q226</f>
        <v>0</v>
      </c>
      <c r="V226" s="685">
        <f t="shared" ref="V226:V279" si="66">Z226*J226*T226</f>
        <v>0</v>
      </c>
      <c r="W226" s="686">
        <f t="shared" si="56"/>
        <v>0</v>
      </c>
      <c r="X226" s="686">
        <f t="shared" si="57"/>
        <v>0</v>
      </c>
      <c r="Y226" s="686">
        <f t="shared" si="58"/>
        <v>0</v>
      </c>
      <c r="Z226" s="686">
        <f t="shared" si="59"/>
        <v>0</v>
      </c>
      <c r="AA226" s="685" t="str">
        <f t="shared" si="60"/>
        <v>B</v>
      </c>
      <c r="AB226" s="687"/>
      <c r="AC226" s="688" t="e">
        <f>(S226+T226+U226)*'1.0-Contractblad'!$K$68</f>
        <v>#VALUE!</v>
      </c>
      <c r="AD226" s="688"/>
      <c r="AE226" s="48">
        <f t="shared" si="61"/>
        <v>0</v>
      </c>
      <c r="AF226" s="48">
        <f t="shared" ref="AF226:AF279" si="67">J226*P226</f>
        <v>4911.3</v>
      </c>
      <c r="AG226" s="48" t="str">
        <f t="shared" ref="AG226:AG279" si="68">CONCATENATE(L226,"-",P226)</f>
        <v>1255-255</v>
      </c>
    </row>
    <row r="227" spans="1:33" ht="12.75">
      <c r="A227" s="102"/>
      <c r="B227" s="364"/>
      <c r="C227" s="365"/>
      <c r="D227" s="676" t="s">
        <v>121</v>
      </c>
      <c r="E227" s="677" t="s">
        <v>314</v>
      </c>
      <c r="F227" s="678" t="s">
        <v>600</v>
      </c>
      <c r="G227" s="679" t="s">
        <v>386</v>
      </c>
      <c r="H227" s="679" t="str">
        <f t="shared" si="42"/>
        <v>administratieve -, personeels- en vergaderruimte</v>
      </c>
      <c r="I227" s="689" t="s">
        <v>238</v>
      </c>
      <c r="J227" s="680">
        <v>19.239999999999998</v>
      </c>
      <c r="K227" s="680"/>
      <c r="L227" s="692">
        <v>1255</v>
      </c>
      <c r="M227" s="677"/>
      <c r="N227" s="682"/>
      <c r="O227" s="682"/>
      <c r="P227" s="682">
        <f t="shared" si="62"/>
        <v>255</v>
      </c>
      <c r="Q227" s="683">
        <v>1</v>
      </c>
      <c r="R227" s="684">
        <v>1</v>
      </c>
      <c r="S227" s="685">
        <f t="shared" si="63"/>
        <v>0</v>
      </c>
      <c r="T227" s="685">
        <f t="shared" si="64"/>
        <v>0</v>
      </c>
      <c r="U227" s="685">
        <f t="shared" si="65"/>
        <v>0</v>
      </c>
      <c r="V227" s="685">
        <f t="shared" si="66"/>
        <v>0</v>
      </c>
      <c r="W227" s="686">
        <f t="shared" si="56"/>
        <v>0</v>
      </c>
      <c r="X227" s="686">
        <f t="shared" si="57"/>
        <v>0</v>
      </c>
      <c r="Y227" s="686">
        <f t="shared" si="58"/>
        <v>0</v>
      </c>
      <c r="Z227" s="686">
        <f t="shared" si="59"/>
        <v>0</v>
      </c>
      <c r="AA227" s="685" t="str">
        <f t="shared" si="60"/>
        <v>B</v>
      </c>
      <c r="AB227" s="687"/>
      <c r="AC227" s="688" t="e">
        <f>(S227+T227+U227)*'1.0-Contractblad'!$K$68</f>
        <v>#VALUE!</v>
      </c>
      <c r="AD227" s="688"/>
      <c r="AE227" s="48">
        <f t="shared" si="61"/>
        <v>0</v>
      </c>
      <c r="AF227" s="48">
        <f t="shared" si="67"/>
        <v>4906.2</v>
      </c>
      <c r="AG227" s="48" t="str">
        <f t="shared" si="68"/>
        <v>1255-255</v>
      </c>
    </row>
    <row r="228" spans="1:33" ht="12.75">
      <c r="A228" s="102"/>
      <c r="B228" s="364"/>
      <c r="C228" s="365"/>
      <c r="D228" s="676" t="s">
        <v>121</v>
      </c>
      <c r="E228" s="677" t="s">
        <v>314</v>
      </c>
      <c r="F228" s="678" t="s">
        <v>601</v>
      </c>
      <c r="G228" s="679" t="s">
        <v>602</v>
      </c>
      <c r="H228" s="679" t="str">
        <f t="shared" si="42"/>
        <v>entree, gang, hal, repro, kopieer</v>
      </c>
      <c r="I228" s="689" t="s">
        <v>238</v>
      </c>
      <c r="J228" s="680">
        <v>22.8</v>
      </c>
      <c r="K228" s="680"/>
      <c r="L228" s="692">
        <v>3255</v>
      </c>
      <c r="M228" s="677"/>
      <c r="N228" s="682"/>
      <c r="O228" s="682"/>
      <c r="P228" s="682">
        <f t="shared" si="62"/>
        <v>255</v>
      </c>
      <c r="Q228" s="683">
        <v>1</v>
      </c>
      <c r="R228" s="684">
        <v>1</v>
      </c>
      <c r="S228" s="685">
        <f t="shared" si="63"/>
        <v>0</v>
      </c>
      <c r="T228" s="685">
        <f t="shared" si="64"/>
        <v>0</v>
      </c>
      <c r="U228" s="685">
        <f t="shared" si="65"/>
        <v>0</v>
      </c>
      <c r="V228" s="685">
        <f t="shared" si="66"/>
        <v>0</v>
      </c>
      <c r="W228" s="686">
        <f t="shared" si="56"/>
        <v>0</v>
      </c>
      <c r="X228" s="686">
        <f t="shared" si="57"/>
        <v>0</v>
      </c>
      <c r="Y228" s="686">
        <f t="shared" si="58"/>
        <v>0</v>
      </c>
      <c r="Z228" s="686">
        <f t="shared" si="59"/>
        <v>0</v>
      </c>
      <c r="AA228" s="685" t="str">
        <f t="shared" si="60"/>
        <v>V</v>
      </c>
      <c r="AB228" s="687"/>
      <c r="AC228" s="688" t="e">
        <f>(S228+T228+U228)*'1.0-Contractblad'!$K$68</f>
        <v>#VALUE!</v>
      </c>
      <c r="AD228" s="688"/>
      <c r="AE228" s="48">
        <f t="shared" si="61"/>
        <v>0</v>
      </c>
      <c r="AF228" s="48">
        <f t="shared" si="67"/>
        <v>5814</v>
      </c>
      <c r="AG228" s="48" t="str">
        <f t="shared" si="68"/>
        <v>3255-255</v>
      </c>
    </row>
    <row r="229" spans="1:33" ht="12.75">
      <c r="A229" s="102"/>
      <c r="B229" s="364"/>
      <c r="C229" s="365"/>
      <c r="D229" s="676" t="s">
        <v>121</v>
      </c>
      <c r="E229" s="677" t="s">
        <v>314</v>
      </c>
      <c r="F229" s="678" t="s">
        <v>603</v>
      </c>
      <c r="G229" s="679" t="s">
        <v>604</v>
      </c>
      <c r="H229" s="679" t="str">
        <f t="shared" si="42"/>
        <v>administratieve -, personeels- en vergaderruimte</v>
      </c>
      <c r="I229" s="689" t="s">
        <v>238</v>
      </c>
      <c r="J229" s="680">
        <v>19.7</v>
      </c>
      <c r="K229" s="680"/>
      <c r="L229" s="692">
        <v>1255</v>
      </c>
      <c r="M229" s="677"/>
      <c r="N229" s="682"/>
      <c r="O229" s="682"/>
      <c r="P229" s="682">
        <f t="shared" si="62"/>
        <v>255</v>
      </c>
      <c r="Q229" s="683">
        <v>1</v>
      </c>
      <c r="R229" s="684">
        <v>1</v>
      </c>
      <c r="S229" s="685">
        <f t="shared" si="63"/>
        <v>0</v>
      </c>
      <c r="T229" s="685">
        <f t="shared" si="64"/>
        <v>0</v>
      </c>
      <c r="U229" s="685">
        <f t="shared" si="65"/>
        <v>0</v>
      </c>
      <c r="V229" s="685">
        <f t="shared" si="66"/>
        <v>0</v>
      </c>
      <c r="W229" s="686">
        <f t="shared" si="56"/>
        <v>0</v>
      </c>
      <c r="X229" s="686">
        <f t="shared" si="57"/>
        <v>0</v>
      </c>
      <c r="Y229" s="686">
        <f t="shared" si="58"/>
        <v>0</v>
      </c>
      <c r="Z229" s="686">
        <f t="shared" si="59"/>
        <v>0</v>
      </c>
      <c r="AA229" s="685" t="str">
        <f t="shared" si="60"/>
        <v>B</v>
      </c>
      <c r="AB229" s="687"/>
      <c r="AC229" s="688" t="e">
        <f>(S229+T229+U229)*'1.0-Contractblad'!$K$68</f>
        <v>#VALUE!</v>
      </c>
      <c r="AD229" s="688"/>
      <c r="AE229" s="48">
        <f t="shared" si="61"/>
        <v>0</v>
      </c>
      <c r="AF229" s="48">
        <f t="shared" si="67"/>
        <v>5023.5</v>
      </c>
      <c r="AG229" s="48" t="str">
        <f t="shared" si="68"/>
        <v>1255-255</v>
      </c>
    </row>
    <row r="230" spans="1:33" ht="12.75">
      <c r="A230" s="102"/>
      <c r="B230" s="364"/>
      <c r="C230" s="365"/>
      <c r="D230" s="676" t="s">
        <v>121</v>
      </c>
      <c r="E230" s="677" t="s">
        <v>314</v>
      </c>
      <c r="F230" s="678" t="s">
        <v>605</v>
      </c>
      <c r="G230" s="679" t="s">
        <v>606</v>
      </c>
      <c r="H230" s="679" t="str">
        <f t="shared" si="42"/>
        <v>sanitaire ruimte (toilet-/doucheruimte)</v>
      </c>
      <c r="I230" s="689" t="s">
        <v>578</v>
      </c>
      <c r="J230" s="680">
        <v>5.7</v>
      </c>
      <c r="K230" s="680"/>
      <c r="L230" s="692">
        <v>4255</v>
      </c>
      <c r="M230" s="677"/>
      <c r="N230" s="682"/>
      <c r="O230" s="682"/>
      <c r="P230" s="682">
        <f t="shared" si="62"/>
        <v>255</v>
      </c>
      <c r="Q230" s="683">
        <v>1</v>
      </c>
      <c r="R230" s="684">
        <v>1</v>
      </c>
      <c r="S230" s="685">
        <f t="shared" si="63"/>
        <v>0</v>
      </c>
      <c r="T230" s="685">
        <f t="shared" si="64"/>
        <v>0</v>
      </c>
      <c r="U230" s="685">
        <f t="shared" si="65"/>
        <v>0</v>
      </c>
      <c r="V230" s="685">
        <f t="shared" si="66"/>
        <v>0</v>
      </c>
      <c r="W230" s="686">
        <f t="shared" si="56"/>
        <v>0</v>
      </c>
      <c r="X230" s="686">
        <f t="shared" si="57"/>
        <v>0</v>
      </c>
      <c r="Y230" s="686">
        <f t="shared" si="58"/>
        <v>0</v>
      </c>
      <c r="Z230" s="686">
        <f t="shared" si="59"/>
        <v>0</v>
      </c>
      <c r="AA230" s="685" t="str">
        <f t="shared" si="60"/>
        <v>S</v>
      </c>
      <c r="AB230" s="687"/>
      <c r="AC230" s="688" t="e">
        <f>(S230+T230+U230)*'1.0-Contractblad'!$K$68</f>
        <v>#VALUE!</v>
      </c>
      <c r="AD230" s="688"/>
      <c r="AE230" s="48">
        <f t="shared" si="61"/>
        <v>0</v>
      </c>
      <c r="AF230" s="48">
        <f t="shared" si="67"/>
        <v>1453.5</v>
      </c>
      <c r="AG230" s="48" t="str">
        <f t="shared" si="68"/>
        <v>4255-255</v>
      </c>
    </row>
    <row r="231" spans="1:33" ht="12.75">
      <c r="A231" s="102"/>
      <c r="B231" s="364"/>
      <c r="C231" s="365"/>
      <c r="D231" s="676" t="s">
        <v>121</v>
      </c>
      <c r="E231" s="677" t="s">
        <v>314</v>
      </c>
      <c r="F231" s="678" t="s">
        <v>607</v>
      </c>
      <c r="G231" s="679" t="s">
        <v>546</v>
      </c>
      <c r="H231" s="679" t="str">
        <f t="shared" si="42"/>
        <v>labruimte</v>
      </c>
      <c r="I231" s="689" t="s">
        <v>384</v>
      </c>
      <c r="J231" s="680">
        <v>22.77</v>
      </c>
      <c r="K231" s="680"/>
      <c r="L231" s="692">
        <v>8255</v>
      </c>
      <c r="M231" s="677"/>
      <c r="N231" s="682"/>
      <c r="O231" s="682"/>
      <c r="P231" s="682">
        <f t="shared" si="62"/>
        <v>255</v>
      </c>
      <c r="Q231" s="683">
        <v>1</v>
      </c>
      <c r="R231" s="684">
        <v>1</v>
      </c>
      <c r="S231" s="685">
        <f t="shared" si="63"/>
        <v>0</v>
      </c>
      <c r="T231" s="685">
        <f t="shared" si="64"/>
        <v>0</v>
      </c>
      <c r="U231" s="685">
        <f t="shared" si="65"/>
        <v>0</v>
      </c>
      <c r="V231" s="685">
        <f t="shared" si="66"/>
        <v>0</v>
      </c>
      <c r="W231" s="686">
        <f t="shared" si="56"/>
        <v>0</v>
      </c>
      <c r="X231" s="686">
        <f t="shared" si="57"/>
        <v>0</v>
      </c>
      <c r="Y231" s="686">
        <f t="shared" si="58"/>
        <v>0</v>
      </c>
      <c r="Z231" s="686">
        <f t="shared" si="59"/>
        <v>0</v>
      </c>
      <c r="AA231" s="685" t="str">
        <f t="shared" si="60"/>
        <v>V</v>
      </c>
      <c r="AB231" s="687"/>
      <c r="AC231" s="688" t="e">
        <f>(S231+T231+U231)*'1.0-Contractblad'!$K$68</f>
        <v>#VALUE!</v>
      </c>
      <c r="AD231" s="688"/>
      <c r="AE231" s="48">
        <f t="shared" si="61"/>
        <v>0</v>
      </c>
      <c r="AF231" s="48">
        <f t="shared" si="67"/>
        <v>5806.3499999999995</v>
      </c>
      <c r="AG231" s="48" t="str">
        <f t="shared" si="68"/>
        <v>8255-255</v>
      </c>
    </row>
    <row r="232" spans="1:33" ht="12.75">
      <c r="A232" s="102"/>
      <c r="B232" s="364"/>
      <c r="C232" s="365"/>
      <c r="D232" s="676" t="s">
        <v>121</v>
      </c>
      <c r="E232" s="677" t="s">
        <v>314</v>
      </c>
      <c r="F232" s="678" t="s">
        <v>608</v>
      </c>
      <c r="G232" s="679" t="s">
        <v>393</v>
      </c>
      <c r="H232" s="679" t="str">
        <f t="shared" si="42"/>
        <v>niet van toepassing</v>
      </c>
      <c r="I232" s="689" t="s">
        <v>384</v>
      </c>
      <c r="J232" s="680"/>
      <c r="K232" s="680"/>
      <c r="L232" s="692" t="s">
        <v>225</v>
      </c>
      <c r="M232" s="677"/>
      <c r="N232" s="682"/>
      <c r="O232" s="682"/>
      <c r="P232" s="682">
        <f t="shared" si="62"/>
        <v>0</v>
      </c>
      <c r="Q232" s="683">
        <v>1</v>
      </c>
      <c r="R232" s="684">
        <v>1</v>
      </c>
      <c r="S232" s="685">
        <f t="shared" si="63"/>
        <v>0</v>
      </c>
      <c r="T232" s="685">
        <f t="shared" si="64"/>
        <v>0</v>
      </c>
      <c r="U232" s="685">
        <f t="shared" si="65"/>
        <v>0</v>
      </c>
      <c r="V232" s="685">
        <f t="shared" si="66"/>
        <v>0</v>
      </c>
      <c r="W232" s="686">
        <f t="shared" si="56"/>
        <v>0</v>
      </c>
      <c r="X232" s="686">
        <f t="shared" si="57"/>
        <v>0</v>
      </c>
      <c r="Y232" s="686">
        <f t="shared" si="58"/>
        <v>0</v>
      </c>
      <c r="Z232" s="686">
        <f t="shared" si="59"/>
        <v>0</v>
      </c>
      <c r="AA232" s="685">
        <f t="shared" si="60"/>
        <v>0</v>
      </c>
      <c r="AB232" s="687"/>
      <c r="AC232" s="688" t="e">
        <f>(S232+T232+U232)*'1.0-Contractblad'!$K$68</f>
        <v>#VALUE!</v>
      </c>
      <c r="AD232" s="688"/>
      <c r="AE232" s="48">
        <f t="shared" si="61"/>
        <v>0</v>
      </c>
      <c r="AF232" s="48">
        <f t="shared" si="67"/>
        <v>0</v>
      </c>
      <c r="AG232" s="48" t="str">
        <f t="shared" si="68"/>
        <v>nvt-0</v>
      </c>
    </row>
    <row r="233" spans="1:33" ht="12.75">
      <c r="A233" s="102"/>
      <c r="B233" s="364"/>
      <c r="C233" s="365"/>
      <c r="D233" s="676" t="s">
        <v>121</v>
      </c>
      <c r="E233" s="677" t="s">
        <v>314</v>
      </c>
      <c r="F233" s="678" t="s">
        <v>609</v>
      </c>
      <c r="G233" s="679" t="s">
        <v>388</v>
      </c>
      <c r="H233" s="679" t="str">
        <f t="shared" si="42"/>
        <v>niet van toepassing</v>
      </c>
      <c r="I233" s="689" t="s">
        <v>384</v>
      </c>
      <c r="J233" s="680"/>
      <c r="K233" s="680">
        <v>22.77</v>
      </c>
      <c r="L233" s="692" t="s">
        <v>225</v>
      </c>
      <c r="M233" s="677"/>
      <c r="N233" s="682"/>
      <c r="O233" s="682"/>
      <c r="P233" s="682">
        <f t="shared" si="62"/>
        <v>0</v>
      </c>
      <c r="Q233" s="683">
        <v>1</v>
      </c>
      <c r="R233" s="684">
        <v>1</v>
      </c>
      <c r="S233" s="685">
        <f t="shared" si="63"/>
        <v>0</v>
      </c>
      <c r="T233" s="685">
        <f t="shared" si="64"/>
        <v>0</v>
      </c>
      <c r="U233" s="685">
        <f t="shared" si="65"/>
        <v>0</v>
      </c>
      <c r="V233" s="685">
        <f t="shared" si="66"/>
        <v>0</v>
      </c>
      <c r="W233" s="686">
        <f t="shared" si="56"/>
        <v>0</v>
      </c>
      <c r="X233" s="686">
        <f t="shared" si="57"/>
        <v>0</v>
      </c>
      <c r="Y233" s="686">
        <f t="shared" si="58"/>
        <v>0</v>
      </c>
      <c r="Z233" s="686">
        <f t="shared" si="59"/>
        <v>0</v>
      </c>
      <c r="AA233" s="685">
        <f t="shared" si="60"/>
        <v>0</v>
      </c>
      <c r="AB233" s="687"/>
      <c r="AC233" s="688" t="e">
        <f>(S233+T233+U233)*'1.0-Contractblad'!$K$68</f>
        <v>#VALUE!</v>
      </c>
      <c r="AD233" s="688"/>
      <c r="AE233" s="48">
        <f t="shared" si="61"/>
        <v>0</v>
      </c>
      <c r="AF233" s="48">
        <f t="shared" si="67"/>
        <v>0</v>
      </c>
      <c r="AG233" s="48" t="str">
        <f t="shared" si="68"/>
        <v>nvt-0</v>
      </c>
    </row>
    <row r="234" spans="1:33" ht="12.75">
      <c r="A234" s="102"/>
      <c r="B234" s="364"/>
      <c r="C234" s="365"/>
      <c r="D234" s="676" t="s">
        <v>121</v>
      </c>
      <c r="E234" s="677" t="s">
        <v>314</v>
      </c>
      <c r="F234" s="678" t="s">
        <v>610</v>
      </c>
      <c r="G234" s="679" t="s">
        <v>386</v>
      </c>
      <c r="H234" s="679" t="str">
        <f t="shared" ref="H234:H287" si="69">IF($L234="",0,VLOOKUP($L234,Kengetal,4,FALSE))</f>
        <v>administratieve -, personeels- en vergaderruimte</v>
      </c>
      <c r="I234" s="689" t="s">
        <v>238</v>
      </c>
      <c r="J234" s="680">
        <v>19.420000000000002</v>
      </c>
      <c r="K234" s="680"/>
      <c r="L234" s="692">
        <v>1255</v>
      </c>
      <c r="M234" s="677"/>
      <c r="N234" s="682"/>
      <c r="O234" s="682"/>
      <c r="P234" s="682">
        <f t="shared" si="62"/>
        <v>255</v>
      </c>
      <c r="Q234" s="683">
        <v>1</v>
      </c>
      <c r="R234" s="684">
        <v>1</v>
      </c>
      <c r="S234" s="685">
        <f t="shared" si="63"/>
        <v>0</v>
      </c>
      <c r="T234" s="685">
        <f t="shared" si="64"/>
        <v>0</v>
      </c>
      <c r="U234" s="685">
        <f t="shared" si="65"/>
        <v>0</v>
      </c>
      <c r="V234" s="685">
        <f t="shared" si="66"/>
        <v>0</v>
      </c>
      <c r="W234" s="686">
        <f t="shared" si="56"/>
        <v>0</v>
      </c>
      <c r="X234" s="686">
        <f t="shared" si="57"/>
        <v>0</v>
      </c>
      <c r="Y234" s="686">
        <f t="shared" si="58"/>
        <v>0</v>
      </c>
      <c r="Z234" s="686">
        <f t="shared" si="59"/>
        <v>0</v>
      </c>
      <c r="AA234" s="685" t="str">
        <f t="shared" si="60"/>
        <v>B</v>
      </c>
      <c r="AB234" s="687"/>
      <c r="AC234" s="688" t="e">
        <f>(S234+T234+U234)*'1.0-Contractblad'!$K$68</f>
        <v>#VALUE!</v>
      </c>
      <c r="AD234" s="688"/>
      <c r="AE234" s="48">
        <f t="shared" si="61"/>
        <v>0</v>
      </c>
      <c r="AF234" s="48">
        <f t="shared" si="67"/>
        <v>4952.1000000000004</v>
      </c>
      <c r="AG234" s="48" t="str">
        <f t="shared" si="68"/>
        <v>1255-255</v>
      </c>
    </row>
    <row r="235" spans="1:33" ht="12.75">
      <c r="A235" s="102"/>
      <c r="B235" s="364"/>
      <c r="C235" s="365"/>
      <c r="D235" s="676" t="s">
        <v>121</v>
      </c>
      <c r="E235" s="677" t="s">
        <v>314</v>
      </c>
      <c r="F235" s="678" t="s">
        <v>611</v>
      </c>
      <c r="G235" s="679" t="s">
        <v>328</v>
      </c>
      <c r="H235" s="679" t="str">
        <f t="shared" si="69"/>
        <v>pantry, keuken, koffiecorner</v>
      </c>
      <c r="I235" s="689" t="s">
        <v>238</v>
      </c>
      <c r="J235" s="680">
        <v>72.05</v>
      </c>
      <c r="K235" s="680"/>
      <c r="L235" s="692">
        <v>5255</v>
      </c>
      <c r="M235" s="677"/>
      <c r="N235" s="682"/>
      <c r="O235" s="682"/>
      <c r="P235" s="682">
        <f t="shared" si="62"/>
        <v>255</v>
      </c>
      <c r="Q235" s="683">
        <v>1</v>
      </c>
      <c r="R235" s="684">
        <v>1</v>
      </c>
      <c r="S235" s="685">
        <f t="shared" si="63"/>
        <v>0</v>
      </c>
      <c r="T235" s="685">
        <f t="shared" si="64"/>
        <v>0</v>
      </c>
      <c r="U235" s="685">
        <f t="shared" si="65"/>
        <v>0</v>
      </c>
      <c r="V235" s="685">
        <f t="shared" si="66"/>
        <v>0</v>
      </c>
      <c r="W235" s="686">
        <f t="shared" si="56"/>
        <v>0</v>
      </c>
      <c r="X235" s="686">
        <f t="shared" si="57"/>
        <v>0</v>
      </c>
      <c r="Y235" s="686">
        <f t="shared" si="58"/>
        <v>0</v>
      </c>
      <c r="Z235" s="686">
        <f t="shared" si="59"/>
        <v>0</v>
      </c>
      <c r="AA235" s="685" t="str">
        <f t="shared" si="60"/>
        <v>V</v>
      </c>
      <c r="AB235" s="687"/>
      <c r="AC235" s="688" t="e">
        <f>(S235+T235+U235)*'1.0-Contractblad'!$K$68</f>
        <v>#VALUE!</v>
      </c>
      <c r="AD235" s="688"/>
      <c r="AE235" s="48">
        <f t="shared" si="61"/>
        <v>0</v>
      </c>
      <c r="AF235" s="48">
        <f t="shared" si="67"/>
        <v>18372.75</v>
      </c>
      <c r="AG235" s="48" t="str">
        <f t="shared" si="68"/>
        <v>5255-255</v>
      </c>
    </row>
    <row r="236" spans="1:33" ht="12.75">
      <c r="A236" s="102"/>
      <c r="B236" s="364"/>
      <c r="C236" s="365"/>
      <c r="D236" s="676" t="s">
        <v>121</v>
      </c>
      <c r="E236" s="677" t="s">
        <v>314</v>
      </c>
      <c r="F236" s="678" t="s">
        <v>612</v>
      </c>
      <c r="G236" s="679" t="s">
        <v>333</v>
      </c>
      <c r="H236" s="679" t="str">
        <f t="shared" si="69"/>
        <v>administratieve -, personeels- en vergaderruimte</v>
      </c>
      <c r="I236" s="689" t="s">
        <v>238</v>
      </c>
      <c r="J236" s="680">
        <v>19.62</v>
      </c>
      <c r="K236" s="680"/>
      <c r="L236" s="692">
        <v>1255</v>
      </c>
      <c r="M236" s="677"/>
      <c r="N236" s="682"/>
      <c r="O236" s="682"/>
      <c r="P236" s="682">
        <f t="shared" si="62"/>
        <v>255</v>
      </c>
      <c r="Q236" s="683">
        <v>1</v>
      </c>
      <c r="R236" s="684">
        <v>1</v>
      </c>
      <c r="S236" s="685">
        <f t="shared" si="63"/>
        <v>0</v>
      </c>
      <c r="T236" s="685">
        <f t="shared" si="64"/>
        <v>0</v>
      </c>
      <c r="U236" s="685">
        <f t="shared" si="65"/>
        <v>0</v>
      </c>
      <c r="V236" s="685">
        <f t="shared" si="66"/>
        <v>0</v>
      </c>
      <c r="W236" s="686">
        <f t="shared" si="56"/>
        <v>0</v>
      </c>
      <c r="X236" s="686">
        <f t="shared" si="57"/>
        <v>0</v>
      </c>
      <c r="Y236" s="686">
        <f t="shared" si="58"/>
        <v>0</v>
      </c>
      <c r="Z236" s="686">
        <f t="shared" si="59"/>
        <v>0</v>
      </c>
      <c r="AA236" s="685" t="str">
        <f t="shared" si="60"/>
        <v>B</v>
      </c>
      <c r="AB236" s="687"/>
      <c r="AC236" s="688" t="e">
        <f>(S236+T236+U236)*'1.0-Contractblad'!$K$68</f>
        <v>#VALUE!</v>
      </c>
      <c r="AD236" s="688"/>
      <c r="AE236" s="48">
        <f t="shared" si="61"/>
        <v>0</v>
      </c>
      <c r="AF236" s="48">
        <f t="shared" si="67"/>
        <v>5003.1000000000004</v>
      </c>
      <c r="AG236" s="48" t="str">
        <f t="shared" si="68"/>
        <v>1255-255</v>
      </c>
    </row>
    <row r="237" spans="1:33" ht="12.75">
      <c r="A237" s="102"/>
      <c r="B237" s="364"/>
      <c r="C237" s="365"/>
      <c r="D237" s="676" t="s">
        <v>121</v>
      </c>
      <c r="E237" s="677" t="s">
        <v>314</v>
      </c>
      <c r="F237" s="678" t="s">
        <v>613</v>
      </c>
      <c r="G237" s="679" t="s">
        <v>614</v>
      </c>
      <c r="H237" s="679" t="str">
        <f t="shared" si="69"/>
        <v>sanitaire ruimte (toilet-/doucheruimte)</v>
      </c>
      <c r="I237" s="689" t="s">
        <v>578</v>
      </c>
      <c r="J237" s="680">
        <v>7</v>
      </c>
      <c r="K237" s="680"/>
      <c r="L237" s="692">
        <v>4255</v>
      </c>
      <c r="M237" s="677"/>
      <c r="N237" s="682"/>
      <c r="O237" s="682"/>
      <c r="P237" s="682">
        <f t="shared" si="62"/>
        <v>255</v>
      </c>
      <c r="Q237" s="683">
        <v>1</v>
      </c>
      <c r="R237" s="684">
        <v>1</v>
      </c>
      <c r="S237" s="685">
        <f t="shared" si="63"/>
        <v>0</v>
      </c>
      <c r="T237" s="685">
        <f t="shared" si="64"/>
        <v>0</v>
      </c>
      <c r="U237" s="685">
        <f t="shared" si="65"/>
        <v>0</v>
      </c>
      <c r="V237" s="685">
        <f t="shared" si="66"/>
        <v>0</v>
      </c>
      <c r="W237" s="686">
        <f t="shared" si="56"/>
        <v>0</v>
      </c>
      <c r="X237" s="686">
        <f t="shared" si="57"/>
        <v>0</v>
      </c>
      <c r="Y237" s="686">
        <f t="shared" si="58"/>
        <v>0</v>
      </c>
      <c r="Z237" s="686">
        <f t="shared" si="59"/>
        <v>0</v>
      </c>
      <c r="AA237" s="685" t="str">
        <f t="shared" si="60"/>
        <v>S</v>
      </c>
      <c r="AB237" s="687"/>
      <c r="AC237" s="688" t="e">
        <f>(S237+T237+U237)*'1.0-Contractblad'!$K$68</f>
        <v>#VALUE!</v>
      </c>
      <c r="AD237" s="688"/>
      <c r="AE237" s="48">
        <f t="shared" si="61"/>
        <v>0</v>
      </c>
      <c r="AF237" s="48">
        <f t="shared" si="67"/>
        <v>1785</v>
      </c>
      <c r="AG237" s="48" t="str">
        <f t="shared" si="68"/>
        <v>4255-255</v>
      </c>
    </row>
    <row r="238" spans="1:33" ht="12.75">
      <c r="A238" s="102"/>
      <c r="B238" s="364"/>
      <c r="C238" s="365"/>
      <c r="D238" s="676" t="s">
        <v>124</v>
      </c>
      <c r="E238" s="677" t="s">
        <v>314</v>
      </c>
      <c r="F238" s="678" t="s">
        <v>315</v>
      </c>
      <c r="G238" s="679" t="s">
        <v>392</v>
      </c>
      <c r="H238" s="679" t="str">
        <f t="shared" si="69"/>
        <v>niet van toepassing</v>
      </c>
      <c r="I238" s="689" t="s">
        <v>240</v>
      </c>
      <c r="J238" s="680"/>
      <c r="K238" s="680"/>
      <c r="L238" s="681" t="s">
        <v>225</v>
      </c>
      <c r="M238" s="677"/>
      <c r="N238" s="682"/>
      <c r="O238" s="682"/>
      <c r="P238" s="682">
        <f t="shared" si="62"/>
        <v>0</v>
      </c>
      <c r="Q238" s="683">
        <v>1</v>
      </c>
      <c r="R238" s="684">
        <v>1</v>
      </c>
      <c r="S238" s="685">
        <f t="shared" si="63"/>
        <v>0</v>
      </c>
      <c r="T238" s="685">
        <f t="shared" si="64"/>
        <v>0</v>
      </c>
      <c r="U238" s="685">
        <f t="shared" si="65"/>
        <v>0</v>
      </c>
      <c r="V238" s="685">
        <f t="shared" si="66"/>
        <v>0</v>
      </c>
      <c r="W238" s="686">
        <f t="shared" si="56"/>
        <v>0</v>
      </c>
      <c r="X238" s="686">
        <f t="shared" si="57"/>
        <v>0</v>
      </c>
      <c r="Y238" s="686">
        <f t="shared" si="58"/>
        <v>0</v>
      </c>
      <c r="Z238" s="686">
        <f t="shared" si="59"/>
        <v>0</v>
      </c>
      <c r="AA238" s="685">
        <f t="shared" si="60"/>
        <v>0</v>
      </c>
      <c r="AB238" s="687"/>
      <c r="AC238" s="688" t="e">
        <f>(S238+T238+U238)*'1.0-Contractblad'!$K$68</f>
        <v>#VALUE!</v>
      </c>
      <c r="AD238" s="688"/>
      <c r="AE238" s="48">
        <f t="shared" si="61"/>
        <v>0</v>
      </c>
      <c r="AF238" s="48">
        <f t="shared" si="67"/>
        <v>0</v>
      </c>
      <c r="AG238" s="48" t="str">
        <f t="shared" si="68"/>
        <v>nvt-0</v>
      </c>
    </row>
    <row r="239" spans="1:33" ht="12.75">
      <c r="A239" s="102"/>
      <c r="B239" s="364"/>
      <c r="C239" s="365"/>
      <c r="D239" s="676" t="s">
        <v>124</v>
      </c>
      <c r="E239" s="677" t="s">
        <v>314</v>
      </c>
      <c r="F239" s="678" t="s">
        <v>317</v>
      </c>
      <c r="G239" s="679" t="s">
        <v>615</v>
      </c>
      <c r="H239" s="679" t="str">
        <f t="shared" si="69"/>
        <v>niet van toepassing</v>
      </c>
      <c r="I239" s="689" t="s">
        <v>240</v>
      </c>
      <c r="J239" s="680"/>
      <c r="K239" s="680"/>
      <c r="L239" s="681" t="s">
        <v>225</v>
      </c>
      <c r="M239" s="677"/>
      <c r="N239" s="682"/>
      <c r="O239" s="682"/>
      <c r="P239" s="682">
        <f t="shared" si="62"/>
        <v>0</v>
      </c>
      <c r="Q239" s="683">
        <v>1</v>
      </c>
      <c r="R239" s="684">
        <v>1</v>
      </c>
      <c r="S239" s="685">
        <f t="shared" si="63"/>
        <v>0</v>
      </c>
      <c r="T239" s="685">
        <f t="shared" si="64"/>
        <v>0</v>
      </c>
      <c r="U239" s="685">
        <f t="shared" si="65"/>
        <v>0</v>
      </c>
      <c r="V239" s="685">
        <f t="shared" si="66"/>
        <v>0</v>
      </c>
      <c r="W239" s="686">
        <f t="shared" si="56"/>
        <v>0</v>
      </c>
      <c r="X239" s="686">
        <f t="shared" si="57"/>
        <v>0</v>
      </c>
      <c r="Y239" s="686">
        <f t="shared" si="58"/>
        <v>0</v>
      </c>
      <c r="Z239" s="686">
        <f t="shared" si="59"/>
        <v>0</v>
      </c>
      <c r="AA239" s="685">
        <f t="shared" si="60"/>
        <v>0</v>
      </c>
      <c r="AB239" s="687"/>
      <c r="AC239" s="688" t="e">
        <f>(S239+T239+U239)*'1.0-Contractblad'!$K$68</f>
        <v>#VALUE!</v>
      </c>
      <c r="AD239" s="688"/>
      <c r="AE239" s="48">
        <f t="shared" si="61"/>
        <v>0</v>
      </c>
      <c r="AF239" s="48">
        <f t="shared" si="67"/>
        <v>0</v>
      </c>
      <c r="AG239" s="48" t="str">
        <f t="shared" si="68"/>
        <v>nvt-0</v>
      </c>
    </row>
    <row r="240" spans="1:33" ht="12.75">
      <c r="A240" s="102"/>
      <c r="B240" s="364"/>
      <c r="C240" s="365"/>
      <c r="D240" s="676" t="s">
        <v>124</v>
      </c>
      <c r="E240" s="677" t="s">
        <v>314</v>
      </c>
      <c r="F240" s="678" t="s">
        <v>320</v>
      </c>
      <c r="G240" s="679" t="s">
        <v>405</v>
      </c>
      <c r="H240" s="679" t="str">
        <f t="shared" si="69"/>
        <v>sanitaire ruimte (toilet-/doucheruimte)</v>
      </c>
      <c r="I240" s="689" t="s">
        <v>234</v>
      </c>
      <c r="J240" s="680">
        <v>1.1299999999999999</v>
      </c>
      <c r="K240" s="680"/>
      <c r="L240" s="681">
        <v>4052</v>
      </c>
      <c r="M240" s="677"/>
      <c r="N240" s="682"/>
      <c r="O240" s="682"/>
      <c r="P240" s="682">
        <f t="shared" si="62"/>
        <v>52</v>
      </c>
      <c r="Q240" s="683">
        <v>1</v>
      </c>
      <c r="R240" s="684">
        <v>1</v>
      </c>
      <c r="S240" s="685">
        <f t="shared" si="63"/>
        <v>0</v>
      </c>
      <c r="T240" s="685">
        <f t="shared" si="64"/>
        <v>0</v>
      </c>
      <c r="U240" s="685">
        <f t="shared" si="65"/>
        <v>0</v>
      </c>
      <c r="V240" s="685">
        <f t="shared" si="66"/>
        <v>0</v>
      </c>
      <c r="W240" s="686">
        <f t="shared" si="56"/>
        <v>0</v>
      </c>
      <c r="X240" s="686">
        <f t="shared" si="57"/>
        <v>0</v>
      </c>
      <c r="Y240" s="686">
        <f t="shared" si="58"/>
        <v>0</v>
      </c>
      <c r="Z240" s="686">
        <f t="shared" si="59"/>
        <v>0</v>
      </c>
      <c r="AA240" s="685" t="str">
        <f t="shared" si="60"/>
        <v>S</v>
      </c>
      <c r="AB240" s="687" t="s">
        <v>444</v>
      </c>
      <c r="AC240" s="688" t="e">
        <f>(S240+T240+U240)*'1.0-Contractblad'!$K$68</f>
        <v>#VALUE!</v>
      </c>
      <c r="AD240" s="688"/>
      <c r="AE240" s="48">
        <f t="shared" si="61"/>
        <v>0</v>
      </c>
      <c r="AF240" s="48">
        <f t="shared" si="67"/>
        <v>58.759999999999991</v>
      </c>
      <c r="AG240" s="48" t="str">
        <f t="shared" si="68"/>
        <v>4052-52</v>
      </c>
    </row>
    <row r="241" spans="1:33" ht="12.75">
      <c r="A241" s="102"/>
      <c r="B241" s="364"/>
      <c r="C241" s="365"/>
      <c r="D241" s="676" t="s">
        <v>124</v>
      </c>
      <c r="E241" s="677" t="s">
        <v>314</v>
      </c>
      <c r="F241" s="678" t="s">
        <v>323</v>
      </c>
      <c r="G241" s="679" t="s">
        <v>616</v>
      </c>
      <c r="H241" s="679" t="str">
        <f t="shared" si="69"/>
        <v>pantry, keuken, koffiecorner</v>
      </c>
      <c r="I241" s="689" t="s">
        <v>234</v>
      </c>
      <c r="J241" s="680">
        <v>5.36</v>
      </c>
      <c r="K241" s="680"/>
      <c r="L241" s="681">
        <v>5052</v>
      </c>
      <c r="M241" s="677"/>
      <c r="N241" s="682"/>
      <c r="O241" s="682"/>
      <c r="P241" s="682">
        <f t="shared" si="62"/>
        <v>52</v>
      </c>
      <c r="Q241" s="683">
        <v>1</v>
      </c>
      <c r="R241" s="684">
        <v>1</v>
      </c>
      <c r="S241" s="685">
        <f t="shared" si="63"/>
        <v>0</v>
      </c>
      <c r="T241" s="685">
        <f t="shared" si="64"/>
        <v>0</v>
      </c>
      <c r="U241" s="685">
        <f t="shared" si="65"/>
        <v>0</v>
      </c>
      <c r="V241" s="685">
        <f t="shared" si="66"/>
        <v>0</v>
      </c>
      <c r="W241" s="686">
        <f t="shared" si="56"/>
        <v>0</v>
      </c>
      <c r="X241" s="686">
        <f t="shared" si="57"/>
        <v>0</v>
      </c>
      <c r="Y241" s="686">
        <f t="shared" si="58"/>
        <v>0</v>
      </c>
      <c r="Z241" s="686">
        <f t="shared" si="59"/>
        <v>0</v>
      </c>
      <c r="AA241" s="685" t="str">
        <f t="shared" si="60"/>
        <v>V</v>
      </c>
      <c r="AB241" s="687" t="s">
        <v>444</v>
      </c>
      <c r="AC241" s="688" t="e">
        <f>(S241+T241+U241)*'1.0-Contractblad'!$K$68</f>
        <v>#VALUE!</v>
      </c>
      <c r="AD241" s="688"/>
      <c r="AE241" s="48">
        <f t="shared" si="61"/>
        <v>0</v>
      </c>
      <c r="AF241" s="48">
        <f t="shared" si="67"/>
        <v>278.72000000000003</v>
      </c>
      <c r="AG241" s="48" t="str">
        <f t="shared" si="68"/>
        <v>5052-52</v>
      </c>
    </row>
    <row r="242" spans="1:33" ht="12.75">
      <c r="A242" s="102"/>
      <c r="B242" s="364"/>
      <c r="C242" s="365"/>
      <c r="D242" s="676" t="s">
        <v>124</v>
      </c>
      <c r="E242" s="677" t="s">
        <v>314</v>
      </c>
      <c r="F242" s="678" t="s">
        <v>325</v>
      </c>
      <c r="G242" s="679" t="s">
        <v>413</v>
      </c>
      <c r="H242" s="679" t="str">
        <f t="shared" si="69"/>
        <v>entree, gang, hal, repro, kopieer</v>
      </c>
      <c r="I242" s="689" t="s">
        <v>234</v>
      </c>
      <c r="J242" s="680">
        <v>4.3499999999999996</v>
      </c>
      <c r="K242" s="680"/>
      <c r="L242" s="681">
        <v>3052</v>
      </c>
      <c r="M242" s="677"/>
      <c r="N242" s="682"/>
      <c r="O242" s="682"/>
      <c r="P242" s="682">
        <f t="shared" si="62"/>
        <v>52</v>
      </c>
      <c r="Q242" s="683">
        <v>1</v>
      </c>
      <c r="R242" s="684">
        <v>1</v>
      </c>
      <c r="S242" s="685">
        <f t="shared" si="63"/>
        <v>0</v>
      </c>
      <c r="T242" s="685">
        <f t="shared" si="64"/>
        <v>0</v>
      </c>
      <c r="U242" s="685">
        <f t="shared" si="65"/>
        <v>0</v>
      </c>
      <c r="V242" s="685">
        <f t="shared" si="66"/>
        <v>0</v>
      </c>
      <c r="W242" s="686">
        <f t="shared" si="56"/>
        <v>0</v>
      </c>
      <c r="X242" s="686">
        <f t="shared" si="57"/>
        <v>0</v>
      </c>
      <c r="Y242" s="686">
        <f t="shared" si="58"/>
        <v>0</v>
      </c>
      <c r="Z242" s="686">
        <f t="shared" si="59"/>
        <v>0</v>
      </c>
      <c r="AA242" s="685" t="str">
        <f t="shared" si="60"/>
        <v>V</v>
      </c>
      <c r="AB242" s="687" t="s">
        <v>444</v>
      </c>
      <c r="AC242" s="688" t="e">
        <f>(S242+T242+U242)*'1.0-Contractblad'!$K$68</f>
        <v>#VALUE!</v>
      </c>
      <c r="AD242" s="688"/>
      <c r="AE242" s="48">
        <f t="shared" si="61"/>
        <v>0</v>
      </c>
      <c r="AF242" s="48">
        <f t="shared" si="67"/>
        <v>226.2</v>
      </c>
      <c r="AG242" s="48" t="str">
        <f t="shared" si="68"/>
        <v>3052-52</v>
      </c>
    </row>
    <row r="243" spans="1:33" ht="12.75">
      <c r="A243" s="102"/>
      <c r="B243" s="364"/>
      <c r="C243" s="365"/>
      <c r="D243" s="676" t="s">
        <v>124</v>
      </c>
      <c r="E243" s="677" t="s">
        <v>314</v>
      </c>
      <c r="F243" s="678" t="s">
        <v>327</v>
      </c>
      <c r="G243" s="679" t="s">
        <v>386</v>
      </c>
      <c r="H243" s="679" t="str">
        <f t="shared" si="69"/>
        <v>administratieve -, personeels- en vergaderruimte</v>
      </c>
      <c r="I243" s="689" t="s">
        <v>242</v>
      </c>
      <c r="J243" s="680">
        <v>29.81</v>
      </c>
      <c r="K243" s="680"/>
      <c r="L243" s="681">
        <v>1052</v>
      </c>
      <c r="M243" s="677"/>
      <c r="N243" s="682"/>
      <c r="O243" s="682"/>
      <c r="P243" s="682">
        <f t="shared" si="62"/>
        <v>52</v>
      </c>
      <c r="Q243" s="683">
        <v>1</v>
      </c>
      <c r="R243" s="684">
        <v>1</v>
      </c>
      <c r="S243" s="685">
        <f t="shared" si="63"/>
        <v>0</v>
      </c>
      <c r="T243" s="685">
        <f t="shared" si="64"/>
        <v>0</v>
      </c>
      <c r="U243" s="685">
        <f t="shared" si="65"/>
        <v>0</v>
      </c>
      <c r="V243" s="685">
        <f t="shared" si="66"/>
        <v>0</v>
      </c>
      <c r="W243" s="686">
        <f t="shared" si="56"/>
        <v>0</v>
      </c>
      <c r="X243" s="686">
        <f t="shared" si="57"/>
        <v>0</v>
      </c>
      <c r="Y243" s="686">
        <f t="shared" si="58"/>
        <v>0</v>
      </c>
      <c r="Z243" s="686">
        <f t="shared" si="59"/>
        <v>0</v>
      </c>
      <c r="AA243" s="685" t="str">
        <f t="shared" si="60"/>
        <v>B</v>
      </c>
      <c r="AB243" s="687" t="s">
        <v>444</v>
      </c>
      <c r="AC243" s="688" t="e">
        <f>(S243+T243+U243)*'1.0-Contractblad'!$K$68</f>
        <v>#VALUE!</v>
      </c>
      <c r="AD243" s="688"/>
      <c r="AE243" s="48">
        <f t="shared" si="61"/>
        <v>0</v>
      </c>
      <c r="AF243" s="48">
        <f t="shared" si="67"/>
        <v>1550.12</v>
      </c>
      <c r="AG243" s="48" t="str">
        <f t="shared" si="68"/>
        <v>1052-52</v>
      </c>
    </row>
    <row r="244" spans="1:33" ht="12.75">
      <c r="A244" s="102"/>
      <c r="B244" s="364"/>
      <c r="C244" s="365"/>
      <c r="D244" s="676" t="s">
        <v>124</v>
      </c>
      <c r="E244" s="677" t="s">
        <v>314</v>
      </c>
      <c r="F244" s="678" t="s">
        <v>330</v>
      </c>
      <c r="G244" s="679" t="s">
        <v>386</v>
      </c>
      <c r="H244" s="679" t="str">
        <f t="shared" si="69"/>
        <v>administratieve -, personeels- en vergaderruimte</v>
      </c>
      <c r="I244" s="689" t="s">
        <v>384</v>
      </c>
      <c r="J244" s="680">
        <v>10</v>
      </c>
      <c r="K244" s="680"/>
      <c r="L244" s="681">
        <v>1052</v>
      </c>
      <c r="M244" s="677"/>
      <c r="N244" s="682"/>
      <c r="O244" s="682"/>
      <c r="P244" s="682">
        <f t="shared" si="62"/>
        <v>52</v>
      </c>
      <c r="Q244" s="683">
        <v>1</v>
      </c>
      <c r="R244" s="684">
        <v>1</v>
      </c>
      <c r="S244" s="685">
        <f t="shared" si="63"/>
        <v>0</v>
      </c>
      <c r="T244" s="685">
        <f t="shared" si="64"/>
        <v>0</v>
      </c>
      <c r="U244" s="685">
        <f t="shared" si="65"/>
        <v>0</v>
      </c>
      <c r="V244" s="685">
        <f t="shared" si="66"/>
        <v>0</v>
      </c>
      <c r="W244" s="686">
        <f t="shared" si="56"/>
        <v>0</v>
      </c>
      <c r="X244" s="686">
        <f t="shared" si="57"/>
        <v>0</v>
      </c>
      <c r="Y244" s="686">
        <f t="shared" si="58"/>
        <v>0</v>
      </c>
      <c r="Z244" s="686">
        <f t="shared" si="59"/>
        <v>0</v>
      </c>
      <c r="AA244" s="685" t="str">
        <f t="shared" si="60"/>
        <v>B</v>
      </c>
      <c r="AB244" s="687" t="s">
        <v>444</v>
      </c>
      <c r="AC244" s="688" t="e">
        <f>(S244+T244+U244)*'1.0-Contractblad'!$K$68</f>
        <v>#VALUE!</v>
      </c>
      <c r="AD244" s="688"/>
      <c r="AE244" s="48">
        <f t="shared" si="61"/>
        <v>0</v>
      </c>
      <c r="AF244" s="48">
        <f t="shared" si="67"/>
        <v>520</v>
      </c>
      <c r="AG244" s="48" t="str">
        <f t="shared" si="68"/>
        <v>1052-52</v>
      </c>
    </row>
    <row r="245" spans="1:33" ht="12.75">
      <c r="A245" s="102"/>
      <c r="B245" s="364"/>
      <c r="C245" s="365"/>
      <c r="D245" s="676" t="s">
        <v>124</v>
      </c>
      <c r="E245" s="677" t="s">
        <v>314</v>
      </c>
      <c r="F245" s="678" t="s">
        <v>332</v>
      </c>
      <c r="G245" s="679" t="s">
        <v>617</v>
      </c>
      <c r="H245" s="679" t="str">
        <f t="shared" si="69"/>
        <v>sanitaire ruimte (toilet-/doucheruimte)</v>
      </c>
      <c r="I245" s="689" t="s">
        <v>234</v>
      </c>
      <c r="J245" s="680">
        <v>1.87</v>
      </c>
      <c r="K245" s="680"/>
      <c r="L245" s="681">
        <v>4052</v>
      </c>
      <c r="M245" s="677"/>
      <c r="N245" s="682"/>
      <c r="O245" s="682"/>
      <c r="P245" s="682">
        <f t="shared" si="62"/>
        <v>52</v>
      </c>
      <c r="Q245" s="683">
        <v>1</v>
      </c>
      <c r="R245" s="684">
        <v>1</v>
      </c>
      <c r="S245" s="685">
        <f t="shared" si="63"/>
        <v>0</v>
      </c>
      <c r="T245" s="685">
        <f t="shared" si="64"/>
        <v>0</v>
      </c>
      <c r="U245" s="685">
        <f t="shared" si="65"/>
        <v>0</v>
      </c>
      <c r="V245" s="685">
        <f t="shared" si="66"/>
        <v>0</v>
      </c>
      <c r="W245" s="686">
        <f t="shared" si="56"/>
        <v>0</v>
      </c>
      <c r="X245" s="686">
        <f t="shared" si="57"/>
        <v>0</v>
      </c>
      <c r="Y245" s="686">
        <f t="shared" si="58"/>
        <v>0</v>
      </c>
      <c r="Z245" s="686">
        <f t="shared" si="59"/>
        <v>0</v>
      </c>
      <c r="AA245" s="685" t="str">
        <f t="shared" si="60"/>
        <v>S</v>
      </c>
      <c r="AB245" s="687" t="s">
        <v>444</v>
      </c>
      <c r="AC245" s="688" t="e">
        <f>(S245+T245+U245)*'1.0-Contractblad'!$K$68</f>
        <v>#VALUE!</v>
      </c>
      <c r="AD245" s="688"/>
      <c r="AE245" s="48">
        <f t="shared" si="61"/>
        <v>0</v>
      </c>
      <c r="AF245" s="48">
        <f t="shared" si="67"/>
        <v>97.240000000000009</v>
      </c>
      <c r="AG245" s="48" t="str">
        <f t="shared" si="68"/>
        <v>4052-52</v>
      </c>
    </row>
    <row r="246" spans="1:33" ht="12.75">
      <c r="A246" s="102"/>
      <c r="B246" s="364"/>
      <c r="C246" s="365"/>
      <c r="D246" s="676" t="s">
        <v>124</v>
      </c>
      <c r="E246" s="677" t="s">
        <v>314</v>
      </c>
      <c r="F246" s="678" t="s">
        <v>334</v>
      </c>
      <c r="G246" s="679" t="s">
        <v>405</v>
      </c>
      <c r="H246" s="679" t="str">
        <f t="shared" si="69"/>
        <v>sanitaire ruimte (toilet-/doucheruimte)</v>
      </c>
      <c r="I246" s="689" t="s">
        <v>234</v>
      </c>
      <c r="J246" s="680">
        <v>1.91</v>
      </c>
      <c r="K246" s="680"/>
      <c r="L246" s="681">
        <v>4052</v>
      </c>
      <c r="M246" s="677"/>
      <c r="N246" s="682"/>
      <c r="O246" s="682"/>
      <c r="P246" s="682">
        <f t="shared" si="62"/>
        <v>52</v>
      </c>
      <c r="Q246" s="683">
        <v>1</v>
      </c>
      <c r="R246" s="684">
        <v>1</v>
      </c>
      <c r="S246" s="685">
        <f t="shared" si="63"/>
        <v>0</v>
      </c>
      <c r="T246" s="685">
        <f t="shared" si="64"/>
        <v>0</v>
      </c>
      <c r="U246" s="685">
        <f t="shared" si="65"/>
        <v>0</v>
      </c>
      <c r="V246" s="685">
        <f t="shared" si="66"/>
        <v>0</v>
      </c>
      <c r="W246" s="686">
        <f t="shared" si="56"/>
        <v>0</v>
      </c>
      <c r="X246" s="686">
        <f t="shared" si="57"/>
        <v>0</v>
      </c>
      <c r="Y246" s="686">
        <f t="shared" si="58"/>
        <v>0</v>
      </c>
      <c r="Z246" s="686">
        <f t="shared" si="59"/>
        <v>0</v>
      </c>
      <c r="AA246" s="685" t="str">
        <f t="shared" si="60"/>
        <v>S</v>
      </c>
      <c r="AB246" s="687" t="s">
        <v>444</v>
      </c>
      <c r="AC246" s="688" t="e">
        <f>(S246+T246+U246)*'1.0-Contractblad'!$K$68</f>
        <v>#VALUE!</v>
      </c>
      <c r="AD246" s="688"/>
      <c r="AE246" s="48">
        <f t="shared" si="61"/>
        <v>0</v>
      </c>
      <c r="AF246" s="48">
        <f t="shared" si="67"/>
        <v>99.32</v>
      </c>
      <c r="AG246" s="48" t="str">
        <f t="shared" si="68"/>
        <v>4052-52</v>
      </c>
    </row>
    <row r="247" spans="1:33" ht="12.75">
      <c r="A247" s="102"/>
      <c r="B247" s="364"/>
      <c r="C247" s="365"/>
      <c r="D247" s="676" t="s">
        <v>124</v>
      </c>
      <c r="E247" s="677" t="s">
        <v>314</v>
      </c>
      <c r="F247" s="678" t="s">
        <v>391</v>
      </c>
      <c r="G247" s="679" t="s">
        <v>618</v>
      </c>
      <c r="H247" s="679" t="str">
        <f t="shared" si="69"/>
        <v>niet van toepassing</v>
      </c>
      <c r="I247" s="689" t="s">
        <v>240</v>
      </c>
      <c r="J247" s="680"/>
      <c r="K247" s="680">
        <v>130.36000000000001</v>
      </c>
      <c r="L247" s="681" t="s">
        <v>225</v>
      </c>
      <c r="M247" s="677"/>
      <c r="N247" s="682"/>
      <c r="O247" s="682"/>
      <c r="P247" s="682">
        <f t="shared" si="62"/>
        <v>0</v>
      </c>
      <c r="Q247" s="683">
        <v>1</v>
      </c>
      <c r="R247" s="684">
        <v>1</v>
      </c>
      <c r="S247" s="685">
        <f t="shared" si="63"/>
        <v>0</v>
      </c>
      <c r="T247" s="685">
        <f t="shared" si="64"/>
        <v>0</v>
      </c>
      <c r="U247" s="685">
        <f t="shared" si="65"/>
        <v>0</v>
      </c>
      <c r="V247" s="685">
        <f t="shared" si="66"/>
        <v>0</v>
      </c>
      <c r="W247" s="686">
        <f t="shared" si="56"/>
        <v>0</v>
      </c>
      <c r="X247" s="686">
        <f t="shared" si="57"/>
        <v>0</v>
      </c>
      <c r="Y247" s="686">
        <f t="shared" si="58"/>
        <v>0</v>
      </c>
      <c r="Z247" s="686">
        <f t="shared" si="59"/>
        <v>0</v>
      </c>
      <c r="AA247" s="685">
        <f t="shared" si="60"/>
        <v>0</v>
      </c>
      <c r="AB247" s="687"/>
      <c r="AC247" s="688" t="e">
        <f>(S247+T247+U247)*'1.0-Contractblad'!$K$68</f>
        <v>#VALUE!</v>
      </c>
      <c r="AD247" s="688"/>
      <c r="AE247" s="48">
        <f t="shared" si="61"/>
        <v>0</v>
      </c>
      <c r="AF247" s="48">
        <f t="shared" si="67"/>
        <v>0</v>
      </c>
      <c r="AG247" s="48" t="str">
        <f t="shared" si="68"/>
        <v>nvt-0</v>
      </c>
    </row>
    <row r="248" spans="1:33" ht="12.75">
      <c r="A248" s="102"/>
      <c r="B248" s="364"/>
      <c r="C248" s="365"/>
      <c r="D248" s="676" t="s">
        <v>127</v>
      </c>
      <c r="E248" s="677" t="s">
        <v>314</v>
      </c>
      <c r="F248" s="678" t="s">
        <v>315</v>
      </c>
      <c r="G248" s="676" t="s">
        <v>619</v>
      </c>
      <c r="H248" s="679" t="str">
        <f t="shared" si="69"/>
        <v>niet van toepassing</v>
      </c>
      <c r="I248" s="689" t="s">
        <v>240</v>
      </c>
      <c r="J248" s="680"/>
      <c r="K248" s="680">
        <v>37.799999999999997</v>
      </c>
      <c r="L248" s="681" t="s">
        <v>225</v>
      </c>
      <c r="M248" s="677"/>
      <c r="N248" s="682"/>
      <c r="O248" s="682"/>
      <c r="P248" s="682">
        <f t="shared" si="62"/>
        <v>0</v>
      </c>
      <c r="Q248" s="683">
        <v>1</v>
      </c>
      <c r="R248" s="684">
        <v>1</v>
      </c>
      <c r="S248" s="685">
        <f t="shared" si="63"/>
        <v>0</v>
      </c>
      <c r="T248" s="685">
        <f t="shared" si="64"/>
        <v>0</v>
      </c>
      <c r="U248" s="685">
        <f t="shared" si="65"/>
        <v>0</v>
      </c>
      <c r="V248" s="685">
        <f t="shared" si="66"/>
        <v>0</v>
      </c>
      <c r="W248" s="686">
        <f t="shared" si="56"/>
        <v>0</v>
      </c>
      <c r="X248" s="686">
        <f t="shared" si="57"/>
        <v>0</v>
      </c>
      <c r="Y248" s="686">
        <f t="shared" si="58"/>
        <v>0</v>
      </c>
      <c r="Z248" s="686">
        <f t="shared" si="59"/>
        <v>0</v>
      </c>
      <c r="AA248" s="685">
        <f t="shared" si="60"/>
        <v>0</v>
      </c>
      <c r="AB248" s="687"/>
      <c r="AC248" s="688" t="e">
        <f>(S248+T248+U248)*'1.0-Contractblad'!$K$68</f>
        <v>#VALUE!</v>
      </c>
      <c r="AD248" s="688"/>
      <c r="AE248" s="48">
        <f t="shared" si="61"/>
        <v>0</v>
      </c>
      <c r="AF248" s="48">
        <f t="shared" si="67"/>
        <v>0</v>
      </c>
      <c r="AG248" s="48" t="str">
        <f t="shared" si="68"/>
        <v>nvt-0</v>
      </c>
    </row>
    <row r="249" spans="1:33" ht="12.75">
      <c r="A249" s="102"/>
      <c r="B249" s="364"/>
      <c r="C249" s="365"/>
      <c r="D249" s="676" t="s">
        <v>127</v>
      </c>
      <c r="E249" s="677" t="s">
        <v>314</v>
      </c>
      <c r="F249" s="678" t="s">
        <v>315</v>
      </c>
      <c r="G249" s="676" t="s">
        <v>620</v>
      </c>
      <c r="H249" s="679" t="str">
        <f t="shared" si="69"/>
        <v>niet van toepassing</v>
      </c>
      <c r="I249" s="689" t="s">
        <v>240</v>
      </c>
      <c r="J249" s="680"/>
      <c r="K249" s="680">
        <v>23.9</v>
      </c>
      <c r="L249" s="681" t="s">
        <v>225</v>
      </c>
      <c r="M249" s="677"/>
      <c r="N249" s="682"/>
      <c r="O249" s="682"/>
      <c r="P249" s="682">
        <f t="shared" si="62"/>
        <v>0</v>
      </c>
      <c r="Q249" s="683">
        <v>1</v>
      </c>
      <c r="R249" s="684">
        <v>1</v>
      </c>
      <c r="S249" s="685">
        <f t="shared" si="63"/>
        <v>0</v>
      </c>
      <c r="T249" s="685">
        <f t="shared" si="64"/>
        <v>0</v>
      </c>
      <c r="U249" s="685">
        <f t="shared" si="65"/>
        <v>0</v>
      </c>
      <c r="V249" s="685">
        <f t="shared" si="66"/>
        <v>0</v>
      </c>
      <c r="W249" s="686">
        <f t="shared" si="56"/>
        <v>0</v>
      </c>
      <c r="X249" s="686">
        <f t="shared" si="57"/>
        <v>0</v>
      </c>
      <c r="Y249" s="686">
        <f t="shared" si="58"/>
        <v>0</v>
      </c>
      <c r="Z249" s="686">
        <f t="shared" si="59"/>
        <v>0</v>
      </c>
      <c r="AA249" s="685">
        <f t="shared" si="60"/>
        <v>0</v>
      </c>
      <c r="AB249" s="687"/>
      <c r="AC249" s="688" t="e">
        <f>(S249+T249+U249)*'1.0-Contractblad'!$K$68</f>
        <v>#VALUE!</v>
      </c>
      <c r="AD249" s="688"/>
      <c r="AE249" s="48">
        <f t="shared" si="61"/>
        <v>0</v>
      </c>
      <c r="AF249" s="48">
        <f t="shared" si="67"/>
        <v>0</v>
      </c>
      <c r="AG249" s="48" t="str">
        <f t="shared" si="68"/>
        <v>nvt-0</v>
      </c>
    </row>
    <row r="250" spans="1:33" ht="12.75">
      <c r="A250" s="102"/>
      <c r="B250" s="364"/>
      <c r="C250" s="365"/>
      <c r="D250" s="676" t="s">
        <v>127</v>
      </c>
      <c r="E250" s="677" t="s">
        <v>314</v>
      </c>
      <c r="F250" s="678" t="s">
        <v>317</v>
      </c>
      <c r="G250" s="676" t="s">
        <v>621</v>
      </c>
      <c r="H250" s="679" t="str">
        <f t="shared" si="69"/>
        <v>sanitaire ruimte (toilet-/doucheruimte)</v>
      </c>
      <c r="I250" s="689" t="s">
        <v>234</v>
      </c>
      <c r="J250" s="680">
        <v>4.3</v>
      </c>
      <c r="K250" s="680"/>
      <c r="L250" s="681">
        <v>4052</v>
      </c>
      <c r="M250" s="677"/>
      <c r="N250" s="682"/>
      <c r="O250" s="682"/>
      <c r="P250" s="682">
        <f t="shared" si="62"/>
        <v>52</v>
      </c>
      <c r="Q250" s="683">
        <v>1</v>
      </c>
      <c r="R250" s="684">
        <v>1</v>
      </c>
      <c r="S250" s="685">
        <f t="shared" si="63"/>
        <v>0</v>
      </c>
      <c r="T250" s="685">
        <f t="shared" si="64"/>
        <v>0</v>
      </c>
      <c r="U250" s="685">
        <f t="shared" si="65"/>
        <v>0</v>
      </c>
      <c r="V250" s="685">
        <f t="shared" si="66"/>
        <v>0</v>
      </c>
      <c r="W250" s="686">
        <f t="shared" si="56"/>
        <v>0</v>
      </c>
      <c r="X250" s="686">
        <f t="shared" si="57"/>
        <v>0</v>
      </c>
      <c r="Y250" s="686">
        <f t="shared" si="58"/>
        <v>0</v>
      </c>
      <c r="Z250" s="686">
        <f t="shared" si="59"/>
        <v>0</v>
      </c>
      <c r="AA250" s="685" t="str">
        <f t="shared" si="60"/>
        <v>S</v>
      </c>
      <c r="AB250" s="687" t="s">
        <v>622</v>
      </c>
      <c r="AC250" s="688" t="e">
        <f>(S250+T250+U250)*'1.0-Contractblad'!$K$68</f>
        <v>#VALUE!</v>
      </c>
      <c r="AD250" s="688"/>
      <c r="AE250" s="48">
        <f t="shared" si="61"/>
        <v>0</v>
      </c>
      <c r="AF250" s="48">
        <f t="shared" si="67"/>
        <v>223.6</v>
      </c>
      <c r="AG250" s="48" t="str">
        <f t="shared" si="68"/>
        <v>4052-52</v>
      </c>
    </row>
    <row r="251" spans="1:33" ht="12.75">
      <c r="A251" s="102"/>
      <c r="B251" s="364"/>
      <c r="C251" s="365"/>
      <c r="D251" s="676" t="s">
        <v>127</v>
      </c>
      <c r="E251" s="677" t="s">
        <v>314</v>
      </c>
      <c r="F251" s="678" t="s">
        <v>320</v>
      </c>
      <c r="G251" s="676" t="s">
        <v>405</v>
      </c>
      <c r="H251" s="679" t="str">
        <f t="shared" si="69"/>
        <v>sanitaire ruimte (toilet-/doucheruimte)</v>
      </c>
      <c r="I251" s="689" t="s">
        <v>234</v>
      </c>
      <c r="J251" s="680">
        <v>1.4</v>
      </c>
      <c r="K251" s="680"/>
      <c r="L251" s="681">
        <v>4052</v>
      </c>
      <c r="M251" s="677"/>
      <c r="N251" s="682"/>
      <c r="O251" s="682"/>
      <c r="P251" s="682">
        <f t="shared" si="62"/>
        <v>52</v>
      </c>
      <c r="Q251" s="683">
        <v>1</v>
      </c>
      <c r="R251" s="684">
        <v>1</v>
      </c>
      <c r="S251" s="685">
        <f t="shared" si="63"/>
        <v>0</v>
      </c>
      <c r="T251" s="685">
        <f t="shared" si="64"/>
        <v>0</v>
      </c>
      <c r="U251" s="685">
        <f t="shared" si="65"/>
        <v>0</v>
      </c>
      <c r="V251" s="685">
        <f t="shared" si="66"/>
        <v>0</v>
      </c>
      <c r="W251" s="686">
        <f t="shared" si="56"/>
        <v>0</v>
      </c>
      <c r="X251" s="686">
        <f t="shared" si="57"/>
        <v>0</v>
      </c>
      <c r="Y251" s="686">
        <f t="shared" si="58"/>
        <v>0</v>
      </c>
      <c r="Z251" s="686">
        <f t="shared" si="59"/>
        <v>0</v>
      </c>
      <c r="AA251" s="685" t="str">
        <f t="shared" si="60"/>
        <v>S</v>
      </c>
      <c r="AB251" s="687" t="s">
        <v>622</v>
      </c>
      <c r="AC251" s="688" t="e">
        <f>(S251+T251+U251)*'1.0-Contractblad'!$K$68</f>
        <v>#VALUE!</v>
      </c>
      <c r="AD251" s="688"/>
      <c r="AE251" s="48">
        <f t="shared" si="61"/>
        <v>0</v>
      </c>
      <c r="AF251" s="48">
        <f t="shared" si="67"/>
        <v>72.8</v>
      </c>
      <c r="AG251" s="48" t="str">
        <f t="shared" si="68"/>
        <v>4052-52</v>
      </c>
    </row>
    <row r="252" spans="1:33" ht="12.75">
      <c r="A252" s="102"/>
      <c r="B252" s="364"/>
      <c r="C252" s="365"/>
      <c r="D252" s="676" t="s">
        <v>127</v>
      </c>
      <c r="E252" s="677" t="s">
        <v>314</v>
      </c>
      <c r="F252" s="678" t="s">
        <v>323</v>
      </c>
      <c r="G252" s="676" t="s">
        <v>623</v>
      </c>
      <c r="H252" s="679" t="str">
        <f t="shared" si="69"/>
        <v>trappenhuis</v>
      </c>
      <c r="I252" s="689" t="s">
        <v>246</v>
      </c>
      <c r="J252" s="680">
        <v>10.7</v>
      </c>
      <c r="K252" s="680"/>
      <c r="L252" s="681">
        <v>9052</v>
      </c>
      <c r="M252" s="677"/>
      <c r="N252" s="682"/>
      <c r="O252" s="682"/>
      <c r="P252" s="682">
        <f t="shared" si="62"/>
        <v>52</v>
      </c>
      <c r="Q252" s="683">
        <v>1</v>
      </c>
      <c r="R252" s="684">
        <v>1</v>
      </c>
      <c r="S252" s="685">
        <f t="shared" si="63"/>
        <v>0</v>
      </c>
      <c r="T252" s="685">
        <f t="shared" si="64"/>
        <v>0</v>
      </c>
      <c r="U252" s="685">
        <f t="shared" si="65"/>
        <v>0</v>
      </c>
      <c r="V252" s="685">
        <f t="shared" si="66"/>
        <v>0</v>
      </c>
      <c r="W252" s="686">
        <f t="shared" si="56"/>
        <v>0</v>
      </c>
      <c r="X252" s="686">
        <f t="shared" si="57"/>
        <v>0</v>
      </c>
      <c r="Y252" s="686">
        <f t="shared" si="58"/>
        <v>0</v>
      </c>
      <c r="Z252" s="686">
        <f t="shared" si="59"/>
        <v>0</v>
      </c>
      <c r="AA252" s="685" t="str">
        <f t="shared" si="60"/>
        <v>V</v>
      </c>
      <c r="AB252" s="687" t="s">
        <v>622</v>
      </c>
      <c r="AC252" s="688" t="e">
        <f>(S252+T252+U252)*'1.0-Contractblad'!$K$68</f>
        <v>#VALUE!</v>
      </c>
      <c r="AD252" s="688"/>
      <c r="AE252" s="48">
        <f t="shared" si="61"/>
        <v>0</v>
      </c>
      <c r="AF252" s="48">
        <f t="shared" si="67"/>
        <v>556.4</v>
      </c>
      <c r="AG252" s="48" t="str">
        <f t="shared" si="68"/>
        <v>9052-52</v>
      </c>
    </row>
    <row r="253" spans="1:33" ht="12.75">
      <c r="A253" s="102"/>
      <c r="B253" s="364"/>
      <c r="C253" s="365"/>
      <c r="D253" s="676" t="s">
        <v>127</v>
      </c>
      <c r="E253" s="677" t="s">
        <v>419</v>
      </c>
      <c r="F253" s="678" t="s">
        <v>493</v>
      </c>
      <c r="G253" s="676" t="s">
        <v>624</v>
      </c>
      <c r="H253" s="679" t="str">
        <f t="shared" si="69"/>
        <v>niet van toepassing</v>
      </c>
      <c r="I253" s="689" t="s">
        <v>246</v>
      </c>
      <c r="J253" s="680"/>
      <c r="K253" s="680">
        <v>72.8</v>
      </c>
      <c r="L253" s="681" t="s">
        <v>225</v>
      </c>
      <c r="M253" s="677"/>
      <c r="N253" s="682"/>
      <c r="O253" s="682"/>
      <c r="P253" s="682">
        <f t="shared" si="62"/>
        <v>0</v>
      </c>
      <c r="Q253" s="683">
        <v>1</v>
      </c>
      <c r="R253" s="684">
        <v>1</v>
      </c>
      <c r="S253" s="685">
        <f t="shared" si="63"/>
        <v>0</v>
      </c>
      <c r="T253" s="685">
        <f t="shared" si="64"/>
        <v>0</v>
      </c>
      <c r="U253" s="685">
        <f t="shared" si="65"/>
        <v>0</v>
      </c>
      <c r="V253" s="685">
        <f t="shared" si="66"/>
        <v>0</v>
      </c>
      <c r="W253" s="686">
        <f t="shared" si="56"/>
        <v>0</v>
      </c>
      <c r="X253" s="686">
        <f t="shared" si="57"/>
        <v>0</v>
      </c>
      <c r="Y253" s="686">
        <f t="shared" si="58"/>
        <v>0</v>
      </c>
      <c r="Z253" s="686">
        <f t="shared" si="59"/>
        <v>0</v>
      </c>
      <c r="AA253" s="685">
        <f t="shared" si="60"/>
        <v>0</v>
      </c>
      <c r="AB253" s="687" t="s">
        <v>622</v>
      </c>
      <c r="AC253" s="688" t="e">
        <f>(S253+T253+U253)*'1.0-Contractblad'!$K$68</f>
        <v>#VALUE!</v>
      </c>
      <c r="AD253" s="688"/>
      <c r="AE253" s="48">
        <f t="shared" si="61"/>
        <v>0</v>
      </c>
      <c r="AF253" s="48">
        <f t="shared" si="67"/>
        <v>0</v>
      </c>
      <c r="AG253" s="48" t="str">
        <f t="shared" si="68"/>
        <v>nvt-0</v>
      </c>
    </row>
    <row r="254" spans="1:33" ht="12.75">
      <c r="A254" s="102"/>
      <c r="B254" s="364"/>
      <c r="C254" s="365"/>
      <c r="D254" s="676" t="s">
        <v>127</v>
      </c>
      <c r="E254" s="677" t="s">
        <v>419</v>
      </c>
      <c r="F254" s="678" t="s">
        <v>494</v>
      </c>
      <c r="G254" s="676" t="s">
        <v>625</v>
      </c>
      <c r="H254" s="679" t="str">
        <f t="shared" si="69"/>
        <v>verblijfsruimte</v>
      </c>
      <c r="I254" s="689" t="s">
        <v>238</v>
      </c>
      <c r="J254" s="680">
        <v>24.8</v>
      </c>
      <c r="K254" s="680"/>
      <c r="L254" s="681">
        <v>15052</v>
      </c>
      <c r="M254" s="677"/>
      <c r="N254" s="682"/>
      <c r="O254" s="682"/>
      <c r="P254" s="682">
        <f t="shared" si="62"/>
        <v>52</v>
      </c>
      <c r="Q254" s="683">
        <v>1</v>
      </c>
      <c r="R254" s="684">
        <v>1</v>
      </c>
      <c r="S254" s="685">
        <f t="shared" si="63"/>
        <v>0</v>
      </c>
      <c r="T254" s="685">
        <f t="shared" si="64"/>
        <v>0</v>
      </c>
      <c r="U254" s="685">
        <f t="shared" si="65"/>
        <v>0</v>
      </c>
      <c r="V254" s="685">
        <f t="shared" si="66"/>
        <v>0</v>
      </c>
      <c r="W254" s="686">
        <f t="shared" si="56"/>
        <v>0</v>
      </c>
      <c r="X254" s="686">
        <f t="shared" si="57"/>
        <v>0</v>
      </c>
      <c r="Y254" s="686">
        <f t="shared" si="58"/>
        <v>0</v>
      </c>
      <c r="Z254" s="686">
        <f t="shared" si="59"/>
        <v>0</v>
      </c>
      <c r="AA254" s="685" t="str">
        <f t="shared" si="60"/>
        <v>V</v>
      </c>
      <c r="AB254" s="687" t="s">
        <v>622</v>
      </c>
      <c r="AC254" s="688" t="e">
        <f>(S254+T254+U254)*'1.0-Contractblad'!$K$68</f>
        <v>#VALUE!</v>
      </c>
      <c r="AD254" s="688"/>
      <c r="AE254" s="48">
        <f t="shared" si="61"/>
        <v>0</v>
      </c>
      <c r="AF254" s="48">
        <f t="shared" si="67"/>
        <v>1289.6000000000001</v>
      </c>
      <c r="AG254" s="48" t="str">
        <f t="shared" si="68"/>
        <v>15052-52</v>
      </c>
    </row>
    <row r="255" spans="1:33" ht="12.75">
      <c r="A255" s="102"/>
      <c r="B255" s="364"/>
      <c r="C255" s="365"/>
      <c r="D255" s="676" t="s">
        <v>130</v>
      </c>
      <c r="E255" s="677" t="s">
        <v>314</v>
      </c>
      <c r="F255" s="678" t="s">
        <v>315</v>
      </c>
      <c r="G255" s="679" t="s">
        <v>626</v>
      </c>
      <c r="H255" s="679" t="str">
        <f t="shared" si="69"/>
        <v>entree, gang, hal, repro, kopieer</v>
      </c>
      <c r="I255" s="689" t="s">
        <v>234</v>
      </c>
      <c r="J255" s="680">
        <v>2.92</v>
      </c>
      <c r="K255" s="680"/>
      <c r="L255" s="681">
        <v>3026</v>
      </c>
      <c r="M255" s="677"/>
      <c r="N255" s="682"/>
      <c r="O255" s="682"/>
      <c r="P255" s="682">
        <f t="shared" si="62"/>
        <v>26</v>
      </c>
      <c r="Q255" s="683">
        <v>1</v>
      </c>
      <c r="R255" s="684">
        <v>1</v>
      </c>
      <c r="S255" s="685">
        <f t="shared" si="63"/>
        <v>0</v>
      </c>
      <c r="T255" s="685">
        <f t="shared" si="64"/>
        <v>0</v>
      </c>
      <c r="U255" s="685">
        <f t="shared" si="65"/>
        <v>0</v>
      </c>
      <c r="V255" s="685">
        <f t="shared" si="66"/>
        <v>0</v>
      </c>
      <c r="W255" s="686">
        <f t="shared" si="56"/>
        <v>0</v>
      </c>
      <c r="X255" s="686">
        <f t="shared" si="57"/>
        <v>0</v>
      </c>
      <c r="Y255" s="686">
        <f t="shared" si="58"/>
        <v>0</v>
      </c>
      <c r="Z255" s="686">
        <f t="shared" si="59"/>
        <v>0</v>
      </c>
      <c r="AA255" s="685" t="str">
        <f t="shared" si="60"/>
        <v>V</v>
      </c>
      <c r="AB255" s="687" t="s">
        <v>414</v>
      </c>
      <c r="AC255" s="688" t="e">
        <f>(S255+T255+U255)*'1.0-Contractblad'!$K$68</f>
        <v>#VALUE!</v>
      </c>
      <c r="AD255" s="688"/>
      <c r="AE255" s="48">
        <f t="shared" si="61"/>
        <v>0</v>
      </c>
      <c r="AF255" s="48">
        <f t="shared" si="67"/>
        <v>75.92</v>
      </c>
      <c r="AG255" s="48" t="str">
        <f t="shared" si="68"/>
        <v>3026-26</v>
      </c>
    </row>
    <row r="256" spans="1:33" ht="12.75">
      <c r="A256" s="102"/>
      <c r="B256" s="364"/>
      <c r="C256" s="365"/>
      <c r="D256" s="676" t="s">
        <v>130</v>
      </c>
      <c r="E256" s="677" t="s">
        <v>314</v>
      </c>
      <c r="F256" s="678" t="s">
        <v>317</v>
      </c>
      <c r="G256" s="679" t="s">
        <v>405</v>
      </c>
      <c r="H256" s="679" t="str">
        <f t="shared" si="69"/>
        <v>sanitaire ruimte (toilet-/doucheruimte)</v>
      </c>
      <c r="I256" s="689" t="s">
        <v>234</v>
      </c>
      <c r="J256" s="680">
        <v>1.21</v>
      </c>
      <c r="K256" s="680"/>
      <c r="L256" s="681">
        <v>4026</v>
      </c>
      <c r="M256" s="677"/>
      <c r="N256" s="682"/>
      <c r="O256" s="682"/>
      <c r="P256" s="682">
        <f t="shared" si="62"/>
        <v>26</v>
      </c>
      <c r="Q256" s="683">
        <v>1</v>
      </c>
      <c r="R256" s="684">
        <v>1</v>
      </c>
      <c r="S256" s="685">
        <f t="shared" si="63"/>
        <v>0</v>
      </c>
      <c r="T256" s="685">
        <f t="shared" si="64"/>
        <v>0</v>
      </c>
      <c r="U256" s="685">
        <f t="shared" si="65"/>
        <v>0</v>
      </c>
      <c r="V256" s="685">
        <f t="shared" si="66"/>
        <v>0</v>
      </c>
      <c r="W256" s="686">
        <f t="shared" si="56"/>
        <v>0</v>
      </c>
      <c r="X256" s="686">
        <f t="shared" si="57"/>
        <v>0</v>
      </c>
      <c r="Y256" s="686">
        <f t="shared" si="58"/>
        <v>0</v>
      </c>
      <c r="Z256" s="686">
        <f t="shared" si="59"/>
        <v>0</v>
      </c>
      <c r="AA256" s="685" t="str">
        <f t="shared" si="60"/>
        <v>S</v>
      </c>
      <c r="AB256" s="687"/>
      <c r="AC256" s="688" t="e">
        <f>(S256+T256+U256)*'1.0-Contractblad'!$K$68</f>
        <v>#VALUE!</v>
      </c>
      <c r="AD256" s="688"/>
      <c r="AE256" s="48">
        <f t="shared" si="61"/>
        <v>0</v>
      </c>
      <c r="AF256" s="48">
        <f t="shared" si="67"/>
        <v>31.46</v>
      </c>
      <c r="AG256" s="48" t="str">
        <f t="shared" si="68"/>
        <v>4026-26</v>
      </c>
    </row>
    <row r="257" spans="1:33" ht="12.75">
      <c r="A257" s="102"/>
      <c r="B257" s="364"/>
      <c r="C257" s="365"/>
      <c r="D257" s="676" t="s">
        <v>130</v>
      </c>
      <c r="E257" s="677" t="s">
        <v>314</v>
      </c>
      <c r="F257" s="678" t="s">
        <v>320</v>
      </c>
      <c r="G257" s="676" t="s">
        <v>627</v>
      </c>
      <c r="H257" s="679" t="str">
        <f t="shared" si="69"/>
        <v>pantry, keuken, koffiecorner</v>
      </c>
      <c r="I257" s="689" t="s">
        <v>234</v>
      </c>
      <c r="J257" s="680">
        <v>18.09</v>
      </c>
      <c r="K257" s="680"/>
      <c r="L257" s="681">
        <v>5026</v>
      </c>
      <c r="M257" s="677"/>
      <c r="N257" s="682"/>
      <c r="O257" s="682"/>
      <c r="P257" s="682">
        <f t="shared" si="62"/>
        <v>26</v>
      </c>
      <c r="Q257" s="683">
        <v>1</v>
      </c>
      <c r="R257" s="684">
        <v>1</v>
      </c>
      <c r="S257" s="685">
        <f t="shared" si="63"/>
        <v>0</v>
      </c>
      <c r="T257" s="685">
        <f t="shared" si="64"/>
        <v>0</v>
      </c>
      <c r="U257" s="685">
        <f t="shared" si="65"/>
        <v>0</v>
      </c>
      <c r="V257" s="685">
        <f t="shared" si="66"/>
        <v>0</v>
      </c>
      <c r="W257" s="686">
        <f t="shared" si="56"/>
        <v>0</v>
      </c>
      <c r="X257" s="686">
        <f t="shared" si="57"/>
        <v>0</v>
      </c>
      <c r="Y257" s="686">
        <f t="shared" si="58"/>
        <v>0</v>
      </c>
      <c r="Z257" s="686">
        <f t="shared" si="59"/>
        <v>0</v>
      </c>
      <c r="AA257" s="685" t="str">
        <f t="shared" si="60"/>
        <v>V</v>
      </c>
      <c r="AB257" s="687"/>
      <c r="AC257" s="688" t="e">
        <f>(S257+T257+U257)*'1.0-Contractblad'!$K$68</f>
        <v>#VALUE!</v>
      </c>
      <c r="AD257" s="688"/>
      <c r="AE257" s="48">
        <f t="shared" si="61"/>
        <v>0</v>
      </c>
      <c r="AF257" s="48">
        <f t="shared" si="67"/>
        <v>470.34</v>
      </c>
      <c r="AG257" s="48" t="str">
        <f t="shared" si="68"/>
        <v>5026-26</v>
      </c>
    </row>
    <row r="258" spans="1:33" ht="12.75">
      <c r="A258" s="102"/>
      <c r="B258" s="364"/>
      <c r="C258" s="365"/>
      <c r="D258" s="676" t="s">
        <v>130</v>
      </c>
      <c r="E258" s="677" t="s">
        <v>314</v>
      </c>
      <c r="F258" s="678" t="s">
        <v>323</v>
      </c>
      <c r="G258" s="679" t="s">
        <v>628</v>
      </c>
      <c r="H258" s="679" t="str">
        <f t="shared" si="69"/>
        <v>niet van toepassing</v>
      </c>
      <c r="I258" s="689" t="s">
        <v>240</v>
      </c>
      <c r="J258" s="680"/>
      <c r="K258" s="680"/>
      <c r="L258" s="681" t="s">
        <v>225</v>
      </c>
      <c r="M258" s="677"/>
      <c r="N258" s="682"/>
      <c r="O258" s="682"/>
      <c r="P258" s="682">
        <f t="shared" si="62"/>
        <v>0</v>
      </c>
      <c r="Q258" s="683">
        <v>1</v>
      </c>
      <c r="R258" s="684">
        <v>1</v>
      </c>
      <c r="S258" s="685">
        <f t="shared" si="63"/>
        <v>0</v>
      </c>
      <c r="T258" s="685">
        <f t="shared" si="64"/>
        <v>0</v>
      </c>
      <c r="U258" s="685">
        <f t="shared" si="65"/>
        <v>0</v>
      </c>
      <c r="V258" s="685">
        <f t="shared" si="66"/>
        <v>0</v>
      </c>
      <c r="W258" s="686">
        <f t="shared" si="56"/>
        <v>0</v>
      </c>
      <c r="X258" s="686">
        <f t="shared" si="57"/>
        <v>0</v>
      </c>
      <c r="Y258" s="686">
        <f t="shared" si="58"/>
        <v>0</v>
      </c>
      <c r="Z258" s="686">
        <f t="shared" si="59"/>
        <v>0</v>
      </c>
      <c r="AA258" s="685">
        <f t="shared" si="60"/>
        <v>0</v>
      </c>
      <c r="AB258" s="687"/>
      <c r="AC258" s="688" t="e">
        <f>(S258+T258+U258)*'1.0-Contractblad'!$K$68</f>
        <v>#VALUE!</v>
      </c>
      <c r="AD258" s="688"/>
      <c r="AE258" s="48">
        <f t="shared" si="61"/>
        <v>0</v>
      </c>
      <c r="AF258" s="48">
        <f t="shared" si="67"/>
        <v>0</v>
      </c>
      <c r="AG258" s="48" t="str">
        <f t="shared" si="68"/>
        <v>nvt-0</v>
      </c>
    </row>
    <row r="259" spans="1:33" ht="12.75">
      <c r="A259" s="102"/>
      <c r="B259" s="364"/>
      <c r="C259" s="365"/>
      <c r="D259" s="676" t="s">
        <v>130</v>
      </c>
      <c r="E259" s="677" t="s">
        <v>314</v>
      </c>
      <c r="F259" s="678" t="s">
        <v>325</v>
      </c>
      <c r="G259" s="676" t="s">
        <v>629</v>
      </c>
      <c r="H259" s="679" t="str">
        <f t="shared" si="69"/>
        <v>niet van toepassing</v>
      </c>
      <c r="I259" s="689" t="s">
        <v>240</v>
      </c>
      <c r="J259" s="680"/>
      <c r="K259" s="680"/>
      <c r="L259" s="681" t="s">
        <v>225</v>
      </c>
      <c r="M259" s="677"/>
      <c r="N259" s="682"/>
      <c r="O259" s="682"/>
      <c r="P259" s="682">
        <f t="shared" si="62"/>
        <v>0</v>
      </c>
      <c r="Q259" s="683">
        <v>1</v>
      </c>
      <c r="R259" s="684">
        <v>1</v>
      </c>
      <c r="S259" s="685">
        <f t="shared" si="63"/>
        <v>0</v>
      </c>
      <c r="T259" s="685">
        <f t="shared" si="64"/>
        <v>0</v>
      </c>
      <c r="U259" s="685">
        <f t="shared" si="65"/>
        <v>0</v>
      </c>
      <c r="V259" s="685">
        <f t="shared" si="66"/>
        <v>0</v>
      </c>
      <c r="W259" s="686">
        <f t="shared" si="56"/>
        <v>0</v>
      </c>
      <c r="X259" s="686">
        <f t="shared" si="57"/>
        <v>0</v>
      </c>
      <c r="Y259" s="686">
        <f t="shared" si="58"/>
        <v>0</v>
      </c>
      <c r="Z259" s="686">
        <f t="shared" si="59"/>
        <v>0</v>
      </c>
      <c r="AA259" s="685">
        <f t="shared" si="60"/>
        <v>0</v>
      </c>
      <c r="AB259" s="687"/>
      <c r="AC259" s="688" t="e">
        <f>(S259+T259+U259)*'1.0-Contractblad'!$K$68</f>
        <v>#VALUE!</v>
      </c>
      <c r="AD259" s="688"/>
      <c r="AE259" s="48">
        <f t="shared" si="61"/>
        <v>0</v>
      </c>
      <c r="AF259" s="48">
        <f t="shared" si="67"/>
        <v>0</v>
      </c>
      <c r="AG259" s="48" t="str">
        <f t="shared" si="68"/>
        <v>nvt-0</v>
      </c>
    </row>
    <row r="260" spans="1:33" ht="12.75">
      <c r="A260" s="102"/>
      <c r="B260" s="364"/>
      <c r="C260" s="365"/>
      <c r="D260" s="676" t="s">
        <v>130</v>
      </c>
      <c r="E260" s="677" t="s">
        <v>314</v>
      </c>
      <c r="F260" s="678" t="s">
        <v>327</v>
      </c>
      <c r="G260" s="679" t="s">
        <v>630</v>
      </c>
      <c r="H260" s="679" t="str">
        <f t="shared" si="69"/>
        <v>niet van toepassing</v>
      </c>
      <c r="I260" s="689" t="s">
        <v>240</v>
      </c>
      <c r="J260" s="680"/>
      <c r="K260" s="680"/>
      <c r="L260" s="681" t="s">
        <v>225</v>
      </c>
      <c r="M260" s="677"/>
      <c r="N260" s="682"/>
      <c r="O260" s="682"/>
      <c r="P260" s="682">
        <f t="shared" si="62"/>
        <v>0</v>
      </c>
      <c r="Q260" s="683">
        <v>1</v>
      </c>
      <c r="R260" s="684">
        <v>1</v>
      </c>
      <c r="S260" s="685">
        <f t="shared" si="63"/>
        <v>0</v>
      </c>
      <c r="T260" s="685">
        <f t="shared" si="64"/>
        <v>0</v>
      </c>
      <c r="U260" s="685">
        <f t="shared" si="65"/>
        <v>0</v>
      </c>
      <c r="V260" s="685">
        <f t="shared" si="66"/>
        <v>0</v>
      </c>
      <c r="W260" s="686">
        <f t="shared" si="56"/>
        <v>0</v>
      </c>
      <c r="X260" s="686">
        <f t="shared" si="57"/>
        <v>0</v>
      </c>
      <c r="Y260" s="686">
        <f t="shared" si="58"/>
        <v>0</v>
      </c>
      <c r="Z260" s="686">
        <f t="shared" si="59"/>
        <v>0</v>
      </c>
      <c r="AA260" s="685">
        <f t="shared" si="60"/>
        <v>0</v>
      </c>
      <c r="AB260" s="687"/>
      <c r="AC260" s="688" t="e">
        <f>(S260+T260+U260)*'1.0-Contractblad'!$K$68</f>
        <v>#VALUE!</v>
      </c>
      <c r="AD260" s="688"/>
      <c r="AE260" s="48">
        <f t="shared" si="61"/>
        <v>0</v>
      </c>
      <c r="AF260" s="48">
        <f t="shared" si="67"/>
        <v>0</v>
      </c>
      <c r="AG260" s="48" t="str">
        <f t="shared" si="68"/>
        <v>nvt-0</v>
      </c>
    </row>
    <row r="261" spans="1:33" ht="12.75">
      <c r="A261" s="102"/>
      <c r="B261" s="364"/>
      <c r="C261" s="365"/>
      <c r="D261" s="676" t="s">
        <v>133</v>
      </c>
      <c r="E261" s="677" t="s">
        <v>314</v>
      </c>
      <c r="F261" s="678" t="s">
        <v>631</v>
      </c>
      <c r="G261" s="679" t="s">
        <v>377</v>
      </c>
      <c r="H261" s="679" t="str">
        <f t="shared" si="69"/>
        <v>buitenbordes</v>
      </c>
      <c r="I261" s="689" t="s">
        <v>234</v>
      </c>
      <c r="J261" s="680">
        <v>2</v>
      </c>
      <c r="K261" s="680"/>
      <c r="L261" s="681">
        <v>16052</v>
      </c>
      <c r="M261" s="677"/>
      <c r="N261" s="682"/>
      <c r="O261" s="682"/>
      <c r="P261" s="682">
        <f t="shared" si="62"/>
        <v>52</v>
      </c>
      <c r="Q261" s="683">
        <v>1</v>
      </c>
      <c r="R261" s="684">
        <v>1</v>
      </c>
      <c r="S261" s="685">
        <f t="shared" si="63"/>
        <v>0</v>
      </c>
      <c r="T261" s="685">
        <f t="shared" si="64"/>
        <v>0</v>
      </c>
      <c r="U261" s="685">
        <f t="shared" si="65"/>
        <v>0</v>
      </c>
      <c r="V261" s="685">
        <f t="shared" si="66"/>
        <v>0</v>
      </c>
      <c r="W261" s="686">
        <f t="shared" si="56"/>
        <v>0</v>
      </c>
      <c r="X261" s="686">
        <f t="shared" si="57"/>
        <v>0</v>
      </c>
      <c r="Y261" s="686">
        <f t="shared" si="58"/>
        <v>0</v>
      </c>
      <c r="Z261" s="686">
        <f t="shared" si="59"/>
        <v>0</v>
      </c>
      <c r="AA261" s="685" t="str">
        <f t="shared" si="60"/>
        <v>V</v>
      </c>
      <c r="AB261" s="687" t="s">
        <v>622</v>
      </c>
      <c r="AC261" s="688" t="e">
        <f>(S261+T261+U261)*'1.0-Contractblad'!$K$68</f>
        <v>#VALUE!</v>
      </c>
      <c r="AD261" s="688"/>
      <c r="AE261" s="48">
        <f t="shared" si="61"/>
        <v>0</v>
      </c>
      <c r="AF261" s="48">
        <f t="shared" si="67"/>
        <v>104</v>
      </c>
      <c r="AG261" s="48" t="str">
        <f t="shared" si="68"/>
        <v>16052-52</v>
      </c>
    </row>
    <row r="262" spans="1:33" ht="12.75">
      <c r="A262" s="102"/>
      <c r="B262" s="364"/>
      <c r="C262" s="365"/>
      <c r="D262" s="676" t="s">
        <v>133</v>
      </c>
      <c r="E262" s="677" t="s">
        <v>314</v>
      </c>
      <c r="F262" s="678" t="s">
        <v>632</v>
      </c>
      <c r="G262" s="679" t="s">
        <v>633</v>
      </c>
      <c r="H262" s="679" t="str">
        <f t="shared" si="69"/>
        <v>entree, gang, hal, repro, kopieer</v>
      </c>
      <c r="I262" s="689" t="s">
        <v>234</v>
      </c>
      <c r="J262" s="680">
        <v>13.13</v>
      </c>
      <c r="K262" s="680"/>
      <c r="L262" s="681">
        <v>3052</v>
      </c>
      <c r="M262" s="677"/>
      <c r="N262" s="682"/>
      <c r="O262" s="682"/>
      <c r="P262" s="682">
        <f t="shared" si="62"/>
        <v>52</v>
      </c>
      <c r="Q262" s="683">
        <v>1</v>
      </c>
      <c r="R262" s="684">
        <v>1</v>
      </c>
      <c r="S262" s="685">
        <f t="shared" si="63"/>
        <v>0</v>
      </c>
      <c r="T262" s="685">
        <f t="shared" si="64"/>
        <v>0</v>
      </c>
      <c r="U262" s="685">
        <f t="shared" si="65"/>
        <v>0</v>
      </c>
      <c r="V262" s="685">
        <f t="shared" si="66"/>
        <v>0</v>
      </c>
      <c r="W262" s="686">
        <f t="shared" si="56"/>
        <v>0</v>
      </c>
      <c r="X262" s="686">
        <f t="shared" si="57"/>
        <v>0</v>
      </c>
      <c r="Y262" s="686">
        <f t="shared" si="58"/>
        <v>0</v>
      </c>
      <c r="Z262" s="686">
        <f t="shared" si="59"/>
        <v>0</v>
      </c>
      <c r="AA262" s="685" t="str">
        <f t="shared" si="60"/>
        <v>V</v>
      </c>
      <c r="AB262" s="687" t="s">
        <v>622</v>
      </c>
      <c r="AC262" s="688" t="e">
        <f>(S262+T262+U262)*'1.0-Contractblad'!$K$68</f>
        <v>#VALUE!</v>
      </c>
      <c r="AD262" s="688"/>
      <c r="AE262" s="48">
        <f t="shared" si="61"/>
        <v>0</v>
      </c>
      <c r="AF262" s="48">
        <f t="shared" si="67"/>
        <v>682.76</v>
      </c>
      <c r="AG262" s="48" t="str">
        <f t="shared" si="68"/>
        <v>3052-52</v>
      </c>
    </row>
    <row r="263" spans="1:33" ht="12.75">
      <c r="A263" s="102"/>
      <c r="B263" s="364"/>
      <c r="C263" s="365"/>
      <c r="D263" s="676" t="s">
        <v>133</v>
      </c>
      <c r="E263" s="677" t="s">
        <v>314</v>
      </c>
      <c r="F263" s="678" t="s">
        <v>634</v>
      </c>
      <c r="G263" s="679" t="s">
        <v>328</v>
      </c>
      <c r="H263" s="679" t="str">
        <f t="shared" si="69"/>
        <v>pantry, keuken, koffiecorner</v>
      </c>
      <c r="I263" s="689" t="s">
        <v>635</v>
      </c>
      <c r="J263" s="680">
        <v>17</v>
      </c>
      <c r="K263" s="680"/>
      <c r="L263" s="681">
        <v>5052</v>
      </c>
      <c r="M263" s="677"/>
      <c r="N263" s="682"/>
      <c r="O263" s="682"/>
      <c r="P263" s="682">
        <f t="shared" si="62"/>
        <v>52</v>
      </c>
      <c r="Q263" s="683">
        <v>1</v>
      </c>
      <c r="R263" s="684">
        <v>1</v>
      </c>
      <c r="S263" s="685">
        <f t="shared" si="63"/>
        <v>0</v>
      </c>
      <c r="T263" s="685">
        <f t="shared" si="64"/>
        <v>0</v>
      </c>
      <c r="U263" s="685">
        <f t="shared" si="65"/>
        <v>0</v>
      </c>
      <c r="V263" s="685">
        <f t="shared" si="66"/>
        <v>0</v>
      </c>
      <c r="W263" s="686">
        <f t="shared" si="56"/>
        <v>0</v>
      </c>
      <c r="X263" s="686">
        <f t="shared" si="57"/>
        <v>0</v>
      </c>
      <c r="Y263" s="686">
        <f t="shared" si="58"/>
        <v>0</v>
      </c>
      <c r="Z263" s="686">
        <f t="shared" si="59"/>
        <v>0</v>
      </c>
      <c r="AA263" s="685" t="str">
        <f t="shared" si="60"/>
        <v>V</v>
      </c>
      <c r="AB263" s="687" t="s">
        <v>622</v>
      </c>
      <c r="AC263" s="688" t="e">
        <f>(S263+T263+U263)*'1.0-Contractblad'!$K$68</f>
        <v>#VALUE!</v>
      </c>
      <c r="AD263" s="688"/>
      <c r="AE263" s="48">
        <f t="shared" si="61"/>
        <v>0</v>
      </c>
      <c r="AF263" s="48">
        <f t="shared" si="67"/>
        <v>884</v>
      </c>
      <c r="AG263" s="48" t="str">
        <f t="shared" si="68"/>
        <v>5052-52</v>
      </c>
    </row>
    <row r="264" spans="1:33" ht="12.75">
      <c r="A264" s="102"/>
      <c r="B264" s="364"/>
      <c r="C264" s="365"/>
      <c r="D264" s="676" t="s">
        <v>133</v>
      </c>
      <c r="E264" s="677" t="s">
        <v>314</v>
      </c>
      <c r="F264" s="678" t="s">
        <v>636</v>
      </c>
      <c r="G264" s="679" t="s">
        <v>637</v>
      </c>
      <c r="H264" s="679" t="str">
        <f t="shared" si="69"/>
        <v>niet van toepassing</v>
      </c>
      <c r="I264" s="689" t="s">
        <v>635</v>
      </c>
      <c r="J264" s="680"/>
      <c r="K264" s="680">
        <v>29.39</v>
      </c>
      <c r="L264" s="681" t="s">
        <v>225</v>
      </c>
      <c r="M264" s="677"/>
      <c r="N264" s="682"/>
      <c r="O264" s="682"/>
      <c r="P264" s="682">
        <f t="shared" si="62"/>
        <v>0</v>
      </c>
      <c r="Q264" s="683">
        <v>1</v>
      </c>
      <c r="R264" s="684">
        <v>1</v>
      </c>
      <c r="S264" s="685">
        <f t="shared" si="63"/>
        <v>0</v>
      </c>
      <c r="T264" s="685">
        <f t="shared" si="64"/>
        <v>0</v>
      </c>
      <c r="U264" s="685">
        <f t="shared" si="65"/>
        <v>0</v>
      </c>
      <c r="V264" s="685">
        <f t="shared" si="66"/>
        <v>0</v>
      </c>
      <c r="W264" s="686">
        <f t="shared" si="56"/>
        <v>0</v>
      </c>
      <c r="X264" s="686">
        <f t="shared" si="57"/>
        <v>0</v>
      </c>
      <c r="Y264" s="686">
        <f t="shared" si="58"/>
        <v>0</v>
      </c>
      <c r="Z264" s="686">
        <f t="shared" si="59"/>
        <v>0</v>
      </c>
      <c r="AA264" s="685">
        <f t="shared" si="60"/>
        <v>0</v>
      </c>
      <c r="AB264" s="687"/>
      <c r="AC264" s="688" t="e">
        <f>(S264+T264+U264)*'1.0-Contractblad'!$K$68</f>
        <v>#VALUE!</v>
      </c>
      <c r="AD264" s="688"/>
      <c r="AE264" s="48">
        <f t="shared" si="61"/>
        <v>0</v>
      </c>
      <c r="AF264" s="48">
        <f t="shared" si="67"/>
        <v>0</v>
      </c>
      <c r="AG264" s="48" t="str">
        <f t="shared" si="68"/>
        <v>nvt-0</v>
      </c>
    </row>
    <row r="265" spans="1:33" ht="12.75">
      <c r="A265" s="102"/>
      <c r="B265" s="364"/>
      <c r="C265" s="365"/>
      <c r="D265" s="676" t="s">
        <v>133</v>
      </c>
      <c r="E265" s="677" t="s">
        <v>314</v>
      </c>
      <c r="F265" s="678" t="s">
        <v>638</v>
      </c>
      <c r="G265" s="679" t="s">
        <v>639</v>
      </c>
      <c r="H265" s="679" t="str">
        <f t="shared" si="69"/>
        <v>niet van toepassing</v>
      </c>
      <c r="I265" s="680"/>
      <c r="J265" s="680"/>
      <c r="K265" s="680"/>
      <c r="L265" s="681" t="s">
        <v>225</v>
      </c>
      <c r="M265" s="677"/>
      <c r="N265" s="682"/>
      <c r="O265" s="682"/>
      <c r="P265" s="682">
        <f t="shared" si="62"/>
        <v>0</v>
      </c>
      <c r="Q265" s="683">
        <v>1</v>
      </c>
      <c r="R265" s="684">
        <v>1</v>
      </c>
      <c r="S265" s="685">
        <f t="shared" si="63"/>
        <v>0</v>
      </c>
      <c r="T265" s="685">
        <f t="shared" si="64"/>
        <v>0</v>
      </c>
      <c r="U265" s="685">
        <f t="shared" si="65"/>
        <v>0</v>
      </c>
      <c r="V265" s="685">
        <f t="shared" si="66"/>
        <v>0</v>
      </c>
      <c r="W265" s="686">
        <f t="shared" si="56"/>
        <v>0</v>
      </c>
      <c r="X265" s="686">
        <f t="shared" si="57"/>
        <v>0</v>
      </c>
      <c r="Y265" s="686">
        <f t="shared" si="58"/>
        <v>0</v>
      </c>
      <c r="Z265" s="686">
        <f t="shared" si="59"/>
        <v>0</v>
      </c>
      <c r="AA265" s="685">
        <f t="shared" si="60"/>
        <v>0</v>
      </c>
      <c r="AB265" s="687"/>
      <c r="AC265" s="688" t="e">
        <f>(S265+T265+U265)*'1.0-Contractblad'!$K$68</f>
        <v>#VALUE!</v>
      </c>
      <c r="AD265" s="688"/>
      <c r="AE265" s="48">
        <f t="shared" si="61"/>
        <v>0</v>
      </c>
      <c r="AF265" s="48">
        <f t="shared" si="67"/>
        <v>0</v>
      </c>
      <c r="AG265" s="48" t="str">
        <f t="shared" si="68"/>
        <v>nvt-0</v>
      </c>
    </row>
    <row r="266" spans="1:33" ht="12.75">
      <c r="A266" s="102"/>
      <c r="B266" s="364"/>
      <c r="C266" s="365"/>
      <c r="D266" s="676" t="s">
        <v>133</v>
      </c>
      <c r="E266" s="677" t="s">
        <v>314</v>
      </c>
      <c r="F266" s="678" t="s">
        <v>640</v>
      </c>
      <c r="G266" s="679" t="s">
        <v>405</v>
      </c>
      <c r="H266" s="679" t="str">
        <f t="shared" si="69"/>
        <v>sanitaire ruimte (toilet-/doucheruimte)</v>
      </c>
      <c r="I266" s="689" t="s">
        <v>234</v>
      </c>
      <c r="J266" s="680">
        <v>1.1499999999999999</v>
      </c>
      <c r="K266" s="680"/>
      <c r="L266" s="681">
        <v>4052</v>
      </c>
      <c r="M266" s="677"/>
      <c r="N266" s="682"/>
      <c r="O266" s="682"/>
      <c r="P266" s="682">
        <f t="shared" si="62"/>
        <v>52</v>
      </c>
      <c r="Q266" s="683">
        <v>1</v>
      </c>
      <c r="R266" s="684">
        <v>1</v>
      </c>
      <c r="S266" s="685">
        <f t="shared" si="63"/>
        <v>0</v>
      </c>
      <c r="T266" s="685">
        <f t="shared" si="64"/>
        <v>0</v>
      </c>
      <c r="U266" s="685">
        <f t="shared" si="65"/>
        <v>0</v>
      </c>
      <c r="V266" s="685">
        <f t="shared" si="66"/>
        <v>0</v>
      </c>
      <c r="W266" s="686">
        <f t="shared" si="56"/>
        <v>0</v>
      </c>
      <c r="X266" s="686">
        <f t="shared" si="57"/>
        <v>0</v>
      </c>
      <c r="Y266" s="686">
        <f t="shared" si="58"/>
        <v>0</v>
      </c>
      <c r="Z266" s="686">
        <f t="shared" si="59"/>
        <v>0</v>
      </c>
      <c r="AA266" s="685" t="str">
        <f t="shared" si="60"/>
        <v>S</v>
      </c>
      <c r="AB266" s="687" t="s">
        <v>622</v>
      </c>
      <c r="AC266" s="688" t="e">
        <f>(S266+T266+U266)*'1.0-Contractblad'!$K$68</f>
        <v>#VALUE!</v>
      </c>
      <c r="AD266" s="688"/>
      <c r="AE266" s="48">
        <f t="shared" si="61"/>
        <v>0</v>
      </c>
      <c r="AF266" s="48">
        <f t="shared" si="67"/>
        <v>59.8</v>
      </c>
      <c r="AG266" s="48" t="str">
        <f t="shared" si="68"/>
        <v>4052-52</v>
      </c>
    </row>
    <row r="267" spans="1:33" ht="12.75">
      <c r="A267" s="102"/>
      <c r="B267" s="364"/>
      <c r="C267" s="365"/>
      <c r="D267" s="676" t="s">
        <v>133</v>
      </c>
      <c r="E267" s="677" t="s">
        <v>314</v>
      </c>
      <c r="F267" s="678" t="s">
        <v>641</v>
      </c>
      <c r="G267" s="679" t="s">
        <v>642</v>
      </c>
      <c r="H267" s="679" t="str">
        <f t="shared" si="69"/>
        <v>entree, gang, hal, repro, kopieer</v>
      </c>
      <c r="I267" s="689" t="s">
        <v>234</v>
      </c>
      <c r="J267" s="680">
        <v>7.45</v>
      </c>
      <c r="K267" s="680"/>
      <c r="L267" s="681">
        <v>3052</v>
      </c>
      <c r="M267" s="677"/>
      <c r="N267" s="682"/>
      <c r="O267" s="682"/>
      <c r="P267" s="682">
        <f t="shared" si="62"/>
        <v>52</v>
      </c>
      <c r="Q267" s="683">
        <v>1</v>
      </c>
      <c r="R267" s="684">
        <v>1</v>
      </c>
      <c r="S267" s="685">
        <f t="shared" si="63"/>
        <v>0</v>
      </c>
      <c r="T267" s="685">
        <f t="shared" si="64"/>
        <v>0</v>
      </c>
      <c r="U267" s="685">
        <f t="shared" si="65"/>
        <v>0</v>
      </c>
      <c r="V267" s="685">
        <f t="shared" si="66"/>
        <v>0</v>
      </c>
      <c r="W267" s="686">
        <f t="shared" si="56"/>
        <v>0</v>
      </c>
      <c r="X267" s="686">
        <f t="shared" si="57"/>
        <v>0</v>
      </c>
      <c r="Y267" s="686">
        <f t="shared" si="58"/>
        <v>0</v>
      </c>
      <c r="Z267" s="686">
        <f t="shared" si="59"/>
        <v>0</v>
      </c>
      <c r="AA267" s="685" t="str">
        <f t="shared" si="60"/>
        <v>V</v>
      </c>
      <c r="AB267" s="687" t="s">
        <v>622</v>
      </c>
      <c r="AC267" s="688" t="e">
        <f>(S267+T267+U267)*'1.0-Contractblad'!$K$68</f>
        <v>#VALUE!</v>
      </c>
      <c r="AD267" s="688"/>
      <c r="AE267" s="48">
        <f t="shared" si="61"/>
        <v>0</v>
      </c>
      <c r="AF267" s="48">
        <f t="shared" si="67"/>
        <v>387.40000000000003</v>
      </c>
      <c r="AG267" s="48" t="str">
        <f t="shared" si="68"/>
        <v>3052-52</v>
      </c>
    </row>
    <row r="268" spans="1:33" ht="12.75">
      <c r="A268" s="102"/>
      <c r="B268" s="364"/>
      <c r="C268" s="365"/>
      <c r="D268" s="676" t="s">
        <v>133</v>
      </c>
      <c r="E268" s="677" t="s">
        <v>314</v>
      </c>
      <c r="F268" s="678" t="s">
        <v>643</v>
      </c>
      <c r="G268" s="679" t="s">
        <v>644</v>
      </c>
      <c r="H268" s="679" t="str">
        <f t="shared" si="69"/>
        <v>sanitaire ruimte (toilet-/doucheruimte)</v>
      </c>
      <c r="I268" s="689" t="s">
        <v>234</v>
      </c>
      <c r="J268" s="680">
        <v>1</v>
      </c>
      <c r="K268" s="680"/>
      <c r="L268" s="681">
        <v>4052</v>
      </c>
      <c r="M268" s="677"/>
      <c r="N268" s="682"/>
      <c r="O268" s="682"/>
      <c r="P268" s="682">
        <f t="shared" si="62"/>
        <v>52</v>
      </c>
      <c r="Q268" s="683">
        <v>1</v>
      </c>
      <c r="R268" s="684">
        <v>1</v>
      </c>
      <c r="S268" s="685">
        <f t="shared" si="63"/>
        <v>0</v>
      </c>
      <c r="T268" s="685">
        <f t="shared" si="64"/>
        <v>0</v>
      </c>
      <c r="U268" s="685">
        <f t="shared" si="65"/>
        <v>0</v>
      </c>
      <c r="V268" s="685">
        <f t="shared" si="66"/>
        <v>0</v>
      </c>
      <c r="W268" s="686">
        <f t="shared" si="56"/>
        <v>0</v>
      </c>
      <c r="X268" s="686">
        <f t="shared" si="57"/>
        <v>0</v>
      </c>
      <c r="Y268" s="686">
        <f t="shared" si="58"/>
        <v>0</v>
      </c>
      <c r="Z268" s="686">
        <f t="shared" si="59"/>
        <v>0</v>
      </c>
      <c r="AA268" s="685" t="str">
        <f t="shared" si="60"/>
        <v>S</v>
      </c>
      <c r="AB268" s="687" t="s">
        <v>622</v>
      </c>
      <c r="AC268" s="688" t="e">
        <f>(S268+T268+U268)*'1.0-Contractblad'!$K$68</f>
        <v>#VALUE!</v>
      </c>
      <c r="AD268" s="688"/>
      <c r="AE268" s="48">
        <f t="shared" si="61"/>
        <v>0</v>
      </c>
      <c r="AF268" s="48">
        <f t="shared" si="67"/>
        <v>52</v>
      </c>
      <c r="AG268" s="48" t="str">
        <f t="shared" si="68"/>
        <v>4052-52</v>
      </c>
    </row>
    <row r="269" spans="1:33" ht="12.75">
      <c r="A269" s="102"/>
      <c r="B269" s="364"/>
      <c r="C269" s="365"/>
      <c r="D269" s="676" t="s">
        <v>133</v>
      </c>
      <c r="E269" s="677" t="s">
        <v>314</v>
      </c>
      <c r="F269" s="678" t="s">
        <v>645</v>
      </c>
      <c r="G269" s="679" t="s">
        <v>646</v>
      </c>
      <c r="H269" s="679" t="str">
        <f t="shared" si="69"/>
        <v>niet van toepassing</v>
      </c>
      <c r="I269" s="689" t="s">
        <v>234</v>
      </c>
      <c r="J269" s="680"/>
      <c r="K269" s="680">
        <v>34.21</v>
      </c>
      <c r="L269" s="681" t="s">
        <v>225</v>
      </c>
      <c r="M269" s="677"/>
      <c r="N269" s="682"/>
      <c r="O269" s="682"/>
      <c r="P269" s="682">
        <f t="shared" si="62"/>
        <v>0</v>
      </c>
      <c r="Q269" s="683">
        <v>1</v>
      </c>
      <c r="R269" s="684">
        <v>1</v>
      </c>
      <c r="S269" s="685">
        <f t="shared" si="63"/>
        <v>0</v>
      </c>
      <c r="T269" s="685">
        <f t="shared" si="64"/>
        <v>0</v>
      </c>
      <c r="U269" s="685">
        <f t="shared" si="65"/>
        <v>0</v>
      </c>
      <c r="V269" s="685">
        <f t="shared" si="66"/>
        <v>0</v>
      </c>
      <c r="W269" s="686">
        <f t="shared" si="56"/>
        <v>0</v>
      </c>
      <c r="X269" s="686">
        <f t="shared" si="57"/>
        <v>0</v>
      </c>
      <c r="Y269" s="686">
        <f t="shared" si="58"/>
        <v>0</v>
      </c>
      <c r="Z269" s="686">
        <f t="shared" si="59"/>
        <v>0</v>
      </c>
      <c r="AA269" s="685">
        <f t="shared" si="60"/>
        <v>0</v>
      </c>
      <c r="AB269" s="687"/>
      <c r="AC269" s="688" t="e">
        <f>(S269+T269+U269)*'1.0-Contractblad'!$K$68</f>
        <v>#VALUE!</v>
      </c>
      <c r="AD269" s="688"/>
      <c r="AE269" s="48">
        <f t="shared" si="61"/>
        <v>0</v>
      </c>
      <c r="AF269" s="48">
        <f t="shared" si="67"/>
        <v>0</v>
      </c>
      <c r="AG269" s="48" t="str">
        <f t="shared" si="68"/>
        <v>nvt-0</v>
      </c>
    </row>
    <row r="270" spans="1:33" ht="12.75">
      <c r="A270" s="102"/>
      <c r="B270" s="364"/>
      <c r="C270" s="365"/>
      <c r="D270" s="676" t="s">
        <v>133</v>
      </c>
      <c r="E270" s="677" t="s">
        <v>314</v>
      </c>
      <c r="F270" s="678" t="s">
        <v>647</v>
      </c>
      <c r="G270" s="679" t="s">
        <v>432</v>
      </c>
      <c r="H270" s="679" t="str">
        <f t="shared" si="69"/>
        <v>niet van toepassing</v>
      </c>
      <c r="I270" s="689" t="s">
        <v>234</v>
      </c>
      <c r="J270" s="680"/>
      <c r="K270" s="680"/>
      <c r="L270" s="681" t="s">
        <v>225</v>
      </c>
      <c r="M270" s="677"/>
      <c r="N270" s="682"/>
      <c r="O270" s="682"/>
      <c r="P270" s="682">
        <f t="shared" si="62"/>
        <v>0</v>
      </c>
      <c r="Q270" s="683">
        <v>1</v>
      </c>
      <c r="R270" s="684">
        <v>1</v>
      </c>
      <c r="S270" s="685">
        <f t="shared" si="63"/>
        <v>0</v>
      </c>
      <c r="T270" s="685">
        <f t="shared" si="64"/>
        <v>0</v>
      </c>
      <c r="U270" s="685">
        <f t="shared" si="65"/>
        <v>0</v>
      </c>
      <c r="V270" s="685">
        <f t="shared" si="66"/>
        <v>0</v>
      </c>
      <c r="W270" s="686">
        <f t="shared" si="56"/>
        <v>0</v>
      </c>
      <c r="X270" s="686">
        <f t="shared" si="57"/>
        <v>0</v>
      </c>
      <c r="Y270" s="686">
        <f t="shared" si="58"/>
        <v>0</v>
      </c>
      <c r="Z270" s="686">
        <f t="shared" si="59"/>
        <v>0</v>
      </c>
      <c r="AA270" s="685">
        <f t="shared" si="60"/>
        <v>0</v>
      </c>
      <c r="AB270" s="687"/>
      <c r="AC270" s="688" t="e">
        <f>(S270+T270+U270)*'1.0-Contractblad'!$K$68</f>
        <v>#VALUE!</v>
      </c>
      <c r="AD270" s="688"/>
      <c r="AE270" s="48">
        <f t="shared" si="61"/>
        <v>0</v>
      </c>
      <c r="AF270" s="48">
        <f t="shared" si="67"/>
        <v>0</v>
      </c>
      <c r="AG270" s="48" t="str">
        <f t="shared" si="68"/>
        <v>nvt-0</v>
      </c>
    </row>
    <row r="271" spans="1:33" ht="12.75">
      <c r="A271" s="102"/>
      <c r="B271" s="364"/>
      <c r="C271" s="365"/>
      <c r="D271" s="676" t="s">
        <v>133</v>
      </c>
      <c r="E271" s="677" t="s">
        <v>314</v>
      </c>
      <c r="F271" s="678" t="s">
        <v>648</v>
      </c>
      <c r="G271" s="679" t="s">
        <v>649</v>
      </c>
      <c r="H271" s="679" t="str">
        <f t="shared" si="69"/>
        <v>niet van toepassing</v>
      </c>
      <c r="I271" s="689" t="s">
        <v>234</v>
      </c>
      <c r="J271" s="680"/>
      <c r="K271" s="680"/>
      <c r="L271" s="681" t="s">
        <v>225</v>
      </c>
      <c r="M271" s="677"/>
      <c r="N271" s="682"/>
      <c r="O271" s="682"/>
      <c r="P271" s="682">
        <f t="shared" si="62"/>
        <v>0</v>
      </c>
      <c r="Q271" s="683">
        <v>1</v>
      </c>
      <c r="R271" s="684">
        <v>1</v>
      </c>
      <c r="S271" s="685">
        <f t="shared" si="63"/>
        <v>0</v>
      </c>
      <c r="T271" s="685">
        <f t="shared" si="64"/>
        <v>0</v>
      </c>
      <c r="U271" s="685">
        <f t="shared" si="65"/>
        <v>0</v>
      </c>
      <c r="V271" s="685">
        <f t="shared" si="66"/>
        <v>0</v>
      </c>
      <c r="W271" s="686">
        <f t="shared" si="56"/>
        <v>0</v>
      </c>
      <c r="X271" s="686">
        <f t="shared" si="57"/>
        <v>0</v>
      </c>
      <c r="Y271" s="686">
        <f t="shared" si="58"/>
        <v>0</v>
      </c>
      <c r="Z271" s="686">
        <f t="shared" si="59"/>
        <v>0</v>
      </c>
      <c r="AA271" s="685">
        <f t="shared" si="60"/>
        <v>0</v>
      </c>
      <c r="AB271" s="687"/>
      <c r="AC271" s="688" t="e">
        <f>(S271+T271+U271)*'1.0-Contractblad'!$K$68</f>
        <v>#VALUE!</v>
      </c>
      <c r="AD271" s="688"/>
      <c r="AE271" s="48">
        <f t="shared" si="61"/>
        <v>0</v>
      </c>
      <c r="AF271" s="48">
        <f t="shared" si="67"/>
        <v>0</v>
      </c>
      <c r="AG271" s="48" t="str">
        <f t="shared" si="68"/>
        <v>nvt-0</v>
      </c>
    </row>
    <row r="272" spans="1:33" ht="12.75">
      <c r="A272" s="102"/>
      <c r="B272" s="364"/>
      <c r="C272" s="365"/>
      <c r="D272" s="676" t="s">
        <v>133</v>
      </c>
      <c r="E272" s="677" t="s">
        <v>314</v>
      </c>
      <c r="F272" s="678" t="s">
        <v>650</v>
      </c>
      <c r="G272" s="679" t="s">
        <v>386</v>
      </c>
      <c r="H272" s="679" t="str">
        <f t="shared" si="69"/>
        <v>administratieve -, personeels- en vergaderruimte</v>
      </c>
      <c r="I272" s="689" t="s">
        <v>635</v>
      </c>
      <c r="J272" s="680">
        <v>9.7100000000000009</v>
      </c>
      <c r="K272" s="680"/>
      <c r="L272" s="681">
        <v>1052</v>
      </c>
      <c r="M272" s="677"/>
      <c r="N272" s="682"/>
      <c r="O272" s="682"/>
      <c r="P272" s="682">
        <f t="shared" si="62"/>
        <v>52</v>
      </c>
      <c r="Q272" s="683">
        <v>1</v>
      </c>
      <c r="R272" s="684">
        <v>1</v>
      </c>
      <c r="S272" s="685">
        <f t="shared" si="63"/>
        <v>0</v>
      </c>
      <c r="T272" s="685">
        <f t="shared" si="64"/>
        <v>0</v>
      </c>
      <c r="U272" s="685">
        <f t="shared" si="65"/>
        <v>0</v>
      </c>
      <c r="V272" s="685">
        <f t="shared" si="66"/>
        <v>0</v>
      </c>
      <c r="W272" s="686">
        <f t="shared" si="56"/>
        <v>0</v>
      </c>
      <c r="X272" s="686">
        <f t="shared" si="57"/>
        <v>0</v>
      </c>
      <c r="Y272" s="686">
        <f t="shared" si="58"/>
        <v>0</v>
      </c>
      <c r="Z272" s="686">
        <f t="shared" si="59"/>
        <v>0</v>
      </c>
      <c r="AA272" s="685" t="str">
        <f t="shared" si="60"/>
        <v>B</v>
      </c>
      <c r="AB272" s="687" t="s">
        <v>622</v>
      </c>
      <c r="AC272" s="688" t="e">
        <f>(S272+T272+U272)*'1.0-Contractblad'!$K$68</f>
        <v>#VALUE!</v>
      </c>
      <c r="AD272" s="688"/>
      <c r="AE272" s="48">
        <f t="shared" si="61"/>
        <v>0</v>
      </c>
      <c r="AF272" s="48">
        <f t="shared" si="67"/>
        <v>504.92000000000007</v>
      </c>
      <c r="AG272" s="48" t="str">
        <f t="shared" si="68"/>
        <v>1052-52</v>
      </c>
    </row>
    <row r="273" spans="1:33" ht="12.75">
      <c r="A273" s="102"/>
      <c r="B273" s="364"/>
      <c r="C273" s="365"/>
      <c r="D273" s="676" t="s">
        <v>136</v>
      </c>
      <c r="E273" s="677" t="s">
        <v>314</v>
      </c>
      <c r="F273" s="678" t="s">
        <v>651</v>
      </c>
      <c r="G273" s="679" t="s">
        <v>318</v>
      </c>
      <c r="H273" s="679" t="str">
        <f t="shared" si="69"/>
        <v>entree, gang, hal, repro, kopieer</v>
      </c>
      <c r="I273" s="689" t="s">
        <v>234</v>
      </c>
      <c r="J273" s="680">
        <v>2.0299999999999998</v>
      </c>
      <c r="K273" s="680"/>
      <c r="L273" s="692">
        <v>3026</v>
      </c>
      <c r="M273" s="677"/>
      <c r="N273" s="682"/>
      <c r="O273" s="682"/>
      <c r="P273" s="682">
        <f t="shared" si="62"/>
        <v>26</v>
      </c>
      <c r="Q273" s="683">
        <v>1</v>
      </c>
      <c r="R273" s="684">
        <v>1</v>
      </c>
      <c r="S273" s="685">
        <f t="shared" si="63"/>
        <v>0</v>
      </c>
      <c r="T273" s="685">
        <f t="shared" si="64"/>
        <v>0</v>
      </c>
      <c r="U273" s="685">
        <f t="shared" si="65"/>
        <v>0</v>
      </c>
      <c r="V273" s="685">
        <f t="shared" si="66"/>
        <v>0</v>
      </c>
      <c r="W273" s="686">
        <f t="shared" si="56"/>
        <v>0</v>
      </c>
      <c r="X273" s="686">
        <f t="shared" si="57"/>
        <v>0</v>
      </c>
      <c r="Y273" s="686">
        <f t="shared" si="58"/>
        <v>0</v>
      </c>
      <c r="Z273" s="686">
        <f t="shared" si="59"/>
        <v>0</v>
      </c>
      <c r="AA273" s="685" t="str">
        <f t="shared" si="60"/>
        <v>V</v>
      </c>
      <c r="AB273" s="687" t="s">
        <v>414</v>
      </c>
      <c r="AC273" s="688" t="e">
        <f>(S273+T273+U273)*'1.0-Contractblad'!$K$68</f>
        <v>#VALUE!</v>
      </c>
      <c r="AD273" s="688"/>
      <c r="AE273" s="48">
        <f t="shared" si="61"/>
        <v>0</v>
      </c>
      <c r="AF273" s="48">
        <f t="shared" si="67"/>
        <v>52.779999999999994</v>
      </c>
      <c r="AG273" s="48" t="str">
        <f t="shared" si="68"/>
        <v>3026-26</v>
      </c>
    </row>
    <row r="274" spans="1:33" ht="12.75">
      <c r="A274" s="102"/>
      <c r="B274" s="364"/>
      <c r="C274" s="365"/>
      <c r="D274" s="676" t="s">
        <v>136</v>
      </c>
      <c r="E274" s="677" t="s">
        <v>314</v>
      </c>
      <c r="F274" s="678" t="s">
        <v>652</v>
      </c>
      <c r="G274" s="679" t="s">
        <v>653</v>
      </c>
      <c r="H274" s="679" t="str">
        <f t="shared" si="69"/>
        <v>administratieve -, personeels- en vergaderruimte</v>
      </c>
      <c r="I274" s="689" t="s">
        <v>238</v>
      </c>
      <c r="J274" s="680">
        <v>15.34</v>
      </c>
      <c r="K274" s="680"/>
      <c r="L274" s="692">
        <v>1026</v>
      </c>
      <c r="M274" s="677"/>
      <c r="N274" s="682"/>
      <c r="O274" s="682"/>
      <c r="P274" s="682">
        <f t="shared" si="62"/>
        <v>26</v>
      </c>
      <c r="Q274" s="683">
        <v>1</v>
      </c>
      <c r="R274" s="684">
        <v>1</v>
      </c>
      <c r="S274" s="685">
        <f t="shared" si="63"/>
        <v>0</v>
      </c>
      <c r="T274" s="685">
        <f t="shared" si="64"/>
        <v>0</v>
      </c>
      <c r="U274" s="685">
        <f t="shared" si="65"/>
        <v>0</v>
      </c>
      <c r="V274" s="685">
        <f t="shared" si="66"/>
        <v>0</v>
      </c>
      <c r="W274" s="686">
        <f t="shared" si="56"/>
        <v>0</v>
      </c>
      <c r="X274" s="686">
        <f t="shared" si="57"/>
        <v>0</v>
      </c>
      <c r="Y274" s="686">
        <f t="shared" si="58"/>
        <v>0</v>
      </c>
      <c r="Z274" s="686">
        <f t="shared" si="59"/>
        <v>0</v>
      </c>
      <c r="AA274" s="685">
        <f t="shared" si="60"/>
        <v>0</v>
      </c>
      <c r="AB274" s="687" t="s">
        <v>414</v>
      </c>
      <c r="AC274" s="688" t="e">
        <f>(S274+T274+U274)*'1.0-Contractblad'!$K$68</f>
        <v>#VALUE!</v>
      </c>
      <c r="AD274" s="688"/>
      <c r="AE274" s="48">
        <f t="shared" si="61"/>
        <v>0</v>
      </c>
      <c r="AF274" s="48">
        <f t="shared" si="67"/>
        <v>398.84</v>
      </c>
      <c r="AG274" s="48" t="str">
        <f t="shared" si="68"/>
        <v>1026-26</v>
      </c>
    </row>
    <row r="275" spans="1:33" ht="12.75">
      <c r="A275" s="102"/>
      <c r="B275" s="364"/>
      <c r="C275" s="365"/>
      <c r="D275" s="676" t="s">
        <v>136</v>
      </c>
      <c r="E275" s="677" t="s">
        <v>314</v>
      </c>
      <c r="F275" s="678" t="s">
        <v>654</v>
      </c>
      <c r="G275" s="679" t="s">
        <v>655</v>
      </c>
      <c r="H275" s="679" t="str">
        <f t="shared" si="69"/>
        <v>pantry, keuken, koffiecorner</v>
      </c>
      <c r="I275" s="689" t="s">
        <v>234</v>
      </c>
      <c r="J275" s="680">
        <v>4.16</v>
      </c>
      <c r="K275" s="680"/>
      <c r="L275" s="692">
        <v>5026</v>
      </c>
      <c r="M275" s="677"/>
      <c r="N275" s="682"/>
      <c r="O275" s="682"/>
      <c r="P275" s="682">
        <f t="shared" si="62"/>
        <v>26</v>
      </c>
      <c r="Q275" s="683">
        <v>1</v>
      </c>
      <c r="R275" s="684">
        <v>1</v>
      </c>
      <c r="S275" s="685">
        <f t="shared" si="63"/>
        <v>0</v>
      </c>
      <c r="T275" s="685">
        <f t="shared" si="64"/>
        <v>0</v>
      </c>
      <c r="U275" s="685">
        <f t="shared" si="65"/>
        <v>0</v>
      </c>
      <c r="V275" s="685">
        <f t="shared" si="66"/>
        <v>0</v>
      </c>
      <c r="W275" s="686">
        <f t="shared" si="56"/>
        <v>0</v>
      </c>
      <c r="X275" s="686">
        <f t="shared" si="57"/>
        <v>0</v>
      </c>
      <c r="Y275" s="686">
        <f t="shared" si="58"/>
        <v>0</v>
      </c>
      <c r="Z275" s="686">
        <f t="shared" si="59"/>
        <v>0</v>
      </c>
      <c r="AA275" s="685" t="str">
        <f t="shared" si="60"/>
        <v>V</v>
      </c>
      <c r="AB275" s="687" t="s">
        <v>414</v>
      </c>
      <c r="AC275" s="688" t="e">
        <f>(S275+T275+U275)*'1.0-Contractblad'!$K$68</f>
        <v>#VALUE!</v>
      </c>
      <c r="AD275" s="688"/>
      <c r="AE275" s="48">
        <f t="shared" si="61"/>
        <v>0</v>
      </c>
      <c r="AF275" s="48">
        <f t="shared" si="67"/>
        <v>108.16</v>
      </c>
      <c r="AG275" s="48" t="str">
        <f t="shared" si="68"/>
        <v>5026-26</v>
      </c>
    </row>
    <row r="276" spans="1:33" ht="12.75">
      <c r="A276" s="102"/>
      <c r="B276" s="364"/>
      <c r="C276" s="365"/>
      <c r="D276" s="676" t="s">
        <v>136</v>
      </c>
      <c r="E276" s="677" t="s">
        <v>314</v>
      </c>
      <c r="F276" s="678" t="s">
        <v>656</v>
      </c>
      <c r="G276" s="679" t="s">
        <v>644</v>
      </c>
      <c r="H276" s="679" t="str">
        <f t="shared" si="69"/>
        <v>sanitaire ruimte (toilet-/doucheruimte)</v>
      </c>
      <c r="I276" s="689" t="s">
        <v>234</v>
      </c>
      <c r="J276" s="680">
        <v>2.5499999999999998</v>
      </c>
      <c r="K276" s="680"/>
      <c r="L276" s="692">
        <v>4026</v>
      </c>
      <c r="M276" s="677"/>
      <c r="N276" s="682"/>
      <c r="O276" s="682"/>
      <c r="P276" s="682">
        <f t="shared" si="62"/>
        <v>26</v>
      </c>
      <c r="Q276" s="683">
        <v>1</v>
      </c>
      <c r="R276" s="684">
        <v>1</v>
      </c>
      <c r="S276" s="685">
        <f t="shared" si="63"/>
        <v>0</v>
      </c>
      <c r="T276" s="685">
        <f t="shared" si="64"/>
        <v>0</v>
      </c>
      <c r="U276" s="685">
        <f t="shared" si="65"/>
        <v>0</v>
      </c>
      <c r="V276" s="685">
        <f t="shared" si="66"/>
        <v>0</v>
      </c>
      <c r="W276" s="686">
        <f t="shared" si="56"/>
        <v>0</v>
      </c>
      <c r="X276" s="686">
        <f t="shared" si="57"/>
        <v>0</v>
      </c>
      <c r="Y276" s="686">
        <f t="shared" si="58"/>
        <v>0</v>
      </c>
      <c r="Z276" s="686">
        <f t="shared" si="59"/>
        <v>0</v>
      </c>
      <c r="AA276" s="685" t="str">
        <f t="shared" si="60"/>
        <v>S</v>
      </c>
      <c r="AB276" s="687" t="s">
        <v>414</v>
      </c>
      <c r="AC276" s="688" t="e">
        <f>(S276+T276+U276)*'1.0-Contractblad'!$K$68</f>
        <v>#VALUE!</v>
      </c>
      <c r="AD276" s="688"/>
      <c r="AE276" s="48">
        <f t="shared" si="61"/>
        <v>0</v>
      </c>
      <c r="AF276" s="48">
        <f t="shared" si="67"/>
        <v>66.3</v>
      </c>
      <c r="AG276" s="48" t="str">
        <f t="shared" si="68"/>
        <v>4026-26</v>
      </c>
    </row>
    <row r="277" spans="1:33" ht="12.75">
      <c r="A277" s="102"/>
      <c r="B277" s="364"/>
      <c r="C277" s="365"/>
      <c r="D277" s="676" t="s">
        <v>136</v>
      </c>
      <c r="E277" s="677" t="s">
        <v>314</v>
      </c>
      <c r="F277" s="678" t="s">
        <v>657</v>
      </c>
      <c r="G277" s="679" t="s">
        <v>405</v>
      </c>
      <c r="H277" s="679" t="str">
        <f t="shared" si="69"/>
        <v>sanitaire ruimte (toilet-/doucheruimte)</v>
      </c>
      <c r="I277" s="689" t="s">
        <v>234</v>
      </c>
      <c r="J277" s="680">
        <v>1.25</v>
      </c>
      <c r="K277" s="680"/>
      <c r="L277" s="692">
        <v>4026</v>
      </c>
      <c r="M277" s="677"/>
      <c r="N277" s="682"/>
      <c r="O277" s="682"/>
      <c r="P277" s="682">
        <f t="shared" si="62"/>
        <v>26</v>
      </c>
      <c r="Q277" s="683">
        <v>1</v>
      </c>
      <c r="R277" s="684">
        <v>1</v>
      </c>
      <c r="S277" s="685">
        <f t="shared" si="63"/>
        <v>0</v>
      </c>
      <c r="T277" s="685">
        <f t="shared" si="64"/>
        <v>0</v>
      </c>
      <c r="U277" s="685">
        <f t="shared" si="65"/>
        <v>0</v>
      </c>
      <c r="V277" s="685">
        <f t="shared" si="66"/>
        <v>0</v>
      </c>
      <c r="W277" s="686">
        <f t="shared" si="56"/>
        <v>0</v>
      </c>
      <c r="X277" s="686">
        <f t="shared" si="57"/>
        <v>0</v>
      </c>
      <c r="Y277" s="686">
        <f t="shared" si="58"/>
        <v>0</v>
      </c>
      <c r="Z277" s="686">
        <f t="shared" si="59"/>
        <v>0</v>
      </c>
      <c r="AA277" s="685" t="str">
        <f t="shared" si="60"/>
        <v>S</v>
      </c>
      <c r="AB277" s="687" t="s">
        <v>414</v>
      </c>
      <c r="AC277" s="688" t="e">
        <f>(S277+T277+U277)*'1.0-Contractblad'!$K$68</f>
        <v>#VALUE!</v>
      </c>
      <c r="AD277" s="688"/>
      <c r="AE277" s="48">
        <f t="shared" si="61"/>
        <v>0</v>
      </c>
      <c r="AF277" s="48">
        <f t="shared" si="67"/>
        <v>32.5</v>
      </c>
      <c r="AG277" s="48" t="str">
        <f t="shared" si="68"/>
        <v>4026-26</v>
      </c>
    </row>
    <row r="278" spans="1:33" ht="12.75">
      <c r="A278" s="102"/>
      <c r="B278" s="364"/>
      <c r="C278" s="365"/>
      <c r="D278" s="676" t="s">
        <v>139</v>
      </c>
      <c r="E278" s="677" t="s">
        <v>314</v>
      </c>
      <c r="F278" s="678" t="s">
        <v>658</v>
      </c>
      <c r="G278" s="679" t="s">
        <v>318</v>
      </c>
      <c r="H278" s="679" t="str">
        <f t="shared" si="69"/>
        <v>entree, gang, hal, repro, kopieer</v>
      </c>
      <c r="I278" s="689" t="s">
        <v>234</v>
      </c>
      <c r="J278" s="680">
        <v>2.0299999999999998</v>
      </c>
      <c r="K278" s="680"/>
      <c r="L278" s="681">
        <v>3026</v>
      </c>
      <c r="M278" s="677"/>
      <c r="N278" s="682"/>
      <c r="O278" s="682"/>
      <c r="P278" s="682">
        <f t="shared" si="62"/>
        <v>26</v>
      </c>
      <c r="Q278" s="683">
        <v>1</v>
      </c>
      <c r="R278" s="684">
        <v>1</v>
      </c>
      <c r="S278" s="685">
        <f t="shared" si="63"/>
        <v>0</v>
      </c>
      <c r="T278" s="685">
        <f t="shared" si="64"/>
        <v>0</v>
      </c>
      <c r="U278" s="685">
        <f t="shared" si="65"/>
        <v>0</v>
      </c>
      <c r="V278" s="685">
        <f t="shared" si="66"/>
        <v>0</v>
      </c>
      <c r="W278" s="686">
        <f t="shared" si="56"/>
        <v>0</v>
      </c>
      <c r="X278" s="686">
        <f t="shared" si="57"/>
        <v>0</v>
      </c>
      <c r="Y278" s="686">
        <f t="shared" si="58"/>
        <v>0</v>
      </c>
      <c r="Z278" s="686">
        <f t="shared" si="59"/>
        <v>0</v>
      </c>
      <c r="AA278" s="685" t="str">
        <f t="shared" si="60"/>
        <v>V</v>
      </c>
      <c r="AB278" s="687" t="s">
        <v>414</v>
      </c>
      <c r="AC278" s="688" t="e">
        <f>(S278+T278+U278)*'1.0-Contractblad'!$K$68</f>
        <v>#VALUE!</v>
      </c>
      <c r="AD278" s="688"/>
      <c r="AE278" s="48">
        <f t="shared" si="61"/>
        <v>0</v>
      </c>
      <c r="AF278" s="48">
        <f t="shared" si="67"/>
        <v>52.779999999999994</v>
      </c>
      <c r="AG278" s="48" t="str">
        <f t="shared" si="68"/>
        <v>3026-26</v>
      </c>
    </row>
    <row r="279" spans="1:33" ht="12.75">
      <c r="A279" s="102"/>
      <c r="B279" s="364"/>
      <c r="C279" s="365"/>
      <c r="D279" s="676" t="s">
        <v>139</v>
      </c>
      <c r="E279" s="677" t="s">
        <v>314</v>
      </c>
      <c r="F279" s="678" t="s">
        <v>659</v>
      </c>
      <c r="G279" s="679" t="s">
        <v>386</v>
      </c>
      <c r="H279" s="679" t="str">
        <f t="shared" si="69"/>
        <v>administratieve -, personeels- en vergaderruimte</v>
      </c>
      <c r="I279" s="689" t="s">
        <v>660</v>
      </c>
      <c r="J279" s="680">
        <v>15.34</v>
      </c>
      <c r="K279" s="680"/>
      <c r="L279" s="681">
        <v>1026</v>
      </c>
      <c r="M279" s="677"/>
      <c r="N279" s="682"/>
      <c r="O279" s="682"/>
      <c r="P279" s="682">
        <f t="shared" si="62"/>
        <v>26</v>
      </c>
      <c r="Q279" s="683">
        <v>1</v>
      </c>
      <c r="R279" s="684">
        <v>1</v>
      </c>
      <c r="S279" s="685">
        <f t="shared" si="63"/>
        <v>0</v>
      </c>
      <c r="T279" s="685">
        <f t="shared" si="64"/>
        <v>0</v>
      </c>
      <c r="U279" s="685">
        <f t="shared" si="65"/>
        <v>0</v>
      </c>
      <c r="V279" s="685">
        <f t="shared" si="66"/>
        <v>0</v>
      </c>
      <c r="W279" s="686">
        <f t="shared" ref="W279:W343" si="70">IF($L279=0,0,VLOOKUP($L279,Kengetal,6,FALSE))</f>
        <v>0</v>
      </c>
      <c r="X279" s="686">
        <f t="shared" ref="X279:X343" si="71">IF($L279=0,0,VLOOKUP($L279,Kengetal,8,FALSE))</f>
        <v>0</v>
      </c>
      <c r="Y279" s="686">
        <f t="shared" ref="Y279:Y343" si="72">IF($M279=0,0,VLOOKUP($M279,Kengetal,6,FALSE))</f>
        <v>0</v>
      </c>
      <c r="Z279" s="686">
        <f t="shared" ref="Z279:Z343" si="73">IF($N279=0,0,VLOOKUP($N279,Kengetal,6,FALSE))</f>
        <v>0</v>
      </c>
      <c r="AA279" s="685">
        <f t="shared" ref="AA279:AA343" si="74">IF(L279="","",VLOOKUP(L279,Kengetal,15,FALSE))</f>
        <v>0</v>
      </c>
      <c r="AB279" s="687" t="s">
        <v>414</v>
      </c>
      <c r="AC279" s="688" t="e">
        <f>(S279+T279+U279)*'1.0-Contractblad'!$K$68</f>
        <v>#VALUE!</v>
      </c>
      <c r="AD279" s="688"/>
      <c r="AE279" s="48">
        <f t="shared" ref="AE279:AE343" si="75">IF(L279=8255,S279+T279,0)</f>
        <v>0</v>
      </c>
      <c r="AF279" s="48">
        <f t="shared" si="67"/>
        <v>398.84</v>
      </c>
      <c r="AG279" s="48" t="str">
        <f t="shared" si="68"/>
        <v>1026-26</v>
      </c>
    </row>
    <row r="280" spans="1:33" ht="12.75">
      <c r="A280" s="102"/>
      <c r="B280" s="364"/>
      <c r="C280" s="365"/>
      <c r="D280" s="676" t="s">
        <v>139</v>
      </c>
      <c r="E280" s="677" t="s">
        <v>314</v>
      </c>
      <c r="F280" s="678" t="s">
        <v>661</v>
      </c>
      <c r="G280" s="676" t="s">
        <v>655</v>
      </c>
      <c r="H280" s="679" t="str">
        <f t="shared" si="69"/>
        <v>pantry, keuken, koffiecorner</v>
      </c>
      <c r="I280" s="689" t="s">
        <v>234</v>
      </c>
      <c r="J280" s="680">
        <v>4.16</v>
      </c>
      <c r="K280" s="680"/>
      <c r="L280" s="681">
        <v>5026</v>
      </c>
      <c r="M280" s="677"/>
      <c r="N280" s="682"/>
      <c r="O280" s="682"/>
      <c r="P280" s="682">
        <f t="shared" ref="P280:P344" si="76">VLOOKUP(L280,Kengetal,3,FALSE)+VLOOKUP(M280,Kengetal,3,FALSE)+VLOOKUP(N280,Kengetal,3,FALSE)</f>
        <v>26</v>
      </c>
      <c r="Q280" s="683">
        <v>1</v>
      </c>
      <c r="R280" s="684">
        <v>1</v>
      </c>
      <c r="S280" s="685">
        <f t="shared" ref="S280:S344" si="77">W280*J280*Q280</f>
        <v>0</v>
      </c>
      <c r="T280" s="685">
        <f t="shared" ref="T280:T344" si="78">X280*J280*R280</f>
        <v>0</v>
      </c>
      <c r="U280" s="685">
        <f t="shared" ref="U280:U344" si="79">Y280*J280*Q280</f>
        <v>0</v>
      </c>
      <c r="V280" s="685">
        <f t="shared" ref="V280:V344" si="80">Z280*J280*T280</f>
        <v>0</v>
      </c>
      <c r="W280" s="686">
        <f t="shared" si="70"/>
        <v>0</v>
      </c>
      <c r="X280" s="686">
        <f t="shared" si="71"/>
        <v>0</v>
      </c>
      <c r="Y280" s="686">
        <f t="shared" si="72"/>
        <v>0</v>
      </c>
      <c r="Z280" s="686">
        <f t="shared" si="73"/>
        <v>0</v>
      </c>
      <c r="AA280" s="685" t="str">
        <f t="shared" si="74"/>
        <v>V</v>
      </c>
      <c r="AB280" s="687" t="s">
        <v>414</v>
      </c>
      <c r="AC280" s="688" t="e">
        <f>(S280+T280+U280)*'1.0-Contractblad'!$K$68</f>
        <v>#VALUE!</v>
      </c>
      <c r="AD280" s="688"/>
      <c r="AE280" s="48">
        <f t="shared" si="75"/>
        <v>0</v>
      </c>
      <c r="AF280" s="48">
        <f t="shared" ref="AF280:AF344" si="81">J280*P280</f>
        <v>108.16</v>
      </c>
      <c r="AG280" s="48" t="str">
        <f t="shared" ref="AG280:AG344" si="82">CONCATENATE(L280,"-",P280)</f>
        <v>5026-26</v>
      </c>
    </row>
    <row r="281" spans="1:33" ht="12.75">
      <c r="A281" s="102"/>
      <c r="B281" s="364"/>
      <c r="C281" s="365"/>
      <c r="D281" s="676" t="s">
        <v>139</v>
      </c>
      <c r="E281" s="677" t="s">
        <v>314</v>
      </c>
      <c r="F281" s="678" t="s">
        <v>661</v>
      </c>
      <c r="G281" s="679" t="s">
        <v>405</v>
      </c>
      <c r="H281" s="679" t="str">
        <f t="shared" si="69"/>
        <v>sanitaire ruimte (toilet-/doucheruimte)</v>
      </c>
      <c r="I281" s="689" t="s">
        <v>234</v>
      </c>
      <c r="J281" s="680">
        <v>3.74</v>
      </c>
      <c r="K281" s="680"/>
      <c r="L281" s="681">
        <v>4026</v>
      </c>
      <c r="M281" s="677"/>
      <c r="N281" s="682"/>
      <c r="O281" s="682"/>
      <c r="P281" s="682">
        <f t="shared" si="76"/>
        <v>26</v>
      </c>
      <c r="Q281" s="683">
        <v>1</v>
      </c>
      <c r="R281" s="684">
        <v>1</v>
      </c>
      <c r="S281" s="685">
        <f t="shared" si="77"/>
        <v>0</v>
      </c>
      <c r="T281" s="685">
        <f t="shared" si="78"/>
        <v>0</v>
      </c>
      <c r="U281" s="685">
        <f t="shared" si="79"/>
        <v>0</v>
      </c>
      <c r="V281" s="685">
        <f t="shared" si="80"/>
        <v>0</v>
      </c>
      <c r="W281" s="686">
        <f t="shared" si="70"/>
        <v>0</v>
      </c>
      <c r="X281" s="686">
        <f t="shared" si="71"/>
        <v>0</v>
      </c>
      <c r="Y281" s="686">
        <f t="shared" si="72"/>
        <v>0</v>
      </c>
      <c r="Z281" s="686">
        <f t="shared" si="73"/>
        <v>0</v>
      </c>
      <c r="AA281" s="685" t="str">
        <f t="shared" si="74"/>
        <v>S</v>
      </c>
      <c r="AB281" s="687" t="s">
        <v>414</v>
      </c>
      <c r="AC281" s="688" t="e">
        <f>(S281+T281+U281)*'1.0-Contractblad'!$K$68</f>
        <v>#VALUE!</v>
      </c>
      <c r="AD281" s="688"/>
      <c r="AE281" s="48">
        <f t="shared" si="75"/>
        <v>0</v>
      </c>
      <c r="AF281" s="48">
        <f t="shared" si="81"/>
        <v>97.240000000000009</v>
      </c>
      <c r="AG281" s="48" t="str">
        <f t="shared" si="82"/>
        <v>4026-26</v>
      </c>
    </row>
    <row r="282" spans="1:33" ht="12.75">
      <c r="A282" s="102"/>
      <c r="B282" s="364"/>
      <c r="C282" s="365"/>
      <c r="D282" s="676" t="s">
        <v>139</v>
      </c>
      <c r="E282" s="677">
        <v>-1</v>
      </c>
      <c r="F282" s="678" t="s">
        <v>662</v>
      </c>
      <c r="G282" s="676" t="s">
        <v>663</v>
      </c>
      <c r="H282" s="679" t="str">
        <f t="shared" si="69"/>
        <v>niet van toepassing</v>
      </c>
      <c r="I282" s="689" t="s">
        <v>234</v>
      </c>
      <c r="J282" s="680"/>
      <c r="K282" s="680">
        <v>35.17</v>
      </c>
      <c r="L282" s="681" t="s">
        <v>225</v>
      </c>
      <c r="M282" s="677"/>
      <c r="N282" s="682"/>
      <c r="O282" s="682"/>
      <c r="P282" s="682">
        <f t="shared" si="76"/>
        <v>0</v>
      </c>
      <c r="Q282" s="683">
        <v>1</v>
      </c>
      <c r="R282" s="684">
        <v>1</v>
      </c>
      <c r="S282" s="685">
        <f t="shared" si="77"/>
        <v>0</v>
      </c>
      <c r="T282" s="685">
        <f t="shared" si="78"/>
        <v>0</v>
      </c>
      <c r="U282" s="685">
        <f t="shared" si="79"/>
        <v>0</v>
      </c>
      <c r="V282" s="685">
        <f t="shared" si="80"/>
        <v>0</v>
      </c>
      <c r="W282" s="686">
        <f t="shared" si="70"/>
        <v>0</v>
      </c>
      <c r="X282" s="686">
        <f t="shared" si="71"/>
        <v>0</v>
      </c>
      <c r="Y282" s="686">
        <f t="shared" si="72"/>
        <v>0</v>
      </c>
      <c r="Z282" s="686">
        <f t="shared" si="73"/>
        <v>0</v>
      </c>
      <c r="AA282" s="685">
        <f t="shared" si="74"/>
        <v>0</v>
      </c>
      <c r="AB282" s="687"/>
      <c r="AC282" s="688" t="e">
        <f>(S282+T282+U282)*'1.0-Contractblad'!$K$68</f>
        <v>#VALUE!</v>
      </c>
      <c r="AD282" s="688"/>
      <c r="AE282" s="48">
        <f t="shared" si="75"/>
        <v>0</v>
      </c>
      <c r="AF282" s="48">
        <f t="shared" si="81"/>
        <v>0</v>
      </c>
      <c r="AG282" s="48" t="str">
        <f t="shared" si="82"/>
        <v>nvt-0</v>
      </c>
    </row>
    <row r="283" spans="1:33" ht="12.75">
      <c r="A283" s="102"/>
      <c r="B283" s="364"/>
      <c r="C283" s="365"/>
      <c r="D283" s="676" t="s">
        <v>139</v>
      </c>
      <c r="E283" s="677">
        <v>-1</v>
      </c>
      <c r="F283" s="678" t="s">
        <v>664</v>
      </c>
      <c r="G283" s="679" t="s">
        <v>665</v>
      </c>
      <c r="H283" s="679" t="str">
        <f t="shared" si="69"/>
        <v>niet van toepassing</v>
      </c>
      <c r="I283" s="689" t="s">
        <v>666</v>
      </c>
      <c r="J283" s="680"/>
      <c r="K283" s="680">
        <v>12.5</v>
      </c>
      <c r="L283" s="681" t="s">
        <v>225</v>
      </c>
      <c r="M283" s="677"/>
      <c r="N283" s="682"/>
      <c r="O283" s="682"/>
      <c r="P283" s="682">
        <f t="shared" si="76"/>
        <v>0</v>
      </c>
      <c r="Q283" s="683">
        <v>1</v>
      </c>
      <c r="R283" s="684">
        <v>1</v>
      </c>
      <c r="S283" s="685">
        <f t="shared" si="77"/>
        <v>0</v>
      </c>
      <c r="T283" s="685">
        <f t="shared" si="78"/>
        <v>0</v>
      </c>
      <c r="U283" s="685">
        <f t="shared" si="79"/>
        <v>0</v>
      </c>
      <c r="V283" s="685">
        <f t="shared" si="80"/>
        <v>0</v>
      </c>
      <c r="W283" s="686">
        <f t="shared" si="70"/>
        <v>0</v>
      </c>
      <c r="X283" s="686">
        <f t="shared" si="71"/>
        <v>0</v>
      </c>
      <c r="Y283" s="686">
        <f t="shared" si="72"/>
        <v>0</v>
      </c>
      <c r="Z283" s="686">
        <f t="shared" si="73"/>
        <v>0</v>
      </c>
      <c r="AA283" s="685">
        <f t="shared" si="74"/>
        <v>0</v>
      </c>
      <c r="AB283" s="687"/>
      <c r="AC283" s="688" t="e">
        <f>(S283+T283+U283)*'1.0-Contractblad'!$K$68</f>
        <v>#VALUE!</v>
      </c>
      <c r="AD283" s="688"/>
      <c r="AE283" s="48">
        <f t="shared" si="75"/>
        <v>0</v>
      </c>
      <c r="AF283" s="48">
        <f t="shared" si="81"/>
        <v>0</v>
      </c>
      <c r="AG283" s="48" t="str">
        <f t="shared" si="82"/>
        <v>nvt-0</v>
      </c>
    </row>
    <row r="284" spans="1:33" ht="12.75">
      <c r="A284" s="102"/>
      <c r="B284" s="364"/>
      <c r="C284" s="365"/>
      <c r="D284" s="676" t="s">
        <v>142</v>
      </c>
      <c r="E284" s="677" t="s">
        <v>314</v>
      </c>
      <c r="F284" s="678" t="s">
        <v>315</v>
      </c>
      <c r="G284" s="679" t="s">
        <v>626</v>
      </c>
      <c r="H284" s="679" t="str">
        <f t="shared" si="69"/>
        <v>entree, gang, hal, repro, kopieer</v>
      </c>
      <c r="I284" s="689" t="s">
        <v>667</v>
      </c>
      <c r="J284" s="680">
        <v>5.2</v>
      </c>
      <c r="K284" s="680"/>
      <c r="L284" s="681">
        <v>3156</v>
      </c>
      <c r="M284" s="677"/>
      <c r="N284" s="682"/>
      <c r="O284" s="682"/>
      <c r="P284" s="682">
        <f t="shared" si="76"/>
        <v>156</v>
      </c>
      <c r="Q284" s="683">
        <v>1.3</v>
      </c>
      <c r="R284" s="684">
        <v>1</v>
      </c>
      <c r="S284" s="685">
        <f t="shared" si="77"/>
        <v>0</v>
      </c>
      <c r="T284" s="685">
        <f t="shared" si="78"/>
        <v>0</v>
      </c>
      <c r="U284" s="685">
        <f t="shared" si="79"/>
        <v>0</v>
      </c>
      <c r="V284" s="685">
        <f t="shared" si="80"/>
        <v>0</v>
      </c>
      <c r="W284" s="686">
        <f t="shared" si="70"/>
        <v>0</v>
      </c>
      <c r="X284" s="686">
        <f t="shared" si="71"/>
        <v>0</v>
      </c>
      <c r="Y284" s="686">
        <f t="shared" si="72"/>
        <v>0</v>
      </c>
      <c r="Z284" s="686">
        <f t="shared" si="73"/>
        <v>0</v>
      </c>
      <c r="AA284" s="685" t="str">
        <f t="shared" si="74"/>
        <v>V</v>
      </c>
      <c r="AB284" s="687"/>
      <c r="AC284" s="688" t="e">
        <f>(S284+T284+U284)*'1.0-Contractblad'!$K$68</f>
        <v>#VALUE!</v>
      </c>
      <c r="AD284" s="688"/>
      <c r="AE284" s="48">
        <f t="shared" si="75"/>
        <v>0</v>
      </c>
      <c r="AF284" s="48">
        <f t="shared" si="81"/>
        <v>811.2</v>
      </c>
      <c r="AG284" s="48" t="str">
        <f t="shared" si="82"/>
        <v>3156-156</v>
      </c>
    </row>
    <row r="285" spans="1:33" ht="12.75">
      <c r="A285" s="102"/>
      <c r="B285" s="364"/>
      <c r="C285" s="365"/>
      <c r="D285" s="676" t="s">
        <v>142</v>
      </c>
      <c r="E285" s="677" t="s">
        <v>314</v>
      </c>
      <c r="F285" s="678" t="s">
        <v>317</v>
      </c>
      <c r="G285" s="679" t="s">
        <v>668</v>
      </c>
      <c r="H285" s="679" t="str">
        <f t="shared" si="69"/>
        <v>entree, gang, hal, repro, kopieer</v>
      </c>
      <c r="I285" s="689" t="s">
        <v>238</v>
      </c>
      <c r="J285" s="680">
        <v>33.1</v>
      </c>
      <c r="K285" s="680"/>
      <c r="L285" s="692">
        <v>3156</v>
      </c>
      <c r="M285" s="677"/>
      <c r="N285" s="682"/>
      <c r="O285" s="682"/>
      <c r="P285" s="682">
        <f t="shared" si="76"/>
        <v>156</v>
      </c>
      <c r="Q285" s="683">
        <v>1.3</v>
      </c>
      <c r="R285" s="684">
        <v>1</v>
      </c>
      <c r="S285" s="685">
        <f t="shared" si="77"/>
        <v>0</v>
      </c>
      <c r="T285" s="685">
        <f t="shared" si="78"/>
        <v>0</v>
      </c>
      <c r="U285" s="685">
        <f t="shared" si="79"/>
        <v>0</v>
      </c>
      <c r="V285" s="685">
        <f t="shared" si="80"/>
        <v>0</v>
      </c>
      <c r="W285" s="686">
        <f t="shared" si="70"/>
        <v>0</v>
      </c>
      <c r="X285" s="686">
        <f t="shared" si="71"/>
        <v>0</v>
      </c>
      <c r="Y285" s="686">
        <f t="shared" si="72"/>
        <v>0</v>
      </c>
      <c r="Z285" s="686">
        <f t="shared" si="73"/>
        <v>0</v>
      </c>
      <c r="AA285" s="685" t="str">
        <f t="shared" si="74"/>
        <v>V</v>
      </c>
      <c r="AB285" s="687"/>
      <c r="AC285" s="688" t="e">
        <f>(S285+T285+U285)*'1.0-Contractblad'!$K$68</f>
        <v>#VALUE!</v>
      </c>
      <c r="AD285" s="688"/>
      <c r="AE285" s="48">
        <f t="shared" si="75"/>
        <v>0</v>
      </c>
      <c r="AF285" s="48">
        <f t="shared" si="81"/>
        <v>5163.6000000000004</v>
      </c>
      <c r="AG285" s="48" t="str">
        <f t="shared" si="82"/>
        <v>3156-156</v>
      </c>
    </row>
    <row r="286" spans="1:33" ht="12.75">
      <c r="A286" s="102"/>
      <c r="B286" s="364"/>
      <c r="C286" s="365"/>
      <c r="D286" s="676" t="s">
        <v>142</v>
      </c>
      <c r="E286" s="677" t="s">
        <v>314</v>
      </c>
      <c r="F286" s="678" t="s">
        <v>669</v>
      </c>
      <c r="G286" s="679" t="s">
        <v>670</v>
      </c>
      <c r="H286" s="679" t="str">
        <f t="shared" si="69"/>
        <v>entree, gang, hal, repro, kopieer</v>
      </c>
      <c r="I286" s="689" t="s">
        <v>246</v>
      </c>
      <c r="J286" s="680">
        <v>5</v>
      </c>
      <c r="K286" s="680"/>
      <c r="L286" s="692">
        <v>3156</v>
      </c>
      <c r="M286" s="677"/>
      <c r="N286" s="682"/>
      <c r="O286" s="682"/>
      <c r="P286" s="682">
        <f t="shared" si="76"/>
        <v>156</v>
      </c>
      <c r="Q286" s="683">
        <v>1.3</v>
      </c>
      <c r="R286" s="684">
        <v>1</v>
      </c>
      <c r="S286" s="685">
        <f t="shared" si="77"/>
        <v>0</v>
      </c>
      <c r="T286" s="685">
        <f t="shared" si="78"/>
        <v>0</v>
      </c>
      <c r="U286" s="685">
        <f t="shared" si="79"/>
        <v>0</v>
      </c>
      <c r="V286" s="685">
        <f t="shared" si="80"/>
        <v>0</v>
      </c>
      <c r="W286" s="686">
        <f t="shared" si="70"/>
        <v>0</v>
      </c>
      <c r="X286" s="686">
        <f t="shared" si="71"/>
        <v>0</v>
      </c>
      <c r="Y286" s="686">
        <f t="shared" si="72"/>
        <v>0</v>
      </c>
      <c r="Z286" s="686">
        <f t="shared" si="73"/>
        <v>0</v>
      </c>
      <c r="AA286" s="685" t="str">
        <f t="shared" si="74"/>
        <v>V</v>
      </c>
      <c r="AB286" s="687"/>
      <c r="AC286" s="688" t="e">
        <f>(S286+T286+U286)*'1.0-Contractblad'!$K$68</f>
        <v>#VALUE!</v>
      </c>
      <c r="AD286" s="688"/>
      <c r="AE286" s="48">
        <f t="shared" si="75"/>
        <v>0</v>
      </c>
      <c r="AF286" s="48">
        <f t="shared" si="81"/>
        <v>780</v>
      </c>
      <c r="AG286" s="48" t="str">
        <f t="shared" si="82"/>
        <v>3156-156</v>
      </c>
    </row>
    <row r="287" spans="1:33" ht="12.75">
      <c r="A287" s="102"/>
      <c r="B287" s="364"/>
      <c r="C287" s="365"/>
      <c r="D287" s="676" t="s">
        <v>142</v>
      </c>
      <c r="E287" s="677" t="s">
        <v>314</v>
      </c>
      <c r="F287" s="678" t="s">
        <v>671</v>
      </c>
      <c r="G287" s="679" t="s">
        <v>672</v>
      </c>
      <c r="H287" s="679" t="str">
        <f t="shared" si="69"/>
        <v>administratieve -, personeels- en vergaderruimte</v>
      </c>
      <c r="I287" s="689" t="s">
        <v>238</v>
      </c>
      <c r="J287" s="680">
        <v>38.700000000000003</v>
      </c>
      <c r="K287" s="680"/>
      <c r="L287" s="692">
        <v>1156</v>
      </c>
      <c r="M287" s="677"/>
      <c r="N287" s="682"/>
      <c r="O287" s="682"/>
      <c r="P287" s="682">
        <f t="shared" si="76"/>
        <v>156</v>
      </c>
      <c r="Q287" s="683">
        <v>1.3</v>
      </c>
      <c r="R287" s="684">
        <v>1</v>
      </c>
      <c r="S287" s="685">
        <f t="shared" si="77"/>
        <v>0</v>
      </c>
      <c r="T287" s="685">
        <f t="shared" si="78"/>
        <v>0</v>
      </c>
      <c r="U287" s="685">
        <f t="shared" si="79"/>
        <v>0</v>
      </c>
      <c r="V287" s="685">
        <f t="shared" si="80"/>
        <v>0</v>
      </c>
      <c r="W287" s="686">
        <f t="shared" si="70"/>
        <v>0</v>
      </c>
      <c r="X287" s="686">
        <f t="shared" si="71"/>
        <v>0</v>
      </c>
      <c r="Y287" s="686">
        <f t="shared" si="72"/>
        <v>0</v>
      </c>
      <c r="Z287" s="686">
        <f t="shared" si="73"/>
        <v>0</v>
      </c>
      <c r="AA287" s="685" t="str">
        <f t="shared" si="74"/>
        <v>B</v>
      </c>
      <c r="AB287" s="687"/>
      <c r="AC287" s="688" t="e">
        <f>(S287+T287+U287)*'1.0-Contractblad'!$K$68</f>
        <v>#VALUE!</v>
      </c>
      <c r="AD287" s="688"/>
      <c r="AE287" s="48">
        <f t="shared" si="75"/>
        <v>0</v>
      </c>
      <c r="AF287" s="48">
        <f t="shared" si="81"/>
        <v>6037.2000000000007</v>
      </c>
      <c r="AG287" s="48" t="str">
        <f t="shared" si="82"/>
        <v>1156-156</v>
      </c>
    </row>
    <row r="288" spans="1:33" ht="12.75">
      <c r="A288" s="102"/>
      <c r="B288" s="364"/>
      <c r="C288" s="365"/>
      <c r="D288" s="676" t="s">
        <v>142</v>
      </c>
      <c r="E288" s="677" t="s">
        <v>314</v>
      </c>
      <c r="F288" s="678" t="s">
        <v>673</v>
      </c>
      <c r="G288" s="679" t="s">
        <v>672</v>
      </c>
      <c r="H288" s="679" t="str">
        <f t="shared" ref="H288:H355" si="83">IF($L288="",0,VLOOKUP($L288,Kengetal,4,FALSE))</f>
        <v>administratieve -, personeels- en vergaderruimte</v>
      </c>
      <c r="I288" s="689" t="s">
        <v>238</v>
      </c>
      <c r="J288" s="680">
        <v>38.700000000000003</v>
      </c>
      <c r="K288" s="680"/>
      <c r="L288" s="692">
        <v>1156</v>
      </c>
      <c r="M288" s="677"/>
      <c r="N288" s="682"/>
      <c r="O288" s="682"/>
      <c r="P288" s="682">
        <f t="shared" si="76"/>
        <v>156</v>
      </c>
      <c r="Q288" s="683">
        <v>1.3</v>
      </c>
      <c r="R288" s="684">
        <v>1</v>
      </c>
      <c r="S288" s="685">
        <f t="shared" si="77"/>
        <v>0</v>
      </c>
      <c r="T288" s="685">
        <f t="shared" si="78"/>
        <v>0</v>
      </c>
      <c r="U288" s="685">
        <f t="shared" si="79"/>
        <v>0</v>
      </c>
      <c r="V288" s="685">
        <f t="shared" si="80"/>
        <v>0</v>
      </c>
      <c r="W288" s="686">
        <f t="shared" si="70"/>
        <v>0</v>
      </c>
      <c r="X288" s="686">
        <f t="shared" si="71"/>
        <v>0</v>
      </c>
      <c r="Y288" s="686">
        <f t="shared" si="72"/>
        <v>0</v>
      </c>
      <c r="Z288" s="686">
        <f t="shared" si="73"/>
        <v>0</v>
      </c>
      <c r="AA288" s="685" t="str">
        <f t="shared" si="74"/>
        <v>B</v>
      </c>
      <c r="AB288" s="687"/>
      <c r="AC288" s="688" t="e">
        <f>(S288+T288+U288)*'1.0-Contractblad'!$K$68</f>
        <v>#VALUE!</v>
      </c>
      <c r="AD288" s="688"/>
      <c r="AE288" s="48">
        <f t="shared" si="75"/>
        <v>0</v>
      </c>
      <c r="AF288" s="48">
        <f t="shared" si="81"/>
        <v>6037.2000000000007</v>
      </c>
      <c r="AG288" s="48" t="str">
        <f t="shared" si="82"/>
        <v>1156-156</v>
      </c>
    </row>
    <row r="289" spans="1:33" ht="12.75">
      <c r="A289" s="102"/>
      <c r="B289" s="364"/>
      <c r="C289" s="365"/>
      <c r="D289" s="676" t="s">
        <v>142</v>
      </c>
      <c r="E289" s="677" t="s">
        <v>314</v>
      </c>
      <c r="F289" s="678" t="s">
        <v>323</v>
      </c>
      <c r="G289" s="679" t="s">
        <v>674</v>
      </c>
      <c r="H289" s="679" t="str">
        <f t="shared" si="83"/>
        <v>niet van toepassing</v>
      </c>
      <c r="I289" s="689" t="s">
        <v>238</v>
      </c>
      <c r="J289" s="680"/>
      <c r="K289" s="680">
        <v>16</v>
      </c>
      <c r="L289" s="692" t="s">
        <v>225</v>
      </c>
      <c r="M289" s="677"/>
      <c r="N289" s="682"/>
      <c r="O289" s="682"/>
      <c r="P289" s="682">
        <f t="shared" si="76"/>
        <v>0</v>
      </c>
      <c r="Q289" s="683">
        <v>1.3</v>
      </c>
      <c r="R289" s="684">
        <v>1</v>
      </c>
      <c r="S289" s="685">
        <f t="shared" si="77"/>
        <v>0</v>
      </c>
      <c r="T289" s="685">
        <f t="shared" si="78"/>
        <v>0</v>
      </c>
      <c r="U289" s="685">
        <f t="shared" si="79"/>
        <v>0</v>
      </c>
      <c r="V289" s="685">
        <f t="shared" si="80"/>
        <v>0</v>
      </c>
      <c r="W289" s="686">
        <f t="shared" si="70"/>
        <v>0</v>
      </c>
      <c r="X289" s="686">
        <f t="shared" si="71"/>
        <v>0</v>
      </c>
      <c r="Y289" s="686">
        <f t="shared" si="72"/>
        <v>0</v>
      </c>
      <c r="Z289" s="686">
        <f t="shared" si="73"/>
        <v>0</v>
      </c>
      <c r="AA289" s="685">
        <f t="shared" si="74"/>
        <v>0</v>
      </c>
      <c r="AB289" s="687"/>
      <c r="AC289" s="688" t="e">
        <f>(S289+T289+U289)*'1.0-Contractblad'!$K$68</f>
        <v>#VALUE!</v>
      </c>
      <c r="AD289" s="688"/>
      <c r="AE289" s="48">
        <f t="shared" si="75"/>
        <v>0</v>
      </c>
      <c r="AF289" s="48">
        <f t="shared" si="81"/>
        <v>0</v>
      </c>
      <c r="AG289" s="48" t="str">
        <f t="shared" si="82"/>
        <v>nvt-0</v>
      </c>
    </row>
    <row r="290" spans="1:33" ht="12.75">
      <c r="A290" s="102"/>
      <c r="B290" s="364"/>
      <c r="C290" s="365"/>
      <c r="D290" s="676" t="s">
        <v>142</v>
      </c>
      <c r="E290" s="677" t="s">
        <v>314</v>
      </c>
      <c r="F290" s="678" t="s">
        <v>325</v>
      </c>
      <c r="G290" s="676" t="s">
        <v>383</v>
      </c>
      <c r="H290" s="679" t="str">
        <f t="shared" si="83"/>
        <v>labruimte</v>
      </c>
      <c r="I290" s="689" t="s">
        <v>238</v>
      </c>
      <c r="J290" s="680">
        <v>18.899999999999999</v>
      </c>
      <c r="K290" s="680"/>
      <c r="L290" s="692">
        <v>8156</v>
      </c>
      <c r="M290" s="677"/>
      <c r="N290" s="682"/>
      <c r="O290" s="682"/>
      <c r="P290" s="682">
        <f t="shared" si="76"/>
        <v>156</v>
      </c>
      <c r="Q290" s="683">
        <v>1.3</v>
      </c>
      <c r="R290" s="684">
        <v>1</v>
      </c>
      <c r="S290" s="685">
        <f t="shared" si="77"/>
        <v>0</v>
      </c>
      <c r="T290" s="685">
        <f t="shared" si="78"/>
        <v>0</v>
      </c>
      <c r="U290" s="685">
        <f t="shared" si="79"/>
        <v>0</v>
      </c>
      <c r="V290" s="685">
        <f t="shared" si="80"/>
        <v>0</v>
      </c>
      <c r="W290" s="686">
        <f t="shared" si="70"/>
        <v>0</v>
      </c>
      <c r="X290" s="686">
        <f t="shared" si="71"/>
        <v>0</v>
      </c>
      <c r="Y290" s="686">
        <f t="shared" si="72"/>
        <v>0</v>
      </c>
      <c r="Z290" s="686">
        <f t="shared" si="73"/>
        <v>0</v>
      </c>
      <c r="AA290" s="685" t="str">
        <f t="shared" si="74"/>
        <v>V</v>
      </c>
      <c r="AB290" s="687"/>
      <c r="AC290" s="688" t="e">
        <f>(S290+T290+U290)*'1.0-Contractblad'!$K$68</f>
        <v>#VALUE!</v>
      </c>
      <c r="AD290" s="688"/>
      <c r="AE290" s="48">
        <f t="shared" si="75"/>
        <v>0</v>
      </c>
      <c r="AF290" s="48">
        <f t="shared" si="81"/>
        <v>2948.3999999999996</v>
      </c>
      <c r="AG290" s="48" t="str">
        <f t="shared" si="82"/>
        <v>8156-156</v>
      </c>
    </row>
    <row r="291" spans="1:33" ht="12.75">
      <c r="A291" s="102"/>
      <c r="B291" s="364"/>
      <c r="C291" s="365"/>
      <c r="D291" s="676" t="s">
        <v>142</v>
      </c>
      <c r="E291" s="677" t="s">
        <v>314</v>
      </c>
      <c r="F291" s="678" t="s">
        <v>327</v>
      </c>
      <c r="G291" s="676" t="s">
        <v>675</v>
      </c>
      <c r="H291" s="679" t="str">
        <f t="shared" si="83"/>
        <v>entree, gang, hal, repro, kopieer</v>
      </c>
      <c r="I291" s="689" t="s">
        <v>238</v>
      </c>
      <c r="J291" s="680">
        <v>3.9</v>
      </c>
      <c r="K291" s="680"/>
      <c r="L291" s="692">
        <v>3156</v>
      </c>
      <c r="M291" s="677"/>
      <c r="N291" s="682"/>
      <c r="O291" s="682"/>
      <c r="P291" s="682">
        <f t="shared" si="76"/>
        <v>156</v>
      </c>
      <c r="Q291" s="683">
        <v>1.3</v>
      </c>
      <c r="R291" s="684">
        <v>1</v>
      </c>
      <c r="S291" s="685">
        <f t="shared" si="77"/>
        <v>0</v>
      </c>
      <c r="T291" s="685">
        <f t="shared" si="78"/>
        <v>0</v>
      </c>
      <c r="U291" s="685">
        <f t="shared" si="79"/>
        <v>0</v>
      </c>
      <c r="V291" s="685">
        <f t="shared" si="80"/>
        <v>0</v>
      </c>
      <c r="W291" s="686">
        <f t="shared" si="70"/>
        <v>0</v>
      </c>
      <c r="X291" s="686">
        <f t="shared" si="71"/>
        <v>0</v>
      </c>
      <c r="Y291" s="686">
        <f t="shared" si="72"/>
        <v>0</v>
      </c>
      <c r="Z291" s="686">
        <f t="shared" si="73"/>
        <v>0</v>
      </c>
      <c r="AA291" s="685" t="str">
        <f t="shared" si="74"/>
        <v>V</v>
      </c>
      <c r="AB291" s="687"/>
      <c r="AC291" s="688" t="e">
        <f>(S291+T291+U291)*'1.0-Contractblad'!$K$68</f>
        <v>#VALUE!</v>
      </c>
      <c r="AD291" s="688"/>
      <c r="AE291" s="48">
        <f t="shared" si="75"/>
        <v>0</v>
      </c>
      <c r="AF291" s="48">
        <f t="shared" si="81"/>
        <v>608.4</v>
      </c>
      <c r="AG291" s="48" t="str">
        <f t="shared" si="82"/>
        <v>3156-156</v>
      </c>
    </row>
    <row r="292" spans="1:33" ht="12.75">
      <c r="A292" s="102"/>
      <c r="B292" s="364"/>
      <c r="C292" s="365"/>
      <c r="D292" s="676" t="s">
        <v>142</v>
      </c>
      <c r="E292" s="677" t="s">
        <v>314</v>
      </c>
      <c r="F292" s="678" t="s">
        <v>330</v>
      </c>
      <c r="G292" s="679" t="s">
        <v>478</v>
      </c>
      <c r="H292" s="679" t="str">
        <f t="shared" si="83"/>
        <v>kleedruimten</v>
      </c>
      <c r="I292" s="689" t="s">
        <v>267</v>
      </c>
      <c r="J292" s="680">
        <v>10.199999999999999</v>
      </c>
      <c r="K292" s="680"/>
      <c r="L292" s="692">
        <v>10156</v>
      </c>
      <c r="M292" s="677"/>
      <c r="N292" s="682"/>
      <c r="O292" s="682"/>
      <c r="P292" s="682">
        <f t="shared" si="76"/>
        <v>156</v>
      </c>
      <c r="Q292" s="683">
        <v>1.3</v>
      </c>
      <c r="R292" s="684">
        <v>1</v>
      </c>
      <c r="S292" s="685">
        <f t="shared" si="77"/>
        <v>0</v>
      </c>
      <c r="T292" s="685">
        <f t="shared" si="78"/>
        <v>0</v>
      </c>
      <c r="U292" s="685">
        <f t="shared" si="79"/>
        <v>0</v>
      </c>
      <c r="V292" s="685">
        <f t="shared" si="80"/>
        <v>0</v>
      </c>
      <c r="W292" s="686">
        <f t="shared" si="70"/>
        <v>0</v>
      </c>
      <c r="X292" s="686">
        <f t="shared" si="71"/>
        <v>0</v>
      </c>
      <c r="Y292" s="686">
        <f t="shared" si="72"/>
        <v>0</v>
      </c>
      <c r="Z292" s="686">
        <f t="shared" si="73"/>
        <v>0</v>
      </c>
      <c r="AA292" s="685" t="str">
        <f t="shared" si="74"/>
        <v>V</v>
      </c>
      <c r="AB292" s="687"/>
      <c r="AC292" s="688" t="e">
        <f>(S292+T292+U292)*'1.0-Contractblad'!$K$68</f>
        <v>#VALUE!</v>
      </c>
      <c r="AD292" s="688"/>
      <c r="AE292" s="48">
        <f t="shared" si="75"/>
        <v>0</v>
      </c>
      <c r="AF292" s="48">
        <f t="shared" si="81"/>
        <v>1591.1999999999998</v>
      </c>
      <c r="AG292" s="48" t="str">
        <f t="shared" si="82"/>
        <v>10156-156</v>
      </c>
    </row>
    <row r="293" spans="1:33" ht="12.75">
      <c r="A293" s="102"/>
      <c r="B293" s="364"/>
      <c r="C293" s="365"/>
      <c r="D293" s="676" t="s">
        <v>142</v>
      </c>
      <c r="E293" s="677" t="s">
        <v>314</v>
      </c>
      <c r="F293" s="678" t="s">
        <v>676</v>
      </c>
      <c r="G293" s="676" t="s">
        <v>479</v>
      </c>
      <c r="H293" s="679" t="str">
        <f t="shared" si="83"/>
        <v>sanitaire ruimte (toilet-/doucheruimte)</v>
      </c>
      <c r="I293" s="689" t="s">
        <v>267</v>
      </c>
      <c r="J293" s="680">
        <v>1.3</v>
      </c>
      <c r="K293" s="680"/>
      <c r="L293" s="692">
        <v>4156</v>
      </c>
      <c r="M293" s="677"/>
      <c r="N293" s="682"/>
      <c r="O293" s="682"/>
      <c r="P293" s="682">
        <f t="shared" si="76"/>
        <v>156</v>
      </c>
      <c r="Q293" s="683">
        <v>1.3</v>
      </c>
      <c r="R293" s="684">
        <v>1</v>
      </c>
      <c r="S293" s="685">
        <f t="shared" si="77"/>
        <v>0</v>
      </c>
      <c r="T293" s="685">
        <f t="shared" si="78"/>
        <v>0</v>
      </c>
      <c r="U293" s="685">
        <f t="shared" si="79"/>
        <v>0</v>
      </c>
      <c r="V293" s="685">
        <f t="shared" si="80"/>
        <v>0</v>
      </c>
      <c r="W293" s="686">
        <f t="shared" si="70"/>
        <v>0</v>
      </c>
      <c r="X293" s="686">
        <f t="shared" si="71"/>
        <v>0</v>
      </c>
      <c r="Y293" s="686">
        <f t="shared" si="72"/>
        <v>0</v>
      </c>
      <c r="Z293" s="686">
        <f t="shared" si="73"/>
        <v>0</v>
      </c>
      <c r="AA293" s="685" t="str">
        <f t="shared" si="74"/>
        <v>S</v>
      </c>
      <c r="AB293" s="687"/>
      <c r="AC293" s="688" t="e">
        <f>(S293+T293+U293)*'1.0-Contractblad'!$K$68</f>
        <v>#VALUE!</v>
      </c>
      <c r="AD293" s="688"/>
      <c r="AE293" s="48">
        <f t="shared" si="75"/>
        <v>0</v>
      </c>
      <c r="AF293" s="48">
        <f t="shared" si="81"/>
        <v>202.8</v>
      </c>
      <c r="AG293" s="48" t="str">
        <f t="shared" si="82"/>
        <v>4156-156</v>
      </c>
    </row>
    <row r="294" spans="1:33" ht="12.75">
      <c r="A294" s="102"/>
      <c r="B294" s="364"/>
      <c r="C294" s="365"/>
      <c r="D294" s="676" t="s">
        <v>142</v>
      </c>
      <c r="E294" s="677" t="s">
        <v>314</v>
      </c>
      <c r="F294" s="678" t="s">
        <v>677</v>
      </c>
      <c r="G294" s="676" t="s">
        <v>678</v>
      </c>
      <c r="H294" s="679" t="str">
        <f t="shared" si="83"/>
        <v>sanitaire ruimte (toilet-/doucheruimte)</v>
      </c>
      <c r="I294" s="689" t="s">
        <v>267</v>
      </c>
      <c r="J294" s="680">
        <v>2.9</v>
      </c>
      <c r="K294" s="680"/>
      <c r="L294" s="692">
        <v>4156</v>
      </c>
      <c r="M294" s="677"/>
      <c r="N294" s="682"/>
      <c r="O294" s="682"/>
      <c r="P294" s="682">
        <f t="shared" si="76"/>
        <v>156</v>
      </c>
      <c r="Q294" s="683">
        <v>1.3</v>
      </c>
      <c r="R294" s="684">
        <v>1</v>
      </c>
      <c r="S294" s="685">
        <f t="shared" si="77"/>
        <v>0</v>
      </c>
      <c r="T294" s="685">
        <f t="shared" si="78"/>
        <v>0</v>
      </c>
      <c r="U294" s="685">
        <f t="shared" si="79"/>
        <v>0</v>
      </c>
      <c r="V294" s="685">
        <f t="shared" si="80"/>
        <v>0</v>
      </c>
      <c r="W294" s="686">
        <f t="shared" si="70"/>
        <v>0</v>
      </c>
      <c r="X294" s="686">
        <f t="shared" si="71"/>
        <v>0</v>
      </c>
      <c r="Y294" s="686">
        <f t="shared" si="72"/>
        <v>0</v>
      </c>
      <c r="Z294" s="686">
        <f t="shared" si="73"/>
        <v>0</v>
      </c>
      <c r="AA294" s="685" t="str">
        <f t="shared" si="74"/>
        <v>S</v>
      </c>
      <c r="AB294" s="687"/>
      <c r="AC294" s="688" t="e">
        <f>(S294+T294+U294)*'1.0-Contractblad'!$K$68</f>
        <v>#VALUE!</v>
      </c>
      <c r="AD294" s="688"/>
      <c r="AE294" s="48">
        <f t="shared" si="75"/>
        <v>0</v>
      </c>
      <c r="AF294" s="48">
        <f t="shared" si="81"/>
        <v>452.4</v>
      </c>
      <c r="AG294" s="48" t="str">
        <f t="shared" si="82"/>
        <v>4156-156</v>
      </c>
    </row>
    <row r="295" spans="1:33" ht="12.75">
      <c r="A295" s="102"/>
      <c r="B295" s="364"/>
      <c r="C295" s="365"/>
      <c r="D295" s="676" t="s">
        <v>142</v>
      </c>
      <c r="E295" s="677" t="s">
        <v>314</v>
      </c>
      <c r="F295" s="678" t="s">
        <v>332</v>
      </c>
      <c r="G295" s="676" t="s">
        <v>479</v>
      </c>
      <c r="H295" s="679" t="str">
        <f t="shared" si="83"/>
        <v>sanitaire ruimte (toilet-/doucheruimte)</v>
      </c>
      <c r="I295" s="689" t="s">
        <v>267</v>
      </c>
      <c r="J295" s="680">
        <v>1.3</v>
      </c>
      <c r="K295" s="680"/>
      <c r="L295" s="692">
        <v>4156</v>
      </c>
      <c r="M295" s="677"/>
      <c r="N295" s="682"/>
      <c r="O295" s="682"/>
      <c r="P295" s="682">
        <f t="shared" si="76"/>
        <v>156</v>
      </c>
      <c r="Q295" s="683">
        <v>1.3</v>
      </c>
      <c r="R295" s="684">
        <v>1</v>
      </c>
      <c r="S295" s="685">
        <f t="shared" si="77"/>
        <v>0</v>
      </c>
      <c r="T295" s="685">
        <f t="shared" si="78"/>
        <v>0</v>
      </c>
      <c r="U295" s="685">
        <f t="shared" si="79"/>
        <v>0</v>
      </c>
      <c r="V295" s="685">
        <f t="shared" si="80"/>
        <v>0</v>
      </c>
      <c r="W295" s="686">
        <f t="shared" si="70"/>
        <v>0</v>
      </c>
      <c r="X295" s="686">
        <f t="shared" si="71"/>
        <v>0</v>
      </c>
      <c r="Y295" s="686">
        <f t="shared" si="72"/>
        <v>0</v>
      </c>
      <c r="Z295" s="686">
        <f t="shared" si="73"/>
        <v>0</v>
      </c>
      <c r="AA295" s="685" t="str">
        <f t="shared" si="74"/>
        <v>S</v>
      </c>
      <c r="AB295" s="687"/>
      <c r="AC295" s="688" t="e">
        <f>(S295+T295+U295)*'1.0-Contractblad'!$K$68</f>
        <v>#VALUE!</v>
      </c>
      <c r="AD295" s="688"/>
      <c r="AE295" s="48">
        <f t="shared" si="75"/>
        <v>0</v>
      </c>
      <c r="AF295" s="48">
        <f t="shared" si="81"/>
        <v>202.8</v>
      </c>
      <c r="AG295" s="48" t="str">
        <f t="shared" si="82"/>
        <v>4156-156</v>
      </c>
    </row>
    <row r="296" spans="1:33" ht="12.75">
      <c r="A296" s="102"/>
      <c r="B296" s="364"/>
      <c r="C296" s="365"/>
      <c r="D296" s="676" t="s">
        <v>142</v>
      </c>
      <c r="E296" s="677" t="s">
        <v>314</v>
      </c>
      <c r="F296" s="678" t="s">
        <v>334</v>
      </c>
      <c r="G296" s="679" t="s">
        <v>480</v>
      </c>
      <c r="H296" s="679" t="str">
        <f t="shared" si="83"/>
        <v>sanitaire ruimte (toilet-/doucheruimte)</v>
      </c>
      <c r="I296" s="689" t="s">
        <v>267</v>
      </c>
      <c r="J296" s="680">
        <v>2.8</v>
      </c>
      <c r="K296" s="680"/>
      <c r="L296" s="692">
        <v>4156</v>
      </c>
      <c r="M296" s="677"/>
      <c r="N296" s="682"/>
      <c r="O296" s="682"/>
      <c r="P296" s="682">
        <f t="shared" si="76"/>
        <v>156</v>
      </c>
      <c r="Q296" s="683">
        <v>1.3</v>
      </c>
      <c r="R296" s="684">
        <v>1</v>
      </c>
      <c r="S296" s="685">
        <f t="shared" si="77"/>
        <v>0</v>
      </c>
      <c r="T296" s="685">
        <f t="shared" si="78"/>
        <v>0</v>
      </c>
      <c r="U296" s="685">
        <f t="shared" si="79"/>
        <v>0</v>
      </c>
      <c r="V296" s="685">
        <f t="shared" si="80"/>
        <v>0</v>
      </c>
      <c r="W296" s="686">
        <f t="shared" si="70"/>
        <v>0</v>
      </c>
      <c r="X296" s="686">
        <f t="shared" si="71"/>
        <v>0</v>
      </c>
      <c r="Y296" s="686">
        <f t="shared" si="72"/>
        <v>0</v>
      </c>
      <c r="Z296" s="686">
        <f t="shared" si="73"/>
        <v>0</v>
      </c>
      <c r="AA296" s="685" t="str">
        <f t="shared" si="74"/>
        <v>S</v>
      </c>
      <c r="AB296" s="687"/>
      <c r="AC296" s="688" t="e">
        <f>(S296+T296+U296)*'1.0-Contractblad'!$K$68</f>
        <v>#VALUE!</v>
      </c>
      <c r="AD296" s="688"/>
      <c r="AE296" s="48">
        <f t="shared" si="75"/>
        <v>0</v>
      </c>
      <c r="AF296" s="48">
        <f t="shared" si="81"/>
        <v>436.79999999999995</v>
      </c>
      <c r="AG296" s="48" t="str">
        <f t="shared" si="82"/>
        <v>4156-156</v>
      </c>
    </row>
    <row r="297" spans="1:33" ht="12.75">
      <c r="A297" s="102"/>
      <c r="B297" s="364"/>
      <c r="C297" s="365"/>
      <c r="D297" s="676" t="s">
        <v>142</v>
      </c>
      <c r="E297" s="677" t="s">
        <v>314</v>
      </c>
      <c r="F297" s="678" t="s">
        <v>391</v>
      </c>
      <c r="G297" s="679" t="s">
        <v>679</v>
      </c>
      <c r="H297" s="679" t="str">
        <f t="shared" si="83"/>
        <v>niet van toepassing</v>
      </c>
      <c r="I297" s="689" t="s">
        <v>267</v>
      </c>
      <c r="J297" s="680"/>
      <c r="K297" s="680">
        <v>22.7</v>
      </c>
      <c r="L297" s="692" t="s">
        <v>225</v>
      </c>
      <c r="M297" s="677"/>
      <c r="N297" s="682"/>
      <c r="O297" s="682"/>
      <c r="P297" s="682">
        <f t="shared" si="76"/>
        <v>0</v>
      </c>
      <c r="Q297" s="683">
        <v>1.3</v>
      </c>
      <c r="R297" s="684">
        <v>1</v>
      </c>
      <c r="S297" s="685">
        <f t="shared" si="77"/>
        <v>0</v>
      </c>
      <c r="T297" s="685">
        <f t="shared" si="78"/>
        <v>0</v>
      </c>
      <c r="U297" s="685">
        <f t="shared" si="79"/>
        <v>0</v>
      </c>
      <c r="V297" s="685">
        <f t="shared" si="80"/>
        <v>0</v>
      </c>
      <c r="W297" s="686">
        <f t="shared" si="70"/>
        <v>0</v>
      </c>
      <c r="X297" s="686">
        <f t="shared" si="71"/>
        <v>0</v>
      </c>
      <c r="Y297" s="686">
        <f t="shared" si="72"/>
        <v>0</v>
      </c>
      <c r="Z297" s="686">
        <f t="shared" si="73"/>
        <v>0</v>
      </c>
      <c r="AA297" s="685">
        <f t="shared" si="74"/>
        <v>0</v>
      </c>
      <c r="AB297" s="687"/>
      <c r="AC297" s="688" t="e">
        <f>(S297+T297+U297)*'1.0-Contractblad'!$K$68</f>
        <v>#VALUE!</v>
      </c>
      <c r="AD297" s="688"/>
      <c r="AE297" s="48">
        <f t="shared" si="75"/>
        <v>0</v>
      </c>
      <c r="AF297" s="48">
        <f t="shared" si="81"/>
        <v>0</v>
      </c>
      <c r="AG297" s="48" t="str">
        <f t="shared" si="82"/>
        <v>nvt-0</v>
      </c>
    </row>
    <row r="298" spans="1:33" ht="12.75">
      <c r="A298" s="102"/>
      <c r="B298" s="364"/>
      <c r="C298" s="365"/>
      <c r="D298" s="676" t="s">
        <v>142</v>
      </c>
      <c r="E298" s="677" t="s">
        <v>314</v>
      </c>
      <c r="F298" s="678" t="s">
        <v>342</v>
      </c>
      <c r="G298" s="676" t="s">
        <v>397</v>
      </c>
      <c r="H298" s="679" t="str">
        <f t="shared" si="83"/>
        <v>entree, gang, hal, repro, kopieer</v>
      </c>
      <c r="I298" s="689" t="s">
        <v>267</v>
      </c>
      <c r="J298" s="680">
        <v>5</v>
      </c>
      <c r="K298" s="680"/>
      <c r="L298" s="692">
        <v>3156</v>
      </c>
      <c r="M298" s="677"/>
      <c r="N298" s="682"/>
      <c r="O298" s="682"/>
      <c r="P298" s="682">
        <f t="shared" si="76"/>
        <v>156</v>
      </c>
      <c r="Q298" s="683">
        <v>1.3</v>
      </c>
      <c r="R298" s="684">
        <v>1</v>
      </c>
      <c r="S298" s="685">
        <f t="shared" si="77"/>
        <v>0</v>
      </c>
      <c r="T298" s="685">
        <f t="shared" si="78"/>
        <v>0</v>
      </c>
      <c r="U298" s="685">
        <f t="shared" si="79"/>
        <v>0</v>
      </c>
      <c r="V298" s="685">
        <f t="shared" si="80"/>
        <v>0</v>
      </c>
      <c r="W298" s="686">
        <f t="shared" si="70"/>
        <v>0</v>
      </c>
      <c r="X298" s="686">
        <f t="shared" si="71"/>
        <v>0</v>
      </c>
      <c r="Y298" s="686">
        <f t="shared" si="72"/>
        <v>0</v>
      </c>
      <c r="Z298" s="686">
        <f t="shared" si="73"/>
        <v>0</v>
      </c>
      <c r="AA298" s="685" t="str">
        <f t="shared" si="74"/>
        <v>V</v>
      </c>
      <c r="AB298" s="687"/>
      <c r="AC298" s="688" t="e">
        <f>(S298+T298+U298)*'1.0-Contractblad'!$K$68</f>
        <v>#VALUE!</v>
      </c>
      <c r="AD298" s="688"/>
      <c r="AE298" s="48">
        <f t="shared" si="75"/>
        <v>0</v>
      </c>
      <c r="AF298" s="48">
        <f t="shared" si="81"/>
        <v>780</v>
      </c>
      <c r="AG298" s="48" t="str">
        <f t="shared" si="82"/>
        <v>3156-156</v>
      </c>
    </row>
    <row r="299" spans="1:33" ht="12.75">
      <c r="A299" s="102"/>
      <c r="B299" s="364"/>
      <c r="C299" s="365"/>
      <c r="D299" s="676" t="s">
        <v>142</v>
      </c>
      <c r="E299" s="677" t="s">
        <v>314</v>
      </c>
      <c r="F299" s="678" t="s">
        <v>394</v>
      </c>
      <c r="G299" s="679" t="s">
        <v>452</v>
      </c>
      <c r="H299" s="679" t="str">
        <f t="shared" si="83"/>
        <v>niet van toepassing</v>
      </c>
      <c r="I299" s="689"/>
      <c r="J299" s="680"/>
      <c r="K299" s="680">
        <v>30.7</v>
      </c>
      <c r="L299" s="692" t="s">
        <v>225</v>
      </c>
      <c r="M299" s="677"/>
      <c r="N299" s="682"/>
      <c r="O299" s="682"/>
      <c r="P299" s="682">
        <f t="shared" si="76"/>
        <v>0</v>
      </c>
      <c r="Q299" s="683">
        <v>1.3</v>
      </c>
      <c r="R299" s="684">
        <v>1</v>
      </c>
      <c r="S299" s="685">
        <f t="shared" si="77"/>
        <v>0</v>
      </c>
      <c r="T299" s="685">
        <f t="shared" si="78"/>
        <v>0</v>
      </c>
      <c r="U299" s="685">
        <f t="shared" si="79"/>
        <v>0</v>
      </c>
      <c r="V299" s="685">
        <f t="shared" si="80"/>
        <v>0</v>
      </c>
      <c r="W299" s="686">
        <f t="shared" si="70"/>
        <v>0</v>
      </c>
      <c r="X299" s="686">
        <f t="shared" si="71"/>
        <v>0</v>
      </c>
      <c r="Y299" s="686">
        <f t="shared" si="72"/>
        <v>0</v>
      </c>
      <c r="Z299" s="686">
        <f t="shared" si="73"/>
        <v>0</v>
      </c>
      <c r="AA299" s="685">
        <f t="shared" si="74"/>
        <v>0</v>
      </c>
      <c r="AB299" s="687"/>
      <c r="AC299" s="688" t="e">
        <f>(S299+T299+U299)*'1.0-Contractblad'!$K$68</f>
        <v>#VALUE!</v>
      </c>
      <c r="AD299" s="688"/>
      <c r="AE299" s="48">
        <f t="shared" si="75"/>
        <v>0</v>
      </c>
      <c r="AF299" s="48">
        <f t="shared" si="81"/>
        <v>0</v>
      </c>
      <c r="AG299" s="48" t="str">
        <f t="shared" si="82"/>
        <v>nvt-0</v>
      </c>
    </row>
    <row r="300" spans="1:33" ht="12.75">
      <c r="A300" s="102"/>
      <c r="B300" s="364"/>
      <c r="C300" s="365"/>
      <c r="D300" s="676" t="s">
        <v>142</v>
      </c>
      <c r="E300" s="677" t="s">
        <v>314</v>
      </c>
      <c r="F300" s="678" t="s">
        <v>348</v>
      </c>
      <c r="G300" s="679" t="s">
        <v>680</v>
      </c>
      <c r="H300" s="679" t="str">
        <f t="shared" si="83"/>
        <v>niet van toepassing</v>
      </c>
      <c r="I300" s="689" t="s">
        <v>267</v>
      </c>
      <c r="J300" s="680"/>
      <c r="K300" s="680">
        <v>10.199999999999999</v>
      </c>
      <c r="L300" s="692" t="s">
        <v>225</v>
      </c>
      <c r="M300" s="677"/>
      <c r="N300" s="682"/>
      <c r="O300" s="682"/>
      <c r="P300" s="682">
        <f t="shared" si="76"/>
        <v>0</v>
      </c>
      <c r="Q300" s="683">
        <v>1.3</v>
      </c>
      <c r="R300" s="684">
        <v>1</v>
      </c>
      <c r="S300" s="685">
        <f t="shared" si="77"/>
        <v>0</v>
      </c>
      <c r="T300" s="685">
        <f t="shared" si="78"/>
        <v>0</v>
      </c>
      <c r="U300" s="685">
        <f t="shared" si="79"/>
        <v>0</v>
      </c>
      <c r="V300" s="685">
        <f t="shared" si="80"/>
        <v>0</v>
      </c>
      <c r="W300" s="686">
        <f t="shared" si="70"/>
        <v>0</v>
      </c>
      <c r="X300" s="686">
        <f t="shared" si="71"/>
        <v>0</v>
      </c>
      <c r="Y300" s="686">
        <f t="shared" si="72"/>
        <v>0</v>
      </c>
      <c r="Z300" s="686">
        <f t="shared" si="73"/>
        <v>0</v>
      </c>
      <c r="AA300" s="685">
        <f t="shared" si="74"/>
        <v>0</v>
      </c>
      <c r="AB300" s="687"/>
      <c r="AC300" s="688" t="e">
        <f>(S300+T300+U300)*'1.0-Contractblad'!$K$68</f>
        <v>#VALUE!</v>
      </c>
      <c r="AD300" s="688"/>
      <c r="AE300" s="48">
        <f t="shared" si="75"/>
        <v>0</v>
      </c>
      <c r="AF300" s="48">
        <f t="shared" si="81"/>
        <v>0</v>
      </c>
      <c r="AG300" s="48" t="str">
        <f t="shared" si="82"/>
        <v>nvt-0</v>
      </c>
    </row>
    <row r="301" spans="1:33" ht="12.75">
      <c r="A301" s="102"/>
      <c r="B301" s="364"/>
      <c r="C301" s="365"/>
      <c r="D301" s="676" t="s">
        <v>142</v>
      </c>
      <c r="E301" s="677" t="s">
        <v>314</v>
      </c>
      <c r="F301" s="678" t="s">
        <v>681</v>
      </c>
      <c r="G301" s="679" t="s">
        <v>682</v>
      </c>
      <c r="H301" s="679" t="str">
        <f t="shared" si="83"/>
        <v>kleedruimten</v>
      </c>
      <c r="I301" s="689" t="s">
        <v>267</v>
      </c>
      <c r="J301" s="680">
        <v>20</v>
      </c>
      <c r="K301" s="680"/>
      <c r="L301" s="692">
        <v>10156</v>
      </c>
      <c r="M301" s="677"/>
      <c r="N301" s="682"/>
      <c r="O301" s="682"/>
      <c r="P301" s="682">
        <f t="shared" si="76"/>
        <v>156</v>
      </c>
      <c r="Q301" s="683">
        <v>1.3</v>
      </c>
      <c r="R301" s="684">
        <v>1</v>
      </c>
      <c r="S301" s="685">
        <f t="shared" si="77"/>
        <v>0</v>
      </c>
      <c r="T301" s="685">
        <f t="shared" si="78"/>
        <v>0</v>
      </c>
      <c r="U301" s="685">
        <f t="shared" si="79"/>
        <v>0</v>
      </c>
      <c r="V301" s="685">
        <f t="shared" si="80"/>
        <v>0</v>
      </c>
      <c r="W301" s="686">
        <f t="shared" si="70"/>
        <v>0</v>
      </c>
      <c r="X301" s="686">
        <f t="shared" si="71"/>
        <v>0</v>
      </c>
      <c r="Y301" s="686">
        <f t="shared" si="72"/>
        <v>0</v>
      </c>
      <c r="Z301" s="686">
        <f t="shared" si="73"/>
        <v>0</v>
      </c>
      <c r="AA301" s="685" t="str">
        <f t="shared" si="74"/>
        <v>V</v>
      </c>
      <c r="AB301" s="687"/>
      <c r="AC301" s="688" t="e">
        <f>(S301+T301+U301)*'1.0-Contractblad'!$K$68</f>
        <v>#VALUE!</v>
      </c>
      <c r="AD301" s="688"/>
      <c r="AE301" s="48">
        <f t="shared" si="75"/>
        <v>0</v>
      </c>
      <c r="AF301" s="48">
        <f t="shared" si="81"/>
        <v>3120</v>
      </c>
      <c r="AG301" s="48" t="str">
        <f t="shared" si="82"/>
        <v>10156-156</v>
      </c>
    </row>
    <row r="302" spans="1:33" ht="12.75">
      <c r="A302" s="102"/>
      <c r="B302" s="364"/>
      <c r="C302" s="365"/>
      <c r="D302" s="676" t="s">
        <v>142</v>
      </c>
      <c r="E302" s="677" t="s">
        <v>314</v>
      </c>
      <c r="F302" s="678" t="s">
        <v>683</v>
      </c>
      <c r="G302" s="676" t="s">
        <v>684</v>
      </c>
      <c r="H302" s="679" t="str">
        <f t="shared" si="83"/>
        <v>sanitaire ruimte (toilet-/doucheruimte)</v>
      </c>
      <c r="I302" s="689" t="s">
        <v>267</v>
      </c>
      <c r="J302" s="680">
        <v>2.2000000000000002</v>
      </c>
      <c r="K302" s="680"/>
      <c r="L302" s="692">
        <v>4156</v>
      </c>
      <c r="M302" s="677"/>
      <c r="N302" s="682"/>
      <c r="O302" s="682"/>
      <c r="P302" s="682">
        <f t="shared" si="76"/>
        <v>156</v>
      </c>
      <c r="Q302" s="683">
        <v>1.3</v>
      </c>
      <c r="R302" s="684">
        <v>1</v>
      </c>
      <c r="S302" s="685">
        <f t="shared" si="77"/>
        <v>0</v>
      </c>
      <c r="T302" s="685">
        <f t="shared" si="78"/>
        <v>0</v>
      </c>
      <c r="U302" s="685">
        <f t="shared" si="79"/>
        <v>0</v>
      </c>
      <c r="V302" s="685">
        <f t="shared" si="80"/>
        <v>0</v>
      </c>
      <c r="W302" s="686">
        <f t="shared" si="70"/>
        <v>0</v>
      </c>
      <c r="X302" s="686">
        <f t="shared" si="71"/>
        <v>0</v>
      </c>
      <c r="Y302" s="686">
        <f t="shared" si="72"/>
        <v>0</v>
      </c>
      <c r="Z302" s="686">
        <f t="shared" si="73"/>
        <v>0</v>
      </c>
      <c r="AA302" s="685" t="str">
        <f t="shared" si="74"/>
        <v>S</v>
      </c>
      <c r="AB302" s="687"/>
      <c r="AC302" s="688" t="e">
        <f>(S302+T302+U302)*'1.0-Contractblad'!$K$68</f>
        <v>#VALUE!</v>
      </c>
      <c r="AD302" s="688"/>
      <c r="AE302" s="48">
        <f t="shared" si="75"/>
        <v>0</v>
      </c>
      <c r="AF302" s="48">
        <f t="shared" si="81"/>
        <v>343.20000000000005</v>
      </c>
      <c r="AG302" s="48" t="str">
        <f t="shared" si="82"/>
        <v>4156-156</v>
      </c>
    </row>
    <row r="303" spans="1:33" ht="12.75">
      <c r="A303" s="102"/>
      <c r="B303" s="364"/>
      <c r="C303" s="365"/>
      <c r="D303" s="676" t="s">
        <v>142</v>
      </c>
      <c r="E303" s="677" t="s">
        <v>314</v>
      </c>
      <c r="F303" s="678" t="s">
        <v>685</v>
      </c>
      <c r="G303" s="679" t="s">
        <v>686</v>
      </c>
      <c r="H303" s="679" t="str">
        <f t="shared" si="83"/>
        <v>sanitaire ruimte (toilet-/doucheruimte)</v>
      </c>
      <c r="I303" s="689" t="s">
        <v>267</v>
      </c>
      <c r="J303" s="680">
        <v>2.5</v>
      </c>
      <c r="K303" s="680"/>
      <c r="L303" s="692">
        <v>4156</v>
      </c>
      <c r="M303" s="677"/>
      <c r="N303" s="682"/>
      <c r="O303" s="682"/>
      <c r="P303" s="682">
        <f t="shared" si="76"/>
        <v>156</v>
      </c>
      <c r="Q303" s="683">
        <v>1.3</v>
      </c>
      <c r="R303" s="684">
        <v>1</v>
      </c>
      <c r="S303" s="685">
        <f t="shared" si="77"/>
        <v>0</v>
      </c>
      <c r="T303" s="685">
        <f t="shared" si="78"/>
        <v>0</v>
      </c>
      <c r="U303" s="685">
        <f t="shared" si="79"/>
        <v>0</v>
      </c>
      <c r="V303" s="685">
        <f t="shared" si="80"/>
        <v>0</v>
      </c>
      <c r="W303" s="686">
        <f t="shared" si="70"/>
        <v>0</v>
      </c>
      <c r="X303" s="686">
        <f t="shared" si="71"/>
        <v>0</v>
      </c>
      <c r="Y303" s="686">
        <f t="shared" si="72"/>
        <v>0</v>
      </c>
      <c r="Z303" s="686">
        <f t="shared" si="73"/>
        <v>0</v>
      </c>
      <c r="AA303" s="685" t="str">
        <f t="shared" si="74"/>
        <v>S</v>
      </c>
      <c r="AB303" s="687"/>
      <c r="AC303" s="688" t="e">
        <f>(S303+T303+U303)*'1.0-Contractblad'!$K$68</f>
        <v>#VALUE!</v>
      </c>
      <c r="AD303" s="688"/>
      <c r="AE303" s="48">
        <f t="shared" si="75"/>
        <v>0</v>
      </c>
      <c r="AF303" s="48">
        <f t="shared" si="81"/>
        <v>390</v>
      </c>
      <c r="AG303" s="48" t="str">
        <f t="shared" si="82"/>
        <v>4156-156</v>
      </c>
    </row>
    <row r="304" spans="1:33" ht="12.75">
      <c r="A304" s="102"/>
      <c r="B304" s="364"/>
      <c r="C304" s="365"/>
      <c r="D304" s="676" t="s">
        <v>142</v>
      </c>
      <c r="E304" s="677" t="s">
        <v>314</v>
      </c>
      <c r="F304" s="678" t="s">
        <v>361</v>
      </c>
      <c r="G304" s="676" t="s">
        <v>687</v>
      </c>
      <c r="H304" s="679" t="str">
        <f t="shared" si="83"/>
        <v>kleedruimten</v>
      </c>
      <c r="I304" s="689" t="s">
        <v>267</v>
      </c>
      <c r="J304" s="680">
        <v>19.5</v>
      </c>
      <c r="K304" s="680"/>
      <c r="L304" s="692">
        <v>10156</v>
      </c>
      <c r="M304" s="677"/>
      <c r="N304" s="682"/>
      <c r="O304" s="682"/>
      <c r="P304" s="682">
        <f t="shared" si="76"/>
        <v>156</v>
      </c>
      <c r="Q304" s="683">
        <v>1.3</v>
      </c>
      <c r="R304" s="684">
        <v>1</v>
      </c>
      <c r="S304" s="685">
        <f t="shared" si="77"/>
        <v>0</v>
      </c>
      <c r="T304" s="685">
        <f t="shared" si="78"/>
        <v>0</v>
      </c>
      <c r="U304" s="685">
        <f t="shared" si="79"/>
        <v>0</v>
      </c>
      <c r="V304" s="685">
        <f t="shared" si="80"/>
        <v>0</v>
      </c>
      <c r="W304" s="686">
        <f t="shared" si="70"/>
        <v>0</v>
      </c>
      <c r="X304" s="686">
        <f t="shared" si="71"/>
        <v>0</v>
      </c>
      <c r="Y304" s="686">
        <f t="shared" si="72"/>
        <v>0</v>
      </c>
      <c r="Z304" s="686">
        <f t="shared" si="73"/>
        <v>0</v>
      </c>
      <c r="AA304" s="685" t="str">
        <f t="shared" si="74"/>
        <v>V</v>
      </c>
      <c r="AB304" s="687"/>
      <c r="AC304" s="688" t="e">
        <f>(S304+T304+U304)*'1.0-Contractblad'!$K$68</f>
        <v>#VALUE!</v>
      </c>
      <c r="AD304" s="688"/>
      <c r="AE304" s="48">
        <f t="shared" si="75"/>
        <v>0</v>
      </c>
      <c r="AF304" s="48">
        <f t="shared" si="81"/>
        <v>3042</v>
      </c>
      <c r="AG304" s="48" t="str">
        <f t="shared" si="82"/>
        <v>10156-156</v>
      </c>
    </row>
    <row r="305" spans="1:33" ht="12.75">
      <c r="A305" s="102"/>
      <c r="B305" s="364"/>
      <c r="C305" s="365"/>
      <c r="D305" s="676" t="s">
        <v>142</v>
      </c>
      <c r="E305" s="677" t="s">
        <v>314</v>
      </c>
      <c r="F305" s="678" t="s">
        <v>688</v>
      </c>
      <c r="G305" s="676" t="s">
        <v>480</v>
      </c>
      <c r="H305" s="679" t="str">
        <f t="shared" si="83"/>
        <v>sanitaire ruimte (toilet-/doucheruimte)</v>
      </c>
      <c r="I305" s="689" t="s">
        <v>267</v>
      </c>
      <c r="J305" s="680">
        <v>1.2</v>
      </c>
      <c r="K305" s="680"/>
      <c r="L305" s="692">
        <v>4156</v>
      </c>
      <c r="M305" s="677"/>
      <c r="N305" s="682"/>
      <c r="O305" s="682"/>
      <c r="P305" s="682">
        <f t="shared" si="76"/>
        <v>156</v>
      </c>
      <c r="Q305" s="683">
        <v>1.3</v>
      </c>
      <c r="R305" s="684">
        <v>1</v>
      </c>
      <c r="S305" s="685">
        <f t="shared" si="77"/>
        <v>0</v>
      </c>
      <c r="T305" s="685">
        <f t="shared" si="78"/>
        <v>0</v>
      </c>
      <c r="U305" s="685">
        <f t="shared" si="79"/>
        <v>0</v>
      </c>
      <c r="V305" s="685">
        <f t="shared" si="80"/>
        <v>0</v>
      </c>
      <c r="W305" s="686">
        <f t="shared" si="70"/>
        <v>0</v>
      </c>
      <c r="X305" s="686">
        <f t="shared" si="71"/>
        <v>0</v>
      </c>
      <c r="Y305" s="686">
        <f t="shared" si="72"/>
        <v>0</v>
      </c>
      <c r="Z305" s="686">
        <f t="shared" si="73"/>
        <v>0</v>
      </c>
      <c r="AA305" s="685" t="str">
        <f t="shared" si="74"/>
        <v>S</v>
      </c>
      <c r="AB305" s="687"/>
      <c r="AC305" s="688" t="e">
        <f>(S305+T305+U305)*'1.0-Contractblad'!$K$68</f>
        <v>#VALUE!</v>
      </c>
      <c r="AD305" s="688"/>
      <c r="AE305" s="48">
        <f t="shared" si="75"/>
        <v>0</v>
      </c>
      <c r="AF305" s="48">
        <f t="shared" si="81"/>
        <v>187.2</v>
      </c>
      <c r="AG305" s="48" t="str">
        <f t="shared" si="82"/>
        <v>4156-156</v>
      </c>
    </row>
    <row r="306" spans="1:33" ht="12.75">
      <c r="A306" s="102"/>
      <c r="B306" s="364"/>
      <c r="C306" s="365"/>
      <c r="D306" s="676" t="s">
        <v>142</v>
      </c>
      <c r="E306" s="677" t="s">
        <v>314</v>
      </c>
      <c r="F306" s="678" t="s">
        <v>363</v>
      </c>
      <c r="G306" s="679" t="s">
        <v>626</v>
      </c>
      <c r="H306" s="679" t="str">
        <f t="shared" si="83"/>
        <v>entree, gang, hal, repro, kopieer</v>
      </c>
      <c r="I306" s="689" t="s">
        <v>238</v>
      </c>
      <c r="J306" s="680">
        <v>3.2</v>
      </c>
      <c r="K306" s="680"/>
      <c r="L306" s="692">
        <v>3156</v>
      </c>
      <c r="M306" s="677"/>
      <c r="N306" s="682"/>
      <c r="O306" s="682"/>
      <c r="P306" s="682">
        <f t="shared" si="76"/>
        <v>156</v>
      </c>
      <c r="Q306" s="683">
        <v>1.3</v>
      </c>
      <c r="R306" s="684">
        <v>1</v>
      </c>
      <c r="S306" s="685">
        <f t="shared" si="77"/>
        <v>0</v>
      </c>
      <c r="T306" s="685">
        <f t="shared" si="78"/>
        <v>0</v>
      </c>
      <c r="U306" s="685">
        <f t="shared" si="79"/>
        <v>0</v>
      </c>
      <c r="V306" s="685">
        <f t="shared" si="80"/>
        <v>0</v>
      </c>
      <c r="W306" s="686">
        <f t="shared" si="70"/>
        <v>0</v>
      </c>
      <c r="X306" s="686">
        <f t="shared" si="71"/>
        <v>0</v>
      </c>
      <c r="Y306" s="686">
        <f t="shared" si="72"/>
        <v>0</v>
      </c>
      <c r="Z306" s="686">
        <f t="shared" si="73"/>
        <v>0</v>
      </c>
      <c r="AA306" s="685" t="str">
        <f t="shared" si="74"/>
        <v>V</v>
      </c>
      <c r="AB306" s="687"/>
      <c r="AC306" s="688" t="e">
        <f>(S306+T306+U306)*'1.0-Contractblad'!$K$68</f>
        <v>#VALUE!</v>
      </c>
      <c r="AD306" s="688"/>
      <c r="AE306" s="48">
        <f t="shared" si="75"/>
        <v>0</v>
      </c>
      <c r="AF306" s="48">
        <f t="shared" si="81"/>
        <v>499.20000000000005</v>
      </c>
      <c r="AG306" s="48" t="str">
        <f t="shared" si="82"/>
        <v>3156-156</v>
      </c>
    </row>
    <row r="307" spans="1:33" ht="12.75">
      <c r="A307" s="102"/>
      <c r="B307" s="364"/>
      <c r="C307" s="365"/>
      <c r="D307" s="676" t="s">
        <v>142</v>
      </c>
      <c r="E307" s="677" t="s">
        <v>314</v>
      </c>
      <c r="F307" s="678" t="s">
        <v>365</v>
      </c>
      <c r="G307" s="679" t="s">
        <v>689</v>
      </c>
      <c r="H307" s="679" t="str">
        <f t="shared" si="83"/>
        <v>administratieve -, personeels- en vergaderruimte</v>
      </c>
      <c r="I307" s="689" t="s">
        <v>238</v>
      </c>
      <c r="J307" s="680">
        <v>28.8</v>
      </c>
      <c r="K307" s="680"/>
      <c r="L307" s="692">
        <v>1156</v>
      </c>
      <c r="M307" s="677"/>
      <c r="N307" s="682"/>
      <c r="O307" s="682"/>
      <c r="P307" s="682">
        <f t="shared" si="76"/>
        <v>156</v>
      </c>
      <c r="Q307" s="683">
        <v>1.3</v>
      </c>
      <c r="R307" s="684">
        <v>1</v>
      </c>
      <c r="S307" s="685">
        <f t="shared" si="77"/>
        <v>0</v>
      </c>
      <c r="T307" s="685">
        <f t="shared" si="78"/>
        <v>0</v>
      </c>
      <c r="U307" s="685">
        <f t="shared" si="79"/>
        <v>0</v>
      </c>
      <c r="V307" s="685">
        <f t="shared" si="80"/>
        <v>0</v>
      </c>
      <c r="W307" s="686">
        <f t="shared" si="70"/>
        <v>0</v>
      </c>
      <c r="X307" s="686">
        <f t="shared" si="71"/>
        <v>0</v>
      </c>
      <c r="Y307" s="686">
        <f t="shared" si="72"/>
        <v>0</v>
      </c>
      <c r="Z307" s="686">
        <f t="shared" si="73"/>
        <v>0</v>
      </c>
      <c r="AA307" s="685" t="str">
        <f t="shared" si="74"/>
        <v>B</v>
      </c>
      <c r="AB307" s="687"/>
      <c r="AC307" s="688" t="e">
        <f>(S307+T307+U307)*'1.0-Contractblad'!$K$68</f>
        <v>#VALUE!</v>
      </c>
      <c r="AD307" s="688"/>
      <c r="AE307" s="48">
        <f t="shared" si="75"/>
        <v>0</v>
      </c>
      <c r="AF307" s="48">
        <f t="shared" si="81"/>
        <v>4492.8</v>
      </c>
      <c r="AG307" s="48" t="str">
        <f t="shared" si="82"/>
        <v>1156-156</v>
      </c>
    </row>
    <row r="308" spans="1:33" ht="12.75">
      <c r="A308" s="102"/>
      <c r="B308" s="364"/>
      <c r="C308" s="365"/>
      <c r="D308" s="676" t="s">
        <v>142</v>
      </c>
      <c r="E308" s="677" t="s">
        <v>419</v>
      </c>
      <c r="F308" s="678" t="s">
        <v>493</v>
      </c>
      <c r="G308" s="679" t="s">
        <v>690</v>
      </c>
      <c r="H308" s="679" t="str">
        <f t="shared" si="83"/>
        <v>entree, gang, hal, repro, kopieer</v>
      </c>
      <c r="I308" s="689" t="s">
        <v>238</v>
      </c>
      <c r="J308" s="680">
        <v>11.5</v>
      </c>
      <c r="K308" s="680"/>
      <c r="L308" s="692">
        <v>3156</v>
      </c>
      <c r="M308" s="677"/>
      <c r="N308" s="682"/>
      <c r="O308" s="682"/>
      <c r="P308" s="682">
        <f t="shared" si="76"/>
        <v>156</v>
      </c>
      <c r="Q308" s="683">
        <v>1.3</v>
      </c>
      <c r="R308" s="684">
        <v>1</v>
      </c>
      <c r="S308" s="685">
        <f t="shared" si="77"/>
        <v>0</v>
      </c>
      <c r="T308" s="685">
        <f t="shared" si="78"/>
        <v>0</v>
      </c>
      <c r="U308" s="685">
        <f t="shared" si="79"/>
        <v>0</v>
      </c>
      <c r="V308" s="685">
        <f t="shared" si="80"/>
        <v>0</v>
      </c>
      <c r="W308" s="686">
        <f t="shared" si="70"/>
        <v>0</v>
      </c>
      <c r="X308" s="686">
        <f t="shared" si="71"/>
        <v>0</v>
      </c>
      <c r="Y308" s="686">
        <f t="shared" si="72"/>
        <v>0</v>
      </c>
      <c r="Z308" s="686">
        <f t="shared" si="73"/>
        <v>0</v>
      </c>
      <c r="AA308" s="685" t="str">
        <f t="shared" si="74"/>
        <v>V</v>
      </c>
      <c r="AB308" s="687"/>
      <c r="AC308" s="688" t="e">
        <f>(S308+T308+U308)*'1.0-Contractblad'!$K$68</f>
        <v>#VALUE!</v>
      </c>
      <c r="AD308" s="688"/>
      <c r="AE308" s="48">
        <f t="shared" si="75"/>
        <v>0</v>
      </c>
      <c r="AF308" s="48">
        <f t="shared" si="81"/>
        <v>1794</v>
      </c>
      <c r="AG308" s="48" t="str">
        <f t="shared" si="82"/>
        <v>3156-156</v>
      </c>
    </row>
    <row r="309" spans="1:33" ht="12.75">
      <c r="A309" s="102"/>
      <c r="B309" s="364"/>
      <c r="C309" s="365"/>
      <c r="D309" s="676" t="s">
        <v>142</v>
      </c>
      <c r="E309" s="677" t="s">
        <v>419</v>
      </c>
      <c r="F309" s="678">
        <v>1.02</v>
      </c>
      <c r="G309" s="679" t="s">
        <v>691</v>
      </c>
      <c r="H309" s="679" t="str">
        <f t="shared" si="83"/>
        <v>sanitaire ruimte (toilet-/doucheruimte)</v>
      </c>
      <c r="I309" s="689" t="s">
        <v>267</v>
      </c>
      <c r="J309" s="680">
        <v>2.7</v>
      </c>
      <c r="K309" s="680"/>
      <c r="L309" s="692">
        <v>4156</v>
      </c>
      <c r="M309" s="677"/>
      <c r="N309" s="682"/>
      <c r="O309" s="682"/>
      <c r="P309" s="682">
        <f t="shared" si="76"/>
        <v>156</v>
      </c>
      <c r="Q309" s="683">
        <v>1.3</v>
      </c>
      <c r="R309" s="684">
        <v>1</v>
      </c>
      <c r="S309" s="685">
        <f t="shared" si="77"/>
        <v>0</v>
      </c>
      <c r="T309" s="685">
        <f t="shared" si="78"/>
        <v>0</v>
      </c>
      <c r="U309" s="685">
        <f t="shared" si="79"/>
        <v>0</v>
      </c>
      <c r="V309" s="685">
        <f t="shared" si="80"/>
        <v>0</v>
      </c>
      <c r="W309" s="686">
        <f t="shared" si="70"/>
        <v>0</v>
      </c>
      <c r="X309" s="686">
        <f t="shared" si="71"/>
        <v>0</v>
      </c>
      <c r="Y309" s="686">
        <f t="shared" si="72"/>
        <v>0</v>
      </c>
      <c r="Z309" s="686">
        <f t="shared" si="73"/>
        <v>0</v>
      </c>
      <c r="AA309" s="685" t="str">
        <f t="shared" si="74"/>
        <v>S</v>
      </c>
      <c r="AB309" s="687"/>
      <c r="AC309" s="688" t="e">
        <f>(S309+T309+U309)*'1.0-Contractblad'!$K$68</f>
        <v>#VALUE!</v>
      </c>
      <c r="AD309" s="688"/>
      <c r="AE309" s="48">
        <f t="shared" si="75"/>
        <v>0</v>
      </c>
      <c r="AF309" s="48">
        <f t="shared" si="81"/>
        <v>421.20000000000005</v>
      </c>
      <c r="AG309" s="48" t="str">
        <f t="shared" si="82"/>
        <v>4156-156</v>
      </c>
    </row>
    <row r="310" spans="1:33" ht="12.75">
      <c r="A310" s="102"/>
      <c r="B310" s="364"/>
      <c r="C310" s="365"/>
      <c r="D310" s="676" t="s">
        <v>142</v>
      </c>
      <c r="E310" s="677" t="s">
        <v>419</v>
      </c>
      <c r="F310" s="678">
        <v>1.03</v>
      </c>
      <c r="G310" s="679" t="s">
        <v>386</v>
      </c>
      <c r="H310" s="679" t="str">
        <f t="shared" si="83"/>
        <v>administratieve -, personeels- en vergaderruimte</v>
      </c>
      <c r="I310" s="689" t="s">
        <v>238</v>
      </c>
      <c r="J310" s="680">
        <v>25.5</v>
      </c>
      <c r="K310" s="680"/>
      <c r="L310" s="692">
        <v>1156</v>
      </c>
      <c r="M310" s="677"/>
      <c r="N310" s="682"/>
      <c r="O310" s="682"/>
      <c r="P310" s="682">
        <f t="shared" si="76"/>
        <v>156</v>
      </c>
      <c r="Q310" s="683">
        <v>1.3</v>
      </c>
      <c r="R310" s="684">
        <v>1</v>
      </c>
      <c r="S310" s="685">
        <f t="shared" si="77"/>
        <v>0</v>
      </c>
      <c r="T310" s="685">
        <f t="shared" si="78"/>
        <v>0</v>
      </c>
      <c r="U310" s="685">
        <f t="shared" si="79"/>
        <v>0</v>
      </c>
      <c r="V310" s="685">
        <f t="shared" si="80"/>
        <v>0</v>
      </c>
      <c r="W310" s="686">
        <f t="shared" si="70"/>
        <v>0</v>
      </c>
      <c r="X310" s="686">
        <f t="shared" si="71"/>
        <v>0</v>
      </c>
      <c r="Y310" s="686">
        <f t="shared" si="72"/>
        <v>0</v>
      </c>
      <c r="Z310" s="686">
        <f t="shared" si="73"/>
        <v>0</v>
      </c>
      <c r="AA310" s="685" t="str">
        <f t="shared" si="74"/>
        <v>B</v>
      </c>
      <c r="AB310" s="687"/>
      <c r="AC310" s="688" t="e">
        <f>(S310+T310+U310)*'1.0-Contractblad'!$K$68</f>
        <v>#VALUE!</v>
      </c>
      <c r="AD310" s="688"/>
      <c r="AE310" s="48">
        <f t="shared" si="75"/>
        <v>0</v>
      </c>
      <c r="AF310" s="48">
        <f t="shared" si="81"/>
        <v>3978</v>
      </c>
      <c r="AG310" s="48" t="str">
        <f t="shared" si="82"/>
        <v>1156-156</v>
      </c>
    </row>
    <row r="311" spans="1:33" ht="12.75">
      <c r="A311" s="102"/>
      <c r="B311" s="364"/>
      <c r="C311" s="365"/>
      <c r="D311" s="676" t="s">
        <v>142</v>
      </c>
      <c r="E311" s="677" t="s">
        <v>419</v>
      </c>
      <c r="F311" s="678" t="s">
        <v>497</v>
      </c>
      <c r="G311" s="679" t="s">
        <v>386</v>
      </c>
      <c r="H311" s="679" t="str">
        <f t="shared" si="83"/>
        <v>administratieve -, personeels- en vergaderruimte</v>
      </c>
      <c r="I311" s="689" t="s">
        <v>238</v>
      </c>
      <c r="J311" s="680">
        <v>21.6</v>
      </c>
      <c r="K311" s="680"/>
      <c r="L311" s="692">
        <v>1156</v>
      </c>
      <c r="M311" s="677"/>
      <c r="N311" s="682"/>
      <c r="O311" s="682"/>
      <c r="P311" s="682">
        <f t="shared" si="76"/>
        <v>156</v>
      </c>
      <c r="Q311" s="683">
        <v>1.3</v>
      </c>
      <c r="R311" s="684">
        <v>1</v>
      </c>
      <c r="S311" s="685">
        <f t="shared" si="77"/>
        <v>0</v>
      </c>
      <c r="T311" s="685">
        <f t="shared" si="78"/>
        <v>0</v>
      </c>
      <c r="U311" s="685">
        <f t="shared" si="79"/>
        <v>0</v>
      </c>
      <c r="V311" s="685">
        <f t="shared" si="80"/>
        <v>0</v>
      </c>
      <c r="W311" s="686">
        <f t="shared" si="70"/>
        <v>0</v>
      </c>
      <c r="X311" s="686">
        <f t="shared" si="71"/>
        <v>0</v>
      </c>
      <c r="Y311" s="686">
        <f t="shared" si="72"/>
        <v>0</v>
      </c>
      <c r="Z311" s="686">
        <f t="shared" si="73"/>
        <v>0</v>
      </c>
      <c r="AA311" s="685" t="str">
        <f t="shared" si="74"/>
        <v>B</v>
      </c>
      <c r="AB311" s="687"/>
      <c r="AC311" s="688" t="e">
        <f>(S311+T311+U311)*'1.0-Contractblad'!$K$68</f>
        <v>#VALUE!</v>
      </c>
      <c r="AD311" s="688"/>
      <c r="AE311" s="48">
        <f t="shared" si="75"/>
        <v>0</v>
      </c>
      <c r="AF311" s="48">
        <f t="shared" si="81"/>
        <v>3369.6000000000004</v>
      </c>
      <c r="AG311" s="48" t="str">
        <f t="shared" si="82"/>
        <v>1156-156</v>
      </c>
    </row>
    <row r="312" spans="1:33" ht="12.75">
      <c r="A312" s="102"/>
      <c r="B312" s="364"/>
      <c r="C312" s="365"/>
      <c r="D312" s="676" t="s">
        <v>142</v>
      </c>
      <c r="E312" s="677" t="s">
        <v>419</v>
      </c>
      <c r="F312" s="678" t="s">
        <v>498</v>
      </c>
      <c r="G312" s="676" t="s">
        <v>692</v>
      </c>
      <c r="H312" s="679" t="str">
        <f t="shared" si="83"/>
        <v>pantry, keuken, koffiecorner</v>
      </c>
      <c r="I312" s="689" t="s">
        <v>238</v>
      </c>
      <c r="J312" s="680">
        <v>50.5</v>
      </c>
      <c r="K312" s="680"/>
      <c r="L312" s="692">
        <v>5156</v>
      </c>
      <c r="M312" s="677"/>
      <c r="N312" s="682"/>
      <c r="O312" s="682"/>
      <c r="P312" s="682">
        <f t="shared" si="76"/>
        <v>156</v>
      </c>
      <c r="Q312" s="683">
        <v>1.3</v>
      </c>
      <c r="R312" s="684">
        <v>1</v>
      </c>
      <c r="S312" s="685">
        <f t="shared" si="77"/>
        <v>0</v>
      </c>
      <c r="T312" s="685">
        <f t="shared" si="78"/>
        <v>0</v>
      </c>
      <c r="U312" s="685">
        <f t="shared" si="79"/>
        <v>0</v>
      </c>
      <c r="V312" s="685">
        <f t="shared" si="80"/>
        <v>0</v>
      </c>
      <c r="W312" s="686">
        <f t="shared" si="70"/>
        <v>0</v>
      </c>
      <c r="X312" s="686">
        <f t="shared" si="71"/>
        <v>0</v>
      </c>
      <c r="Y312" s="686">
        <f t="shared" si="72"/>
        <v>0</v>
      </c>
      <c r="Z312" s="686">
        <f t="shared" si="73"/>
        <v>0</v>
      </c>
      <c r="AA312" s="685" t="str">
        <f t="shared" si="74"/>
        <v>V</v>
      </c>
      <c r="AB312" s="687"/>
      <c r="AC312" s="688" t="e">
        <f>(S312+T312+U312)*'1.0-Contractblad'!$K$68</f>
        <v>#VALUE!</v>
      </c>
      <c r="AD312" s="688"/>
      <c r="AE312" s="48">
        <f t="shared" si="75"/>
        <v>0</v>
      </c>
      <c r="AF312" s="48">
        <f t="shared" si="81"/>
        <v>7878</v>
      </c>
      <c r="AG312" s="48" t="str">
        <f t="shared" si="82"/>
        <v>5156-156</v>
      </c>
    </row>
    <row r="313" spans="1:33" ht="12.75">
      <c r="A313" s="102"/>
      <c r="B313" s="364"/>
      <c r="C313" s="365"/>
      <c r="D313" s="676" t="s">
        <v>142</v>
      </c>
      <c r="E313" s="677" t="s">
        <v>419</v>
      </c>
      <c r="F313" s="678" t="s">
        <v>499</v>
      </c>
      <c r="G313" s="679" t="s">
        <v>386</v>
      </c>
      <c r="H313" s="679" t="str">
        <f t="shared" si="83"/>
        <v>administratieve -, personeels- en vergaderruimte</v>
      </c>
      <c r="I313" s="689" t="s">
        <v>238</v>
      </c>
      <c r="J313" s="680">
        <v>21.6</v>
      </c>
      <c r="K313" s="680"/>
      <c r="L313" s="692">
        <v>1156</v>
      </c>
      <c r="M313" s="677"/>
      <c r="N313" s="682"/>
      <c r="O313" s="682"/>
      <c r="P313" s="682">
        <f t="shared" si="76"/>
        <v>156</v>
      </c>
      <c r="Q313" s="683">
        <v>1.3</v>
      </c>
      <c r="R313" s="684">
        <v>1</v>
      </c>
      <c r="S313" s="685">
        <f t="shared" si="77"/>
        <v>0</v>
      </c>
      <c r="T313" s="685">
        <f t="shared" si="78"/>
        <v>0</v>
      </c>
      <c r="U313" s="685">
        <f t="shared" si="79"/>
        <v>0</v>
      </c>
      <c r="V313" s="685">
        <f t="shared" si="80"/>
        <v>0</v>
      </c>
      <c r="W313" s="686">
        <f t="shared" si="70"/>
        <v>0</v>
      </c>
      <c r="X313" s="686">
        <f t="shared" si="71"/>
        <v>0</v>
      </c>
      <c r="Y313" s="686">
        <f t="shared" si="72"/>
        <v>0</v>
      </c>
      <c r="Z313" s="686">
        <f t="shared" si="73"/>
        <v>0</v>
      </c>
      <c r="AA313" s="685" t="str">
        <f t="shared" si="74"/>
        <v>B</v>
      </c>
      <c r="AB313" s="687"/>
      <c r="AC313" s="688" t="e">
        <f>(S313+T313+U313)*'1.0-Contractblad'!$K$68</f>
        <v>#VALUE!</v>
      </c>
      <c r="AD313" s="688"/>
      <c r="AE313" s="48">
        <f t="shared" si="75"/>
        <v>0</v>
      </c>
      <c r="AF313" s="48">
        <f t="shared" si="81"/>
        <v>3369.6000000000004</v>
      </c>
      <c r="AG313" s="48" t="str">
        <f t="shared" si="82"/>
        <v>1156-156</v>
      </c>
    </row>
    <row r="314" spans="1:33" ht="12.75">
      <c r="A314" s="102"/>
      <c r="B314" s="364"/>
      <c r="C314" s="365"/>
      <c r="D314" s="676" t="s">
        <v>142</v>
      </c>
      <c r="E314" s="677" t="s">
        <v>314</v>
      </c>
      <c r="F314" s="678" t="s">
        <v>317</v>
      </c>
      <c r="G314" s="679" t="s">
        <v>693</v>
      </c>
      <c r="H314" s="679" t="str">
        <f t="shared" si="83"/>
        <v>sanitaire ruimte (toilet-/doucheruimte)</v>
      </c>
      <c r="I314" s="689" t="s">
        <v>378</v>
      </c>
      <c r="J314" s="680">
        <v>2.7</v>
      </c>
      <c r="K314" s="680"/>
      <c r="L314" s="692">
        <v>4156</v>
      </c>
      <c r="M314" s="677"/>
      <c r="N314" s="682"/>
      <c r="O314" s="682"/>
      <c r="P314" s="682">
        <f t="shared" si="76"/>
        <v>156</v>
      </c>
      <c r="Q314" s="683">
        <v>1.3</v>
      </c>
      <c r="R314" s="684">
        <v>1</v>
      </c>
      <c r="S314" s="685">
        <f t="shared" si="77"/>
        <v>0</v>
      </c>
      <c r="T314" s="685">
        <f t="shared" si="78"/>
        <v>0</v>
      </c>
      <c r="U314" s="685">
        <f t="shared" si="79"/>
        <v>0</v>
      </c>
      <c r="V314" s="685">
        <f t="shared" si="80"/>
        <v>0</v>
      </c>
      <c r="W314" s="686">
        <f t="shared" si="70"/>
        <v>0</v>
      </c>
      <c r="X314" s="686">
        <f t="shared" si="71"/>
        <v>0</v>
      </c>
      <c r="Y314" s="686">
        <f t="shared" si="72"/>
        <v>0</v>
      </c>
      <c r="Z314" s="686">
        <f t="shared" si="73"/>
        <v>0</v>
      </c>
      <c r="AA314" s="685" t="str">
        <f t="shared" si="74"/>
        <v>S</v>
      </c>
      <c r="AB314" s="687"/>
      <c r="AC314" s="688" t="e">
        <f>(S314+T314+U314)*'1.0-Contractblad'!$K$68</f>
        <v>#VALUE!</v>
      </c>
      <c r="AD314" s="688"/>
      <c r="AE314" s="48">
        <f t="shared" si="75"/>
        <v>0</v>
      </c>
      <c r="AF314" s="48">
        <f t="shared" si="81"/>
        <v>421.20000000000005</v>
      </c>
      <c r="AG314" s="48" t="str">
        <f t="shared" si="82"/>
        <v>4156-156</v>
      </c>
    </row>
    <row r="315" spans="1:33" ht="12.75">
      <c r="A315" s="102"/>
      <c r="B315" s="364"/>
      <c r="C315" s="365"/>
      <c r="D315" s="676" t="s">
        <v>142</v>
      </c>
      <c r="E315" s="677" t="s">
        <v>314</v>
      </c>
      <c r="F315" s="678" t="s">
        <v>315</v>
      </c>
      <c r="G315" s="679" t="s">
        <v>694</v>
      </c>
      <c r="H315" s="679" t="str">
        <f t="shared" si="83"/>
        <v>sanitaire ruimte (toilet-/doucheruimte)</v>
      </c>
      <c r="I315" s="689" t="s">
        <v>695</v>
      </c>
      <c r="J315" s="680">
        <v>2</v>
      </c>
      <c r="K315" s="680"/>
      <c r="L315" s="692">
        <v>4156</v>
      </c>
      <c r="M315" s="677"/>
      <c r="N315" s="682"/>
      <c r="O315" s="682"/>
      <c r="P315" s="682">
        <f t="shared" si="76"/>
        <v>156</v>
      </c>
      <c r="Q315" s="683">
        <v>1.3</v>
      </c>
      <c r="R315" s="684">
        <v>1</v>
      </c>
      <c r="S315" s="685">
        <f t="shared" si="77"/>
        <v>0</v>
      </c>
      <c r="T315" s="685">
        <f t="shared" si="78"/>
        <v>0</v>
      </c>
      <c r="U315" s="685">
        <f t="shared" si="79"/>
        <v>0</v>
      </c>
      <c r="V315" s="685">
        <f t="shared" si="80"/>
        <v>0</v>
      </c>
      <c r="W315" s="686">
        <f t="shared" si="70"/>
        <v>0</v>
      </c>
      <c r="X315" s="686">
        <f t="shared" si="71"/>
        <v>0</v>
      </c>
      <c r="Y315" s="686">
        <f t="shared" si="72"/>
        <v>0</v>
      </c>
      <c r="Z315" s="686">
        <f t="shared" si="73"/>
        <v>0</v>
      </c>
      <c r="AA315" s="685" t="str">
        <f t="shared" si="74"/>
        <v>S</v>
      </c>
      <c r="AB315" s="687"/>
      <c r="AC315" s="688" t="e">
        <f>(S315+T315+U315)*'1.0-Contractblad'!$K$68</f>
        <v>#VALUE!</v>
      </c>
      <c r="AD315" s="688"/>
      <c r="AE315" s="48">
        <f t="shared" si="75"/>
        <v>0</v>
      </c>
      <c r="AF315" s="48">
        <f t="shared" si="81"/>
        <v>312</v>
      </c>
      <c r="AG315" s="48" t="str">
        <f t="shared" si="82"/>
        <v>4156-156</v>
      </c>
    </row>
    <row r="316" spans="1:33" ht="12.75">
      <c r="A316" s="102"/>
      <c r="B316" s="364"/>
      <c r="C316" s="365"/>
      <c r="D316" s="676" t="s">
        <v>142</v>
      </c>
      <c r="E316" s="677" t="s">
        <v>314</v>
      </c>
      <c r="F316" s="678" t="s">
        <v>315</v>
      </c>
      <c r="G316" s="676" t="s">
        <v>516</v>
      </c>
      <c r="H316" s="679" t="str">
        <f t="shared" si="83"/>
        <v>entree, gang, hal, repro, kopieer</v>
      </c>
      <c r="I316" s="689" t="s">
        <v>238</v>
      </c>
      <c r="J316" s="680">
        <v>5</v>
      </c>
      <c r="K316" s="680"/>
      <c r="L316" s="692">
        <v>3156</v>
      </c>
      <c r="M316" s="677"/>
      <c r="N316" s="682"/>
      <c r="O316" s="682"/>
      <c r="P316" s="682">
        <f t="shared" si="76"/>
        <v>156</v>
      </c>
      <c r="Q316" s="683">
        <v>1.3</v>
      </c>
      <c r="R316" s="684">
        <v>1</v>
      </c>
      <c r="S316" s="685">
        <f t="shared" si="77"/>
        <v>0</v>
      </c>
      <c r="T316" s="685">
        <f t="shared" si="78"/>
        <v>0</v>
      </c>
      <c r="U316" s="685">
        <f t="shared" si="79"/>
        <v>0</v>
      </c>
      <c r="V316" s="685">
        <f t="shared" si="80"/>
        <v>0</v>
      </c>
      <c r="W316" s="686">
        <f t="shared" si="70"/>
        <v>0</v>
      </c>
      <c r="X316" s="686">
        <f t="shared" si="71"/>
        <v>0</v>
      </c>
      <c r="Y316" s="686">
        <f t="shared" si="72"/>
        <v>0</v>
      </c>
      <c r="Z316" s="686">
        <f t="shared" si="73"/>
        <v>0</v>
      </c>
      <c r="AA316" s="685" t="str">
        <f t="shared" si="74"/>
        <v>V</v>
      </c>
      <c r="AB316" s="687"/>
      <c r="AC316" s="688" t="e">
        <f>(S316+T316+U316)*'1.0-Contractblad'!$K$68</f>
        <v>#VALUE!</v>
      </c>
      <c r="AD316" s="688"/>
      <c r="AE316" s="48">
        <f t="shared" si="75"/>
        <v>0</v>
      </c>
      <c r="AF316" s="48">
        <f t="shared" si="81"/>
        <v>780</v>
      </c>
      <c r="AG316" s="48" t="str">
        <f t="shared" si="82"/>
        <v>3156-156</v>
      </c>
    </row>
    <row r="317" spans="1:33" ht="12.75">
      <c r="A317" s="102"/>
      <c r="B317" s="364"/>
      <c r="C317" s="365"/>
      <c r="D317" s="676" t="s">
        <v>142</v>
      </c>
      <c r="E317" s="677" t="s">
        <v>314</v>
      </c>
      <c r="F317" s="678" t="s">
        <v>317</v>
      </c>
      <c r="G317" s="679" t="s">
        <v>696</v>
      </c>
      <c r="H317" s="679" t="str">
        <f t="shared" si="83"/>
        <v>administratieve -, personeels- en vergaderruimte</v>
      </c>
      <c r="I317" s="689" t="s">
        <v>238</v>
      </c>
      <c r="J317" s="680">
        <v>18</v>
      </c>
      <c r="K317" s="680"/>
      <c r="L317" s="692">
        <v>1156</v>
      </c>
      <c r="M317" s="677"/>
      <c r="N317" s="682"/>
      <c r="O317" s="682"/>
      <c r="P317" s="682">
        <f t="shared" si="76"/>
        <v>156</v>
      </c>
      <c r="Q317" s="683">
        <v>1.3</v>
      </c>
      <c r="R317" s="684">
        <v>1</v>
      </c>
      <c r="S317" s="685">
        <f t="shared" si="77"/>
        <v>0</v>
      </c>
      <c r="T317" s="685">
        <f t="shared" si="78"/>
        <v>0</v>
      </c>
      <c r="U317" s="685">
        <f t="shared" si="79"/>
        <v>0</v>
      </c>
      <c r="V317" s="685">
        <f t="shared" si="80"/>
        <v>0</v>
      </c>
      <c r="W317" s="686">
        <f t="shared" si="70"/>
        <v>0</v>
      </c>
      <c r="X317" s="686">
        <f t="shared" si="71"/>
        <v>0</v>
      </c>
      <c r="Y317" s="686">
        <f t="shared" si="72"/>
        <v>0</v>
      </c>
      <c r="Z317" s="686">
        <f t="shared" si="73"/>
        <v>0</v>
      </c>
      <c r="AA317" s="685" t="str">
        <f t="shared" si="74"/>
        <v>B</v>
      </c>
      <c r="AB317" s="687"/>
      <c r="AC317" s="688" t="e">
        <f>(S317+T317+U317)*'1.0-Contractblad'!$K$68</f>
        <v>#VALUE!</v>
      </c>
      <c r="AD317" s="688"/>
      <c r="AE317" s="48">
        <f t="shared" si="75"/>
        <v>0</v>
      </c>
      <c r="AF317" s="48">
        <f t="shared" si="81"/>
        <v>2808</v>
      </c>
      <c r="AG317" s="48" t="str">
        <f t="shared" si="82"/>
        <v>1156-156</v>
      </c>
    </row>
    <row r="318" spans="1:33" s="416" customFormat="1" ht="12.75">
      <c r="A318" s="655"/>
      <c r="B318" s="656"/>
      <c r="C318" s="657"/>
      <c r="D318" s="676" t="s">
        <v>148</v>
      </c>
      <c r="E318" s="677" t="s">
        <v>314</v>
      </c>
      <c r="F318" s="678" t="s">
        <v>315</v>
      </c>
      <c r="G318" s="676" t="s">
        <v>377</v>
      </c>
      <c r="H318" s="679" t="str">
        <f t="shared" si="83"/>
        <v>buitenbordes</v>
      </c>
      <c r="I318" s="693" t="s">
        <v>267</v>
      </c>
      <c r="J318" s="680">
        <v>8.2100000000000009</v>
      </c>
      <c r="K318" s="680"/>
      <c r="L318" s="692">
        <v>16104</v>
      </c>
      <c r="M318" s="677"/>
      <c r="N318" s="682"/>
      <c r="O318" s="682"/>
      <c r="P318" s="682">
        <f t="shared" si="76"/>
        <v>104</v>
      </c>
      <c r="Q318" s="696">
        <v>1</v>
      </c>
      <c r="R318" s="697">
        <v>1</v>
      </c>
      <c r="S318" s="698">
        <f t="shared" si="77"/>
        <v>0</v>
      </c>
      <c r="T318" s="698">
        <f t="shared" si="78"/>
        <v>0</v>
      </c>
      <c r="U318" s="698">
        <f t="shared" si="79"/>
        <v>0</v>
      </c>
      <c r="V318" s="698">
        <f t="shared" si="80"/>
        <v>0</v>
      </c>
      <c r="W318" s="699">
        <f t="shared" si="70"/>
        <v>0</v>
      </c>
      <c r="X318" s="699">
        <f t="shared" si="71"/>
        <v>0</v>
      </c>
      <c r="Y318" s="699">
        <f t="shared" si="72"/>
        <v>0</v>
      </c>
      <c r="Z318" s="699">
        <f t="shared" si="73"/>
        <v>0</v>
      </c>
      <c r="AA318" s="698" t="str">
        <f t="shared" si="74"/>
        <v>V</v>
      </c>
      <c r="AB318" s="689"/>
      <c r="AC318" s="700" t="e">
        <f>(S318+T318+U318)*'1.0-Contractblad'!$K$68</f>
        <v>#VALUE!</v>
      </c>
      <c r="AD318" s="700"/>
      <c r="AE318" s="416">
        <f t="shared" si="75"/>
        <v>0</v>
      </c>
      <c r="AF318" s="416">
        <f t="shared" si="81"/>
        <v>853.84000000000015</v>
      </c>
      <c r="AG318" s="416" t="str">
        <f t="shared" si="82"/>
        <v>16104-104</v>
      </c>
    </row>
    <row r="319" spans="1:33" s="416" customFormat="1" ht="12.75">
      <c r="A319" s="655"/>
      <c r="B319" s="656"/>
      <c r="C319" s="657"/>
      <c r="D319" s="676" t="s">
        <v>148</v>
      </c>
      <c r="E319" s="677" t="s">
        <v>314</v>
      </c>
      <c r="F319" s="678" t="s">
        <v>317</v>
      </c>
      <c r="G319" s="676" t="s">
        <v>697</v>
      </c>
      <c r="H319" s="679" t="str">
        <f t="shared" si="83"/>
        <v>entree, gang, hal, repro, kopieer</v>
      </c>
      <c r="I319" s="693" t="s">
        <v>698</v>
      </c>
      <c r="J319" s="680">
        <v>27.28</v>
      </c>
      <c r="K319" s="680"/>
      <c r="L319" s="692">
        <v>3255</v>
      </c>
      <c r="M319" s="677"/>
      <c r="N319" s="682"/>
      <c r="O319" s="682"/>
      <c r="P319" s="682">
        <f t="shared" si="76"/>
        <v>255</v>
      </c>
      <c r="Q319" s="696">
        <v>2</v>
      </c>
      <c r="R319" s="697">
        <v>1</v>
      </c>
      <c r="S319" s="698">
        <f t="shared" si="77"/>
        <v>0</v>
      </c>
      <c r="T319" s="698">
        <f t="shared" si="78"/>
        <v>0</v>
      </c>
      <c r="U319" s="698">
        <f t="shared" si="79"/>
        <v>0</v>
      </c>
      <c r="V319" s="698">
        <f t="shared" si="80"/>
        <v>0</v>
      </c>
      <c r="W319" s="699">
        <f t="shared" si="70"/>
        <v>0</v>
      </c>
      <c r="X319" s="699">
        <f t="shared" si="71"/>
        <v>0</v>
      </c>
      <c r="Y319" s="699">
        <f t="shared" si="72"/>
        <v>0</v>
      </c>
      <c r="Z319" s="699">
        <f t="shared" si="73"/>
        <v>0</v>
      </c>
      <c r="AA319" s="698" t="str">
        <f t="shared" si="74"/>
        <v>V</v>
      </c>
      <c r="AB319" s="689"/>
      <c r="AC319" s="700" t="e">
        <f>(S319+T319+U319)*'1.0-Contractblad'!$K$68</f>
        <v>#VALUE!</v>
      </c>
      <c r="AD319" s="700"/>
      <c r="AE319" s="416">
        <f t="shared" si="75"/>
        <v>0</v>
      </c>
      <c r="AF319" s="416">
        <f t="shared" si="81"/>
        <v>6956.4000000000005</v>
      </c>
      <c r="AG319" s="416" t="str">
        <f t="shared" si="82"/>
        <v>3255-255</v>
      </c>
    </row>
    <row r="320" spans="1:33" s="416" customFormat="1" ht="12.75">
      <c r="A320" s="655"/>
      <c r="B320" s="656"/>
      <c r="C320" s="657"/>
      <c r="D320" s="676" t="s">
        <v>148</v>
      </c>
      <c r="E320" s="677" t="s">
        <v>314</v>
      </c>
      <c r="F320" s="678" t="s">
        <v>320</v>
      </c>
      <c r="G320" s="679" t="s">
        <v>699</v>
      </c>
      <c r="H320" s="679" t="str">
        <f t="shared" si="83"/>
        <v>verblijfsruimte</v>
      </c>
      <c r="I320" s="693" t="s">
        <v>238</v>
      </c>
      <c r="J320" s="680">
        <v>31</v>
      </c>
      <c r="K320" s="680"/>
      <c r="L320" s="692">
        <v>15255</v>
      </c>
      <c r="M320" s="677"/>
      <c r="N320" s="682"/>
      <c r="O320" s="682"/>
      <c r="P320" s="682">
        <f t="shared" si="76"/>
        <v>255</v>
      </c>
      <c r="Q320" s="696">
        <v>2</v>
      </c>
      <c r="R320" s="697">
        <v>1</v>
      </c>
      <c r="S320" s="698">
        <f t="shared" si="77"/>
        <v>0</v>
      </c>
      <c r="T320" s="698">
        <f t="shared" si="78"/>
        <v>0</v>
      </c>
      <c r="U320" s="698">
        <f t="shared" si="79"/>
        <v>0</v>
      </c>
      <c r="V320" s="698">
        <f t="shared" si="80"/>
        <v>0</v>
      </c>
      <c r="W320" s="699">
        <f t="shared" si="70"/>
        <v>0</v>
      </c>
      <c r="X320" s="699">
        <f t="shared" si="71"/>
        <v>0</v>
      </c>
      <c r="Y320" s="699">
        <f t="shared" si="72"/>
        <v>0</v>
      </c>
      <c r="Z320" s="699">
        <f t="shared" si="73"/>
        <v>0</v>
      </c>
      <c r="AA320" s="698" t="str">
        <f t="shared" si="74"/>
        <v>V</v>
      </c>
      <c r="AB320" s="689"/>
      <c r="AC320" s="700" t="e">
        <f>(S320+T320+U320)*'1.0-Contractblad'!$K$68</f>
        <v>#VALUE!</v>
      </c>
      <c r="AD320" s="700"/>
      <c r="AE320" s="416">
        <f t="shared" si="75"/>
        <v>0</v>
      </c>
      <c r="AF320" s="416">
        <f t="shared" si="81"/>
        <v>7905</v>
      </c>
      <c r="AG320" s="416" t="str">
        <f t="shared" si="82"/>
        <v>15255-255</v>
      </c>
    </row>
    <row r="321" spans="1:33" s="416" customFormat="1" ht="12.75">
      <c r="A321" s="655"/>
      <c r="B321" s="656"/>
      <c r="C321" s="657"/>
      <c r="D321" s="676" t="s">
        <v>148</v>
      </c>
      <c r="E321" s="677" t="s">
        <v>314</v>
      </c>
      <c r="F321" s="678" t="s">
        <v>323</v>
      </c>
      <c r="G321" s="676" t="s">
        <v>700</v>
      </c>
      <c r="H321" s="679" t="str">
        <f t="shared" si="83"/>
        <v>kleedruimten</v>
      </c>
      <c r="I321" s="693" t="s">
        <v>234</v>
      </c>
      <c r="J321" s="680">
        <v>14.59</v>
      </c>
      <c r="K321" s="680"/>
      <c r="L321" s="692">
        <v>10255</v>
      </c>
      <c r="M321" s="677"/>
      <c r="N321" s="682"/>
      <c r="O321" s="682"/>
      <c r="P321" s="682">
        <f t="shared" si="76"/>
        <v>255</v>
      </c>
      <c r="Q321" s="696">
        <v>2</v>
      </c>
      <c r="R321" s="697">
        <v>1</v>
      </c>
      <c r="S321" s="698">
        <f t="shared" si="77"/>
        <v>0</v>
      </c>
      <c r="T321" s="698">
        <f t="shared" si="78"/>
        <v>0</v>
      </c>
      <c r="U321" s="698">
        <f t="shared" si="79"/>
        <v>0</v>
      </c>
      <c r="V321" s="698">
        <f t="shared" si="80"/>
        <v>0</v>
      </c>
      <c r="W321" s="699">
        <f t="shared" si="70"/>
        <v>0</v>
      </c>
      <c r="X321" s="699">
        <f t="shared" si="71"/>
        <v>0</v>
      </c>
      <c r="Y321" s="699">
        <f t="shared" si="72"/>
        <v>0</v>
      </c>
      <c r="Z321" s="699">
        <f t="shared" si="73"/>
        <v>0</v>
      </c>
      <c r="AA321" s="698" t="str">
        <f t="shared" si="74"/>
        <v>V</v>
      </c>
      <c r="AB321" s="689"/>
      <c r="AC321" s="700" t="e">
        <f>(S321+T321+U321)*'1.0-Contractblad'!$K$68</f>
        <v>#VALUE!</v>
      </c>
      <c r="AD321" s="700"/>
      <c r="AE321" s="416">
        <f t="shared" si="75"/>
        <v>0</v>
      </c>
      <c r="AF321" s="416">
        <f t="shared" si="81"/>
        <v>3720.45</v>
      </c>
      <c r="AG321" s="416" t="str">
        <f t="shared" si="82"/>
        <v>10255-255</v>
      </c>
    </row>
    <row r="322" spans="1:33" s="416" customFormat="1" ht="12.75">
      <c r="A322" s="655"/>
      <c r="B322" s="656"/>
      <c r="C322" s="657"/>
      <c r="D322" s="676" t="s">
        <v>148</v>
      </c>
      <c r="E322" s="677" t="s">
        <v>314</v>
      </c>
      <c r="F322" s="678" t="s">
        <v>701</v>
      </c>
      <c r="G322" s="679" t="s">
        <v>359</v>
      </c>
      <c r="H322" s="679" t="str">
        <f t="shared" si="83"/>
        <v>sanitaire ruimte (toilet-/doucheruimte)</v>
      </c>
      <c r="I322" s="693" t="s">
        <v>234</v>
      </c>
      <c r="J322" s="680">
        <v>1.69</v>
      </c>
      <c r="K322" s="680"/>
      <c r="L322" s="692">
        <v>4255</v>
      </c>
      <c r="M322" s="677"/>
      <c r="N322" s="682"/>
      <c r="O322" s="682"/>
      <c r="P322" s="682">
        <f t="shared" si="76"/>
        <v>255</v>
      </c>
      <c r="Q322" s="696">
        <v>2</v>
      </c>
      <c r="R322" s="697">
        <v>1</v>
      </c>
      <c r="S322" s="698">
        <f t="shared" si="77"/>
        <v>0</v>
      </c>
      <c r="T322" s="698">
        <f t="shared" si="78"/>
        <v>0</v>
      </c>
      <c r="U322" s="698">
        <f t="shared" si="79"/>
        <v>0</v>
      </c>
      <c r="V322" s="698">
        <f t="shared" si="80"/>
        <v>0</v>
      </c>
      <c r="W322" s="699">
        <f t="shared" si="70"/>
        <v>0</v>
      </c>
      <c r="X322" s="699">
        <f t="shared" si="71"/>
        <v>0</v>
      </c>
      <c r="Y322" s="699">
        <f t="shared" si="72"/>
        <v>0</v>
      </c>
      <c r="Z322" s="699">
        <f t="shared" si="73"/>
        <v>0</v>
      </c>
      <c r="AA322" s="698" t="str">
        <f t="shared" si="74"/>
        <v>S</v>
      </c>
      <c r="AB322" s="689"/>
      <c r="AC322" s="700" t="e">
        <f>(S322+T322+U322)*'1.0-Contractblad'!$K$68</f>
        <v>#VALUE!</v>
      </c>
      <c r="AD322" s="700"/>
      <c r="AE322" s="416">
        <f t="shared" si="75"/>
        <v>0</v>
      </c>
      <c r="AF322" s="416">
        <f t="shared" si="81"/>
        <v>430.95</v>
      </c>
      <c r="AG322" s="416" t="str">
        <f t="shared" si="82"/>
        <v>4255-255</v>
      </c>
    </row>
    <row r="323" spans="1:33" s="416" customFormat="1" ht="12.75">
      <c r="A323" s="655"/>
      <c r="B323" s="656"/>
      <c r="C323" s="657"/>
      <c r="D323" s="676" t="s">
        <v>148</v>
      </c>
      <c r="E323" s="677" t="s">
        <v>314</v>
      </c>
      <c r="F323" s="678" t="s">
        <v>702</v>
      </c>
      <c r="G323" s="679" t="s">
        <v>359</v>
      </c>
      <c r="H323" s="679" t="str">
        <f t="shared" si="83"/>
        <v>sanitaire ruimte (toilet-/doucheruimte)</v>
      </c>
      <c r="I323" s="693" t="s">
        <v>234</v>
      </c>
      <c r="J323" s="680">
        <v>1.69</v>
      </c>
      <c r="K323" s="680"/>
      <c r="L323" s="692">
        <v>4255</v>
      </c>
      <c r="M323" s="677"/>
      <c r="N323" s="682"/>
      <c r="O323" s="682"/>
      <c r="P323" s="682">
        <f t="shared" si="76"/>
        <v>255</v>
      </c>
      <c r="Q323" s="696">
        <v>2</v>
      </c>
      <c r="R323" s="697">
        <v>1</v>
      </c>
      <c r="S323" s="698">
        <f t="shared" si="77"/>
        <v>0</v>
      </c>
      <c r="T323" s="698">
        <f t="shared" si="78"/>
        <v>0</v>
      </c>
      <c r="U323" s="698">
        <f t="shared" si="79"/>
        <v>0</v>
      </c>
      <c r="V323" s="698">
        <f t="shared" si="80"/>
        <v>0</v>
      </c>
      <c r="W323" s="699">
        <f t="shared" si="70"/>
        <v>0</v>
      </c>
      <c r="X323" s="699">
        <f t="shared" si="71"/>
        <v>0</v>
      </c>
      <c r="Y323" s="699">
        <f t="shared" si="72"/>
        <v>0</v>
      </c>
      <c r="Z323" s="699">
        <f t="shared" si="73"/>
        <v>0</v>
      </c>
      <c r="AA323" s="698" t="str">
        <f t="shared" si="74"/>
        <v>S</v>
      </c>
      <c r="AB323" s="689"/>
      <c r="AC323" s="700" t="e">
        <f>(S323+T323+U323)*'1.0-Contractblad'!$K$68</f>
        <v>#VALUE!</v>
      </c>
      <c r="AD323" s="700"/>
      <c r="AE323" s="416">
        <f t="shared" si="75"/>
        <v>0</v>
      </c>
      <c r="AF323" s="416">
        <f t="shared" si="81"/>
        <v>430.95</v>
      </c>
      <c r="AG323" s="416" t="str">
        <f t="shared" si="82"/>
        <v>4255-255</v>
      </c>
    </row>
    <row r="324" spans="1:33" s="416" customFormat="1" ht="12.75">
      <c r="A324" s="655"/>
      <c r="B324" s="656"/>
      <c r="C324" s="657"/>
      <c r="D324" s="676" t="s">
        <v>148</v>
      </c>
      <c r="E324" s="677" t="s">
        <v>314</v>
      </c>
      <c r="F324" s="678" t="s">
        <v>703</v>
      </c>
      <c r="G324" s="676" t="s">
        <v>405</v>
      </c>
      <c r="H324" s="679" t="str">
        <f t="shared" si="83"/>
        <v>sanitaire ruimte (toilet-/doucheruimte)</v>
      </c>
      <c r="I324" s="693" t="s">
        <v>234</v>
      </c>
      <c r="J324" s="680">
        <v>1.4</v>
      </c>
      <c r="K324" s="680"/>
      <c r="L324" s="692">
        <v>4255</v>
      </c>
      <c r="M324" s="677"/>
      <c r="N324" s="682"/>
      <c r="O324" s="682"/>
      <c r="P324" s="682">
        <f t="shared" si="76"/>
        <v>255</v>
      </c>
      <c r="Q324" s="696">
        <v>2</v>
      </c>
      <c r="R324" s="697">
        <v>1</v>
      </c>
      <c r="S324" s="698">
        <f t="shared" si="77"/>
        <v>0</v>
      </c>
      <c r="T324" s="698">
        <f t="shared" si="78"/>
        <v>0</v>
      </c>
      <c r="U324" s="698">
        <f t="shared" si="79"/>
        <v>0</v>
      </c>
      <c r="V324" s="698">
        <f t="shared" si="80"/>
        <v>0</v>
      </c>
      <c r="W324" s="699">
        <f t="shared" si="70"/>
        <v>0</v>
      </c>
      <c r="X324" s="699">
        <f t="shared" si="71"/>
        <v>0</v>
      </c>
      <c r="Y324" s="699">
        <f t="shared" si="72"/>
        <v>0</v>
      </c>
      <c r="Z324" s="699">
        <f t="shared" si="73"/>
        <v>0</v>
      </c>
      <c r="AA324" s="698" t="str">
        <f t="shared" si="74"/>
        <v>S</v>
      </c>
      <c r="AB324" s="689"/>
      <c r="AC324" s="700" t="e">
        <f>(S324+T324+U324)*'1.0-Contractblad'!$K$68</f>
        <v>#VALUE!</v>
      </c>
      <c r="AD324" s="700"/>
      <c r="AE324" s="416">
        <f t="shared" si="75"/>
        <v>0</v>
      </c>
      <c r="AF324" s="416">
        <f t="shared" si="81"/>
        <v>357</v>
      </c>
      <c r="AG324" s="416" t="str">
        <f t="shared" si="82"/>
        <v>4255-255</v>
      </c>
    </row>
    <row r="325" spans="1:33" s="416" customFormat="1" ht="12.75">
      <c r="A325" s="655"/>
      <c r="B325" s="656"/>
      <c r="C325" s="657"/>
      <c r="D325" s="676" t="s">
        <v>148</v>
      </c>
      <c r="E325" s="677" t="s">
        <v>314</v>
      </c>
      <c r="F325" s="678" t="s">
        <v>325</v>
      </c>
      <c r="G325" s="676" t="s">
        <v>386</v>
      </c>
      <c r="H325" s="679" t="str">
        <f t="shared" si="83"/>
        <v>administratieve -, personeels- en vergaderruimte</v>
      </c>
      <c r="I325" s="693" t="s">
        <v>238</v>
      </c>
      <c r="J325" s="680">
        <v>48.5</v>
      </c>
      <c r="K325" s="680"/>
      <c r="L325" s="692">
        <v>1255</v>
      </c>
      <c r="M325" s="677"/>
      <c r="N325" s="682"/>
      <c r="O325" s="682"/>
      <c r="P325" s="682">
        <f t="shared" si="76"/>
        <v>255</v>
      </c>
      <c r="Q325" s="696">
        <v>2</v>
      </c>
      <c r="R325" s="697">
        <v>1</v>
      </c>
      <c r="S325" s="698">
        <f t="shared" si="77"/>
        <v>0</v>
      </c>
      <c r="T325" s="698">
        <f t="shared" si="78"/>
        <v>0</v>
      </c>
      <c r="U325" s="698">
        <f t="shared" si="79"/>
        <v>0</v>
      </c>
      <c r="V325" s="698">
        <f t="shared" si="80"/>
        <v>0</v>
      </c>
      <c r="W325" s="699">
        <f t="shared" si="70"/>
        <v>0</v>
      </c>
      <c r="X325" s="699">
        <f t="shared" si="71"/>
        <v>0</v>
      </c>
      <c r="Y325" s="699">
        <f t="shared" si="72"/>
        <v>0</v>
      </c>
      <c r="Z325" s="699">
        <f t="shared" si="73"/>
        <v>0</v>
      </c>
      <c r="AA325" s="698" t="str">
        <f t="shared" si="74"/>
        <v>B</v>
      </c>
      <c r="AB325" s="689"/>
      <c r="AC325" s="700" t="e">
        <f>(S325+T325+U325)*'1.0-Contractblad'!$K$68</f>
        <v>#VALUE!</v>
      </c>
      <c r="AD325" s="700"/>
      <c r="AE325" s="416">
        <f t="shared" si="75"/>
        <v>0</v>
      </c>
      <c r="AF325" s="416">
        <f t="shared" si="81"/>
        <v>12367.5</v>
      </c>
      <c r="AG325" s="416" t="str">
        <f t="shared" si="82"/>
        <v>1255-255</v>
      </c>
    </row>
    <row r="326" spans="1:33" s="416" customFormat="1" ht="12.75">
      <c r="A326" s="655"/>
      <c r="B326" s="656"/>
      <c r="C326" s="657"/>
      <c r="D326" s="676" t="s">
        <v>148</v>
      </c>
      <c r="E326" s="677" t="s">
        <v>314</v>
      </c>
      <c r="F326" s="678" t="s">
        <v>327</v>
      </c>
      <c r="G326" s="676" t="s">
        <v>410</v>
      </c>
      <c r="H326" s="679" t="str">
        <f t="shared" si="83"/>
        <v>niet van toepassing</v>
      </c>
      <c r="I326" s="693" t="s">
        <v>240</v>
      </c>
      <c r="J326" s="680"/>
      <c r="K326" s="680">
        <v>21.68</v>
      </c>
      <c r="L326" s="692" t="s">
        <v>225</v>
      </c>
      <c r="M326" s="677"/>
      <c r="N326" s="682"/>
      <c r="O326" s="682"/>
      <c r="P326" s="682">
        <f t="shared" si="76"/>
        <v>0</v>
      </c>
      <c r="Q326" s="696">
        <v>2</v>
      </c>
      <c r="R326" s="697">
        <v>1</v>
      </c>
      <c r="S326" s="698">
        <f t="shared" si="77"/>
        <v>0</v>
      </c>
      <c r="T326" s="698">
        <f t="shared" si="78"/>
        <v>0</v>
      </c>
      <c r="U326" s="698">
        <f t="shared" si="79"/>
        <v>0</v>
      </c>
      <c r="V326" s="698">
        <f t="shared" si="80"/>
        <v>0</v>
      </c>
      <c r="W326" s="699">
        <f t="shared" si="70"/>
        <v>0</v>
      </c>
      <c r="X326" s="699">
        <f t="shared" si="71"/>
        <v>0</v>
      </c>
      <c r="Y326" s="699">
        <f t="shared" si="72"/>
        <v>0</v>
      </c>
      <c r="Z326" s="699">
        <f t="shared" si="73"/>
        <v>0</v>
      </c>
      <c r="AA326" s="698">
        <f t="shared" si="74"/>
        <v>0</v>
      </c>
      <c r="AB326" s="689"/>
      <c r="AC326" s="700" t="e">
        <f>(S326+T326+U326)*'1.0-Contractblad'!$K$68</f>
        <v>#VALUE!</v>
      </c>
      <c r="AD326" s="700"/>
      <c r="AE326" s="416">
        <f t="shared" si="75"/>
        <v>0</v>
      </c>
      <c r="AF326" s="416">
        <f t="shared" si="81"/>
        <v>0</v>
      </c>
      <c r="AG326" s="416" t="str">
        <f t="shared" si="82"/>
        <v>nvt-0</v>
      </c>
    </row>
    <row r="327" spans="1:33" s="416" customFormat="1" ht="12.75">
      <c r="A327" s="655"/>
      <c r="B327" s="656"/>
      <c r="C327" s="657"/>
      <c r="D327" s="676" t="s">
        <v>148</v>
      </c>
      <c r="E327" s="677" t="s">
        <v>314</v>
      </c>
      <c r="F327" s="678" t="s">
        <v>330</v>
      </c>
      <c r="G327" s="676" t="s">
        <v>554</v>
      </c>
      <c r="H327" s="679" t="str">
        <f t="shared" si="83"/>
        <v>entree, gang, hal, repro, kopieer</v>
      </c>
      <c r="I327" s="693" t="s">
        <v>704</v>
      </c>
      <c r="J327" s="680">
        <v>4.76</v>
      </c>
      <c r="K327" s="680"/>
      <c r="L327" s="692">
        <v>3255</v>
      </c>
      <c r="M327" s="677"/>
      <c r="N327" s="682"/>
      <c r="O327" s="682"/>
      <c r="P327" s="682">
        <f t="shared" si="76"/>
        <v>255</v>
      </c>
      <c r="Q327" s="696">
        <v>2</v>
      </c>
      <c r="R327" s="697">
        <v>1</v>
      </c>
      <c r="S327" s="698">
        <f t="shared" si="77"/>
        <v>0</v>
      </c>
      <c r="T327" s="698">
        <f t="shared" si="78"/>
        <v>0</v>
      </c>
      <c r="U327" s="698">
        <f t="shared" si="79"/>
        <v>0</v>
      </c>
      <c r="V327" s="698">
        <f t="shared" si="80"/>
        <v>0</v>
      </c>
      <c r="W327" s="699">
        <f t="shared" si="70"/>
        <v>0</v>
      </c>
      <c r="X327" s="699">
        <f t="shared" si="71"/>
        <v>0</v>
      </c>
      <c r="Y327" s="699">
        <f t="shared" si="72"/>
        <v>0</v>
      </c>
      <c r="Z327" s="699">
        <f t="shared" si="73"/>
        <v>0</v>
      </c>
      <c r="AA327" s="698" t="str">
        <f t="shared" si="74"/>
        <v>V</v>
      </c>
      <c r="AB327" s="689"/>
      <c r="AC327" s="700" t="e">
        <f>(S327+T327+U327)*'1.0-Contractblad'!$K$68</f>
        <v>#VALUE!</v>
      </c>
      <c r="AD327" s="700"/>
      <c r="AE327" s="416">
        <f t="shared" si="75"/>
        <v>0</v>
      </c>
      <c r="AF327" s="416">
        <f t="shared" si="81"/>
        <v>1213.8</v>
      </c>
      <c r="AG327" s="416" t="str">
        <f t="shared" si="82"/>
        <v>3255-255</v>
      </c>
    </row>
    <row r="328" spans="1:33" s="416" customFormat="1" ht="12.75">
      <c r="A328" s="655"/>
      <c r="B328" s="656"/>
      <c r="C328" s="657"/>
      <c r="D328" s="676" t="s">
        <v>148</v>
      </c>
      <c r="E328" s="677" t="s">
        <v>314</v>
      </c>
      <c r="F328" s="678" t="s">
        <v>332</v>
      </c>
      <c r="G328" s="676" t="s">
        <v>405</v>
      </c>
      <c r="H328" s="679" t="str">
        <f t="shared" si="83"/>
        <v>sanitaire ruimte (toilet-/doucheruimte)</v>
      </c>
      <c r="I328" s="693" t="s">
        <v>234</v>
      </c>
      <c r="J328" s="680">
        <v>1.1399999999999999</v>
      </c>
      <c r="K328" s="680"/>
      <c r="L328" s="692">
        <v>4255</v>
      </c>
      <c r="M328" s="677"/>
      <c r="N328" s="682"/>
      <c r="O328" s="682"/>
      <c r="P328" s="682">
        <f t="shared" si="76"/>
        <v>255</v>
      </c>
      <c r="Q328" s="696">
        <v>2</v>
      </c>
      <c r="R328" s="697">
        <v>1</v>
      </c>
      <c r="S328" s="698">
        <f t="shared" si="77"/>
        <v>0</v>
      </c>
      <c r="T328" s="698">
        <f t="shared" si="78"/>
        <v>0</v>
      </c>
      <c r="U328" s="698">
        <f t="shared" si="79"/>
        <v>0</v>
      </c>
      <c r="V328" s="698">
        <f t="shared" si="80"/>
        <v>0</v>
      </c>
      <c r="W328" s="699">
        <f t="shared" si="70"/>
        <v>0</v>
      </c>
      <c r="X328" s="699">
        <f t="shared" si="71"/>
        <v>0</v>
      </c>
      <c r="Y328" s="699">
        <f t="shared" si="72"/>
        <v>0</v>
      </c>
      <c r="Z328" s="699">
        <f t="shared" si="73"/>
        <v>0</v>
      </c>
      <c r="AA328" s="698" t="str">
        <f t="shared" si="74"/>
        <v>S</v>
      </c>
      <c r="AB328" s="689"/>
      <c r="AC328" s="700" t="e">
        <f>(S328+T328+U328)*'1.0-Contractblad'!$K$68</f>
        <v>#VALUE!</v>
      </c>
      <c r="AD328" s="700"/>
      <c r="AE328" s="416">
        <f t="shared" si="75"/>
        <v>0</v>
      </c>
      <c r="AF328" s="416">
        <f t="shared" si="81"/>
        <v>290.7</v>
      </c>
      <c r="AG328" s="416" t="str">
        <f t="shared" si="82"/>
        <v>4255-255</v>
      </c>
    </row>
    <row r="329" spans="1:33" s="416" customFormat="1" ht="12.75">
      <c r="A329" s="655"/>
      <c r="B329" s="656"/>
      <c r="C329" s="657"/>
      <c r="D329" s="676" t="s">
        <v>148</v>
      </c>
      <c r="E329" s="677" t="s">
        <v>314</v>
      </c>
      <c r="F329" s="678" t="s">
        <v>334</v>
      </c>
      <c r="G329" s="676" t="s">
        <v>405</v>
      </c>
      <c r="H329" s="679" t="str">
        <f t="shared" si="83"/>
        <v>sanitaire ruimte (toilet-/doucheruimte)</v>
      </c>
      <c r="I329" s="693" t="s">
        <v>234</v>
      </c>
      <c r="J329" s="680">
        <v>1.82</v>
      </c>
      <c r="K329" s="680"/>
      <c r="L329" s="692">
        <v>4255</v>
      </c>
      <c r="M329" s="677"/>
      <c r="N329" s="682"/>
      <c r="O329" s="682"/>
      <c r="P329" s="682">
        <f t="shared" si="76"/>
        <v>255</v>
      </c>
      <c r="Q329" s="696">
        <v>2</v>
      </c>
      <c r="R329" s="697">
        <v>1</v>
      </c>
      <c r="S329" s="698">
        <f t="shared" si="77"/>
        <v>0</v>
      </c>
      <c r="T329" s="698">
        <f t="shared" si="78"/>
        <v>0</v>
      </c>
      <c r="U329" s="698">
        <f t="shared" si="79"/>
        <v>0</v>
      </c>
      <c r="V329" s="698">
        <f t="shared" si="80"/>
        <v>0</v>
      </c>
      <c r="W329" s="699">
        <f t="shared" si="70"/>
        <v>0</v>
      </c>
      <c r="X329" s="699">
        <f t="shared" si="71"/>
        <v>0</v>
      </c>
      <c r="Y329" s="699">
        <f t="shared" si="72"/>
        <v>0</v>
      </c>
      <c r="Z329" s="699">
        <f t="shared" si="73"/>
        <v>0</v>
      </c>
      <c r="AA329" s="698" t="str">
        <f t="shared" si="74"/>
        <v>S</v>
      </c>
      <c r="AB329" s="689"/>
      <c r="AC329" s="700" t="e">
        <f>(S329+T329+U329)*'1.0-Contractblad'!$K$68</f>
        <v>#VALUE!</v>
      </c>
      <c r="AD329" s="700"/>
      <c r="AE329" s="416">
        <f t="shared" si="75"/>
        <v>0</v>
      </c>
      <c r="AF329" s="416">
        <f t="shared" si="81"/>
        <v>464.1</v>
      </c>
      <c r="AG329" s="416" t="str">
        <f t="shared" si="82"/>
        <v>4255-255</v>
      </c>
    </row>
    <row r="330" spans="1:33" s="416" customFormat="1" ht="12.75">
      <c r="A330" s="655"/>
      <c r="B330" s="656"/>
      <c r="C330" s="657"/>
      <c r="D330" s="676" t="s">
        <v>148</v>
      </c>
      <c r="E330" s="677" t="s">
        <v>314</v>
      </c>
      <c r="F330" s="678" t="s">
        <v>391</v>
      </c>
      <c r="G330" s="676" t="s">
        <v>386</v>
      </c>
      <c r="H330" s="679" t="str">
        <f t="shared" si="83"/>
        <v>administratieve -, personeels- en vergaderruimte</v>
      </c>
      <c r="I330" s="693" t="s">
        <v>238</v>
      </c>
      <c r="J330" s="680">
        <v>12.89</v>
      </c>
      <c r="K330" s="680"/>
      <c r="L330" s="692">
        <v>1255</v>
      </c>
      <c r="M330" s="677"/>
      <c r="N330" s="682"/>
      <c r="O330" s="682"/>
      <c r="P330" s="682">
        <f t="shared" si="76"/>
        <v>255</v>
      </c>
      <c r="Q330" s="696">
        <v>2</v>
      </c>
      <c r="R330" s="697">
        <v>1</v>
      </c>
      <c r="S330" s="698">
        <f t="shared" si="77"/>
        <v>0</v>
      </c>
      <c r="T330" s="698">
        <f t="shared" si="78"/>
        <v>0</v>
      </c>
      <c r="U330" s="698">
        <f t="shared" si="79"/>
        <v>0</v>
      </c>
      <c r="V330" s="698">
        <f t="shared" si="80"/>
        <v>0</v>
      </c>
      <c r="W330" s="699">
        <f t="shared" si="70"/>
        <v>0</v>
      </c>
      <c r="X330" s="699">
        <f t="shared" si="71"/>
        <v>0</v>
      </c>
      <c r="Y330" s="699">
        <f t="shared" si="72"/>
        <v>0</v>
      </c>
      <c r="Z330" s="699">
        <f t="shared" si="73"/>
        <v>0</v>
      </c>
      <c r="AA330" s="698" t="str">
        <f t="shared" si="74"/>
        <v>B</v>
      </c>
      <c r="AB330" s="689"/>
      <c r="AC330" s="700" t="e">
        <f>(S330+T330+U330)*'1.0-Contractblad'!$K$68</f>
        <v>#VALUE!</v>
      </c>
      <c r="AD330" s="700"/>
      <c r="AE330" s="416">
        <f t="shared" si="75"/>
        <v>0</v>
      </c>
      <c r="AF330" s="416">
        <f t="shared" si="81"/>
        <v>3286.9500000000003</v>
      </c>
      <c r="AG330" s="416" t="str">
        <f t="shared" si="82"/>
        <v>1255-255</v>
      </c>
    </row>
    <row r="331" spans="1:33" s="416" customFormat="1" ht="12.75">
      <c r="A331" s="655"/>
      <c r="B331" s="656"/>
      <c r="C331" s="657"/>
      <c r="D331" s="676" t="s">
        <v>148</v>
      </c>
      <c r="E331" s="677" t="s">
        <v>419</v>
      </c>
      <c r="F331" s="678" t="s">
        <v>493</v>
      </c>
      <c r="G331" s="676" t="s">
        <v>705</v>
      </c>
      <c r="H331" s="679" t="str">
        <f t="shared" si="83"/>
        <v>buitenbordes</v>
      </c>
      <c r="I331" s="693" t="s">
        <v>234</v>
      </c>
      <c r="J331" s="680">
        <v>12.2</v>
      </c>
      <c r="K331" s="680"/>
      <c r="L331" s="692">
        <v>16104</v>
      </c>
      <c r="M331" s="677"/>
      <c r="N331" s="682"/>
      <c r="O331" s="682"/>
      <c r="P331" s="682">
        <f t="shared" si="76"/>
        <v>104</v>
      </c>
      <c r="Q331" s="696">
        <v>2</v>
      </c>
      <c r="R331" s="697">
        <v>1</v>
      </c>
      <c r="S331" s="698">
        <f t="shared" si="77"/>
        <v>0</v>
      </c>
      <c r="T331" s="698">
        <f t="shared" si="78"/>
        <v>0</v>
      </c>
      <c r="U331" s="698">
        <f t="shared" si="79"/>
        <v>0</v>
      </c>
      <c r="V331" s="698">
        <f t="shared" si="80"/>
        <v>0</v>
      </c>
      <c r="W331" s="699">
        <f t="shared" si="70"/>
        <v>0</v>
      </c>
      <c r="X331" s="699">
        <f t="shared" si="71"/>
        <v>0</v>
      </c>
      <c r="Y331" s="699">
        <f t="shared" si="72"/>
        <v>0</v>
      </c>
      <c r="Z331" s="699">
        <f t="shared" si="73"/>
        <v>0</v>
      </c>
      <c r="AA331" s="698" t="str">
        <f t="shared" si="74"/>
        <v>V</v>
      </c>
      <c r="AB331" s="689"/>
      <c r="AC331" s="700" t="e">
        <f>(S331+T331+U331)*'1.0-Contractblad'!$K$68</f>
        <v>#VALUE!</v>
      </c>
      <c r="AD331" s="700"/>
      <c r="AE331" s="416">
        <f t="shared" si="75"/>
        <v>0</v>
      </c>
      <c r="AF331" s="416">
        <f t="shared" si="81"/>
        <v>1268.8</v>
      </c>
      <c r="AG331" s="416" t="str">
        <f t="shared" si="82"/>
        <v>16104-104</v>
      </c>
    </row>
    <row r="332" spans="1:33" s="416" customFormat="1" ht="12.75">
      <c r="A332" s="655"/>
      <c r="B332" s="656"/>
      <c r="C332" s="657"/>
      <c r="D332" s="676" t="s">
        <v>148</v>
      </c>
      <c r="E332" s="677" t="s">
        <v>419</v>
      </c>
      <c r="F332" s="678" t="s">
        <v>706</v>
      </c>
      <c r="G332" s="676" t="s">
        <v>405</v>
      </c>
      <c r="H332" s="679" t="str">
        <f t="shared" si="83"/>
        <v>sanitaire ruimte (toilet-/doucheruimte)</v>
      </c>
      <c r="I332" s="693" t="s">
        <v>234</v>
      </c>
      <c r="J332" s="680">
        <v>1.33</v>
      </c>
      <c r="K332" s="680"/>
      <c r="L332" s="692">
        <v>4255</v>
      </c>
      <c r="M332" s="677"/>
      <c r="N332" s="682"/>
      <c r="O332" s="682"/>
      <c r="P332" s="682">
        <f t="shared" si="76"/>
        <v>255</v>
      </c>
      <c r="Q332" s="696">
        <v>2</v>
      </c>
      <c r="R332" s="697">
        <v>1</v>
      </c>
      <c r="S332" s="698">
        <f>W332*J332*Q332</f>
        <v>0</v>
      </c>
      <c r="T332" s="698">
        <f t="shared" si="78"/>
        <v>0</v>
      </c>
      <c r="U332" s="698"/>
      <c r="V332" s="698"/>
      <c r="W332" s="699">
        <f t="shared" si="70"/>
        <v>0</v>
      </c>
      <c r="X332" s="699">
        <f t="shared" si="71"/>
        <v>0</v>
      </c>
      <c r="Y332" s="699"/>
      <c r="Z332" s="699"/>
      <c r="AA332" s="698" t="str">
        <f>IF(L332="","",VLOOKUP(L332,Kengetal,15,FALSE))</f>
        <v>S</v>
      </c>
      <c r="AB332" s="689"/>
      <c r="AC332" s="700" t="e">
        <f>(S332+T332+U332)*'1.0-Contractblad'!$K$68</f>
        <v>#VALUE!</v>
      </c>
      <c r="AD332" s="700"/>
    </row>
    <row r="333" spans="1:33" s="416" customFormat="1" ht="12.75">
      <c r="A333" s="655"/>
      <c r="B333" s="656"/>
      <c r="C333" s="657"/>
      <c r="D333" s="676" t="s">
        <v>148</v>
      </c>
      <c r="E333" s="677" t="s">
        <v>419</v>
      </c>
      <c r="F333" s="678" t="s">
        <v>707</v>
      </c>
      <c r="G333" s="676" t="s">
        <v>405</v>
      </c>
      <c r="H333" s="679" t="str">
        <f t="shared" si="83"/>
        <v>sanitaire ruimte (toilet-/doucheruimte)</v>
      </c>
      <c r="I333" s="693" t="s">
        <v>234</v>
      </c>
      <c r="J333" s="680">
        <v>1.91</v>
      </c>
      <c r="K333" s="680"/>
      <c r="L333" s="692">
        <v>4255</v>
      </c>
      <c r="M333" s="677"/>
      <c r="N333" s="682"/>
      <c r="O333" s="682"/>
      <c r="P333" s="682">
        <f t="shared" si="76"/>
        <v>255</v>
      </c>
      <c r="Q333" s="696">
        <v>2</v>
      </c>
      <c r="R333" s="697">
        <v>1</v>
      </c>
      <c r="S333" s="698">
        <f>W333*J333*Q333</f>
        <v>0</v>
      </c>
      <c r="T333" s="698">
        <f t="shared" si="78"/>
        <v>0</v>
      </c>
      <c r="U333" s="698">
        <f t="shared" si="79"/>
        <v>0</v>
      </c>
      <c r="V333" s="698">
        <f t="shared" si="80"/>
        <v>0</v>
      </c>
      <c r="W333" s="699">
        <f t="shared" si="70"/>
        <v>0</v>
      </c>
      <c r="X333" s="699">
        <f t="shared" si="71"/>
        <v>0</v>
      </c>
      <c r="Y333" s="699">
        <f t="shared" si="72"/>
        <v>0</v>
      </c>
      <c r="Z333" s="699">
        <f t="shared" si="73"/>
        <v>0</v>
      </c>
      <c r="AA333" s="698" t="str">
        <f>IF(L333="","",VLOOKUP(L333,Kengetal,15,FALSE))</f>
        <v>S</v>
      </c>
      <c r="AB333" s="689"/>
      <c r="AC333" s="700" t="e">
        <f>(S333+T333+U333)*'1.0-Contractblad'!$K$68</f>
        <v>#VALUE!</v>
      </c>
      <c r="AD333" s="700"/>
      <c r="AE333" s="416">
        <f t="shared" si="75"/>
        <v>0</v>
      </c>
      <c r="AF333" s="416">
        <f t="shared" si="81"/>
        <v>487.04999999999995</v>
      </c>
      <c r="AG333" s="416" t="str">
        <f t="shared" si="82"/>
        <v>4255-255</v>
      </c>
    </row>
    <row r="334" spans="1:33" s="416" customFormat="1" ht="12.75">
      <c r="A334" s="655"/>
      <c r="B334" s="656"/>
      <c r="C334" s="657"/>
      <c r="D334" s="676" t="s">
        <v>148</v>
      </c>
      <c r="E334" s="677" t="s">
        <v>419</v>
      </c>
      <c r="F334" s="678" t="s">
        <v>496</v>
      </c>
      <c r="G334" s="676" t="s">
        <v>383</v>
      </c>
      <c r="H334" s="679" t="str">
        <f t="shared" si="83"/>
        <v>labruimte</v>
      </c>
      <c r="I334" s="693" t="s">
        <v>384</v>
      </c>
      <c r="J334" s="680">
        <v>52</v>
      </c>
      <c r="K334" s="680"/>
      <c r="L334" s="692">
        <v>8255</v>
      </c>
      <c r="M334" s="677"/>
      <c r="N334" s="682"/>
      <c r="O334" s="682"/>
      <c r="P334" s="682">
        <f t="shared" si="76"/>
        <v>255</v>
      </c>
      <c r="Q334" s="696">
        <v>2</v>
      </c>
      <c r="R334" s="697">
        <v>1</v>
      </c>
      <c r="S334" s="698">
        <f t="shared" si="77"/>
        <v>0</v>
      </c>
      <c r="T334" s="698">
        <f t="shared" si="78"/>
        <v>0</v>
      </c>
      <c r="U334" s="698">
        <f t="shared" si="79"/>
        <v>0</v>
      </c>
      <c r="V334" s="698">
        <f t="shared" si="80"/>
        <v>0</v>
      </c>
      <c r="W334" s="699">
        <f t="shared" si="70"/>
        <v>0</v>
      </c>
      <c r="X334" s="699">
        <f t="shared" si="71"/>
        <v>0</v>
      </c>
      <c r="Y334" s="699">
        <f t="shared" si="72"/>
        <v>0</v>
      </c>
      <c r="Z334" s="699">
        <f t="shared" si="73"/>
        <v>0</v>
      </c>
      <c r="AA334" s="698" t="str">
        <f t="shared" si="74"/>
        <v>V</v>
      </c>
      <c r="AB334" s="689"/>
      <c r="AC334" s="700" t="e">
        <f>(S334+T334+U334)*'1.0-Contractblad'!$K$68</f>
        <v>#VALUE!</v>
      </c>
      <c r="AD334" s="700"/>
      <c r="AE334" s="416">
        <f t="shared" si="75"/>
        <v>0</v>
      </c>
      <c r="AF334" s="416">
        <f t="shared" si="81"/>
        <v>13260</v>
      </c>
      <c r="AG334" s="416" t="str">
        <f t="shared" si="82"/>
        <v>8255-255</v>
      </c>
    </row>
    <row r="335" spans="1:33" s="416" customFormat="1" ht="12.75">
      <c r="A335" s="655"/>
      <c r="B335" s="656"/>
      <c r="C335" s="657"/>
      <c r="D335" s="676" t="s">
        <v>148</v>
      </c>
      <c r="E335" s="677" t="s">
        <v>419</v>
      </c>
      <c r="F335" s="678" t="s">
        <v>497</v>
      </c>
      <c r="G335" s="676" t="s">
        <v>383</v>
      </c>
      <c r="H335" s="679" t="str">
        <f t="shared" si="83"/>
        <v>labruimte</v>
      </c>
      <c r="I335" s="693" t="s">
        <v>384</v>
      </c>
      <c r="J335" s="680">
        <v>4.55</v>
      </c>
      <c r="K335" s="680"/>
      <c r="L335" s="692">
        <v>8255</v>
      </c>
      <c r="M335" s="677"/>
      <c r="N335" s="682"/>
      <c r="O335" s="682"/>
      <c r="P335" s="682">
        <f t="shared" si="76"/>
        <v>255</v>
      </c>
      <c r="Q335" s="696">
        <v>2</v>
      </c>
      <c r="R335" s="697">
        <v>1</v>
      </c>
      <c r="S335" s="698">
        <f t="shared" si="77"/>
        <v>0</v>
      </c>
      <c r="T335" s="698">
        <f t="shared" si="78"/>
        <v>0</v>
      </c>
      <c r="U335" s="698">
        <f t="shared" si="79"/>
        <v>0</v>
      </c>
      <c r="V335" s="698">
        <f t="shared" si="80"/>
        <v>0</v>
      </c>
      <c r="W335" s="699">
        <f t="shared" si="70"/>
        <v>0</v>
      </c>
      <c r="X335" s="699">
        <f t="shared" si="71"/>
        <v>0</v>
      </c>
      <c r="Y335" s="699">
        <f t="shared" si="72"/>
        <v>0</v>
      </c>
      <c r="Z335" s="699">
        <f t="shared" si="73"/>
        <v>0</v>
      </c>
      <c r="AA335" s="698" t="str">
        <f t="shared" si="74"/>
        <v>V</v>
      </c>
      <c r="AB335" s="689"/>
      <c r="AC335" s="700" t="e">
        <f>(S335+T335+U335)*'1.0-Contractblad'!$K$68</f>
        <v>#VALUE!</v>
      </c>
      <c r="AD335" s="700"/>
      <c r="AE335" s="416">
        <f t="shared" si="75"/>
        <v>0</v>
      </c>
      <c r="AF335" s="416">
        <f t="shared" si="81"/>
        <v>1160.25</v>
      </c>
      <c r="AG335" s="416" t="str">
        <f t="shared" si="82"/>
        <v>8255-255</v>
      </c>
    </row>
    <row r="336" spans="1:33" s="416" customFormat="1" ht="12.75">
      <c r="A336" s="655"/>
      <c r="B336" s="656"/>
      <c r="C336" s="657"/>
      <c r="D336" s="676" t="s">
        <v>148</v>
      </c>
      <c r="E336" s="677" t="s">
        <v>419</v>
      </c>
      <c r="F336" s="678" t="s">
        <v>498</v>
      </c>
      <c r="G336" s="676" t="s">
        <v>708</v>
      </c>
      <c r="H336" s="679" t="str">
        <f t="shared" si="83"/>
        <v>administratieve -, personeels- en vergaderruimte</v>
      </c>
      <c r="I336" s="693" t="s">
        <v>238</v>
      </c>
      <c r="J336" s="680">
        <v>29.5</v>
      </c>
      <c r="K336" s="680"/>
      <c r="L336" s="692">
        <v>1255</v>
      </c>
      <c r="M336" s="677"/>
      <c r="N336" s="682"/>
      <c r="O336" s="682"/>
      <c r="P336" s="682">
        <f t="shared" si="76"/>
        <v>255</v>
      </c>
      <c r="Q336" s="696">
        <v>2</v>
      </c>
      <c r="R336" s="697">
        <v>1</v>
      </c>
      <c r="S336" s="698">
        <f t="shared" si="77"/>
        <v>0</v>
      </c>
      <c r="T336" s="698">
        <f t="shared" si="78"/>
        <v>0</v>
      </c>
      <c r="U336" s="698">
        <f t="shared" si="79"/>
        <v>0</v>
      </c>
      <c r="V336" s="698">
        <f t="shared" si="80"/>
        <v>0</v>
      </c>
      <c r="W336" s="699">
        <f t="shared" si="70"/>
        <v>0</v>
      </c>
      <c r="X336" s="699">
        <f t="shared" si="71"/>
        <v>0</v>
      </c>
      <c r="Y336" s="699">
        <f t="shared" si="72"/>
        <v>0</v>
      </c>
      <c r="Z336" s="699">
        <f t="shared" si="73"/>
        <v>0</v>
      </c>
      <c r="AA336" s="698" t="str">
        <f t="shared" si="74"/>
        <v>B</v>
      </c>
      <c r="AB336" s="689"/>
      <c r="AC336" s="700" t="e">
        <f>(S336+T336+U336)*'1.0-Contractblad'!$K$68</f>
        <v>#VALUE!</v>
      </c>
      <c r="AD336" s="700"/>
      <c r="AE336" s="416">
        <f t="shared" si="75"/>
        <v>0</v>
      </c>
      <c r="AF336" s="416">
        <f t="shared" si="81"/>
        <v>7522.5</v>
      </c>
      <c r="AG336" s="416" t="str">
        <f t="shared" si="82"/>
        <v>1255-255</v>
      </c>
    </row>
    <row r="337" spans="1:33" s="416" customFormat="1" ht="12.75">
      <c r="A337" s="655"/>
      <c r="B337" s="656"/>
      <c r="C337" s="657"/>
      <c r="D337" s="676" t="s">
        <v>148</v>
      </c>
      <c r="E337" s="677" t="s">
        <v>314</v>
      </c>
      <c r="F337" s="678" t="s">
        <v>709</v>
      </c>
      <c r="G337" s="676" t="s">
        <v>410</v>
      </c>
      <c r="H337" s="679" t="str">
        <f t="shared" si="83"/>
        <v>niet van toepassing</v>
      </c>
      <c r="I337" s="693" t="s">
        <v>238</v>
      </c>
      <c r="J337" s="680"/>
      <c r="K337" s="680">
        <v>8.56</v>
      </c>
      <c r="L337" s="692" t="s">
        <v>225</v>
      </c>
      <c r="M337" s="677"/>
      <c r="N337" s="682"/>
      <c r="O337" s="682"/>
      <c r="P337" s="682">
        <f t="shared" si="76"/>
        <v>0</v>
      </c>
      <c r="Q337" s="696">
        <v>2</v>
      </c>
      <c r="R337" s="697">
        <v>1</v>
      </c>
      <c r="S337" s="698">
        <f t="shared" si="77"/>
        <v>0</v>
      </c>
      <c r="T337" s="698">
        <f t="shared" si="78"/>
        <v>0</v>
      </c>
      <c r="U337" s="698">
        <f t="shared" si="79"/>
        <v>0</v>
      </c>
      <c r="V337" s="698">
        <f t="shared" si="80"/>
        <v>0</v>
      </c>
      <c r="W337" s="699">
        <f t="shared" si="70"/>
        <v>0</v>
      </c>
      <c r="X337" s="699">
        <f t="shared" si="71"/>
        <v>0</v>
      </c>
      <c r="Y337" s="699">
        <f t="shared" si="72"/>
        <v>0</v>
      </c>
      <c r="Z337" s="699">
        <f t="shared" si="73"/>
        <v>0</v>
      </c>
      <c r="AA337" s="698">
        <f t="shared" si="74"/>
        <v>0</v>
      </c>
      <c r="AB337" s="689"/>
      <c r="AC337" s="700" t="e">
        <f>(S337+T337+U337)*'1.0-Contractblad'!$K$68</f>
        <v>#VALUE!</v>
      </c>
      <c r="AD337" s="700"/>
      <c r="AE337" s="416">
        <f t="shared" si="75"/>
        <v>0</v>
      </c>
      <c r="AF337" s="416">
        <f t="shared" si="81"/>
        <v>0</v>
      </c>
      <c r="AG337" s="416" t="str">
        <f t="shared" si="82"/>
        <v>nvt-0</v>
      </c>
    </row>
    <row r="338" spans="1:33" s="416" customFormat="1" ht="12.75">
      <c r="A338" s="655"/>
      <c r="B338" s="656"/>
      <c r="C338" s="657"/>
      <c r="D338" s="676" t="s">
        <v>148</v>
      </c>
      <c r="E338" s="677" t="s">
        <v>314</v>
      </c>
      <c r="F338" s="678" t="s">
        <v>710</v>
      </c>
      <c r="G338" s="676" t="s">
        <v>410</v>
      </c>
      <c r="H338" s="679" t="str">
        <f t="shared" si="83"/>
        <v>niet van toepassing</v>
      </c>
      <c r="I338" s="693" t="s">
        <v>234</v>
      </c>
      <c r="J338" s="680"/>
      <c r="K338" s="680">
        <v>14.78</v>
      </c>
      <c r="L338" s="692" t="s">
        <v>225</v>
      </c>
      <c r="M338" s="677"/>
      <c r="N338" s="682"/>
      <c r="O338" s="682"/>
      <c r="P338" s="682">
        <f t="shared" si="76"/>
        <v>0</v>
      </c>
      <c r="Q338" s="696">
        <v>2</v>
      </c>
      <c r="R338" s="697">
        <v>1</v>
      </c>
      <c r="S338" s="698">
        <f t="shared" si="77"/>
        <v>0</v>
      </c>
      <c r="T338" s="698">
        <f t="shared" si="78"/>
        <v>0</v>
      </c>
      <c r="U338" s="698">
        <f t="shared" si="79"/>
        <v>0</v>
      </c>
      <c r="V338" s="698">
        <f t="shared" si="80"/>
        <v>0</v>
      </c>
      <c r="W338" s="699">
        <f t="shared" si="70"/>
        <v>0</v>
      </c>
      <c r="X338" s="699">
        <f t="shared" si="71"/>
        <v>0</v>
      </c>
      <c r="Y338" s="699">
        <f t="shared" si="72"/>
        <v>0</v>
      </c>
      <c r="Z338" s="699">
        <f t="shared" si="73"/>
        <v>0</v>
      </c>
      <c r="AA338" s="698">
        <f t="shared" si="74"/>
        <v>0</v>
      </c>
      <c r="AB338" s="689"/>
      <c r="AC338" s="700" t="e">
        <f>(S338+T338+U338)*'1.0-Contractblad'!$K$68</f>
        <v>#VALUE!</v>
      </c>
      <c r="AD338" s="700"/>
      <c r="AE338" s="416">
        <f t="shared" si="75"/>
        <v>0</v>
      </c>
      <c r="AF338" s="416">
        <f t="shared" si="81"/>
        <v>0</v>
      </c>
      <c r="AG338" s="416" t="str">
        <f t="shared" si="82"/>
        <v>nvt-0</v>
      </c>
    </row>
    <row r="339" spans="1:33" s="416" customFormat="1" ht="12.75">
      <c r="A339" s="655"/>
      <c r="B339" s="656"/>
      <c r="C339" s="657"/>
      <c r="D339" s="676" t="s">
        <v>148</v>
      </c>
      <c r="E339" s="677" t="s">
        <v>314</v>
      </c>
      <c r="F339" s="678" t="s">
        <v>711</v>
      </c>
      <c r="G339" s="676" t="s">
        <v>712</v>
      </c>
      <c r="H339" s="679" t="str">
        <f t="shared" si="83"/>
        <v>sanitaire ruimte (toilet-/doucheruimte)</v>
      </c>
      <c r="I339" s="693" t="s">
        <v>234</v>
      </c>
      <c r="J339" s="680">
        <v>1.48</v>
      </c>
      <c r="K339" s="680"/>
      <c r="L339" s="692">
        <v>4255</v>
      </c>
      <c r="M339" s="677"/>
      <c r="N339" s="682"/>
      <c r="O339" s="682"/>
      <c r="P339" s="682">
        <f t="shared" si="76"/>
        <v>255</v>
      </c>
      <c r="Q339" s="696">
        <v>2</v>
      </c>
      <c r="R339" s="697">
        <v>1</v>
      </c>
      <c r="S339" s="698">
        <f t="shared" si="77"/>
        <v>0</v>
      </c>
      <c r="T339" s="698">
        <f t="shared" si="78"/>
        <v>0</v>
      </c>
      <c r="U339" s="698">
        <f t="shared" si="79"/>
        <v>0</v>
      </c>
      <c r="V339" s="698">
        <f t="shared" si="80"/>
        <v>0</v>
      </c>
      <c r="W339" s="699">
        <f t="shared" si="70"/>
        <v>0</v>
      </c>
      <c r="X339" s="699">
        <f t="shared" si="71"/>
        <v>0</v>
      </c>
      <c r="Y339" s="699">
        <f t="shared" si="72"/>
        <v>0</v>
      </c>
      <c r="Z339" s="699">
        <f t="shared" si="73"/>
        <v>0</v>
      </c>
      <c r="AA339" s="698" t="str">
        <f t="shared" si="74"/>
        <v>S</v>
      </c>
      <c r="AB339" s="689" t="s">
        <v>428</v>
      </c>
      <c r="AC339" s="700" t="e">
        <f>(S339+T339+U339)*'1.0-Contractblad'!$K$68</f>
        <v>#VALUE!</v>
      </c>
      <c r="AD339" s="700"/>
      <c r="AE339" s="416">
        <f t="shared" si="75"/>
        <v>0</v>
      </c>
      <c r="AF339" s="416">
        <f t="shared" si="81"/>
        <v>377.4</v>
      </c>
      <c r="AG339" s="416" t="str">
        <f t="shared" si="82"/>
        <v>4255-255</v>
      </c>
    </row>
    <row r="340" spans="1:33" ht="12.75">
      <c r="A340" s="102"/>
      <c r="B340" s="364"/>
      <c r="C340" s="365"/>
      <c r="D340" s="676" t="s">
        <v>151</v>
      </c>
      <c r="E340" s="677">
        <v>-1</v>
      </c>
      <c r="F340" s="678" t="s">
        <v>315</v>
      </c>
      <c r="G340" s="679" t="s">
        <v>713</v>
      </c>
      <c r="H340" s="679" t="str">
        <f t="shared" si="83"/>
        <v>niet van toepassing</v>
      </c>
      <c r="I340" s="690" t="s">
        <v>234</v>
      </c>
      <c r="J340" s="680"/>
      <c r="K340" s="680"/>
      <c r="L340" s="692" t="s">
        <v>225</v>
      </c>
      <c r="M340" s="677"/>
      <c r="N340" s="682"/>
      <c r="O340" s="682"/>
      <c r="P340" s="682">
        <f t="shared" si="76"/>
        <v>0</v>
      </c>
      <c r="Q340" s="683">
        <v>0.77</v>
      </c>
      <c r="R340" s="684">
        <v>1</v>
      </c>
      <c r="S340" s="685">
        <f t="shared" si="77"/>
        <v>0</v>
      </c>
      <c r="T340" s="685">
        <f t="shared" si="78"/>
        <v>0</v>
      </c>
      <c r="U340" s="685">
        <f t="shared" si="79"/>
        <v>0</v>
      </c>
      <c r="V340" s="685">
        <f t="shared" si="80"/>
        <v>0</v>
      </c>
      <c r="W340" s="686">
        <f t="shared" si="70"/>
        <v>0</v>
      </c>
      <c r="X340" s="686">
        <f t="shared" si="71"/>
        <v>0</v>
      </c>
      <c r="Y340" s="686">
        <f t="shared" si="72"/>
        <v>0</v>
      </c>
      <c r="Z340" s="686">
        <f t="shared" si="73"/>
        <v>0</v>
      </c>
      <c r="AA340" s="685">
        <f t="shared" si="74"/>
        <v>0</v>
      </c>
      <c r="AB340" s="687"/>
      <c r="AC340" s="688" t="e">
        <f>(S340+T340+U340)*'1.0-Contractblad'!$K$68</f>
        <v>#VALUE!</v>
      </c>
      <c r="AD340" s="688"/>
      <c r="AE340" s="48">
        <f t="shared" si="75"/>
        <v>0</v>
      </c>
      <c r="AF340" s="48">
        <f t="shared" si="81"/>
        <v>0</v>
      </c>
      <c r="AG340" s="48" t="str">
        <f t="shared" si="82"/>
        <v>nvt-0</v>
      </c>
    </row>
    <row r="341" spans="1:33" ht="12.75">
      <c r="A341" s="102"/>
      <c r="B341" s="364"/>
      <c r="C341" s="365"/>
      <c r="D341" s="676" t="s">
        <v>151</v>
      </c>
      <c r="E341" s="677" t="s">
        <v>314</v>
      </c>
      <c r="F341" s="678" t="s">
        <v>315</v>
      </c>
      <c r="G341" s="676" t="s">
        <v>714</v>
      </c>
      <c r="H341" s="679" t="str">
        <f t="shared" si="83"/>
        <v>entree, gang, hal, repro, kopieer</v>
      </c>
      <c r="I341" s="693" t="s">
        <v>255</v>
      </c>
      <c r="J341" s="680">
        <v>16.39</v>
      </c>
      <c r="K341" s="680"/>
      <c r="L341" s="692">
        <v>3052</v>
      </c>
      <c r="M341" s="677"/>
      <c r="N341" s="682"/>
      <c r="O341" s="682"/>
      <c r="P341" s="682">
        <f t="shared" si="76"/>
        <v>52</v>
      </c>
      <c r="Q341" s="683">
        <v>0.77</v>
      </c>
      <c r="R341" s="684">
        <v>1</v>
      </c>
      <c r="S341" s="685">
        <f t="shared" si="77"/>
        <v>0</v>
      </c>
      <c r="T341" s="685">
        <f t="shared" si="78"/>
        <v>0</v>
      </c>
      <c r="U341" s="685">
        <f t="shared" si="79"/>
        <v>0</v>
      </c>
      <c r="V341" s="685">
        <f t="shared" si="80"/>
        <v>0</v>
      </c>
      <c r="W341" s="686">
        <f t="shared" si="70"/>
        <v>0</v>
      </c>
      <c r="X341" s="686">
        <f t="shared" si="71"/>
        <v>0</v>
      </c>
      <c r="Y341" s="686">
        <f t="shared" si="72"/>
        <v>0</v>
      </c>
      <c r="Z341" s="686">
        <f t="shared" si="73"/>
        <v>0</v>
      </c>
      <c r="AA341" s="685" t="str">
        <f t="shared" si="74"/>
        <v>V</v>
      </c>
      <c r="AB341" s="687" t="s">
        <v>715</v>
      </c>
      <c r="AC341" s="688" t="e">
        <f>(S341+T341+U341)*'1.0-Contractblad'!$K$68</f>
        <v>#VALUE!</v>
      </c>
      <c r="AD341" s="688"/>
      <c r="AE341" s="48">
        <f t="shared" si="75"/>
        <v>0</v>
      </c>
      <c r="AF341" s="48">
        <f t="shared" si="81"/>
        <v>852.28</v>
      </c>
      <c r="AG341" s="48" t="str">
        <f t="shared" si="82"/>
        <v>3052-52</v>
      </c>
    </row>
    <row r="342" spans="1:33" ht="12.75">
      <c r="A342" s="102"/>
      <c r="B342" s="364"/>
      <c r="C342" s="365"/>
      <c r="D342" s="676" t="s">
        <v>151</v>
      </c>
      <c r="E342" s="677" t="s">
        <v>314</v>
      </c>
      <c r="F342" s="678" t="s">
        <v>317</v>
      </c>
      <c r="G342" s="676" t="s">
        <v>716</v>
      </c>
      <c r="H342" s="679" t="str">
        <f t="shared" si="83"/>
        <v>administratieve -, personeels- en vergaderruimte</v>
      </c>
      <c r="I342" s="693" t="s">
        <v>246</v>
      </c>
      <c r="J342" s="680">
        <v>39.33</v>
      </c>
      <c r="K342" s="680"/>
      <c r="L342" s="692">
        <v>1052</v>
      </c>
      <c r="M342" s="677"/>
      <c r="N342" s="682"/>
      <c r="O342" s="682"/>
      <c r="P342" s="682">
        <f t="shared" si="76"/>
        <v>52</v>
      </c>
      <c r="Q342" s="683">
        <v>0.77</v>
      </c>
      <c r="R342" s="684">
        <v>1</v>
      </c>
      <c r="S342" s="685">
        <f t="shared" si="77"/>
        <v>0</v>
      </c>
      <c r="T342" s="685">
        <f t="shared" si="78"/>
        <v>0</v>
      </c>
      <c r="U342" s="685">
        <f t="shared" si="79"/>
        <v>0</v>
      </c>
      <c r="V342" s="685">
        <f t="shared" si="80"/>
        <v>0</v>
      </c>
      <c r="W342" s="686">
        <f t="shared" si="70"/>
        <v>0</v>
      </c>
      <c r="X342" s="686">
        <f t="shared" si="71"/>
        <v>0</v>
      </c>
      <c r="Y342" s="686">
        <f t="shared" si="72"/>
        <v>0</v>
      </c>
      <c r="Z342" s="686">
        <f t="shared" si="73"/>
        <v>0</v>
      </c>
      <c r="AA342" s="685" t="str">
        <f t="shared" si="74"/>
        <v>B</v>
      </c>
      <c r="AB342" s="687" t="s">
        <v>715</v>
      </c>
      <c r="AC342" s="688" t="e">
        <f>(S342+T342+U342)*'1.0-Contractblad'!$K$68</f>
        <v>#VALUE!</v>
      </c>
      <c r="AD342" s="688"/>
      <c r="AE342" s="48">
        <f t="shared" si="75"/>
        <v>0</v>
      </c>
      <c r="AF342" s="48">
        <f t="shared" si="81"/>
        <v>2045.1599999999999</v>
      </c>
      <c r="AG342" s="48" t="str">
        <f t="shared" si="82"/>
        <v>1052-52</v>
      </c>
    </row>
    <row r="343" spans="1:33" ht="12.75">
      <c r="A343" s="102"/>
      <c r="B343" s="364"/>
      <c r="C343" s="365"/>
      <c r="D343" s="676" t="s">
        <v>151</v>
      </c>
      <c r="E343" s="677" t="s">
        <v>314</v>
      </c>
      <c r="F343" s="678" t="s">
        <v>320</v>
      </c>
      <c r="G343" s="679" t="s">
        <v>405</v>
      </c>
      <c r="H343" s="679" t="str">
        <f t="shared" si="83"/>
        <v>sanitaire ruimte (toilet-/doucheruimte)</v>
      </c>
      <c r="I343" s="693" t="s">
        <v>255</v>
      </c>
      <c r="J343" s="680">
        <v>1.28</v>
      </c>
      <c r="K343" s="680"/>
      <c r="L343" s="692">
        <v>4052</v>
      </c>
      <c r="M343" s="677"/>
      <c r="N343" s="682"/>
      <c r="O343" s="682"/>
      <c r="P343" s="682">
        <f t="shared" si="76"/>
        <v>52</v>
      </c>
      <c r="Q343" s="683">
        <v>0.77</v>
      </c>
      <c r="R343" s="684">
        <v>1</v>
      </c>
      <c r="S343" s="685">
        <f t="shared" si="77"/>
        <v>0</v>
      </c>
      <c r="T343" s="685">
        <f t="shared" si="78"/>
        <v>0</v>
      </c>
      <c r="U343" s="685">
        <f t="shared" si="79"/>
        <v>0</v>
      </c>
      <c r="V343" s="685">
        <f t="shared" si="80"/>
        <v>0</v>
      </c>
      <c r="W343" s="686">
        <f t="shared" si="70"/>
        <v>0</v>
      </c>
      <c r="X343" s="686">
        <f t="shared" si="71"/>
        <v>0</v>
      </c>
      <c r="Y343" s="686">
        <f t="shared" si="72"/>
        <v>0</v>
      </c>
      <c r="Z343" s="686">
        <f t="shared" si="73"/>
        <v>0</v>
      </c>
      <c r="AA343" s="685" t="str">
        <f t="shared" si="74"/>
        <v>S</v>
      </c>
      <c r="AB343" s="687" t="s">
        <v>715</v>
      </c>
      <c r="AC343" s="688" t="e">
        <f>(S343+T343+U343)*'1.0-Contractblad'!$K$68</f>
        <v>#VALUE!</v>
      </c>
      <c r="AD343" s="688"/>
      <c r="AE343" s="48">
        <f t="shared" si="75"/>
        <v>0</v>
      </c>
      <c r="AF343" s="48">
        <f t="shared" si="81"/>
        <v>66.56</v>
      </c>
      <c r="AG343" s="48" t="str">
        <f t="shared" si="82"/>
        <v>4052-52</v>
      </c>
    </row>
    <row r="344" spans="1:33" ht="12.75">
      <c r="A344" s="102"/>
      <c r="B344" s="364"/>
      <c r="C344" s="365"/>
      <c r="D344" s="676" t="s">
        <v>151</v>
      </c>
      <c r="E344" s="677" t="s">
        <v>314</v>
      </c>
      <c r="F344" s="678" t="s">
        <v>323</v>
      </c>
      <c r="G344" s="676" t="s">
        <v>717</v>
      </c>
      <c r="H344" s="679" t="str">
        <f t="shared" si="83"/>
        <v>entree, gang, hal, repro, kopieer</v>
      </c>
      <c r="I344" s="693" t="s">
        <v>255</v>
      </c>
      <c r="J344" s="680">
        <v>9.0299999999999994</v>
      </c>
      <c r="K344" s="680"/>
      <c r="L344" s="692">
        <v>3052</v>
      </c>
      <c r="M344" s="677"/>
      <c r="N344" s="682"/>
      <c r="O344" s="682"/>
      <c r="P344" s="682">
        <f t="shared" si="76"/>
        <v>52</v>
      </c>
      <c r="Q344" s="683">
        <v>0.77</v>
      </c>
      <c r="R344" s="684">
        <v>1</v>
      </c>
      <c r="S344" s="685">
        <f t="shared" si="77"/>
        <v>0</v>
      </c>
      <c r="T344" s="685">
        <f t="shared" si="78"/>
        <v>0</v>
      </c>
      <c r="U344" s="685">
        <f t="shared" si="79"/>
        <v>0</v>
      </c>
      <c r="V344" s="685">
        <f t="shared" si="80"/>
        <v>0</v>
      </c>
      <c r="W344" s="686">
        <f t="shared" ref="W344:W398" si="84">IF($L344=0,0,VLOOKUP($L344,Kengetal,6,FALSE))</f>
        <v>0</v>
      </c>
      <c r="X344" s="686">
        <f t="shared" ref="X344:X398" si="85">IF($L344=0,0,VLOOKUP($L344,Kengetal,8,FALSE))</f>
        <v>0</v>
      </c>
      <c r="Y344" s="686">
        <f t="shared" ref="Y344:Y398" si="86">IF($M344=0,0,VLOOKUP($M344,Kengetal,6,FALSE))</f>
        <v>0</v>
      </c>
      <c r="Z344" s="686">
        <f t="shared" ref="Z344:Z398" si="87">IF($N344=0,0,VLOOKUP($N344,Kengetal,6,FALSE))</f>
        <v>0</v>
      </c>
      <c r="AA344" s="685" t="str">
        <f t="shared" ref="AA344:AA398" si="88">IF(L344="","",VLOOKUP(L344,Kengetal,15,FALSE))</f>
        <v>V</v>
      </c>
      <c r="AB344" s="687" t="s">
        <v>715</v>
      </c>
      <c r="AC344" s="688" t="e">
        <f>(S344+T344+U344)*'1.0-Contractblad'!$K$68</f>
        <v>#VALUE!</v>
      </c>
      <c r="AD344" s="688"/>
      <c r="AE344" s="48">
        <f t="shared" ref="AE344:AE398" si="89">IF(L344=8255,S344+T344,0)</f>
        <v>0</v>
      </c>
      <c r="AF344" s="48">
        <f t="shared" si="81"/>
        <v>469.55999999999995</v>
      </c>
      <c r="AG344" s="48" t="str">
        <f t="shared" si="82"/>
        <v>3052-52</v>
      </c>
    </row>
    <row r="345" spans="1:33" ht="12.75">
      <c r="A345" s="102"/>
      <c r="B345" s="364"/>
      <c r="C345" s="365"/>
      <c r="D345" s="676" t="s">
        <v>151</v>
      </c>
      <c r="E345" s="677" t="s">
        <v>314</v>
      </c>
      <c r="F345" s="678" t="s">
        <v>325</v>
      </c>
      <c r="G345" s="676" t="s">
        <v>718</v>
      </c>
      <c r="H345" s="679" t="str">
        <f t="shared" si="83"/>
        <v>entree, gang, hal, repro, kopieer</v>
      </c>
      <c r="I345" s="693" t="s">
        <v>719</v>
      </c>
      <c r="J345" s="680">
        <v>2</v>
      </c>
      <c r="K345" s="680"/>
      <c r="L345" s="692">
        <v>3052</v>
      </c>
      <c r="M345" s="677"/>
      <c r="N345" s="682"/>
      <c r="O345" s="682"/>
      <c r="P345" s="682">
        <f t="shared" ref="P345:P399" si="90">VLOOKUP(L345,Kengetal,3,FALSE)+VLOOKUP(M345,Kengetal,3,FALSE)+VLOOKUP(N345,Kengetal,3,FALSE)</f>
        <v>52</v>
      </c>
      <c r="Q345" s="683">
        <v>0.77</v>
      </c>
      <c r="R345" s="684">
        <v>1</v>
      </c>
      <c r="S345" s="685">
        <f t="shared" ref="S345:S399" si="91">W345*J345*Q345</f>
        <v>0</v>
      </c>
      <c r="T345" s="685">
        <f t="shared" ref="T345:T399" si="92">X345*J345*R345</f>
        <v>0</v>
      </c>
      <c r="U345" s="685">
        <f t="shared" ref="U345:U399" si="93">Y345*J345*Q345</f>
        <v>0</v>
      </c>
      <c r="V345" s="685">
        <f t="shared" ref="V345:V399" si="94">Z345*J345*T345</f>
        <v>0</v>
      </c>
      <c r="W345" s="686">
        <f t="shared" si="84"/>
        <v>0</v>
      </c>
      <c r="X345" s="686">
        <f t="shared" si="85"/>
        <v>0</v>
      </c>
      <c r="Y345" s="686">
        <f t="shared" si="86"/>
        <v>0</v>
      </c>
      <c r="Z345" s="686">
        <f t="shared" si="87"/>
        <v>0</v>
      </c>
      <c r="AA345" s="685" t="str">
        <f t="shared" si="88"/>
        <v>V</v>
      </c>
      <c r="AB345" s="687" t="s">
        <v>715</v>
      </c>
      <c r="AC345" s="688" t="e">
        <f>(S345+T345+U345)*'1.0-Contractblad'!$K$68</f>
        <v>#VALUE!</v>
      </c>
      <c r="AD345" s="688"/>
      <c r="AE345" s="48">
        <f t="shared" si="89"/>
        <v>0</v>
      </c>
      <c r="AF345" s="48">
        <f t="shared" ref="AF345:AF399" si="95">J345*P345</f>
        <v>104</v>
      </c>
      <c r="AG345" s="48" t="str">
        <f t="shared" ref="AG345:AG399" si="96">CONCATENATE(L345,"-",P345)</f>
        <v>3052-52</v>
      </c>
    </row>
    <row r="346" spans="1:33" ht="12.75">
      <c r="A346" s="102"/>
      <c r="B346" s="364"/>
      <c r="C346" s="365"/>
      <c r="D346" s="676" t="s">
        <v>151</v>
      </c>
      <c r="E346" s="677" t="s">
        <v>314</v>
      </c>
      <c r="F346" s="678" t="s">
        <v>327</v>
      </c>
      <c r="G346" s="676" t="s">
        <v>386</v>
      </c>
      <c r="H346" s="679" t="str">
        <f t="shared" si="83"/>
        <v>administratieve -, personeels- en vergaderruimte</v>
      </c>
      <c r="I346" s="693" t="s">
        <v>719</v>
      </c>
      <c r="J346" s="680">
        <v>16.100000000000001</v>
      </c>
      <c r="K346" s="680"/>
      <c r="L346" s="692">
        <v>1052</v>
      </c>
      <c r="M346" s="677"/>
      <c r="N346" s="682"/>
      <c r="O346" s="682"/>
      <c r="P346" s="682">
        <f t="shared" si="90"/>
        <v>52</v>
      </c>
      <c r="Q346" s="683">
        <v>0.77</v>
      </c>
      <c r="R346" s="684">
        <v>1</v>
      </c>
      <c r="S346" s="685">
        <f t="shared" si="91"/>
        <v>0</v>
      </c>
      <c r="T346" s="685">
        <f t="shared" si="92"/>
        <v>0</v>
      </c>
      <c r="U346" s="685">
        <f t="shared" si="93"/>
        <v>0</v>
      </c>
      <c r="V346" s="685">
        <f t="shared" si="94"/>
        <v>0</v>
      </c>
      <c r="W346" s="686">
        <f t="shared" si="84"/>
        <v>0</v>
      </c>
      <c r="X346" s="686">
        <f t="shared" si="85"/>
        <v>0</v>
      </c>
      <c r="Y346" s="686">
        <f t="shared" si="86"/>
        <v>0</v>
      </c>
      <c r="Z346" s="686">
        <f t="shared" si="87"/>
        <v>0</v>
      </c>
      <c r="AA346" s="685" t="str">
        <f t="shared" si="88"/>
        <v>B</v>
      </c>
      <c r="AB346" s="687" t="s">
        <v>715</v>
      </c>
      <c r="AC346" s="688" t="e">
        <f>(S346+T346+U346)*'1.0-Contractblad'!$K$68</f>
        <v>#VALUE!</v>
      </c>
      <c r="AD346" s="688"/>
      <c r="AE346" s="48">
        <f t="shared" si="89"/>
        <v>0</v>
      </c>
      <c r="AF346" s="48">
        <f t="shared" si="95"/>
        <v>837.2</v>
      </c>
      <c r="AG346" s="48" t="str">
        <f t="shared" si="96"/>
        <v>1052-52</v>
      </c>
    </row>
    <row r="347" spans="1:33" ht="12.75">
      <c r="A347" s="102"/>
      <c r="B347" s="364"/>
      <c r="C347" s="365"/>
      <c r="D347" s="676" t="s">
        <v>151</v>
      </c>
      <c r="E347" s="677" t="s">
        <v>314</v>
      </c>
      <c r="F347" s="678" t="s">
        <v>330</v>
      </c>
      <c r="G347" s="679" t="s">
        <v>382</v>
      </c>
      <c r="H347" s="679" t="str">
        <f t="shared" si="83"/>
        <v>niet van toepassing</v>
      </c>
      <c r="I347" s="693" t="s">
        <v>238</v>
      </c>
      <c r="J347" s="680"/>
      <c r="K347" s="680" t="s">
        <v>720</v>
      </c>
      <c r="L347" s="692" t="s">
        <v>225</v>
      </c>
      <c r="M347" s="677"/>
      <c r="N347" s="682"/>
      <c r="O347" s="682"/>
      <c r="P347" s="682">
        <f t="shared" si="90"/>
        <v>0</v>
      </c>
      <c r="Q347" s="683">
        <v>0.77</v>
      </c>
      <c r="R347" s="684">
        <v>1</v>
      </c>
      <c r="S347" s="685">
        <f t="shared" si="91"/>
        <v>0</v>
      </c>
      <c r="T347" s="685">
        <f t="shared" si="92"/>
        <v>0</v>
      </c>
      <c r="U347" s="685">
        <f t="shared" si="93"/>
        <v>0</v>
      </c>
      <c r="V347" s="685">
        <f t="shared" si="94"/>
        <v>0</v>
      </c>
      <c r="W347" s="686">
        <f t="shared" si="84"/>
        <v>0</v>
      </c>
      <c r="X347" s="686">
        <f t="shared" si="85"/>
        <v>0</v>
      </c>
      <c r="Y347" s="686">
        <f t="shared" si="86"/>
        <v>0</v>
      </c>
      <c r="Z347" s="686">
        <f t="shared" si="87"/>
        <v>0</v>
      </c>
      <c r="AA347" s="685">
        <f t="shared" si="88"/>
        <v>0</v>
      </c>
      <c r="AB347" s="687"/>
      <c r="AC347" s="688" t="e">
        <f>(S347+T347+U347)*'1.0-Contractblad'!$K$68</f>
        <v>#VALUE!</v>
      </c>
      <c r="AD347" s="688"/>
      <c r="AE347" s="48">
        <f t="shared" si="89"/>
        <v>0</v>
      </c>
      <c r="AF347" s="48">
        <f t="shared" si="95"/>
        <v>0</v>
      </c>
      <c r="AG347" s="48" t="str">
        <f t="shared" si="96"/>
        <v>nvt-0</v>
      </c>
    </row>
    <row r="348" spans="1:33" ht="12.75">
      <c r="A348" s="102"/>
      <c r="B348" s="364"/>
      <c r="C348" s="365"/>
      <c r="D348" s="676" t="s">
        <v>151</v>
      </c>
      <c r="E348" s="677" t="s">
        <v>314</v>
      </c>
      <c r="F348" s="678" t="s">
        <v>332</v>
      </c>
      <c r="G348" s="676" t="s">
        <v>721</v>
      </c>
      <c r="H348" s="679" t="str">
        <f t="shared" si="83"/>
        <v>niet van toepassing</v>
      </c>
      <c r="I348" s="690" t="s">
        <v>234</v>
      </c>
      <c r="J348" s="680"/>
      <c r="K348" s="680">
        <v>2.36</v>
      </c>
      <c r="L348" s="692" t="s">
        <v>225</v>
      </c>
      <c r="M348" s="677"/>
      <c r="N348" s="682"/>
      <c r="O348" s="682"/>
      <c r="P348" s="682">
        <f t="shared" si="90"/>
        <v>0</v>
      </c>
      <c r="Q348" s="683">
        <v>0.77</v>
      </c>
      <c r="R348" s="684">
        <v>1</v>
      </c>
      <c r="S348" s="685">
        <f t="shared" si="91"/>
        <v>0</v>
      </c>
      <c r="T348" s="685">
        <f t="shared" si="92"/>
        <v>0</v>
      </c>
      <c r="U348" s="685">
        <f t="shared" si="93"/>
        <v>0</v>
      </c>
      <c r="V348" s="685">
        <f t="shared" si="94"/>
        <v>0</v>
      </c>
      <c r="W348" s="686">
        <f t="shared" si="84"/>
        <v>0</v>
      </c>
      <c r="X348" s="686">
        <f t="shared" si="85"/>
        <v>0</v>
      </c>
      <c r="Y348" s="686">
        <f t="shared" si="86"/>
        <v>0</v>
      </c>
      <c r="Z348" s="686">
        <f t="shared" si="87"/>
        <v>0</v>
      </c>
      <c r="AA348" s="685">
        <f t="shared" si="88"/>
        <v>0</v>
      </c>
      <c r="AB348" s="687"/>
      <c r="AC348" s="688" t="e">
        <f>(S348+T348+U348)*'1.0-Contractblad'!$K$68</f>
        <v>#VALUE!</v>
      </c>
      <c r="AD348" s="688"/>
      <c r="AE348" s="48">
        <f t="shared" si="89"/>
        <v>0</v>
      </c>
      <c r="AF348" s="48">
        <f t="shared" si="95"/>
        <v>0</v>
      </c>
      <c r="AG348" s="48" t="str">
        <f t="shared" si="96"/>
        <v>nvt-0</v>
      </c>
    </row>
    <row r="349" spans="1:33" ht="12.75">
      <c r="A349" s="102"/>
      <c r="B349" s="364"/>
      <c r="C349" s="365"/>
      <c r="D349" s="676" t="s">
        <v>151</v>
      </c>
      <c r="E349" s="677" t="s">
        <v>314</v>
      </c>
      <c r="F349" s="678" t="s">
        <v>334</v>
      </c>
      <c r="G349" s="676" t="s">
        <v>722</v>
      </c>
      <c r="H349" s="679" t="str">
        <f t="shared" si="83"/>
        <v>niet van toepassing</v>
      </c>
      <c r="I349" s="693" t="s">
        <v>384</v>
      </c>
      <c r="J349" s="680"/>
      <c r="K349" s="680">
        <v>21.39</v>
      </c>
      <c r="L349" s="692" t="s">
        <v>225</v>
      </c>
      <c r="M349" s="677"/>
      <c r="N349" s="682"/>
      <c r="O349" s="682"/>
      <c r="P349" s="682">
        <f t="shared" si="90"/>
        <v>0</v>
      </c>
      <c r="Q349" s="683">
        <v>0.77</v>
      </c>
      <c r="R349" s="684">
        <v>1</v>
      </c>
      <c r="S349" s="685">
        <f t="shared" si="91"/>
        <v>0</v>
      </c>
      <c r="T349" s="685">
        <f t="shared" si="92"/>
        <v>0</v>
      </c>
      <c r="U349" s="685">
        <f t="shared" si="93"/>
        <v>0</v>
      </c>
      <c r="V349" s="685">
        <f t="shared" si="94"/>
        <v>0</v>
      </c>
      <c r="W349" s="686">
        <f t="shared" si="84"/>
        <v>0</v>
      </c>
      <c r="X349" s="686">
        <f t="shared" si="85"/>
        <v>0</v>
      </c>
      <c r="Y349" s="686">
        <f t="shared" si="86"/>
        <v>0</v>
      </c>
      <c r="Z349" s="686">
        <f t="shared" si="87"/>
        <v>0</v>
      </c>
      <c r="AA349" s="685">
        <f t="shared" si="88"/>
        <v>0</v>
      </c>
      <c r="AB349" s="687"/>
      <c r="AC349" s="688" t="e">
        <f>(S349+T349+U349)*'1.0-Contractblad'!$K$68</f>
        <v>#VALUE!</v>
      </c>
      <c r="AD349" s="688"/>
      <c r="AE349" s="48">
        <f t="shared" si="89"/>
        <v>0</v>
      </c>
      <c r="AF349" s="48">
        <f t="shared" si="95"/>
        <v>0</v>
      </c>
      <c r="AG349" s="48" t="str">
        <f t="shared" si="96"/>
        <v>nvt-0</v>
      </c>
    </row>
    <row r="350" spans="1:33" ht="12.75">
      <c r="A350" s="102"/>
      <c r="B350" s="364"/>
      <c r="C350" s="365"/>
      <c r="D350" s="676" t="s">
        <v>151</v>
      </c>
      <c r="E350" s="677" t="s">
        <v>314</v>
      </c>
      <c r="F350" s="678" t="s">
        <v>391</v>
      </c>
      <c r="G350" s="676" t="s">
        <v>723</v>
      </c>
      <c r="H350" s="679" t="str">
        <f t="shared" si="83"/>
        <v>niet van toepassing</v>
      </c>
      <c r="I350" s="690" t="s">
        <v>234</v>
      </c>
      <c r="J350" s="680"/>
      <c r="K350" s="680">
        <v>2.94</v>
      </c>
      <c r="L350" s="692" t="s">
        <v>225</v>
      </c>
      <c r="M350" s="677"/>
      <c r="N350" s="682"/>
      <c r="O350" s="682"/>
      <c r="P350" s="682">
        <f t="shared" si="90"/>
        <v>0</v>
      </c>
      <c r="Q350" s="683">
        <v>0.77</v>
      </c>
      <c r="R350" s="684">
        <v>1</v>
      </c>
      <c r="S350" s="685">
        <f t="shared" si="91"/>
        <v>0</v>
      </c>
      <c r="T350" s="685">
        <f t="shared" si="92"/>
        <v>0</v>
      </c>
      <c r="U350" s="685">
        <f t="shared" si="93"/>
        <v>0</v>
      </c>
      <c r="V350" s="685">
        <f t="shared" si="94"/>
        <v>0</v>
      </c>
      <c r="W350" s="686">
        <f t="shared" si="84"/>
        <v>0</v>
      </c>
      <c r="X350" s="686">
        <f t="shared" si="85"/>
        <v>0</v>
      </c>
      <c r="Y350" s="686">
        <f t="shared" si="86"/>
        <v>0</v>
      </c>
      <c r="Z350" s="686">
        <f t="shared" si="87"/>
        <v>0</v>
      </c>
      <c r="AA350" s="685">
        <f t="shared" si="88"/>
        <v>0</v>
      </c>
      <c r="AB350" s="687"/>
      <c r="AC350" s="688" t="e">
        <f>(S350+T350+U350)*'1.0-Contractblad'!$K$68</f>
        <v>#VALUE!</v>
      </c>
      <c r="AD350" s="688"/>
      <c r="AE350" s="48">
        <f t="shared" si="89"/>
        <v>0</v>
      </c>
      <c r="AF350" s="48">
        <f t="shared" si="95"/>
        <v>0</v>
      </c>
      <c r="AG350" s="48" t="str">
        <f t="shared" si="96"/>
        <v>nvt-0</v>
      </c>
    </row>
    <row r="351" spans="1:33" ht="12.75">
      <c r="A351" s="102"/>
      <c r="B351" s="364"/>
      <c r="C351" s="365"/>
      <c r="D351" s="676" t="s">
        <v>151</v>
      </c>
      <c r="E351" s="677" t="s">
        <v>314</v>
      </c>
      <c r="F351" s="678" t="s">
        <v>342</v>
      </c>
      <c r="G351" s="676" t="s">
        <v>724</v>
      </c>
      <c r="H351" s="679" t="str">
        <f t="shared" si="83"/>
        <v>pantry, keuken, koffiecorner</v>
      </c>
      <c r="I351" s="690" t="s">
        <v>234</v>
      </c>
      <c r="J351" s="680">
        <v>12.46</v>
      </c>
      <c r="K351" s="680"/>
      <c r="L351" s="692">
        <v>5052</v>
      </c>
      <c r="M351" s="677"/>
      <c r="N351" s="682"/>
      <c r="O351" s="682"/>
      <c r="P351" s="682">
        <f t="shared" si="90"/>
        <v>52</v>
      </c>
      <c r="Q351" s="683">
        <v>0.77</v>
      </c>
      <c r="R351" s="684">
        <v>1</v>
      </c>
      <c r="S351" s="685">
        <f t="shared" si="91"/>
        <v>0</v>
      </c>
      <c r="T351" s="685">
        <f t="shared" si="92"/>
        <v>0</v>
      </c>
      <c r="U351" s="685">
        <f t="shared" si="93"/>
        <v>0</v>
      </c>
      <c r="V351" s="685">
        <f t="shared" si="94"/>
        <v>0</v>
      </c>
      <c r="W351" s="686">
        <f t="shared" si="84"/>
        <v>0</v>
      </c>
      <c r="X351" s="686">
        <f t="shared" si="85"/>
        <v>0</v>
      </c>
      <c r="Y351" s="686">
        <f t="shared" si="86"/>
        <v>0</v>
      </c>
      <c r="Z351" s="686">
        <f t="shared" si="87"/>
        <v>0</v>
      </c>
      <c r="AA351" s="685" t="str">
        <f t="shared" si="88"/>
        <v>V</v>
      </c>
      <c r="AB351" s="687" t="s">
        <v>715</v>
      </c>
      <c r="AC351" s="688" t="e">
        <f>(S351+T351+U351)*'1.0-Contractblad'!$K$68</f>
        <v>#VALUE!</v>
      </c>
      <c r="AD351" s="688"/>
      <c r="AE351" s="48">
        <f t="shared" si="89"/>
        <v>0</v>
      </c>
      <c r="AF351" s="48">
        <f t="shared" si="95"/>
        <v>647.92000000000007</v>
      </c>
      <c r="AG351" s="48" t="str">
        <f t="shared" si="96"/>
        <v>5052-52</v>
      </c>
    </row>
    <row r="352" spans="1:33" ht="12.75">
      <c r="A352" s="102"/>
      <c r="B352" s="364"/>
      <c r="C352" s="365"/>
      <c r="D352" s="676" t="s">
        <v>151</v>
      </c>
      <c r="E352" s="677" t="s">
        <v>314</v>
      </c>
      <c r="F352" s="678" t="s">
        <v>394</v>
      </c>
      <c r="G352" s="676" t="s">
        <v>725</v>
      </c>
      <c r="H352" s="679" t="str">
        <f t="shared" si="83"/>
        <v>niet van toepassing</v>
      </c>
      <c r="I352" s="693" t="s">
        <v>242</v>
      </c>
      <c r="J352" s="680"/>
      <c r="K352" s="680">
        <v>24.52</v>
      </c>
      <c r="L352" s="692" t="s">
        <v>225</v>
      </c>
      <c r="M352" s="677"/>
      <c r="N352" s="682"/>
      <c r="O352" s="682"/>
      <c r="P352" s="682">
        <f t="shared" si="90"/>
        <v>0</v>
      </c>
      <c r="Q352" s="683">
        <v>0.77</v>
      </c>
      <c r="R352" s="684">
        <v>1</v>
      </c>
      <c r="S352" s="685">
        <f t="shared" si="91"/>
        <v>0</v>
      </c>
      <c r="T352" s="685">
        <f t="shared" si="92"/>
        <v>0</v>
      </c>
      <c r="U352" s="685">
        <f t="shared" si="93"/>
        <v>0</v>
      </c>
      <c r="V352" s="685">
        <f t="shared" si="94"/>
        <v>0</v>
      </c>
      <c r="W352" s="686">
        <f t="shared" si="84"/>
        <v>0</v>
      </c>
      <c r="X352" s="686">
        <f t="shared" si="85"/>
        <v>0</v>
      </c>
      <c r="Y352" s="686">
        <f t="shared" si="86"/>
        <v>0</v>
      </c>
      <c r="Z352" s="686">
        <f t="shared" si="87"/>
        <v>0</v>
      </c>
      <c r="AA352" s="685">
        <f t="shared" si="88"/>
        <v>0</v>
      </c>
      <c r="AB352" s="687"/>
      <c r="AC352" s="688" t="e">
        <f>(S352+T352+U352)*'1.0-Contractblad'!$K$68</f>
        <v>#VALUE!</v>
      </c>
      <c r="AD352" s="688"/>
      <c r="AE352" s="48">
        <f t="shared" si="89"/>
        <v>0</v>
      </c>
      <c r="AF352" s="48">
        <f t="shared" si="95"/>
        <v>0</v>
      </c>
      <c r="AG352" s="48" t="str">
        <f t="shared" si="96"/>
        <v>nvt-0</v>
      </c>
    </row>
    <row r="353" spans="1:33" ht="12.75">
      <c r="A353" s="102"/>
      <c r="B353" s="364"/>
      <c r="C353" s="365"/>
      <c r="D353" s="676" t="s">
        <v>151</v>
      </c>
      <c r="E353" s="677" t="s">
        <v>314</v>
      </c>
      <c r="F353" s="678" t="s">
        <v>348</v>
      </c>
      <c r="G353" s="676" t="s">
        <v>725</v>
      </c>
      <c r="H353" s="679" t="str">
        <f t="shared" si="83"/>
        <v>niet van toepassing</v>
      </c>
      <c r="I353" s="693" t="s">
        <v>242</v>
      </c>
      <c r="J353" s="680"/>
      <c r="K353" s="680">
        <v>19.47</v>
      </c>
      <c r="L353" s="692" t="s">
        <v>225</v>
      </c>
      <c r="M353" s="677"/>
      <c r="N353" s="682"/>
      <c r="O353" s="682"/>
      <c r="P353" s="682">
        <f t="shared" si="90"/>
        <v>0</v>
      </c>
      <c r="Q353" s="683">
        <v>0.77</v>
      </c>
      <c r="R353" s="684">
        <v>1</v>
      </c>
      <c r="S353" s="685">
        <f t="shared" si="91"/>
        <v>0</v>
      </c>
      <c r="T353" s="685">
        <f t="shared" si="92"/>
        <v>0</v>
      </c>
      <c r="U353" s="685">
        <f t="shared" si="93"/>
        <v>0</v>
      </c>
      <c r="V353" s="685">
        <f t="shared" si="94"/>
        <v>0</v>
      </c>
      <c r="W353" s="686">
        <f t="shared" si="84"/>
        <v>0</v>
      </c>
      <c r="X353" s="686">
        <f t="shared" si="85"/>
        <v>0</v>
      </c>
      <c r="Y353" s="686">
        <f t="shared" si="86"/>
        <v>0</v>
      </c>
      <c r="Z353" s="686">
        <f t="shared" si="87"/>
        <v>0</v>
      </c>
      <c r="AA353" s="685">
        <f t="shared" si="88"/>
        <v>0</v>
      </c>
      <c r="AB353" s="687"/>
      <c r="AC353" s="688" t="e">
        <f>(S353+T353+U353)*'1.0-Contractblad'!$K$68</f>
        <v>#VALUE!</v>
      </c>
      <c r="AD353" s="688"/>
      <c r="AE353" s="48">
        <f t="shared" si="89"/>
        <v>0</v>
      </c>
      <c r="AF353" s="48">
        <f t="shared" si="95"/>
        <v>0</v>
      </c>
      <c r="AG353" s="48" t="str">
        <f t="shared" si="96"/>
        <v>nvt-0</v>
      </c>
    </row>
    <row r="354" spans="1:33" ht="12.75">
      <c r="A354" s="102"/>
      <c r="B354" s="364"/>
      <c r="C354" s="365"/>
      <c r="D354" s="676" t="s">
        <v>151</v>
      </c>
      <c r="E354" s="677" t="s">
        <v>314</v>
      </c>
      <c r="F354" s="678" t="s">
        <v>350</v>
      </c>
      <c r="G354" s="676" t="s">
        <v>726</v>
      </c>
      <c r="H354" s="679" t="str">
        <f t="shared" si="83"/>
        <v>niet van toepassing</v>
      </c>
      <c r="I354" s="693" t="s">
        <v>246</v>
      </c>
      <c r="J354" s="680"/>
      <c r="K354" s="680">
        <v>1.96</v>
      </c>
      <c r="L354" s="692" t="s">
        <v>225</v>
      </c>
      <c r="M354" s="677"/>
      <c r="N354" s="682"/>
      <c r="O354" s="682"/>
      <c r="P354" s="682">
        <f t="shared" si="90"/>
        <v>0</v>
      </c>
      <c r="Q354" s="683">
        <v>0.77</v>
      </c>
      <c r="R354" s="684">
        <v>1</v>
      </c>
      <c r="S354" s="685">
        <f t="shared" si="91"/>
        <v>0</v>
      </c>
      <c r="T354" s="685">
        <f t="shared" si="92"/>
        <v>0</v>
      </c>
      <c r="U354" s="685">
        <f t="shared" si="93"/>
        <v>0</v>
      </c>
      <c r="V354" s="685">
        <f t="shared" si="94"/>
        <v>0</v>
      </c>
      <c r="W354" s="686">
        <f t="shared" si="84"/>
        <v>0</v>
      </c>
      <c r="X354" s="686">
        <f t="shared" si="85"/>
        <v>0</v>
      </c>
      <c r="Y354" s="686">
        <f t="shared" si="86"/>
        <v>0</v>
      </c>
      <c r="Z354" s="686">
        <f t="shared" si="87"/>
        <v>0</v>
      </c>
      <c r="AA354" s="685">
        <f t="shared" si="88"/>
        <v>0</v>
      </c>
      <c r="AB354" s="687"/>
      <c r="AC354" s="688" t="e">
        <f>(S354+T354+U354)*'1.0-Contractblad'!$K$68</f>
        <v>#VALUE!</v>
      </c>
      <c r="AD354" s="688"/>
      <c r="AE354" s="48">
        <f t="shared" si="89"/>
        <v>0</v>
      </c>
      <c r="AF354" s="48">
        <f t="shared" si="95"/>
        <v>0</v>
      </c>
      <c r="AG354" s="48" t="str">
        <f t="shared" si="96"/>
        <v>nvt-0</v>
      </c>
    </row>
    <row r="355" spans="1:33" ht="12.75">
      <c r="A355" s="102"/>
      <c r="B355" s="364"/>
      <c r="C355" s="365"/>
      <c r="D355" s="676" t="s">
        <v>151</v>
      </c>
      <c r="E355" s="677" t="s">
        <v>419</v>
      </c>
      <c r="F355" s="678" t="s">
        <v>493</v>
      </c>
      <c r="G355" s="676" t="s">
        <v>382</v>
      </c>
      <c r="H355" s="679" t="str">
        <f t="shared" si="83"/>
        <v>niet van toepassing</v>
      </c>
      <c r="I355" s="693" t="s">
        <v>242</v>
      </c>
      <c r="J355" s="680"/>
      <c r="K355" s="680">
        <v>16.82</v>
      </c>
      <c r="L355" s="692" t="s">
        <v>225</v>
      </c>
      <c r="M355" s="677"/>
      <c r="N355" s="682"/>
      <c r="O355" s="682"/>
      <c r="P355" s="682">
        <f t="shared" si="90"/>
        <v>0</v>
      </c>
      <c r="Q355" s="683">
        <v>0.77</v>
      </c>
      <c r="R355" s="684">
        <v>1</v>
      </c>
      <c r="S355" s="685">
        <f t="shared" si="91"/>
        <v>0</v>
      </c>
      <c r="T355" s="685">
        <f t="shared" si="92"/>
        <v>0</v>
      </c>
      <c r="U355" s="685">
        <f t="shared" si="93"/>
        <v>0</v>
      </c>
      <c r="V355" s="685">
        <f t="shared" si="94"/>
        <v>0</v>
      </c>
      <c r="W355" s="686">
        <f t="shared" si="84"/>
        <v>0</v>
      </c>
      <c r="X355" s="686">
        <f t="shared" si="85"/>
        <v>0</v>
      </c>
      <c r="Y355" s="686">
        <f t="shared" si="86"/>
        <v>0</v>
      </c>
      <c r="Z355" s="686">
        <f t="shared" si="87"/>
        <v>0</v>
      </c>
      <c r="AA355" s="685">
        <f t="shared" si="88"/>
        <v>0</v>
      </c>
      <c r="AB355" s="687"/>
      <c r="AC355" s="688" t="e">
        <f>(S355+T355+U355)*'1.0-Contractblad'!$K$68</f>
        <v>#VALUE!</v>
      </c>
      <c r="AD355" s="688"/>
      <c r="AE355" s="48">
        <f t="shared" si="89"/>
        <v>0</v>
      </c>
      <c r="AF355" s="48">
        <f t="shared" si="95"/>
        <v>0</v>
      </c>
      <c r="AG355" s="48" t="str">
        <f t="shared" si="96"/>
        <v>nvt-0</v>
      </c>
    </row>
    <row r="356" spans="1:33" ht="12.75">
      <c r="A356" s="102"/>
      <c r="B356" s="364"/>
      <c r="C356" s="365"/>
      <c r="D356" s="676" t="s">
        <v>151</v>
      </c>
      <c r="E356" s="677" t="s">
        <v>419</v>
      </c>
      <c r="F356" s="678" t="s">
        <v>494</v>
      </c>
      <c r="G356" s="676" t="s">
        <v>405</v>
      </c>
      <c r="H356" s="679" t="str">
        <f t="shared" ref="H356:H410" si="97">IF($L356="",0,VLOOKUP($L356,Kengetal,4,FALSE))</f>
        <v>niet van toepassing</v>
      </c>
      <c r="I356" s="690" t="s">
        <v>234</v>
      </c>
      <c r="J356" s="680"/>
      <c r="K356" s="680">
        <v>1</v>
      </c>
      <c r="L356" s="692" t="s">
        <v>225</v>
      </c>
      <c r="M356" s="677"/>
      <c r="N356" s="682"/>
      <c r="O356" s="682"/>
      <c r="P356" s="682">
        <f t="shared" si="90"/>
        <v>0</v>
      </c>
      <c r="Q356" s="683">
        <v>0.77</v>
      </c>
      <c r="R356" s="684">
        <v>1</v>
      </c>
      <c r="S356" s="685">
        <f t="shared" si="91"/>
        <v>0</v>
      </c>
      <c r="T356" s="685">
        <f t="shared" si="92"/>
        <v>0</v>
      </c>
      <c r="U356" s="685">
        <f t="shared" si="93"/>
        <v>0</v>
      </c>
      <c r="V356" s="685">
        <f t="shared" si="94"/>
        <v>0</v>
      </c>
      <c r="W356" s="686">
        <f t="shared" si="84"/>
        <v>0</v>
      </c>
      <c r="X356" s="686">
        <f t="shared" si="85"/>
        <v>0</v>
      </c>
      <c r="Y356" s="686">
        <f t="shared" si="86"/>
        <v>0</v>
      </c>
      <c r="Z356" s="686">
        <f t="shared" si="87"/>
        <v>0</v>
      </c>
      <c r="AA356" s="685">
        <f t="shared" si="88"/>
        <v>0</v>
      </c>
      <c r="AB356" s="687"/>
      <c r="AC356" s="688" t="e">
        <f>(S356+T356+U356)*'1.0-Contractblad'!$K$68</f>
        <v>#VALUE!</v>
      </c>
      <c r="AD356" s="688"/>
      <c r="AE356" s="48">
        <f t="shared" si="89"/>
        <v>0</v>
      </c>
      <c r="AF356" s="48">
        <f t="shared" si="95"/>
        <v>0</v>
      </c>
      <c r="AG356" s="48" t="str">
        <f t="shared" si="96"/>
        <v>nvt-0</v>
      </c>
    </row>
    <row r="357" spans="1:33" ht="12.75">
      <c r="A357" s="102"/>
      <c r="B357" s="364"/>
      <c r="C357" s="365"/>
      <c r="D357" s="676" t="s">
        <v>151</v>
      </c>
      <c r="E357" s="677" t="s">
        <v>419</v>
      </c>
      <c r="F357" s="678" t="s">
        <v>496</v>
      </c>
      <c r="G357" s="676" t="s">
        <v>727</v>
      </c>
      <c r="H357" s="679" t="str">
        <f t="shared" si="97"/>
        <v>niet van toepassing</v>
      </c>
      <c r="I357" s="693" t="s">
        <v>242</v>
      </c>
      <c r="J357" s="680"/>
      <c r="K357" s="680">
        <v>13.38</v>
      </c>
      <c r="L357" s="692" t="s">
        <v>225</v>
      </c>
      <c r="M357" s="677"/>
      <c r="N357" s="682"/>
      <c r="O357" s="682"/>
      <c r="P357" s="682">
        <f t="shared" si="90"/>
        <v>0</v>
      </c>
      <c r="Q357" s="683">
        <v>0.77</v>
      </c>
      <c r="R357" s="684">
        <v>1</v>
      </c>
      <c r="S357" s="685">
        <f t="shared" si="91"/>
        <v>0</v>
      </c>
      <c r="T357" s="685">
        <f t="shared" si="92"/>
        <v>0</v>
      </c>
      <c r="U357" s="685">
        <f t="shared" si="93"/>
        <v>0</v>
      </c>
      <c r="V357" s="685">
        <f t="shared" si="94"/>
        <v>0</v>
      </c>
      <c r="W357" s="686">
        <f t="shared" si="84"/>
        <v>0</v>
      </c>
      <c r="X357" s="686">
        <f t="shared" si="85"/>
        <v>0</v>
      </c>
      <c r="Y357" s="686">
        <f t="shared" si="86"/>
        <v>0</v>
      </c>
      <c r="Z357" s="686">
        <f t="shared" si="87"/>
        <v>0</v>
      </c>
      <c r="AA357" s="685">
        <f t="shared" si="88"/>
        <v>0</v>
      </c>
      <c r="AB357" s="687"/>
      <c r="AC357" s="688" t="e">
        <f>(S357+T357+U357)*'1.0-Contractblad'!$K$68</f>
        <v>#VALUE!</v>
      </c>
      <c r="AD357" s="688"/>
      <c r="AE357" s="48">
        <f t="shared" si="89"/>
        <v>0</v>
      </c>
      <c r="AF357" s="48">
        <f t="shared" si="95"/>
        <v>0</v>
      </c>
      <c r="AG357" s="48" t="str">
        <f t="shared" si="96"/>
        <v>nvt-0</v>
      </c>
    </row>
    <row r="358" spans="1:33" ht="12.75">
      <c r="A358" s="102"/>
      <c r="B358" s="364"/>
      <c r="C358" s="365"/>
      <c r="D358" s="676" t="s">
        <v>151</v>
      </c>
      <c r="E358" s="677" t="s">
        <v>419</v>
      </c>
      <c r="F358" s="678" t="s">
        <v>497</v>
      </c>
      <c r="G358" s="676" t="s">
        <v>728</v>
      </c>
      <c r="H358" s="679" t="str">
        <f t="shared" si="97"/>
        <v>niet van toepassing</v>
      </c>
      <c r="I358" s="690" t="s">
        <v>234</v>
      </c>
      <c r="J358" s="680"/>
      <c r="K358" s="680">
        <v>4.4000000000000004</v>
      </c>
      <c r="L358" s="692" t="s">
        <v>225</v>
      </c>
      <c r="M358" s="677"/>
      <c r="N358" s="682"/>
      <c r="O358" s="682"/>
      <c r="P358" s="682">
        <f t="shared" si="90"/>
        <v>0</v>
      </c>
      <c r="Q358" s="683">
        <v>0.77</v>
      </c>
      <c r="R358" s="684">
        <v>1</v>
      </c>
      <c r="S358" s="685">
        <f t="shared" si="91"/>
        <v>0</v>
      </c>
      <c r="T358" s="685">
        <f t="shared" si="92"/>
        <v>0</v>
      </c>
      <c r="U358" s="685">
        <f t="shared" si="93"/>
        <v>0</v>
      </c>
      <c r="V358" s="685">
        <f t="shared" si="94"/>
        <v>0</v>
      </c>
      <c r="W358" s="686">
        <f t="shared" si="84"/>
        <v>0</v>
      </c>
      <c r="X358" s="686">
        <f t="shared" si="85"/>
        <v>0</v>
      </c>
      <c r="Y358" s="686">
        <f t="shared" si="86"/>
        <v>0</v>
      </c>
      <c r="Z358" s="686">
        <f t="shared" si="87"/>
        <v>0</v>
      </c>
      <c r="AA358" s="685">
        <f t="shared" si="88"/>
        <v>0</v>
      </c>
      <c r="AB358" s="687"/>
      <c r="AC358" s="688" t="e">
        <f>(S358+T358+U358)*'1.0-Contractblad'!$K$68</f>
        <v>#VALUE!</v>
      </c>
      <c r="AD358" s="688"/>
      <c r="AE358" s="48">
        <f t="shared" si="89"/>
        <v>0</v>
      </c>
      <c r="AF358" s="48">
        <f t="shared" si="95"/>
        <v>0</v>
      </c>
      <c r="AG358" s="48" t="str">
        <f t="shared" si="96"/>
        <v>nvt-0</v>
      </c>
    </row>
    <row r="359" spans="1:33" ht="12.75">
      <c r="A359" s="102"/>
      <c r="B359" s="364"/>
      <c r="C359" s="365"/>
      <c r="D359" s="676" t="s">
        <v>151</v>
      </c>
      <c r="E359" s="677" t="s">
        <v>419</v>
      </c>
      <c r="F359" s="678" t="s">
        <v>498</v>
      </c>
      <c r="G359" s="676" t="s">
        <v>729</v>
      </c>
      <c r="H359" s="679" t="str">
        <f t="shared" si="97"/>
        <v>niet van toepassing</v>
      </c>
      <c r="I359" s="693" t="s">
        <v>242</v>
      </c>
      <c r="J359" s="680"/>
      <c r="K359" s="680">
        <v>7.93</v>
      </c>
      <c r="L359" s="692" t="s">
        <v>225</v>
      </c>
      <c r="M359" s="677"/>
      <c r="N359" s="682"/>
      <c r="O359" s="682"/>
      <c r="P359" s="682">
        <f t="shared" si="90"/>
        <v>0</v>
      </c>
      <c r="Q359" s="683">
        <v>0.77</v>
      </c>
      <c r="R359" s="684">
        <v>1</v>
      </c>
      <c r="S359" s="685">
        <f t="shared" si="91"/>
        <v>0</v>
      </c>
      <c r="T359" s="685">
        <f t="shared" si="92"/>
        <v>0</v>
      </c>
      <c r="U359" s="685">
        <f t="shared" si="93"/>
        <v>0</v>
      </c>
      <c r="V359" s="685">
        <f t="shared" si="94"/>
        <v>0</v>
      </c>
      <c r="W359" s="686">
        <f t="shared" si="84"/>
        <v>0</v>
      </c>
      <c r="X359" s="686">
        <f t="shared" si="85"/>
        <v>0</v>
      </c>
      <c r="Y359" s="686">
        <f t="shared" si="86"/>
        <v>0</v>
      </c>
      <c r="Z359" s="686">
        <f t="shared" si="87"/>
        <v>0</v>
      </c>
      <c r="AA359" s="685">
        <f t="shared" si="88"/>
        <v>0</v>
      </c>
      <c r="AB359" s="687"/>
      <c r="AC359" s="688" t="e">
        <f>(S359+T359+U359)*'1.0-Contractblad'!$K$68</f>
        <v>#VALUE!</v>
      </c>
      <c r="AD359" s="688"/>
      <c r="AE359" s="48">
        <f t="shared" si="89"/>
        <v>0</v>
      </c>
      <c r="AF359" s="48">
        <f t="shared" si="95"/>
        <v>0</v>
      </c>
      <c r="AG359" s="48" t="str">
        <f t="shared" si="96"/>
        <v>nvt-0</v>
      </c>
    </row>
    <row r="360" spans="1:33" ht="12.75">
      <c r="A360" s="102"/>
      <c r="B360" s="364"/>
      <c r="C360" s="365"/>
      <c r="D360" s="676" t="s">
        <v>151</v>
      </c>
      <c r="E360" s="677" t="s">
        <v>419</v>
      </c>
      <c r="F360" s="678" t="s">
        <v>499</v>
      </c>
      <c r="G360" s="676" t="s">
        <v>571</v>
      </c>
      <c r="H360" s="679" t="str">
        <f t="shared" si="97"/>
        <v>niet van toepassing</v>
      </c>
      <c r="I360" s="693" t="s">
        <v>246</v>
      </c>
      <c r="J360" s="680"/>
      <c r="K360" s="680">
        <v>36.090000000000003</v>
      </c>
      <c r="L360" s="692" t="s">
        <v>225</v>
      </c>
      <c r="M360" s="677"/>
      <c r="N360" s="682"/>
      <c r="O360" s="682"/>
      <c r="P360" s="682">
        <f t="shared" si="90"/>
        <v>0</v>
      </c>
      <c r="Q360" s="683">
        <v>0.77</v>
      </c>
      <c r="R360" s="684">
        <v>1</v>
      </c>
      <c r="S360" s="685">
        <f t="shared" si="91"/>
        <v>0</v>
      </c>
      <c r="T360" s="685">
        <f t="shared" si="92"/>
        <v>0</v>
      </c>
      <c r="U360" s="685">
        <f t="shared" si="93"/>
        <v>0</v>
      </c>
      <c r="V360" s="685">
        <f t="shared" si="94"/>
        <v>0</v>
      </c>
      <c r="W360" s="686">
        <f t="shared" si="84"/>
        <v>0</v>
      </c>
      <c r="X360" s="686">
        <f t="shared" si="85"/>
        <v>0</v>
      </c>
      <c r="Y360" s="686">
        <f t="shared" si="86"/>
        <v>0</v>
      </c>
      <c r="Z360" s="686">
        <f t="shared" si="87"/>
        <v>0</v>
      </c>
      <c r="AA360" s="685">
        <f t="shared" si="88"/>
        <v>0</v>
      </c>
      <c r="AB360" s="687"/>
      <c r="AC360" s="688" t="e">
        <f>(S360+T360+U360)*'1.0-Contractblad'!$K$68</f>
        <v>#VALUE!</v>
      </c>
      <c r="AD360" s="688"/>
      <c r="AE360" s="48">
        <f t="shared" si="89"/>
        <v>0</v>
      </c>
      <c r="AF360" s="48">
        <f t="shared" si="95"/>
        <v>0</v>
      </c>
      <c r="AG360" s="48" t="str">
        <f t="shared" si="96"/>
        <v>nvt-0</v>
      </c>
    </row>
    <row r="361" spans="1:33" ht="12.75">
      <c r="A361" s="102"/>
      <c r="B361" s="364"/>
      <c r="C361" s="365"/>
      <c r="D361" s="676" t="s">
        <v>151</v>
      </c>
      <c r="E361" s="677" t="s">
        <v>427</v>
      </c>
      <c r="F361" s="678" t="s">
        <v>730</v>
      </c>
      <c r="G361" s="676" t="s">
        <v>731</v>
      </c>
      <c r="H361" s="679" t="str">
        <f t="shared" si="97"/>
        <v>niet van toepassing</v>
      </c>
      <c r="I361" s="693" t="s">
        <v>246</v>
      </c>
      <c r="J361" s="680"/>
      <c r="K361" s="680">
        <v>28</v>
      </c>
      <c r="L361" s="692" t="s">
        <v>225</v>
      </c>
      <c r="M361" s="677"/>
      <c r="N361" s="682"/>
      <c r="O361" s="682"/>
      <c r="P361" s="682">
        <f t="shared" si="90"/>
        <v>0</v>
      </c>
      <c r="Q361" s="683">
        <v>0.77</v>
      </c>
      <c r="R361" s="684">
        <v>1</v>
      </c>
      <c r="S361" s="685">
        <f t="shared" si="91"/>
        <v>0</v>
      </c>
      <c r="T361" s="685">
        <f t="shared" si="92"/>
        <v>0</v>
      </c>
      <c r="U361" s="685">
        <f t="shared" si="93"/>
        <v>0</v>
      </c>
      <c r="V361" s="685">
        <f t="shared" si="94"/>
        <v>0</v>
      </c>
      <c r="W361" s="686">
        <f t="shared" si="84"/>
        <v>0</v>
      </c>
      <c r="X361" s="686">
        <f t="shared" si="85"/>
        <v>0</v>
      </c>
      <c r="Y361" s="686">
        <f t="shared" si="86"/>
        <v>0</v>
      </c>
      <c r="Z361" s="686">
        <f t="shared" si="87"/>
        <v>0</v>
      </c>
      <c r="AA361" s="685">
        <f t="shared" si="88"/>
        <v>0</v>
      </c>
      <c r="AB361" s="687"/>
      <c r="AC361" s="688" t="e">
        <f>(S361+T361+U361)*'1.0-Contractblad'!$K$68</f>
        <v>#VALUE!</v>
      </c>
      <c r="AD361" s="688"/>
      <c r="AE361" s="48">
        <f t="shared" si="89"/>
        <v>0</v>
      </c>
      <c r="AF361" s="48">
        <f t="shared" si="95"/>
        <v>0</v>
      </c>
      <c r="AG361" s="48" t="str">
        <f t="shared" si="96"/>
        <v>nvt-0</v>
      </c>
    </row>
    <row r="362" spans="1:33" ht="12.75">
      <c r="A362" s="102"/>
      <c r="B362" s="364"/>
      <c r="C362" s="365"/>
      <c r="D362" s="676" t="s">
        <v>151</v>
      </c>
      <c r="E362" s="677" t="s">
        <v>314</v>
      </c>
      <c r="F362" s="678" t="s">
        <v>732</v>
      </c>
      <c r="G362" s="676" t="s">
        <v>392</v>
      </c>
      <c r="H362" s="679" t="str">
        <f t="shared" si="97"/>
        <v>niet van toepassing</v>
      </c>
      <c r="I362" s="689" t="s">
        <v>240</v>
      </c>
      <c r="J362" s="680"/>
      <c r="K362" s="680">
        <v>69.63</v>
      </c>
      <c r="L362" s="692" t="s">
        <v>225</v>
      </c>
      <c r="M362" s="677"/>
      <c r="N362" s="682"/>
      <c r="O362" s="682"/>
      <c r="P362" s="682">
        <f t="shared" si="90"/>
        <v>0</v>
      </c>
      <c r="Q362" s="683">
        <v>0.77</v>
      </c>
      <c r="R362" s="684">
        <v>1</v>
      </c>
      <c r="S362" s="685">
        <f t="shared" si="91"/>
        <v>0</v>
      </c>
      <c r="T362" s="685">
        <f t="shared" si="92"/>
        <v>0</v>
      </c>
      <c r="U362" s="685">
        <f t="shared" si="93"/>
        <v>0</v>
      </c>
      <c r="V362" s="685">
        <f t="shared" si="94"/>
        <v>0</v>
      </c>
      <c r="W362" s="686">
        <f t="shared" si="84"/>
        <v>0</v>
      </c>
      <c r="X362" s="686">
        <f t="shared" si="85"/>
        <v>0</v>
      </c>
      <c r="Y362" s="686">
        <f t="shared" si="86"/>
        <v>0</v>
      </c>
      <c r="Z362" s="686">
        <f t="shared" si="87"/>
        <v>0</v>
      </c>
      <c r="AA362" s="685">
        <f t="shared" si="88"/>
        <v>0</v>
      </c>
      <c r="AB362" s="687"/>
      <c r="AC362" s="688" t="e">
        <f>(S362+T362+U362)*'1.0-Contractblad'!$K$68</f>
        <v>#VALUE!</v>
      </c>
      <c r="AD362" s="688"/>
      <c r="AE362" s="48">
        <f t="shared" si="89"/>
        <v>0</v>
      </c>
      <c r="AF362" s="48">
        <f t="shared" si="95"/>
        <v>0</v>
      </c>
      <c r="AG362" s="48" t="str">
        <f t="shared" si="96"/>
        <v>nvt-0</v>
      </c>
    </row>
    <row r="363" spans="1:33" ht="12.75">
      <c r="A363" s="102"/>
      <c r="B363" s="364"/>
      <c r="C363" s="365"/>
      <c r="D363" s="676" t="s">
        <v>151</v>
      </c>
      <c r="E363" s="677" t="s">
        <v>314</v>
      </c>
      <c r="F363" s="678" t="s">
        <v>733</v>
      </c>
      <c r="G363" s="676" t="s">
        <v>398</v>
      </c>
      <c r="H363" s="679" t="str">
        <f t="shared" si="97"/>
        <v>kleedruimten</v>
      </c>
      <c r="I363" s="689" t="s">
        <v>234</v>
      </c>
      <c r="J363" s="680">
        <v>12.27</v>
      </c>
      <c r="K363" s="680"/>
      <c r="L363" s="692">
        <v>10052</v>
      </c>
      <c r="M363" s="677"/>
      <c r="N363" s="682"/>
      <c r="O363" s="682"/>
      <c r="P363" s="682">
        <f t="shared" si="90"/>
        <v>52</v>
      </c>
      <c r="Q363" s="683">
        <v>0.77</v>
      </c>
      <c r="R363" s="684">
        <v>1</v>
      </c>
      <c r="S363" s="685">
        <f t="shared" si="91"/>
        <v>0</v>
      </c>
      <c r="T363" s="685">
        <f t="shared" si="92"/>
        <v>0</v>
      </c>
      <c r="U363" s="685">
        <f t="shared" si="93"/>
        <v>0</v>
      </c>
      <c r="V363" s="685">
        <f t="shared" si="94"/>
        <v>0</v>
      </c>
      <c r="W363" s="686">
        <f t="shared" si="84"/>
        <v>0</v>
      </c>
      <c r="X363" s="686">
        <f t="shared" si="85"/>
        <v>0</v>
      </c>
      <c r="Y363" s="686">
        <f t="shared" si="86"/>
        <v>0</v>
      </c>
      <c r="Z363" s="686">
        <f t="shared" si="87"/>
        <v>0</v>
      </c>
      <c r="AA363" s="685" t="str">
        <f t="shared" si="88"/>
        <v>V</v>
      </c>
      <c r="AB363" s="687" t="s">
        <v>715</v>
      </c>
      <c r="AC363" s="688" t="e">
        <f>(S363+T363+U363)*'1.0-Contractblad'!$K$68</f>
        <v>#VALUE!</v>
      </c>
      <c r="AD363" s="688"/>
      <c r="AE363" s="48">
        <f t="shared" si="89"/>
        <v>0</v>
      </c>
      <c r="AF363" s="48">
        <f t="shared" si="95"/>
        <v>638.04</v>
      </c>
      <c r="AG363" s="48" t="str">
        <f t="shared" si="96"/>
        <v>10052-52</v>
      </c>
    </row>
    <row r="364" spans="1:33" ht="12.75">
      <c r="A364" s="102"/>
      <c r="B364" s="364"/>
      <c r="C364" s="365"/>
      <c r="D364" s="676" t="s">
        <v>151</v>
      </c>
      <c r="E364" s="677" t="s">
        <v>314</v>
      </c>
      <c r="F364" s="678" t="s">
        <v>734</v>
      </c>
      <c r="G364" s="676" t="s">
        <v>359</v>
      </c>
      <c r="H364" s="679" t="str">
        <f t="shared" si="97"/>
        <v>sanitaire ruimte (toilet-/doucheruimte)</v>
      </c>
      <c r="I364" s="689" t="s">
        <v>234</v>
      </c>
      <c r="J364" s="680">
        <v>1.77</v>
      </c>
      <c r="K364" s="680"/>
      <c r="L364" s="692">
        <v>4052</v>
      </c>
      <c r="M364" s="677"/>
      <c r="N364" s="682"/>
      <c r="O364" s="682"/>
      <c r="P364" s="682">
        <f t="shared" si="90"/>
        <v>52</v>
      </c>
      <c r="Q364" s="683">
        <v>0.77</v>
      </c>
      <c r="R364" s="684">
        <v>1</v>
      </c>
      <c r="S364" s="685">
        <f t="shared" si="91"/>
        <v>0</v>
      </c>
      <c r="T364" s="685">
        <f t="shared" si="92"/>
        <v>0</v>
      </c>
      <c r="U364" s="685">
        <f t="shared" si="93"/>
        <v>0</v>
      </c>
      <c r="V364" s="685">
        <f t="shared" si="94"/>
        <v>0</v>
      </c>
      <c r="W364" s="686">
        <f t="shared" si="84"/>
        <v>0</v>
      </c>
      <c r="X364" s="686">
        <f t="shared" si="85"/>
        <v>0</v>
      </c>
      <c r="Y364" s="686">
        <f t="shared" si="86"/>
        <v>0</v>
      </c>
      <c r="Z364" s="686">
        <f t="shared" si="87"/>
        <v>0</v>
      </c>
      <c r="AA364" s="685" t="str">
        <f t="shared" si="88"/>
        <v>S</v>
      </c>
      <c r="AB364" s="687" t="s">
        <v>715</v>
      </c>
      <c r="AC364" s="688" t="e">
        <f>(S364+T364+U364)*'1.0-Contractblad'!$K$68</f>
        <v>#VALUE!</v>
      </c>
      <c r="AD364" s="688"/>
      <c r="AE364" s="48">
        <f t="shared" si="89"/>
        <v>0</v>
      </c>
      <c r="AF364" s="48">
        <f t="shared" si="95"/>
        <v>92.04</v>
      </c>
      <c r="AG364" s="48" t="str">
        <f t="shared" si="96"/>
        <v>4052-52</v>
      </c>
    </row>
    <row r="365" spans="1:33" ht="12.75">
      <c r="A365" s="102"/>
      <c r="B365" s="364"/>
      <c r="C365" s="365"/>
      <c r="D365" s="676" t="s">
        <v>151</v>
      </c>
      <c r="E365" s="677" t="s">
        <v>314</v>
      </c>
      <c r="F365" s="678" t="s">
        <v>735</v>
      </c>
      <c r="G365" s="676" t="s">
        <v>409</v>
      </c>
      <c r="H365" s="679" t="str">
        <f t="shared" si="97"/>
        <v>sanitaire ruimte (toilet-/doucheruimte)</v>
      </c>
      <c r="I365" s="689" t="s">
        <v>234</v>
      </c>
      <c r="J365" s="680">
        <v>1</v>
      </c>
      <c r="K365" s="680"/>
      <c r="L365" s="692">
        <v>4052</v>
      </c>
      <c r="M365" s="677"/>
      <c r="N365" s="682"/>
      <c r="O365" s="682"/>
      <c r="P365" s="682">
        <f t="shared" si="90"/>
        <v>52</v>
      </c>
      <c r="Q365" s="683">
        <v>0.77</v>
      </c>
      <c r="R365" s="684">
        <v>1</v>
      </c>
      <c r="S365" s="685">
        <f t="shared" si="91"/>
        <v>0</v>
      </c>
      <c r="T365" s="685">
        <f t="shared" si="92"/>
        <v>0</v>
      </c>
      <c r="U365" s="685">
        <f t="shared" si="93"/>
        <v>0</v>
      </c>
      <c r="V365" s="685">
        <f t="shared" si="94"/>
        <v>0</v>
      </c>
      <c r="W365" s="686">
        <f t="shared" si="84"/>
        <v>0</v>
      </c>
      <c r="X365" s="686">
        <f t="shared" si="85"/>
        <v>0</v>
      </c>
      <c r="Y365" s="686">
        <f t="shared" si="86"/>
        <v>0</v>
      </c>
      <c r="Z365" s="686">
        <f t="shared" si="87"/>
        <v>0</v>
      </c>
      <c r="AA365" s="685" t="str">
        <f t="shared" si="88"/>
        <v>S</v>
      </c>
      <c r="AB365" s="687" t="s">
        <v>715</v>
      </c>
      <c r="AC365" s="688" t="e">
        <f>(S365+T365+U365)*'1.0-Contractblad'!$K$68</f>
        <v>#VALUE!</v>
      </c>
      <c r="AD365" s="688"/>
      <c r="AE365" s="48">
        <f t="shared" si="89"/>
        <v>0</v>
      </c>
      <c r="AF365" s="48">
        <f t="shared" si="95"/>
        <v>52</v>
      </c>
      <c r="AG365" s="48" t="str">
        <f t="shared" si="96"/>
        <v>4052-52</v>
      </c>
    </row>
    <row r="366" spans="1:33" ht="12.75">
      <c r="A366" s="102"/>
      <c r="B366" s="364"/>
      <c r="C366" s="365"/>
      <c r="D366" s="676" t="s">
        <v>151</v>
      </c>
      <c r="E366" s="677" t="s">
        <v>314</v>
      </c>
      <c r="F366" s="678" t="s">
        <v>736</v>
      </c>
      <c r="G366" s="676" t="s">
        <v>405</v>
      </c>
      <c r="H366" s="679" t="str">
        <f t="shared" si="97"/>
        <v>sanitaire ruimte (toilet-/doucheruimte)</v>
      </c>
      <c r="I366" s="689" t="s">
        <v>234</v>
      </c>
      <c r="J366" s="680">
        <v>1.29</v>
      </c>
      <c r="K366" s="680"/>
      <c r="L366" s="692">
        <v>4052</v>
      </c>
      <c r="M366" s="677"/>
      <c r="N366" s="682"/>
      <c r="O366" s="682"/>
      <c r="P366" s="682">
        <f t="shared" si="90"/>
        <v>52</v>
      </c>
      <c r="Q366" s="683">
        <v>0.77</v>
      </c>
      <c r="R366" s="684">
        <v>1</v>
      </c>
      <c r="S366" s="685">
        <f t="shared" si="91"/>
        <v>0</v>
      </c>
      <c r="T366" s="685">
        <f t="shared" si="92"/>
        <v>0</v>
      </c>
      <c r="U366" s="685">
        <f t="shared" si="93"/>
        <v>0</v>
      </c>
      <c r="V366" s="685">
        <f t="shared" si="94"/>
        <v>0</v>
      </c>
      <c r="W366" s="686">
        <f t="shared" si="84"/>
        <v>0</v>
      </c>
      <c r="X366" s="686">
        <f t="shared" si="85"/>
        <v>0</v>
      </c>
      <c r="Y366" s="686">
        <f t="shared" si="86"/>
        <v>0</v>
      </c>
      <c r="Z366" s="686">
        <f t="shared" si="87"/>
        <v>0</v>
      </c>
      <c r="AA366" s="685" t="str">
        <f t="shared" si="88"/>
        <v>S</v>
      </c>
      <c r="AB366" s="687" t="s">
        <v>715</v>
      </c>
      <c r="AC366" s="688" t="e">
        <f>(S366+T366+U366)*'1.0-Contractblad'!$K$68</f>
        <v>#VALUE!</v>
      </c>
      <c r="AD366" s="688"/>
      <c r="AE366" s="48">
        <f t="shared" si="89"/>
        <v>0</v>
      </c>
      <c r="AF366" s="48">
        <f t="shared" si="95"/>
        <v>67.08</v>
      </c>
      <c r="AG366" s="48" t="str">
        <f t="shared" si="96"/>
        <v>4052-52</v>
      </c>
    </row>
    <row r="367" spans="1:33" ht="12.75">
      <c r="A367" s="102"/>
      <c r="B367" s="364"/>
      <c r="C367" s="365"/>
      <c r="D367" s="676" t="s">
        <v>151</v>
      </c>
      <c r="E367" s="677" t="s">
        <v>314</v>
      </c>
      <c r="F367" s="678" t="s">
        <v>737</v>
      </c>
      <c r="G367" s="676" t="s">
        <v>738</v>
      </c>
      <c r="H367" s="679" t="str">
        <f t="shared" si="97"/>
        <v>niet van toepassing</v>
      </c>
      <c r="I367" s="689" t="s">
        <v>234</v>
      </c>
      <c r="J367" s="680"/>
      <c r="K367" s="680">
        <v>9</v>
      </c>
      <c r="L367" s="692" t="s">
        <v>225</v>
      </c>
      <c r="M367" s="677"/>
      <c r="N367" s="682"/>
      <c r="O367" s="682"/>
      <c r="P367" s="682">
        <f t="shared" si="90"/>
        <v>0</v>
      </c>
      <c r="Q367" s="683">
        <v>0.77</v>
      </c>
      <c r="R367" s="684">
        <v>1</v>
      </c>
      <c r="S367" s="685">
        <f t="shared" si="91"/>
        <v>0</v>
      </c>
      <c r="T367" s="685">
        <f t="shared" si="92"/>
        <v>0</v>
      </c>
      <c r="U367" s="685">
        <f t="shared" si="93"/>
        <v>0</v>
      </c>
      <c r="V367" s="685">
        <f t="shared" si="94"/>
        <v>0</v>
      </c>
      <c r="W367" s="686">
        <f t="shared" si="84"/>
        <v>0</v>
      </c>
      <c r="X367" s="686">
        <f t="shared" si="85"/>
        <v>0</v>
      </c>
      <c r="Y367" s="686">
        <f t="shared" si="86"/>
        <v>0</v>
      </c>
      <c r="Z367" s="686">
        <f t="shared" si="87"/>
        <v>0</v>
      </c>
      <c r="AA367" s="685">
        <f t="shared" si="88"/>
        <v>0</v>
      </c>
      <c r="AB367" s="687"/>
      <c r="AC367" s="688" t="e">
        <f>(S367+T367+U367)*'1.0-Contractblad'!$K$68</f>
        <v>#VALUE!</v>
      </c>
      <c r="AD367" s="688"/>
      <c r="AE367" s="48">
        <f t="shared" si="89"/>
        <v>0</v>
      </c>
      <c r="AF367" s="48">
        <f t="shared" si="95"/>
        <v>0</v>
      </c>
      <c r="AG367" s="48" t="str">
        <f t="shared" si="96"/>
        <v>nvt-0</v>
      </c>
    </row>
    <row r="368" spans="1:33" ht="12.75">
      <c r="A368" s="102"/>
      <c r="B368" s="364"/>
      <c r="C368" s="365"/>
      <c r="D368" s="676" t="s">
        <v>151</v>
      </c>
      <c r="E368" s="677" t="s">
        <v>419</v>
      </c>
      <c r="F368" s="678" t="s">
        <v>739</v>
      </c>
      <c r="G368" s="676" t="s">
        <v>655</v>
      </c>
      <c r="H368" s="679" t="str">
        <f t="shared" si="97"/>
        <v>pantry, keuken, koffiecorner</v>
      </c>
      <c r="I368" s="689" t="s">
        <v>384</v>
      </c>
      <c r="J368" s="680">
        <v>11.54</v>
      </c>
      <c r="K368" s="680"/>
      <c r="L368" s="692">
        <v>5052</v>
      </c>
      <c r="M368" s="677"/>
      <c r="N368" s="682"/>
      <c r="O368" s="682"/>
      <c r="P368" s="682">
        <f t="shared" si="90"/>
        <v>52</v>
      </c>
      <c r="Q368" s="683">
        <v>0.77</v>
      </c>
      <c r="R368" s="684">
        <v>1</v>
      </c>
      <c r="S368" s="685">
        <f t="shared" si="91"/>
        <v>0</v>
      </c>
      <c r="T368" s="685">
        <f t="shared" si="92"/>
        <v>0</v>
      </c>
      <c r="U368" s="685">
        <f t="shared" si="93"/>
        <v>0</v>
      </c>
      <c r="V368" s="685">
        <f t="shared" si="94"/>
        <v>0</v>
      </c>
      <c r="W368" s="686">
        <f t="shared" si="84"/>
        <v>0</v>
      </c>
      <c r="X368" s="686">
        <f t="shared" si="85"/>
        <v>0</v>
      </c>
      <c r="Y368" s="686">
        <f t="shared" si="86"/>
        <v>0</v>
      </c>
      <c r="Z368" s="686">
        <f t="shared" si="87"/>
        <v>0</v>
      </c>
      <c r="AA368" s="685" t="str">
        <f t="shared" si="88"/>
        <v>V</v>
      </c>
      <c r="AB368" s="687" t="s">
        <v>715</v>
      </c>
      <c r="AC368" s="688" t="e">
        <f>(S368+T368+U368)*'1.0-Contractblad'!$K$68</f>
        <v>#VALUE!</v>
      </c>
      <c r="AD368" s="688"/>
      <c r="AE368" s="48">
        <f t="shared" si="89"/>
        <v>0</v>
      </c>
      <c r="AF368" s="48">
        <f t="shared" si="95"/>
        <v>600.07999999999993</v>
      </c>
      <c r="AG368" s="48" t="str">
        <f t="shared" si="96"/>
        <v>5052-52</v>
      </c>
    </row>
    <row r="369" spans="1:33" ht="12.75">
      <c r="A369" s="102"/>
      <c r="B369" s="364"/>
      <c r="C369" s="365"/>
      <c r="D369" s="676" t="s">
        <v>151</v>
      </c>
      <c r="E369" s="677" t="s">
        <v>419</v>
      </c>
      <c r="F369" s="678" t="s">
        <v>740</v>
      </c>
      <c r="G369" s="676" t="s">
        <v>328</v>
      </c>
      <c r="H369" s="679" t="str">
        <f t="shared" si="97"/>
        <v>verblijfsruimte</v>
      </c>
      <c r="I369" s="689" t="s">
        <v>384</v>
      </c>
      <c r="J369" s="680">
        <v>17.89</v>
      </c>
      <c r="K369" s="680"/>
      <c r="L369" s="692">
        <v>15052</v>
      </c>
      <c r="M369" s="677"/>
      <c r="N369" s="682"/>
      <c r="O369" s="682"/>
      <c r="P369" s="682">
        <f t="shared" si="90"/>
        <v>52</v>
      </c>
      <c r="Q369" s="683">
        <v>0.77</v>
      </c>
      <c r="R369" s="684">
        <v>1</v>
      </c>
      <c r="S369" s="685">
        <f t="shared" si="91"/>
        <v>0</v>
      </c>
      <c r="T369" s="685">
        <f t="shared" si="92"/>
        <v>0</v>
      </c>
      <c r="U369" s="685">
        <f t="shared" si="93"/>
        <v>0</v>
      </c>
      <c r="V369" s="685">
        <f t="shared" si="94"/>
        <v>0</v>
      </c>
      <c r="W369" s="686">
        <f t="shared" si="84"/>
        <v>0</v>
      </c>
      <c r="X369" s="686">
        <f t="shared" si="85"/>
        <v>0</v>
      </c>
      <c r="Y369" s="686">
        <f t="shared" si="86"/>
        <v>0</v>
      </c>
      <c r="Z369" s="686">
        <f t="shared" si="87"/>
        <v>0</v>
      </c>
      <c r="AA369" s="685" t="str">
        <f t="shared" si="88"/>
        <v>V</v>
      </c>
      <c r="AB369" s="687" t="s">
        <v>715</v>
      </c>
      <c r="AC369" s="688" t="e">
        <f>(S369+T369+U369)*'1.0-Contractblad'!$K$68</f>
        <v>#VALUE!</v>
      </c>
      <c r="AD369" s="688"/>
      <c r="AE369" s="48">
        <f t="shared" si="89"/>
        <v>0</v>
      </c>
      <c r="AF369" s="48">
        <f t="shared" si="95"/>
        <v>930.28</v>
      </c>
      <c r="AG369" s="48" t="str">
        <f t="shared" si="96"/>
        <v>15052-52</v>
      </c>
    </row>
    <row r="370" spans="1:33" ht="12.75">
      <c r="A370" s="102"/>
      <c r="B370" s="364"/>
      <c r="C370" s="365"/>
      <c r="D370" s="676" t="s">
        <v>151</v>
      </c>
      <c r="E370" s="677" t="s">
        <v>314</v>
      </c>
      <c r="F370" s="678" t="s">
        <v>741</v>
      </c>
      <c r="G370" s="676" t="s">
        <v>626</v>
      </c>
      <c r="H370" s="679" t="str">
        <f t="shared" si="97"/>
        <v>entree, gang, hal, repro, kopieer</v>
      </c>
      <c r="I370" s="689" t="s">
        <v>246</v>
      </c>
      <c r="J370" s="680">
        <v>5.17</v>
      </c>
      <c r="K370" s="680"/>
      <c r="L370" s="692">
        <v>3052</v>
      </c>
      <c r="M370" s="677"/>
      <c r="N370" s="682"/>
      <c r="O370" s="682"/>
      <c r="P370" s="682">
        <f t="shared" si="90"/>
        <v>52</v>
      </c>
      <c r="Q370" s="683">
        <v>0.77</v>
      </c>
      <c r="R370" s="684">
        <v>1</v>
      </c>
      <c r="S370" s="685">
        <f t="shared" si="91"/>
        <v>0</v>
      </c>
      <c r="T370" s="685">
        <f t="shared" si="92"/>
        <v>0</v>
      </c>
      <c r="U370" s="685">
        <f t="shared" si="93"/>
        <v>0</v>
      </c>
      <c r="V370" s="685">
        <f t="shared" si="94"/>
        <v>0</v>
      </c>
      <c r="W370" s="686">
        <f t="shared" si="84"/>
        <v>0</v>
      </c>
      <c r="X370" s="686">
        <f t="shared" si="85"/>
        <v>0</v>
      </c>
      <c r="Y370" s="686">
        <f t="shared" si="86"/>
        <v>0</v>
      </c>
      <c r="Z370" s="686">
        <f t="shared" si="87"/>
        <v>0</v>
      </c>
      <c r="AA370" s="685" t="str">
        <f t="shared" si="88"/>
        <v>V</v>
      </c>
      <c r="AB370" s="687" t="s">
        <v>715</v>
      </c>
      <c r="AC370" s="688" t="e">
        <f>(S370+T370+U370)*'1.0-Contractblad'!$K$68</f>
        <v>#VALUE!</v>
      </c>
      <c r="AD370" s="688"/>
      <c r="AE370" s="48">
        <f t="shared" si="89"/>
        <v>0</v>
      </c>
      <c r="AF370" s="48">
        <f t="shared" si="95"/>
        <v>268.83999999999997</v>
      </c>
      <c r="AG370" s="48" t="str">
        <f t="shared" si="96"/>
        <v>3052-52</v>
      </c>
    </row>
    <row r="371" spans="1:33" ht="12.75">
      <c r="A371" s="102"/>
      <c r="B371" s="364"/>
      <c r="C371" s="365"/>
      <c r="D371" s="676" t="s">
        <v>151</v>
      </c>
      <c r="E371" s="677" t="s">
        <v>314</v>
      </c>
      <c r="F371" s="678" t="s">
        <v>742</v>
      </c>
      <c r="G371" s="676" t="s">
        <v>743</v>
      </c>
      <c r="H371" s="679" t="str">
        <f t="shared" si="97"/>
        <v>op afroep</v>
      </c>
      <c r="I371" s="690" t="s">
        <v>234</v>
      </c>
      <c r="J371" s="680">
        <v>20.61</v>
      </c>
      <c r="K371" s="680"/>
      <c r="L371" s="692" t="s">
        <v>224</v>
      </c>
      <c r="M371" s="677"/>
      <c r="N371" s="682"/>
      <c r="O371" s="682"/>
      <c r="P371" s="682">
        <f t="shared" si="90"/>
        <v>0</v>
      </c>
      <c r="Q371" s="683">
        <v>0.77</v>
      </c>
      <c r="R371" s="684">
        <v>1</v>
      </c>
      <c r="S371" s="685">
        <f t="shared" si="91"/>
        <v>0</v>
      </c>
      <c r="T371" s="685">
        <f t="shared" si="92"/>
        <v>0</v>
      </c>
      <c r="U371" s="685">
        <f t="shared" si="93"/>
        <v>0</v>
      </c>
      <c r="V371" s="685">
        <f t="shared" si="94"/>
        <v>0</v>
      </c>
      <c r="W371" s="686">
        <f t="shared" si="84"/>
        <v>0</v>
      </c>
      <c r="X371" s="686">
        <f t="shared" si="85"/>
        <v>0</v>
      </c>
      <c r="Y371" s="686">
        <f t="shared" si="86"/>
        <v>0</v>
      </c>
      <c r="Z371" s="686">
        <f t="shared" si="87"/>
        <v>0</v>
      </c>
      <c r="AA371" s="685">
        <f t="shared" si="88"/>
        <v>0</v>
      </c>
      <c r="AB371" s="687"/>
      <c r="AC371" s="688" t="e">
        <f>(S371+T371+U371)*'1.0-Contractblad'!$K$68</f>
        <v>#VALUE!</v>
      </c>
      <c r="AD371" s="688"/>
      <c r="AE371" s="48">
        <f t="shared" si="89"/>
        <v>0</v>
      </c>
      <c r="AF371" s="48">
        <f t="shared" si="95"/>
        <v>0</v>
      </c>
      <c r="AG371" s="48" t="str">
        <f t="shared" si="96"/>
        <v>op afroep-0</v>
      </c>
    </row>
    <row r="372" spans="1:33" ht="12.75">
      <c r="A372" s="102"/>
      <c r="B372" s="364"/>
      <c r="C372" s="365"/>
      <c r="D372" s="676" t="s">
        <v>151</v>
      </c>
      <c r="E372" s="677" t="s">
        <v>314</v>
      </c>
      <c r="F372" s="678" t="s">
        <v>744</v>
      </c>
      <c r="G372" s="676" t="s">
        <v>745</v>
      </c>
      <c r="H372" s="679" t="str">
        <f t="shared" si="97"/>
        <v>sanitaire ruimte (toilet-/doucheruimte)</v>
      </c>
      <c r="I372" s="690" t="s">
        <v>234</v>
      </c>
      <c r="J372" s="680">
        <v>12.5</v>
      </c>
      <c r="K372" s="680"/>
      <c r="L372" s="692">
        <v>4052</v>
      </c>
      <c r="M372" s="677"/>
      <c r="N372" s="682"/>
      <c r="O372" s="682"/>
      <c r="P372" s="682">
        <f t="shared" si="90"/>
        <v>52</v>
      </c>
      <c r="Q372" s="683">
        <v>0.77</v>
      </c>
      <c r="R372" s="684">
        <v>1</v>
      </c>
      <c r="S372" s="685">
        <f t="shared" si="91"/>
        <v>0</v>
      </c>
      <c r="T372" s="685">
        <f t="shared" si="92"/>
        <v>0</v>
      </c>
      <c r="U372" s="685">
        <f t="shared" si="93"/>
        <v>0</v>
      </c>
      <c r="V372" s="685">
        <f t="shared" si="94"/>
        <v>0</v>
      </c>
      <c r="W372" s="686">
        <f t="shared" si="84"/>
        <v>0</v>
      </c>
      <c r="X372" s="686">
        <f t="shared" si="85"/>
        <v>0</v>
      </c>
      <c r="Y372" s="686">
        <f t="shared" si="86"/>
        <v>0</v>
      </c>
      <c r="Z372" s="686">
        <f t="shared" si="87"/>
        <v>0</v>
      </c>
      <c r="AA372" s="685" t="str">
        <f t="shared" si="88"/>
        <v>S</v>
      </c>
      <c r="AB372" s="687" t="s">
        <v>715</v>
      </c>
      <c r="AC372" s="688" t="e">
        <f>(S372+T372+U372)*'1.0-Contractblad'!$K$68</f>
        <v>#VALUE!</v>
      </c>
      <c r="AD372" s="688"/>
      <c r="AE372" s="48">
        <f t="shared" si="89"/>
        <v>0</v>
      </c>
      <c r="AF372" s="48">
        <f t="shared" si="95"/>
        <v>650</v>
      </c>
      <c r="AG372" s="48" t="str">
        <f t="shared" si="96"/>
        <v>4052-52</v>
      </c>
    </row>
    <row r="373" spans="1:33" ht="12.75">
      <c r="A373" s="102"/>
      <c r="B373" s="364"/>
      <c r="C373" s="365"/>
      <c r="D373" s="676" t="s">
        <v>151</v>
      </c>
      <c r="E373" s="677" t="s">
        <v>314</v>
      </c>
      <c r="F373" s="678" t="s">
        <v>746</v>
      </c>
      <c r="G373" s="676" t="s">
        <v>747</v>
      </c>
      <c r="H373" s="679" t="str">
        <f t="shared" si="97"/>
        <v>sanitaire ruimte (toilet-/doucheruimte)</v>
      </c>
      <c r="I373" s="690" t="s">
        <v>234</v>
      </c>
      <c r="J373" s="680">
        <v>6.58</v>
      </c>
      <c r="K373" s="680"/>
      <c r="L373" s="692">
        <v>4052</v>
      </c>
      <c r="M373" s="677"/>
      <c r="N373" s="682"/>
      <c r="O373" s="682"/>
      <c r="P373" s="682">
        <f t="shared" si="90"/>
        <v>52</v>
      </c>
      <c r="Q373" s="683">
        <v>0.77</v>
      </c>
      <c r="R373" s="684">
        <v>1</v>
      </c>
      <c r="S373" s="685">
        <f t="shared" si="91"/>
        <v>0</v>
      </c>
      <c r="T373" s="685">
        <f t="shared" si="92"/>
        <v>0</v>
      </c>
      <c r="U373" s="685">
        <f t="shared" si="93"/>
        <v>0</v>
      </c>
      <c r="V373" s="685">
        <f t="shared" si="94"/>
        <v>0</v>
      </c>
      <c r="W373" s="686">
        <f t="shared" si="84"/>
        <v>0</v>
      </c>
      <c r="X373" s="686">
        <f t="shared" si="85"/>
        <v>0</v>
      </c>
      <c r="Y373" s="686">
        <f t="shared" si="86"/>
        <v>0</v>
      </c>
      <c r="Z373" s="686">
        <f t="shared" si="87"/>
        <v>0</v>
      </c>
      <c r="AA373" s="685" t="str">
        <f t="shared" si="88"/>
        <v>S</v>
      </c>
      <c r="AB373" s="687" t="s">
        <v>715</v>
      </c>
      <c r="AC373" s="688" t="e">
        <f>(S373+T373+U373)*'1.0-Contractblad'!$K$68</f>
        <v>#VALUE!</v>
      </c>
      <c r="AD373" s="688"/>
      <c r="AE373" s="48">
        <f t="shared" si="89"/>
        <v>0</v>
      </c>
      <c r="AF373" s="48">
        <f t="shared" si="95"/>
        <v>342.16</v>
      </c>
      <c r="AG373" s="48" t="str">
        <f t="shared" si="96"/>
        <v>4052-52</v>
      </c>
    </row>
    <row r="374" spans="1:33" ht="12.75">
      <c r="A374" s="102"/>
      <c r="B374" s="364"/>
      <c r="C374" s="365"/>
      <c r="D374" s="676" t="s">
        <v>151</v>
      </c>
      <c r="E374" s="677" t="s">
        <v>314</v>
      </c>
      <c r="F374" s="678" t="s">
        <v>748</v>
      </c>
      <c r="G374" s="676" t="s">
        <v>749</v>
      </c>
      <c r="H374" s="679" t="str">
        <f t="shared" si="97"/>
        <v>sanitaire ruimte (toilet-/doucheruimte)</v>
      </c>
      <c r="I374" s="690" t="s">
        <v>234</v>
      </c>
      <c r="J374" s="680">
        <v>11.8</v>
      </c>
      <c r="K374" s="680"/>
      <c r="L374" s="692">
        <v>4052</v>
      </c>
      <c r="M374" s="677"/>
      <c r="N374" s="682"/>
      <c r="O374" s="682"/>
      <c r="P374" s="682">
        <f t="shared" si="90"/>
        <v>52</v>
      </c>
      <c r="Q374" s="683">
        <v>0.77</v>
      </c>
      <c r="R374" s="684">
        <v>1</v>
      </c>
      <c r="S374" s="685">
        <f t="shared" si="91"/>
        <v>0</v>
      </c>
      <c r="T374" s="685">
        <f t="shared" si="92"/>
        <v>0</v>
      </c>
      <c r="U374" s="685">
        <f t="shared" si="93"/>
        <v>0</v>
      </c>
      <c r="V374" s="685">
        <f t="shared" si="94"/>
        <v>0</v>
      </c>
      <c r="W374" s="686">
        <f t="shared" si="84"/>
        <v>0</v>
      </c>
      <c r="X374" s="686">
        <f t="shared" si="85"/>
        <v>0</v>
      </c>
      <c r="Y374" s="686">
        <f t="shared" si="86"/>
        <v>0</v>
      </c>
      <c r="Z374" s="686">
        <f t="shared" si="87"/>
        <v>0</v>
      </c>
      <c r="AA374" s="685" t="str">
        <f t="shared" si="88"/>
        <v>S</v>
      </c>
      <c r="AB374" s="687" t="s">
        <v>715</v>
      </c>
      <c r="AC374" s="688" t="e">
        <f>(S374+T374+U374)*'1.0-Contractblad'!$K$68</f>
        <v>#VALUE!</v>
      </c>
      <c r="AD374" s="688"/>
      <c r="AE374" s="48">
        <f t="shared" si="89"/>
        <v>0</v>
      </c>
      <c r="AF374" s="48">
        <f t="shared" si="95"/>
        <v>613.6</v>
      </c>
      <c r="AG374" s="48" t="str">
        <f t="shared" si="96"/>
        <v>4052-52</v>
      </c>
    </row>
    <row r="375" spans="1:33" ht="12.75">
      <c r="A375" s="102"/>
      <c r="B375" s="364"/>
      <c r="C375" s="365"/>
      <c r="D375" s="676" t="s">
        <v>151</v>
      </c>
      <c r="E375" s="677" t="s">
        <v>314</v>
      </c>
      <c r="F375" s="678" t="s">
        <v>750</v>
      </c>
      <c r="G375" s="676" t="s">
        <v>333</v>
      </c>
      <c r="H375" s="679" t="str">
        <f t="shared" si="97"/>
        <v>administratieve -, personeels- en vergaderruimte</v>
      </c>
      <c r="I375" s="689" t="s">
        <v>246</v>
      </c>
      <c r="J375" s="680">
        <v>113.83</v>
      </c>
      <c r="K375" s="680"/>
      <c r="L375" s="692">
        <v>1052</v>
      </c>
      <c r="M375" s="677"/>
      <c r="N375" s="682"/>
      <c r="O375" s="682"/>
      <c r="P375" s="682">
        <f t="shared" si="90"/>
        <v>52</v>
      </c>
      <c r="Q375" s="683">
        <v>0.77</v>
      </c>
      <c r="R375" s="684">
        <v>1</v>
      </c>
      <c r="S375" s="685">
        <f t="shared" si="91"/>
        <v>0</v>
      </c>
      <c r="T375" s="685">
        <f t="shared" si="92"/>
        <v>0</v>
      </c>
      <c r="U375" s="685">
        <f t="shared" si="93"/>
        <v>0</v>
      </c>
      <c r="V375" s="685">
        <f t="shared" si="94"/>
        <v>0</v>
      </c>
      <c r="W375" s="686">
        <f t="shared" si="84"/>
        <v>0</v>
      </c>
      <c r="X375" s="686">
        <f t="shared" si="85"/>
        <v>0</v>
      </c>
      <c r="Y375" s="686">
        <f t="shared" si="86"/>
        <v>0</v>
      </c>
      <c r="Z375" s="686">
        <f t="shared" si="87"/>
        <v>0</v>
      </c>
      <c r="AA375" s="685" t="str">
        <f t="shared" si="88"/>
        <v>B</v>
      </c>
      <c r="AB375" s="687" t="s">
        <v>715</v>
      </c>
      <c r="AC375" s="688" t="e">
        <f>(S375+T375+U375)*'1.0-Contractblad'!$K$68</f>
        <v>#VALUE!</v>
      </c>
      <c r="AD375" s="688"/>
      <c r="AE375" s="48">
        <f t="shared" si="89"/>
        <v>0</v>
      </c>
      <c r="AF375" s="48">
        <f t="shared" si="95"/>
        <v>5919.16</v>
      </c>
      <c r="AG375" s="48" t="str">
        <f t="shared" si="96"/>
        <v>1052-52</v>
      </c>
    </row>
    <row r="376" spans="1:33" ht="12.75">
      <c r="A376" s="102"/>
      <c r="B376" s="364"/>
      <c r="C376" s="365"/>
      <c r="D376" s="676" t="s">
        <v>154</v>
      </c>
      <c r="E376" s="677" t="s">
        <v>314</v>
      </c>
      <c r="F376" s="678" t="s">
        <v>741</v>
      </c>
      <c r="G376" s="679" t="s">
        <v>377</v>
      </c>
      <c r="H376" s="679" t="str">
        <f t="shared" si="97"/>
        <v>buitenbordes</v>
      </c>
      <c r="I376" s="689" t="s">
        <v>234</v>
      </c>
      <c r="J376" s="680">
        <v>15.68</v>
      </c>
      <c r="K376" s="680"/>
      <c r="L376" s="692">
        <v>16104</v>
      </c>
      <c r="M376" s="677"/>
      <c r="N376" s="682"/>
      <c r="O376" s="682"/>
      <c r="P376" s="682">
        <f t="shared" si="90"/>
        <v>104</v>
      </c>
      <c r="Q376" s="683">
        <v>0.82</v>
      </c>
      <c r="R376" s="684">
        <v>1</v>
      </c>
      <c r="S376" s="685">
        <f t="shared" si="91"/>
        <v>0</v>
      </c>
      <c r="T376" s="685">
        <f t="shared" si="92"/>
        <v>0</v>
      </c>
      <c r="U376" s="685">
        <f t="shared" si="93"/>
        <v>0</v>
      </c>
      <c r="V376" s="685">
        <f t="shared" si="94"/>
        <v>0</v>
      </c>
      <c r="W376" s="686">
        <f t="shared" si="84"/>
        <v>0</v>
      </c>
      <c r="X376" s="686">
        <f t="shared" si="85"/>
        <v>0</v>
      </c>
      <c r="Y376" s="686">
        <f t="shared" si="86"/>
        <v>0</v>
      </c>
      <c r="Z376" s="686">
        <f t="shared" si="87"/>
        <v>0</v>
      </c>
      <c r="AA376" s="685" t="str">
        <f t="shared" si="88"/>
        <v>V</v>
      </c>
      <c r="AB376" s="687" t="s">
        <v>751</v>
      </c>
      <c r="AC376" s="688" t="e">
        <f>(S376+T376+U376)*'1.0-Contractblad'!$K$68</f>
        <v>#VALUE!</v>
      </c>
      <c r="AD376" s="688"/>
      <c r="AE376" s="48">
        <f t="shared" si="89"/>
        <v>0</v>
      </c>
      <c r="AF376" s="48">
        <f t="shared" si="95"/>
        <v>1630.72</v>
      </c>
      <c r="AG376" s="48" t="str">
        <f t="shared" si="96"/>
        <v>16104-104</v>
      </c>
    </row>
    <row r="377" spans="1:33" ht="12.75">
      <c r="A377" s="102"/>
      <c r="B377" s="364"/>
      <c r="C377" s="365"/>
      <c r="D377" s="676" t="s">
        <v>154</v>
      </c>
      <c r="E377" s="677" t="s">
        <v>314</v>
      </c>
      <c r="F377" s="678" t="s">
        <v>732</v>
      </c>
      <c r="G377" s="679" t="s">
        <v>318</v>
      </c>
      <c r="H377" s="679" t="str">
        <f t="shared" si="97"/>
        <v>entree, gang, hal, repro, kopieer</v>
      </c>
      <c r="I377" s="689" t="s">
        <v>234</v>
      </c>
      <c r="J377" s="680">
        <v>29.83</v>
      </c>
      <c r="K377" s="680"/>
      <c r="L377" s="692">
        <v>3104</v>
      </c>
      <c r="M377" s="677"/>
      <c r="N377" s="682"/>
      <c r="O377" s="682"/>
      <c r="P377" s="682">
        <f t="shared" si="90"/>
        <v>104</v>
      </c>
      <c r="Q377" s="683">
        <v>0.82</v>
      </c>
      <c r="R377" s="684">
        <v>1</v>
      </c>
      <c r="S377" s="685">
        <f t="shared" si="91"/>
        <v>0</v>
      </c>
      <c r="T377" s="685">
        <f t="shared" si="92"/>
        <v>0</v>
      </c>
      <c r="U377" s="685">
        <f t="shared" si="93"/>
        <v>0</v>
      </c>
      <c r="V377" s="685">
        <f t="shared" si="94"/>
        <v>0</v>
      </c>
      <c r="W377" s="686">
        <f t="shared" si="84"/>
        <v>0</v>
      </c>
      <c r="X377" s="686">
        <f t="shared" si="85"/>
        <v>0</v>
      </c>
      <c r="Y377" s="686">
        <f t="shared" si="86"/>
        <v>0</v>
      </c>
      <c r="Z377" s="686">
        <f t="shared" si="87"/>
        <v>0</v>
      </c>
      <c r="AA377" s="685" t="str">
        <f t="shared" si="88"/>
        <v>V</v>
      </c>
      <c r="AB377" s="687" t="s">
        <v>751</v>
      </c>
      <c r="AC377" s="688" t="e">
        <f>(S377+T377+U377)*'1.0-Contractblad'!$K$68</f>
        <v>#VALUE!</v>
      </c>
      <c r="AD377" s="688"/>
      <c r="AE377" s="48">
        <f t="shared" si="89"/>
        <v>0</v>
      </c>
      <c r="AF377" s="48">
        <f t="shared" si="95"/>
        <v>3102.3199999999997</v>
      </c>
      <c r="AG377" s="48" t="str">
        <f t="shared" si="96"/>
        <v>3104-104</v>
      </c>
    </row>
    <row r="378" spans="1:33" ht="12.75">
      <c r="A378" s="102"/>
      <c r="B378" s="364"/>
      <c r="C378" s="365"/>
      <c r="D378" s="676" t="s">
        <v>154</v>
      </c>
      <c r="E378" s="677" t="s">
        <v>314</v>
      </c>
      <c r="F378" s="678" t="s">
        <v>733</v>
      </c>
      <c r="G378" s="679" t="s">
        <v>328</v>
      </c>
      <c r="H378" s="679" t="str">
        <f t="shared" si="97"/>
        <v>pantry, keuken, koffiecorner</v>
      </c>
      <c r="I378" s="689" t="s">
        <v>234</v>
      </c>
      <c r="J378" s="680">
        <v>97.93</v>
      </c>
      <c r="K378" s="680"/>
      <c r="L378" s="692">
        <v>5104</v>
      </c>
      <c r="M378" s="677"/>
      <c r="N378" s="682"/>
      <c r="O378" s="682"/>
      <c r="P378" s="682">
        <f t="shared" si="90"/>
        <v>104</v>
      </c>
      <c r="Q378" s="683">
        <v>0.82</v>
      </c>
      <c r="R378" s="684">
        <v>1</v>
      </c>
      <c r="S378" s="685">
        <f t="shared" si="91"/>
        <v>0</v>
      </c>
      <c r="T378" s="685">
        <f t="shared" si="92"/>
        <v>0</v>
      </c>
      <c r="U378" s="685">
        <f t="shared" si="93"/>
        <v>0</v>
      </c>
      <c r="V378" s="685">
        <f t="shared" si="94"/>
        <v>0</v>
      </c>
      <c r="W378" s="686">
        <f t="shared" si="84"/>
        <v>0</v>
      </c>
      <c r="X378" s="686">
        <f t="shared" si="85"/>
        <v>0</v>
      </c>
      <c r="Y378" s="686">
        <f t="shared" si="86"/>
        <v>0</v>
      </c>
      <c r="Z378" s="686">
        <f t="shared" si="87"/>
        <v>0</v>
      </c>
      <c r="AA378" s="685" t="str">
        <f t="shared" si="88"/>
        <v>V</v>
      </c>
      <c r="AB378" s="701" t="s">
        <v>752</v>
      </c>
      <c r="AC378" s="688" t="e">
        <f>(S378+T378+U378)*'1.0-Contractblad'!$K$68</f>
        <v>#VALUE!</v>
      </c>
      <c r="AD378" s="688"/>
      <c r="AE378" s="48">
        <f t="shared" si="89"/>
        <v>0</v>
      </c>
      <c r="AF378" s="48">
        <f t="shared" si="95"/>
        <v>10184.720000000001</v>
      </c>
      <c r="AG378" s="48" t="str">
        <f t="shared" si="96"/>
        <v>5104-104</v>
      </c>
    </row>
    <row r="379" spans="1:33" ht="12.75">
      <c r="A379" s="102"/>
      <c r="B379" s="364"/>
      <c r="C379" s="365"/>
      <c r="D379" s="676" t="s">
        <v>154</v>
      </c>
      <c r="E379" s="677" t="s">
        <v>314</v>
      </c>
      <c r="F379" s="678" t="s">
        <v>734</v>
      </c>
      <c r="G379" s="679" t="s">
        <v>655</v>
      </c>
      <c r="H379" s="679" t="str">
        <f t="shared" si="97"/>
        <v>pantry, keuken, koffiecorner</v>
      </c>
      <c r="I379" s="689"/>
      <c r="J379" s="680"/>
      <c r="K379" s="680"/>
      <c r="L379" s="692">
        <v>5104</v>
      </c>
      <c r="M379" s="677"/>
      <c r="N379" s="682"/>
      <c r="O379" s="682"/>
      <c r="P379" s="682">
        <f t="shared" si="90"/>
        <v>104</v>
      </c>
      <c r="Q379" s="683">
        <v>0.82</v>
      </c>
      <c r="R379" s="684">
        <v>1</v>
      </c>
      <c r="S379" s="685">
        <f t="shared" si="91"/>
        <v>0</v>
      </c>
      <c r="T379" s="685">
        <f t="shared" si="92"/>
        <v>0</v>
      </c>
      <c r="U379" s="685">
        <f t="shared" si="93"/>
        <v>0</v>
      </c>
      <c r="V379" s="685">
        <f t="shared" si="94"/>
        <v>0</v>
      </c>
      <c r="W379" s="686">
        <f t="shared" si="84"/>
        <v>0</v>
      </c>
      <c r="X379" s="686">
        <f t="shared" si="85"/>
        <v>0</v>
      </c>
      <c r="Y379" s="686">
        <f t="shared" si="86"/>
        <v>0</v>
      </c>
      <c r="Z379" s="686">
        <f t="shared" si="87"/>
        <v>0</v>
      </c>
      <c r="AA379" s="685" t="str">
        <f t="shared" si="88"/>
        <v>V</v>
      </c>
      <c r="AB379" s="701" t="s">
        <v>753</v>
      </c>
      <c r="AC379" s="688" t="e">
        <f>(S379+T379+U379)*'1.0-Contractblad'!$K$68</f>
        <v>#VALUE!</v>
      </c>
      <c r="AD379" s="688"/>
      <c r="AE379" s="48">
        <f t="shared" si="89"/>
        <v>0</v>
      </c>
      <c r="AF379" s="48">
        <f t="shared" si="95"/>
        <v>0</v>
      </c>
      <c r="AG379" s="48" t="str">
        <f t="shared" si="96"/>
        <v>5104-104</v>
      </c>
    </row>
    <row r="380" spans="1:33" ht="12.75">
      <c r="A380" s="102"/>
      <c r="B380" s="364"/>
      <c r="C380" s="365"/>
      <c r="D380" s="676" t="s">
        <v>154</v>
      </c>
      <c r="E380" s="677" t="s">
        <v>314</v>
      </c>
      <c r="F380" s="678" t="s">
        <v>735</v>
      </c>
      <c r="G380" s="679" t="s">
        <v>689</v>
      </c>
      <c r="H380" s="679" t="str">
        <f t="shared" si="97"/>
        <v>administratieve -, personeels- en vergaderruimte</v>
      </c>
      <c r="I380" s="689" t="s">
        <v>234</v>
      </c>
      <c r="J380" s="680">
        <v>77.37</v>
      </c>
      <c r="K380" s="680"/>
      <c r="L380" s="692">
        <v>1104</v>
      </c>
      <c r="M380" s="677"/>
      <c r="N380" s="682"/>
      <c r="O380" s="682"/>
      <c r="P380" s="682">
        <f t="shared" si="90"/>
        <v>104</v>
      </c>
      <c r="Q380" s="683">
        <v>0.82</v>
      </c>
      <c r="R380" s="684">
        <v>1</v>
      </c>
      <c r="S380" s="685">
        <f t="shared" si="91"/>
        <v>0</v>
      </c>
      <c r="T380" s="685">
        <f t="shared" si="92"/>
        <v>0</v>
      </c>
      <c r="U380" s="685">
        <f t="shared" si="93"/>
        <v>0</v>
      </c>
      <c r="V380" s="685">
        <f t="shared" si="94"/>
        <v>0</v>
      </c>
      <c r="W380" s="686">
        <f t="shared" si="84"/>
        <v>0</v>
      </c>
      <c r="X380" s="686">
        <f t="shared" si="85"/>
        <v>0</v>
      </c>
      <c r="Y380" s="686">
        <f t="shared" si="86"/>
        <v>0</v>
      </c>
      <c r="Z380" s="686">
        <f t="shared" si="87"/>
        <v>0</v>
      </c>
      <c r="AA380" s="685" t="str">
        <f t="shared" si="88"/>
        <v>B</v>
      </c>
      <c r="AB380" s="687" t="s">
        <v>751</v>
      </c>
      <c r="AC380" s="688" t="e">
        <f>(S380+T380+U380)*'1.0-Contractblad'!$K$68</f>
        <v>#VALUE!</v>
      </c>
      <c r="AD380" s="688"/>
      <c r="AE380" s="48">
        <f t="shared" si="89"/>
        <v>0</v>
      </c>
      <c r="AF380" s="48">
        <f t="shared" si="95"/>
        <v>8046.4800000000005</v>
      </c>
      <c r="AG380" s="48" t="str">
        <f t="shared" si="96"/>
        <v>1104-104</v>
      </c>
    </row>
    <row r="381" spans="1:33" ht="12.75">
      <c r="A381" s="102"/>
      <c r="B381" s="364"/>
      <c r="C381" s="365"/>
      <c r="D381" s="676" t="s">
        <v>154</v>
      </c>
      <c r="E381" s="677" t="s">
        <v>314</v>
      </c>
      <c r="F381" s="678" t="s">
        <v>754</v>
      </c>
      <c r="G381" s="679" t="s">
        <v>755</v>
      </c>
      <c r="H381" s="679" t="str">
        <f t="shared" si="97"/>
        <v>sanitaire ruimte (toilet-/doucheruimte)</v>
      </c>
      <c r="I381" s="689" t="s">
        <v>234</v>
      </c>
      <c r="J381" s="680">
        <v>4.63</v>
      </c>
      <c r="K381" s="680"/>
      <c r="L381" s="692">
        <v>4104</v>
      </c>
      <c r="M381" s="677"/>
      <c r="N381" s="682"/>
      <c r="O381" s="682"/>
      <c r="P381" s="682">
        <f t="shared" si="90"/>
        <v>104</v>
      </c>
      <c r="Q381" s="683">
        <v>0.82</v>
      </c>
      <c r="R381" s="684">
        <v>1</v>
      </c>
      <c r="S381" s="685">
        <f t="shared" si="91"/>
        <v>0</v>
      </c>
      <c r="T381" s="685">
        <f t="shared" si="92"/>
        <v>0</v>
      </c>
      <c r="U381" s="685">
        <f t="shared" si="93"/>
        <v>0</v>
      </c>
      <c r="V381" s="685">
        <f t="shared" si="94"/>
        <v>0</v>
      </c>
      <c r="W381" s="686">
        <f t="shared" si="84"/>
        <v>0</v>
      </c>
      <c r="X381" s="686">
        <f t="shared" si="85"/>
        <v>0</v>
      </c>
      <c r="Y381" s="686">
        <f t="shared" si="86"/>
        <v>0</v>
      </c>
      <c r="Z381" s="686">
        <f t="shared" si="87"/>
        <v>0</v>
      </c>
      <c r="AA381" s="685" t="str">
        <f t="shared" si="88"/>
        <v>S</v>
      </c>
      <c r="AB381" s="687" t="s">
        <v>751</v>
      </c>
      <c r="AC381" s="688" t="e">
        <f>(S381+T381+U381)*'1.0-Contractblad'!$K$68</f>
        <v>#VALUE!</v>
      </c>
      <c r="AD381" s="688"/>
      <c r="AE381" s="48">
        <f t="shared" si="89"/>
        <v>0</v>
      </c>
      <c r="AF381" s="48">
        <f t="shared" si="95"/>
        <v>481.52</v>
      </c>
      <c r="AG381" s="48" t="str">
        <f t="shared" si="96"/>
        <v>4104-104</v>
      </c>
    </row>
    <row r="382" spans="1:33" ht="12.75">
      <c r="A382" s="102"/>
      <c r="B382" s="364"/>
      <c r="C382" s="365"/>
      <c r="D382" s="676" t="s">
        <v>154</v>
      </c>
      <c r="E382" s="677" t="s">
        <v>314</v>
      </c>
      <c r="F382" s="678" t="s">
        <v>736</v>
      </c>
      <c r="G382" s="679" t="s">
        <v>756</v>
      </c>
      <c r="H382" s="679" t="str">
        <f t="shared" si="97"/>
        <v>entree, gang, hal, repro, kopieer</v>
      </c>
      <c r="I382" s="689" t="s">
        <v>234</v>
      </c>
      <c r="J382" s="680">
        <v>3.09</v>
      </c>
      <c r="K382" s="680"/>
      <c r="L382" s="692">
        <v>3104</v>
      </c>
      <c r="M382" s="677"/>
      <c r="N382" s="682"/>
      <c r="O382" s="682"/>
      <c r="P382" s="682">
        <f t="shared" si="90"/>
        <v>104</v>
      </c>
      <c r="Q382" s="683">
        <v>0.82</v>
      </c>
      <c r="R382" s="684">
        <v>1</v>
      </c>
      <c r="S382" s="685">
        <f t="shared" si="91"/>
        <v>0</v>
      </c>
      <c r="T382" s="685">
        <f t="shared" si="92"/>
        <v>0</v>
      </c>
      <c r="U382" s="685">
        <f t="shared" si="93"/>
        <v>0</v>
      </c>
      <c r="V382" s="685">
        <f t="shared" si="94"/>
        <v>0</v>
      </c>
      <c r="W382" s="686">
        <f t="shared" si="84"/>
        <v>0</v>
      </c>
      <c r="X382" s="686">
        <f t="shared" si="85"/>
        <v>0</v>
      </c>
      <c r="Y382" s="686">
        <f t="shared" si="86"/>
        <v>0</v>
      </c>
      <c r="Z382" s="686">
        <f t="shared" si="87"/>
        <v>0</v>
      </c>
      <c r="AA382" s="685" t="str">
        <f t="shared" si="88"/>
        <v>V</v>
      </c>
      <c r="AB382" s="687" t="s">
        <v>751</v>
      </c>
      <c r="AC382" s="688" t="e">
        <f>(S382+T382+U382)*'1.0-Contractblad'!$K$68</f>
        <v>#VALUE!</v>
      </c>
      <c r="AD382" s="688"/>
      <c r="AE382" s="48">
        <f t="shared" si="89"/>
        <v>0</v>
      </c>
      <c r="AF382" s="48">
        <f t="shared" si="95"/>
        <v>321.36</v>
      </c>
      <c r="AG382" s="48" t="str">
        <f t="shared" si="96"/>
        <v>3104-104</v>
      </c>
    </row>
    <row r="383" spans="1:33" ht="12.75">
      <c r="A383" s="102"/>
      <c r="B383" s="364"/>
      <c r="C383" s="365"/>
      <c r="D383" s="676" t="s">
        <v>154</v>
      </c>
      <c r="E383" s="677" t="s">
        <v>314</v>
      </c>
      <c r="F383" s="678" t="s">
        <v>757</v>
      </c>
      <c r="G383" s="679" t="s">
        <v>758</v>
      </c>
      <c r="H383" s="679" t="str">
        <f t="shared" si="97"/>
        <v>sanitaire ruimte (toilet-/doucheruimte)</v>
      </c>
      <c r="I383" s="689" t="s">
        <v>234</v>
      </c>
      <c r="J383" s="680">
        <v>5.08</v>
      </c>
      <c r="K383" s="680"/>
      <c r="L383" s="692">
        <v>4104</v>
      </c>
      <c r="M383" s="677"/>
      <c r="N383" s="682"/>
      <c r="O383" s="682"/>
      <c r="P383" s="682">
        <f t="shared" si="90"/>
        <v>104</v>
      </c>
      <c r="Q383" s="683">
        <v>0.82</v>
      </c>
      <c r="R383" s="684">
        <v>1</v>
      </c>
      <c r="S383" s="685">
        <f t="shared" si="91"/>
        <v>0</v>
      </c>
      <c r="T383" s="685">
        <f t="shared" si="92"/>
        <v>0</v>
      </c>
      <c r="U383" s="685">
        <f t="shared" si="93"/>
        <v>0</v>
      </c>
      <c r="V383" s="685">
        <f t="shared" si="94"/>
        <v>0</v>
      </c>
      <c r="W383" s="686">
        <f t="shared" si="84"/>
        <v>0</v>
      </c>
      <c r="X383" s="686">
        <f t="shared" si="85"/>
        <v>0</v>
      </c>
      <c r="Y383" s="686">
        <f t="shared" si="86"/>
        <v>0</v>
      </c>
      <c r="Z383" s="686">
        <f t="shared" si="87"/>
        <v>0</v>
      </c>
      <c r="AA383" s="685" t="str">
        <f t="shared" si="88"/>
        <v>S</v>
      </c>
      <c r="AB383" s="687" t="s">
        <v>751</v>
      </c>
      <c r="AC383" s="688" t="e">
        <f>(S383+T383+U383)*'1.0-Contractblad'!$K$68</f>
        <v>#VALUE!</v>
      </c>
      <c r="AD383" s="688"/>
      <c r="AE383" s="48">
        <f t="shared" si="89"/>
        <v>0</v>
      </c>
      <c r="AF383" s="48">
        <f t="shared" si="95"/>
        <v>528.32000000000005</v>
      </c>
      <c r="AG383" s="48" t="str">
        <f t="shared" si="96"/>
        <v>4104-104</v>
      </c>
    </row>
    <row r="384" spans="1:33" ht="12.75">
      <c r="A384" s="102"/>
      <c r="B384" s="364"/>
      <c r="C384" s="365"/>
      <c r="D384" s="676" t="s">
        <v>154</v>
      </c>
      <c r="E384" s="677" t="s">
        <v>314</v>
      </c>
      <c r="F384" s="678" t="s">
        <v>759</v>
      </c>
      <c r="G384" s="679" t="s">
        <v>760</v>
      </c>
      <c r="H384" s="679" t="str">
        <f t="shared" si="97"/>
        <v>kleedruimten</v>
      </c>
      <c r="I384" s="689" t="s">
        <v>234</v>
      </c>
      <c r="J384" s="680">
        <v>34</v>
      </c>
      <c r="K384" s="680"/>
      <c r="L384" s="692">
        <v>10104</v>
      </c>
      <c r="M384" s="677"/>
      <c r="N384" s="682"/>
      <c r="O384" s="682"/>
      <c r="P384" s="682">
        <f t="shared" si="90"/>
        <v>104</v>
      </c>
      <c r="Q384" s="683">
        <v>0.82</v>
      </c>
      <c r="R384" s="684">
        <v>1</v>
      </c>
      <c r="S384" s="685">
        <f t="shared" si="91"/>
        <v>0</v>
      </c>
      <c r="T384" s="685">
        <f t="shared" si="92"/>
        <v>0</v>
      </c>
      <c r="U384" s="685">
        <f t="shared" si="93"/>
        <v>0</v>
      </c>
      <c r="V384" s="685">
        <f t="shared" si="94"/>
        <v>0</v>
      </c>
      <c r="W384" s="686">
        <f t="shared" si="84"/>
        <v>0</v>
      </c>
      <c r="X384" s="686">
        <f t="shared" si="85"/>
        <v>0</v>
      </c>
      <c r="Y384" s="686">
        <f t="shared" si="86"/>
        <v>0</v>
      </c>
      <c r="Z384" s="686">
        <f t="shared" si="87"/>
        <v>0</v>
      </c>
      <c r="AA384" s="685" t="str">
        <f t="shared" si="88"/>
        <v>V</v>
      </c>
      <c r="AB384" s="687" t="s">
        <v>751</v>
      </c>
      <c r="AC384" s="688" t="e">
        <f>(S384+T384+U384)*'1.0-Contractblad'!$K$68</f>
        <v>#VALUE!</v>
      </c>
      <c r="AD384" s="688"/>
      <c r="AE384" s="48">
        <f t="shared" si="89"/>
        <v>0</v>
      </c>
      <c r="AF384" s="48">
        <f t="shared" si="95"/>
        <v>3536</v>
      </c>
      <c r="AG384" s="48" t="str">
        <f t="shared" si="96"/>
        <v>10104-104</v>
      </c>
    </row>
    <row r="385" spans="1:33" ht="12.75">
      <c r="A385" s="102"/>
      <c r="B385" s="364"/>
      <c r="C385" s="365"/>
      <c r="D385" s="676" t="s">
        <v>154</v>
      </c>
      <c r="E385" s="677" t="s">
        <v>314</v>
      </c>
      <c r="F385" s="678" t="s">
        <v>761</v>
      </c>
      <c r="G385" s="679" t="s">
        <v>762</v>
      </c>
      <c r="H385" s="679" t="str">
        <f t="shared" si="97"/>
        <v>sanitaire ruimte (toilet-/doucheruimte)</v>
      </c>
      <c r="I385" s="689" t="s">
        <v>234</v>
      </c>
      <c r="J385" s="680">
        <v>3.44</v>
      </c>
      <c r="K385" s="680"/>
      <c r="L385" s="692">
        <v>4104</v>
      </c>
      <c r="M385" s="677"/>
      <c r="N385" s="682"/>
      <c r="O385" s="682"/>
      <c r="P385" s="682">
        <f t="shared" si="90"/>
        <v>104</v>
      </c>
      <c r="Q385" s="683">
        <v>0.82</v>
      </c>
      <c r="R385" s="684">
        <v>1</v>
      </c>
      <c r="S385" s="685">
        <f t="shared" si="91"/>
        <v>0</v>
      </c>
      <c r="T385" s="685">
        <f t="shared" si="92"/>
        <v>0</v>
      </c>
      <c r="U385" s="685">
        <f t="shared" si="93"/>
        <v>0</v>
      </c>
      <c r="V385" s="685">
        <f t="shared" si="94"/>
        <v>0</v>
      </c>
      <c r="W385" s="686">
        <f t="shared" si="84"/>
        <v>0</v>
      </c>
      <c r="X385" s="686">
        <f t="shared" si="85"/>
        <v>0</v>
      </c>
      <c r="Y385" s="686">
        <f t="shared" si="86"/>
        <v>0</v>
      </c>
      <c r="Z385" s="686">
        <f t="shared" si="87"/>
        <v>0</v>
      </c>
      <c r="AA385" s="685" t="str">
        <f t="shared" si="88"/>
        <v>S</v>
      </c>
      <c r="AB385" s="687" t="s">
        <v>751</v>
      </c>
      <c r="AC385" s="688" t="e">
        <f>(S385+T385+U385)*'1.0-Contractblad'!$K$68</f>
        <v>#VALUE!</v>
      </c>
      <c r="AD385" s="688"/>
      <c r="AE385" s="48">
        <f t="shared" si="89"/>
        <v>0</v>
      </c>
      <c r="AF385" s="48">
        <f t="shared" si="95"/>
        <v>357.76</v>
      </c>
      <c r="AG385" s="48" t="str">
        <f t="shared" si="96"/>
        <v>4104-104</v>
      </c>
    </row>
    <row r="386" spans="1:33" ht="12.75">
      <c r="A386" s="102"/>
      <c r="B386" s="364"/>
      <c r="C386" s="365"/>
      <c r="D386" s="676" t="s">
        <v>154</v>
      </c>
      <c r="E386" s="677" t="s">
        <v>314</v>
      </c>
      <c r="F386" s="678" t="s">
        <v>763</v>
      </c>
      <c r="G386" s="679" t="s">
        <v>762</v>
      </c>
      <c r="H386" s="679" t="str">
        <f t="shared" si="97"/>
        <v>sanitaire ruimte (toilet-/doucheruimte)</v>
      </c>
      <c r="I386" s="689" t="s">
        <v>234</v>
      </c>
      <c r="J386" s="680">
        <v>3.44</v>
      </c>
      <c r="K386" s="680"/>
      <c r="L386" s="692">
        <v>4104</v>
      </c>
      <c r="M386" s="677"/>
      <c r="N386" s="682"/>
      <c r="O386" s="682"/>
      <c r="P386" s="682">
        <f t="shared" si="90"/>
        <v>104</v>
      </c>
      <c r="Q386" s="683">
        <v>0.82</v>
      </c>
      <c r="R386" s="684">
        <v>1</v>
      </c>
      <c r="S386" s="685">
        <f t="shared" si="91"/>
        <v>0</v>
      </c>
      <c r="T386" s="685">
        <f t="shared" si="92"/>
        <v>0</v>
      </c>
      <c r="U386" s="685">
        <f t="shared" si="93"/>
        <v>0</v>
      </c>
      <c r="V386" s="685">
        <f t="shared" si="94"/>
        <v>0</v>
      </c>
      <c r="W386" s="686">
        <f t="shared" si="84"/>
        <v>0</v>
      </c>
      <c r="X386" s="686">
        <f t="shared" si="85"/>
        <v>0</v>
      </c>
      <c r="Y386" s="686">
        <f t="shared" si="86"/>
        <v>0</v>
      </c>
      <c r="Z386" s="686">
        <f t="shared" si="87"/>
        <v>0</v>
      </c>
      <c r="AA386" s="685" t="str">
        <f t="shared" si="88"/>
        <v>S</v>
      </c>
      <c r="AB386" s="687" t="s">
        <v>751</v>
      </c>
      <c r="AC386" s="688" t="e">
        <f>(S386+T386+U386)*'1.0-Contractblad'!$K$68</f>
        <v>#VALUE!</v>
      </c>
      <c r="AD386" s="688"/>
      <c r="AE386" s="48">
        <f t="shared" si="89"/>
        <v>0</v>
      </c>
      <c r="AF386" s="48">
        <f t="shared" si="95"/>
        <v>357.76</v>
      </c>
      <c r="AG386" s="48" t="str">
        <f t="shared" si="96"/>
        <v>4104-104</v>
      </c>
    </row>
    <row r="387" spans="1:33" ht="12.75">
      <c r="A387" s="102"/>
      <c r="B387" s="364"/>
      <c r="C387" s="365"/>
      <c r="D387" s="676" t="s">
        <v>154</v>
      </c>
      <c r="E387" s="677" t="s">
        <v>314</v>
      </c>
      <c r="F387" s="678" t="s">
        <v>764</v>
      </c>
      <c r="G387" s="690" t="s">
        <v>765</v>
      </c>
      <c r="H387" s="679" t="str">
        <f t="shared" si="97"/>
        <v>sanitaire ruimte (toilet-/doucheruimte)</v>
      </c>
      <c r="I387" s="689" t="s">
        <v>234</v>
      </c>
      <c r="J387" s="680">
        <v>1.75</v>
      </c>
      <c r="K387" s="680"/>
      <c r="L387" s="692">
        <v>4104</v>
      </c>
      <c r="M387" s="677"/>
      <c r="N387" s="682"/>
      <c r="O387" s="682"/>
      <c r="P387" s="682">
        <f t="shared" si="90"/>
        <v>104</v>
      </c>
      <c r="Q387" s="683">
        <v>0.82</v>
      </c>
      <c r="R387" s="684">
        <v>1</v>
      </c>
      <c r="S387" s="685">
        <f t="shared" si="91"/>
        <v>0</v>
      </c>
      <c r="T387" s="685">
        <f t="shared" si="92"/>
        <v>0</v>
      </c>
      <c r="U387" s="685">
        <f t="shared" si="93"/>
        <v>0</v>
      </c>
      <c r="V387" s="685">
        <f t="shared" si="94"/>
        <v>0</v>
      </c>
      <c r="W387" s="686">
        <f t="shared" si="84"/>
        <v>0</v>
      </c>
      <c r="X387" s="686">
        <f t="shared" si="85"/>
        <v>0</v>
      </c>
      <c r="Y387" s="686">
        <f t="shared" si="86"/>
        <v>0</v>
      </c>
      <c r="Z387" s="686">
        <f t="shared" si="87"/>
        <v>0</v>
      </c>
      <c r="AA387" s="685" t="str">
        <f t="shared" si="88"/>
        <v>S</v>
      </c>
      <c r="AB387" s="687" t="s">
        <v>751</v>
      </c>
      <c r="AC387" s="688" t="e">
        <f>(S387+T387+U387)*'1.0-Contractblad'!$K$68</f>
        <v>#VALUE!</v>
      </c>
      <c r="AD387" s="688"/>
      <c r="AE387" s="48">
        <f t="shared" si="89"/>
        <v>0</v>
      </c>
      <c r="AF387" s="48">
        <f t="shared" si="95"/>
        <v>182</v>
      </c>
      <c r="AG387" s="48" t="str">
        <f t="shared" si="96"/>
        <v>4104-104</v>
      </c>
    </row>
    <row r="388" spans="1:33" ht="12.75">
      <c r="A388" s="102"/>
      <c r="B388" s="364"/>
      <c r="C388" s="365"/>
      <c r="D388" s="676" t="s">
        <v>157</v>
      </c>
      <c r="E388" s="677" t="s">
        <v>314</v>
      </c>
      <c r="F388" s="678" t="s">
        <v>363</v>
      </c>
      <c r="G388" s="679" t="s">
        <v>393</v>
      </c>
      <c r="H388" s="679" t="str">
        <f t="shared" si="97"/>
        <v>niet van toepassing</v>
      </c>
      <c r="I388" s="689" t="s">
        <v>238</v>
      </c>
      <c r="J388" s="680"/>
      <c r="K388" s="680">
        <v>33.200000000000003</v>
      </c>
      <c r="L388" s="692" t="s">
        <v>225</v>
      </c>
      <c r="M388" s="677"/>
      <c r="N388" s="682"/>
      <c r="O388" s="682"/>
      <c r="P388" s="682">
        <f t="shared" si="90"/>
        <v>0</v>
      </c>
      <c r="Q388" s="683">
        <v>1.25</v>
      </c>
      <c r="R388" s="684">
        <v>1</v>
      </c>
      <c r="S388" s="685">
        <f t="shared" si="91"/>
        <v>0</v>
      </c>
      <c r="T388" s="685">
        <f t="shared" si="92"/>
        <v>0</v>
      </c>
      <c r="U388" s="685">
        <f t="shared" si="93"/>
        <v>0</v>
      </c>
      <c r="V388" s="685">
        <f t="shared" si="94"/>
        <v>0</v>
      </c>
      <c r="W388" s="686">
        <f t="shared" si="84"/>
        <v>0</v>
      </c>
      <c r="X388" s="686">
        <f t="shared" si="85"/>
        <v>0</v>
      </c>
      <c r="Y388" s="686">
        <f t="shared" si="86"/>
        <v>0</v>
      </c>
      <c r="Z388" s="686">
        <f t="shared" si="87"/>
        <v>0</v>
      </c>
      <c r="AA388" s="685">
        <f t="shared" si="88"/>
        <v>0</v>
      </c>
      <c r="AB388" s="687"/>
      <c r="AC388" s="688" t="e">
        <f>(S388+T388+U388)*'1.0-Contractblad'!$K$68</f>
        <v>#VALUE!</v>
      </c>
      <c r="AD388" s="688"/>
      <c r="AE388" s="48">
        <f t="shared" si="89"/>
        <v>0</v>
      </c>
      <c r="AF388" s="48">
        <f t="shared" si="95"/>
        <v>0</v>
      </c>
      <c r="AG388" s="48" t="str">
        <f t="shared" si="96"/>
        <v>nvt-0</v>
      </c>
    </row>
    <row r="389" spans="1:33" ht="12.75">
      <c r="A389" s="102"/>
      <c r="B389" s="364"/>
      <c r="C389" s="365"/>
      <c r="D389" s="676" t="s">
        <v>157</v>
      </c>
      <c r="E389" s="677" t="s">
        <v>314</v>
      </c>
      <c r="F389" s="678" t="s">
        <v>361</v>
      </c>
      <c r="G389" s="679" t="s">
        <v>386</v>
      </c>
      <c r="H389" s="679" t="str">
        <f t="shared" si="97"/>
        <v>administratieve -, personeels- en vergaderruimte</v>
      </c>
      <c r="I389" s="689" t="s">
        <v>238</v>
      </c>
      <c r="J389" s="680">
        <v>25.03</v>
      </c>
      <c r="K389" s="680"/>
      <c r="L389" s="692">
        <v>1255</v>
      </c>
      <c r="M389" s="677"/>
      <c r="N389" s="682"/>
      <c r="O389" s="682"/>
      <c r="P389" s="682">
        <f t="shared" si="90"/>
        <v>255</v>
      </c>
      <c r="Q389" s="683">
        <v>1.25</v>
      </c>
      <c r="R389" s="684">
        <v>1</v>
      </c>
      <c r="S389" s="685">
        <f t="shared" si="91"/>
        <v>0</v>
      </c>
      <c r="T389" s="685">
        <f t="shared" si="92"/>
        <v>0</v>
      </c>
      <c r="U389" s="685">
        <f t="shared" si="93"/>
        <v>0</v>
      </c>
      <c r="V389" s="685">
        <f t="shared" si="94"/>
        <v>0</v>
      </c>
      <c r="W389" s="686">
        <f t="shared" si="84"/>
        <v>0</v>
      </c>
      <c r="X389" s="686">
        <f t="shared" si="85"/>
        <v>0</v>
      </c>
      <c r="Y389" s="686">
        <f t="shared" si="86"/>
        <v>0</v>
      </c>
      <c r="Z389" s="686">
        <f t="shared" si="87"/>
        <v>0</v>
      </c>
      <c r="AA389" s="685" t="str">
        <f t="shared" si="88"/>
        <v>B</v>
      </c>
      <c r="AB389" s="687"/>
      <c r="AC389" s="688" t="e">
        <f>(S389+T389+U389)*'1.0-Contractblad'!$K$68</f>
        <v>#VALUE!</v>
      </c>
      <c r="AD389" s="688"/>
      <c r="AE389" s="48">
        <f t="shared" si="89"/>
        <v>0</v>
      </c>
      <c r="AF389" s="48">
        <f t="shared" si="95"/>
        <v>6382.6500000000005</v>
      </c>
      <c r="AG389" s="48" t="str">
        <f t="shared" si="96"/>
        <v>1255-255</v>
      </c>
    </row>
    <row r="390" spans="1:33" ht="12.75">
      <c r="A390" s="102"/>
      <c r="B390" s="364"/>
      <c r="C390" s="365"/>
      <c r="D390" s="676" t="s">
        <v>157</v>
      </c>
      <c r="E390" s="677" t="s">
        <v>314</v>
      </c>
      <c r="F390" s="678" t="s">
        <v>350</v>
      </c>
      <c r="G390" s="679" t="s">
        <v>382</v>
      </c>
      <c r="H390" s="679" t="str">
        <f t="shared" si="97"/>
        <v>entree, gang, hal, repro, kopieer</v>
      </c>
      <c r="I390" s="689" t="s">
        <v>578</v>
      </c>
      <c r="J390" s="680">
        <v>6.45</v>
      </c>
      <c r="K390" s="680"/>
      <c r="L390" s="692">
        <v>3255</v>
      </c>
      <c r="M390" s="677"/>
      <c r="N390" s="682"/>
      <c r="O390" s="682"/>
      <c r="P390" s="682">
        <f t="shared" si="90"/>
        <v>255</v>
      </c>
      <c r="Q390" s="683">
        <v>1.25</v>
      </c>
      <c r="R390" s="684">
        <v>1</v>
      </c>
      <c r="S390" s="685">
        <f t="shared" si="91"/>
        <v>0</v>
      </c>
      <c r="T390" s="685">
        <f t="shared" si="92"/>
        <v>0</v>
      </c>
      <c r="U390" s="685">
        <f t="shared" si="93"/>
        <v>0</v>
      </c>
      <c r="V390" s="685">
        <f t="shared" si="94"/>
        <v>0</v>
      </c>
      <c r="W390" s="686">
        <f t="shared" si="84"/>
        <v>0</v>
      </c>
      <c r="X390" s="686">
        <f t="shared" si="85"/>
        <v>0</v>
      </c>
      <c r="Y390" s="686">
        <f t="shared" si="86"/>
        <v>0</v>
      </c>
      <c r="Z390" s="686">
        <f t="shared" si="87"/>
        <v>0</v>
      </c>
      <c r="AA390" s="685" t="str">
        <f t="shared" si="88"/>
        <v>V</v>
      </c>
      <c r="AB390" s="687"/>
      <c r="AC390" s="688" t="e">
        <f>(S390+T390+U390)*'1.0-Contractblad'!$K$68</f>
        <v>#VALUE!</v>
      </c>
      <c r="AD390" s="688"/>
      <c r="AE390" s="48">
        <f t="shared" si="89"/>
        <v>0</v>
      </c>
      <c r="AF390" s="48">
        <f t="shared" si="95"/>
        <v>1644.75</v>
      </c>
      <c r="AG390" s="48" t="str">
        <f t="shared" si="96"/>
        <v>3255-255</v>
      </c>
    </row>
    <row r="391" spans="1:33" ht="12.75">
      <c r="A391" s="102"/>
      <c r="B391" s="364"/>
      <c r="C391" s="365"/>
      <c r="D391" s="676" t="s">
        <v>157</v>
      </c>
      <c r="E391" s="677" t="s">
        <v>314</v>
      </c>
      <c r="F391" s="678" t="s">
        <v>348</v>
      </c>
      <c r="G391" s="679" t="s">
        <v>422</v>
      </c>
      <c r="H391" s="679" t="str">
        <f t="shared" si="97"/>
        <v>labruimte</v>
      </c>
      <c r="I391" s="689" t="s">
        <v>238</v>
      </c>
      <c r="J391" s="680">
        <v>31.98</v>
      </c>
      <c r="K391" s="680"/>
      <c r="L391" s="692">
        <v>8255</v>
      </c>
      <c r="M391" s="677"/>
      <c r="N391" s="682"/>
      <c r="O391" s="682"/>
      <c r="P391" s="682">
        <f t="shared" si="90"/>
        <v>255</v>
      </c>
      <c r="Q391" s="683">
        <v>1.25</v>
      </c>
      <c r="R391" s="684">
        <v>1</v>
      </c>
      <c r="S391" s="685">
        <f t="shared" si="91"/>
        <v>0</v>
      </c>
      <c r="T391" s="685">
        <f t="shared" si="92"/>
        <v>0</v>
      </c>
      <c r="U391" s="685">
        <f t="shared" si="93"/>
        <v>0</v>
      </c>
      <c r="V391" s="685">
        <f t="shared" si="94"/>
        <v>0</v>
      </c>
      <c r="W391" s="686">
        <f t="shared" si="84"/>
        <v>0</v>
      </c>
      <c r="X391" s="686">
        <f t="shared" si="85"/>
        <v>0</v>
      </c>
      <c r="Y391" s="686">
        <f t="shared" si="86"/>
        <v>0</v>
      </c>
      <c r="Z391" s="686">
        <f t="shared" si="87"/>
        <v>0</v>
      </c>
      <c r="AA391" s="685" t="str">
        <f t="shared" si="88"/>
        <v>V</v>
      </c>
      <c r="AB391" s="687"/>
      <c r="AC391" s="688" t="e">
        <f>(S391+T391+U391)*'1.0-Contractblad'!$K$68</f>
        <v>#VALUE!</v>
      </c>
      <c r="AD391" s="688"/>
      <c r="AE391" s="48">
        <f t="shared" si="89"/>
        <v>0</v>
      </c>
      <c r="AF391" s="48">
        <f t="shared" si="95"/>
        <v>8154.9000000000005</v>
      </c>
      <c r="AG391" s="48" t="str">
        <f t="shared" si="96"/>
        <v>8255-255</v>
      </c>
    </row>
    <row r="392" spans="1:33" ht="12.75">
      <c r="A392" s="102"/>
      <c r="B392" s="364"/>
      <c r="C392" s="365"/>
      <c r="D392" s="676" t="s">
        <v>157</v>
      </c>
      <c r="E392" s="677" t="s">
        <v>314</v>
      </c>
      <c r="F392" s="678" t="s">
        <v>332</v>
      </c>
      <c r="G392" s="679" t="s">
        <v>382</v>
      </c>
      <c r="H392" s="679" t="str">
        <f t="shared" si="97"/>
        <v>entree, gang, hal, repro, kopieer</v>
      </c>
      <c r="I392" s="689" t="s">
        <v>578</v>
      </c>
      <c r="J392" s="680">
        <v>21.08</v>
      </c>
      <c r="K392" s="680"/>
      <c r="L392" s="692">
        <v>3255</v>
      </c>
      <c r="M392" s="677"/>
      <c r="N392" s="682"/>
      <c r="O392" s="682"/>
      <c r="P392" s="682">
        <f t="shared" si="90"/>
        <v>255</v>
      </c>
      <c r="Q392" s="683">
        <v>1.25</v>
      </c>
      <c r="R392" s="684">
        <v>1</v>
      </c>
      <c r="S392" s="685">
        <f t="shared" si="91"/>
        <v>0</v>
      </c>
      <c r="T392" s="685">
        <f t="shared" si="92"/>
        <v>0</v>
      </c>
      <c r="U392" s="685">
        <f t="shared" si="93"/>
        <v>0</v>
      </c>
      <c r="V392" s="685">
        <f t="shared" si="94"/>
        <v>0</v>
      </c>
      <c r="W392" s="686">
        <f t="shared" si="84"/>
        <v>0</v>
      </c>
      <c r="X392" s="686">
        <f t="shared" si="85"/>
        <v>0</v>
      </c>
      <c r="Y392" s="686">
        <f t="shared" si="86"/>
        <v>0</v>
      </c>
      <c r="Z392" s="686">
        <f t="shared" si="87"/>
        <v>0</v>
      </c>
      <c r="AA392" s="685" t="str">
        <f t="shared" si="88"/>
        <v>V</v>
      </c>
      <c r="AB392" s="687"/>
      <c r="AC392" s="688" t="e">
        <f>(S392+T392+U392)*'1.0-Contractblad'!$K$68</f>
        <v>#VALUE!</v>
      </c>
      <c r="AD392" s="688"/>
      <c r="AE392" s="48">
        <f t="shared" si="89"/>
        <v>0</v>
      </c>
      <c r="AF392" s="48">
        <f t="shared" si="95"/>
        <v>5375.4</v>
      </c>
      <c r="AG392" s="48" t="str">
        <f t="shared" si="96"/>
        <v>3255-255</v>
      </c>
    </row>
    <row r="393" spans="1:33" ht="12.75">
      <c r="A393" s="102"/>
      <c r="B393" s="364"/>
      <c r="C393" s="365"/>
      <c r="D393" s="676" t="s">
        <v>157</v>
      </c>
      <c r="E393" s="677" t="s">
        <v>314</v>
      </c>
      <c r="F393" s="678" t="s">
        <v>317</v>
      </c>
      <c r="G393" s="679" t="s">
        <v>382</v>
      </c>
      <c r="H393" s="679" t="str">
        <f t="shared" si="97"/>
        <v>entree, gang, hal, repro, kopieer</v>
      </c>
      <c r="I393" s="689" t="s">
        <v>578</v>
      </c>
      <c r="J393" s="680">
        <v>11.01</v>
      </c>
      <c r="K393" s="680"/>
      <c r="L393" s="692">
        <v>3255</v>
      </c>
      <c r="M393" s="677"/>
      <c r="N393" s="682"/>
      <c r="O393" s="682"/>
      <c r="P393" s="682">
        <f t="shared" si="90"/>
        <v>255</v>
      </c>
      <c r="Q393" s="683">
        <v>1.25</v>
      </c>
      <c r="R393" s="684">
        <v>1</v>
      </c>
      <c r="S393" s="685">
        <f t="shared" si="91"/>
        <v>0</v>
      </c>
      <c r="T393" s="685">
        <f t="shared" si="92"/>
        <v>0</v>
      </c>
      <c r="U393" s="685">
        <f t="shared" si="93"/>
        <v>0</v>
      </c>
      <c r="V393" s="685">
        <f t="shared" si="94"/>
        <v>0</v>
      </c>
      <c r="W393" s="686">
        <f t="shared" si="84"/>
        <v>0</v>
      </c>
      <c r="X393" s="686">
        <f t="shared" si="85"/>
        <v>0</v>
      </c>
      <c r="Y393" s="686">
        <f t="shared" si="86"/>
        <v>0</v>
      </c>
      <c r="Z393" s="686">
        <f t="shared" si="87"/>
        <v>0</v>
      </c>
      <c r="AA393" s="685" t="str">
        <f t="shared" si="88"/>
        <v>V</v>
      </c>
      <c r="AB393" s="687"/>
      <c r="AC393" s="688" t="e">
        <f>(S393+T393+U393)*'1.0-Contractblad'!$K$68</f>
        <v>#VALUE!</v>
      </c>
      <c r="AD393" s="688"/>
      <c r="AE393" s="48">
        <f t="shared" si="89"/>
        <v>0</v>
      </c>
      <c r="AF393" s="48">
        <f t="shared" si="95"/>
        <v>2807.5499999999997</v>
      </c>
      <c r="AG393" s="48" t="str">
        <f t="shared" si="96"/>
        <v>3255-255</v>
      </c>
    </row>
    <row r="394" spans="1:33" ht="12.75">
      <c r="A394" s="102"/>
      <c r="B394" s="364"/>
      <c r="C394" s="365"/>
      <c r="D394" s="676" t="s">
        <v>157</v>
      </c>
      <c r="E394" s="677" t="s">
        <v>314</v>
      </c>
      <c r="F394" s="678" t="s">
        <v>365</v>
      </c>
      <c r="G394" s="679" t="s">
        <v>766</v>
      </c>
      <c r="H394" s="679" t="str">
        <f t="shared" si="97"/>
        <v>kleedruimten</v>
      </c>
      <c r="I394" s="689" t="s">
        <v>578</v>
      </c>
      <c r="J394" s="680">
        <v>44.96</v>
      </c>
      <c r="K394" s="680"/>
      <c r="L394" s="692">
        <v>10255</v>
      </c>
      <c r="M394" s="677"/>
      <c r="N394" s="682"/>
      <c r="O394" s="682"/>
      <c r="P394" s="682">
        <f t="shared" si="90"/>
        <v>255</v>
      </c>
      <c r="Q394" s="683">
        <v>1.25</v>
      </c>
      <c r="R394" s="684">
        <v>1</v>
      </c>
      <c r="S394" s="685">
        <f t="shared" si="91"/>
        <v>0</v>
      </c>
      <c r="T394" s="685">
        <f t="shared" si="92"/>
        <v>0</v>
      </c>
      <c r="U394" s="685">
        <f t="shared" si="93"/>
        <v>0</v>
      </c>
      <c r="V394" s="685">
        <f t="shared" si="94"/>
        <v>0</v>
      </c>
      <c r="W394" s="686">
        <f t="shared" si="84"/>
        <v>0</v>
      </c>
      <c r="X394" s="686">
        <f t="shared" si="85"/>
        <v>0</v>
      </c>
      <c r="Y394" s="686">
        <f t="shared" si="86"/>
        <v>0</v>
      </c>
      <c r="Z394" s="686">
        <f t="shared" si="87"/>
        <v>0</v>
      </c>
      <c r="AA394" s="685" t="str">
        <f t="shared" si="88"/>
        <v>V</v>
      </c>
      <c r="AB394" s="687"/>
      <c r="AC394" s="688" t="e">
        <f>(S394+T394+U394)*'1.0-Contractblad'!$K$68</f>
        <v>#VALUE!</v>
      </c>
      <c r="AD394" s="688"/>
      <c r="AE394" s="48">
        <f t="shared" si="89"/>
        <v>0</v>
      </c>
      <c r="AF394" s="48">
        <f t="shared" si="95"/>
        <v>11464.800000000001</v>
      </c>
      <c r="AG394" s="48" t="str">
        <f t="shared" si="96"/>
        <v>10255-255</v>
      </c>
    </row>
    <row r="395" spans="1:33" ht="12.75">
      <c r="A395" s="102"/>
      <c r="B395" s="364"/>
      <c r="C395" s="365"/>
      <c r="D395" s="676" t="s">
        <v>157</v>
      </c>
      <c r="E395" s="677" t="s">
        <v>314</v>
      </c>
      <c r="F395" s="678" t="s">
        <v>330</v>
      </c>
      <c r="G395" s="679" t="s">
        <v>488</v>
      </c>
      <c r="H395" s="679" t="str">
        <f t="shared" si="97"/>
        <v>niet van toepassing</v>
      </c>
      <c r="I395" s="689" t="s">
        <v>578</v>
      </c>
      <c r="J395" s="680"/>
      <c r="K395" s="680">
        <v>2.69</v>
      </c>
      <c r="L395" s="692" t="s">
        <v>225</v>
      </c>
      <c r="M395" s="677"/>
      <c r="N395" s="682"/>
      <c r="O395" s="682"/>
      <c r="P395" s="682">
        <f t="shared" si="90"/>
        <v>0</v>
      </c>
      <c r="Q395" s="683">
        <v>1.25</v>
      </c>
      <c r="R395" s="684">
        <v>1</v>
      </c>
      <c r="S395" s="685">
        <f t="shared" si="91"/>
        <v>0</v>
      </c>
      <c r="T395" s="685">
        <f t="shared" si="92"/>
        <v>0</v>
      </c>
      <c r="U395" s="685">
        <f t="shared" si="93"/>
        <v>0</v>
      </c>
      <c r="V395" s="685">
        <f t="shared" si="94"/>
        <v>0</v>
      </c>
      <c r="W395" s="686">
        <f t="shared" si="84"/>
        <v>0</v>
      </c>
      <c r="X395" s="686">
        <f t="shared" si="85"/>
        <v>0</v>
      </c>
      <c r="Y395" s="686">
        <f t="shared" si="86"/>
        <v>0</v>
      </c>
      <c r="Z395" s="686">
        <f t="shared" si="87"/>
        <v>0</v>
      </c>
      <c r="AA395" s="685">
        <f t="shared" si="88"/>
        <v>0</v>
      </c>
      <c r="AB395" s="687"/>
      <c r="AC395" s="688" t="e">
        <f>(S395+T395+U395)*'1.0-Contractblad'!$K$68</f>
        <v>#VALUE!</v>
      </c>
      <c r="AD395" s="688"/>
      <c r="AE395" s="48">
        <f t="shared" si="89"/>
        <v>0</v>
      </c>
      <c r="AF395" s="48">
        <f t="shared" si="95"/>
        <v>0</v>
      </c>
      <c r="AG395" s="48" t="str">
        <f t="shared" si="96"/>
        <v>nvt-0</v>
      </c>
    </row>
    <row r="396" spans="1:33" ht="12.75">
      <c r="A396" s="102"/>
      <c r="B396" s="364"/>
      <c r="C396" s="365"/>
      <c r="D396" s="676" t="s">
        <v>157</v>
      </c>
      <c r="E396" s="677" t="s">
        <v>314</v>
      </c>
      <c r="F396" s="678" t="s">
        <v>327</v>
      </c>
      <c r="G396" s="679" t="s">
        <v>405</v>
      </c>
      <c r="H396" s="679" t="str">
        <f t="shared" si="97"/>
        <v>sanitaire ruimte (toilet-/doucheruimte)</v>
      </c>
      <c r="I396" s="689" t="s">
        <v>578</v>
      </c>
      <c r="J396" s="680">
        <v>1.17</v>
      </c>
      <c r="K396" s="680"/>
      <c r="L396" s="692">
        <v>4255</v>
      </c>
      <c r="M396" s="677"/>
      <c r="N396" s="682"/>
      <c r="O396" s="682"/>
      <c r="P396" s="682">
        <f t="shared" si="90"/>
        <v>255</v>
      </c>
      <c r="Q396" s="683">
        <v>1.25</v>
      </c>
      <c r="R396" s="684">
        <v>1</v>
      </c>
      <c r="S396" s="685">
        <f t="shared" si="91"/>
        <v>0</v>
      </c>
      <c r="T396" s="685">
        <f t="shared" si="92"/>
        <v>0</v>
      </c>
      <c r="U396" s="685">
        <f t="shared" si="93"/>
        <v>0</v>
      </c>
      <c r="V396" s="685">
        <f t="shared" si="94"/>
        <v>0</v>
      </c>
      <c r="W396" s="686">
        <f t="shared" si="84"/>
        <v>0</v>
      </c>
      <c r="X396" s="686">
        <f t="shared" si="85"/>
        <v>0</v>
      </c>
      <c r="Y396" s="686">
        <f t="shared" si="86"/>
        <v>0</v>
      </c>
      <c r="Z396" s="686">
        <f t="shared" si="87"/>
        <v>0</v>
      </c>
      <c r="AA396" s="685" t="str">
        <f t="shared" si="88"/>
        <v>S</v>
      </c>
      <c r="AB396" s="687"/>
      <c r="AC396" s="688" t="e">
        <f>(S396+T396+U396)*'1.0-Contractblad'!$K$68</f>
        <v>#VALUE!</v>
      </c>
      <c r="AD396" s="688"/>
      <c r="AE396" s="48">
        <f t="shared" si="89"/>
        <v>0</v>
      </c>
      <c r="AF396" s="48">
        <f t="shared" si="95"/>
        <v>298.34999999999997</v>
      </c>
      <c r="AG396" s="48" t="str">
        <f t="shared" si="96"/>
        <v>4255-255</v>
      </c>
    </row>
    <row r="397" spans="1:33" ht="12.75">
      <c r="A397" s="102"/>
      <c r="B397" s="364"/>
      <c r="C397" s="365"/>
      <c r="D397" s="676" t="s">
        <v>157</v>
      </c>
      <c r="E397" s="677" t="s">
        <v>314</v>
      </c>
      <c r="F397" s="678" t="s">
        <v>325</v>
      </c>
      <c r="G397" s="679" t="s">
        <v>405</v>
      </c>
      <c r="H397" s="679" t="str">
        <f t="shared" si="97"/>
        <v>sanitaire ruimte (toilet-/doucheruimte)</v>
      </c>
      <c r="I397" s="689" t="s">
        <v>578</v>
      </c>
      <c r="J397" s="680">
        <v>1.17</v>
      </c>
      <c r="K397" s="680"/>
      <c r="L397" s="692">
        <v>4255</v>
      </c>
      <c r="M397" s="677"/>
      <c r="N397" s="682"/>
      <c r="O397" s="682"/>
      <c r="P397" s="682">
        <f t="shared" si="90"/>
        <v>255</v>
      </c>
      <c r="Q397" s="683">
        <v>1.25</v>
      </c>
      <c r="R397" s="684">
        <v>1</v>
      </c>
      <c r="S397" s="685">
        <f t="shared" si="91"/>
        <v>0</v>
      </c>
      <c r="T397" s="685">
        <f t="shared" si="92"/>
        <v>0</v>
      </c>
      <c r="U397" s="685">
        <f t="shared" si="93"/>
        <v>0</v>
      </c>
      <c r="V397" s="685">
        <f t="shared" si="94"/>
        <v>0</v>
      </c>
      <c r="W397" s="686">
        <f t="shared" si="84"/>
        <v>0</v>
      </c>
      <c r="X397" s="686">
        <f t="shared" si="85"/>
        <v>0</v>
      </c>
      <c r="Y397" s="686">
        <f t="shared" si="86"/>
        <v>0</v>
      </c>
      <c r="Z397" s="686">
        <f t="shared" si="87"/>
        <v>0</v>
      </c>
      <c r="AA397" s="685" t="str">
        <f t="shared" si="88"/>
        <v>S</v>
      </c>
      <c r="AB397" s="687"/>
      <c r="AC397" s="688" t="e">
        <f>(S397+T397+U397)*'1.0-Contractblad'!$K$68</f>
        <v>#VALUE!</v>
      </c>
      <c r="AD397" s="688"/>
      <c r="AE397" s="48">
        <f t="shared" si="89"/>
        <v>0</v>
      </c>
      <c r="AF397" s="48">
        <f t="shared" si="95"/>
        <v>298.34999999999997</v>
      </c>
      <c r="AG397" s="48" t="str">
        <f t="shared" si="96"/>
        <v>4255-255</v>
      </c>
    </row>
    <row r="398" spans="1:33" ht="12.75">
      <c r="A398" s="102"/>
      <c r="B398" s="364"/>
      <c r="C398" s="365"/>
      <c r="D398" s="676" t="s">
        <v>157</v>
      </c>
      <c r="E398" s="677" t="s">
        <v>314</v>
      </c>
      <c r="F398" s="678" t="s">
        <v>323</v>
      </c>
      <c r="G398" s="679" t="s">
        <v>405</v>
      </c>
      <c r="H398" s="679" t="str">
        <f t="shared" si="97"/>
        <v>sanitaire ruimte (toilet-/doucheruimte)</v>
      </c>
      <c r="I398" s="689" t="s">
        <v>578</v>
      </c>
      <c r="J398" s="680">
        <v>1.17</v>
      </c>
      <c r="K398" s="680"/>
      <c r="L398" s="692">
        <v>4255</v>
      </c>
      <c r="M398" s="677"/>
      <c r="N398" s="682"/>
      <c r="O398" s="682"/>
      <c r="P398" s="682">
        <f t="shared" si="90"/>
        <v>255</v>
      </c>
      <c r="Q398" s="683">
        <v>1.25</v>
      </c>
      <c r="R398" s="684">
        <v>1</v>
      </c>
      <c r="S398" s="685">
        <f t="shared" si="91"/>
        <v>0</v>
      </c>
      <c r="T398" s="685">
        <f t="shared" si="92"/>
        <v>0</v>
      </c>
      <c r="U398" s="685">
        <f t="shared" si="93"/>
        <v>0</v>
      </c>
      <c r="V398" s="685">
        <f t="shared" si="94"/>
        <v>0</v>
      </c>
      <c r="W398" s="686">
        <f t="shared" si="84"/>
        <v>0</v>
      </c>
      <c r="X398" s="686">
        <f t="shared" si="85"/>
        <v>0</v>
      </c>
      <c r="Y398" s="686">
        <f t="shared" si="86"/>
        <v>0</v>
      </c>
      <c r="Z398" s="686">
        <f t="shared" si="87"/>
        <v>0</v>
      </c>
      <c r="AA398" s="685" t="str">
        <f t="shared" si="88"/>
        <v>S</v>
      </c>
      <c r="AB398" s="687"/>
      <c r="AC398" s="688" t="e">
        <f>(S398+T398+U398)*'1.0-Contractblad'!$K$68</f>
        <v>#VALUE!</v>
      </c>
      <c r="AD398" s="688"/>
      <c r="AE398" s="48">
        <f t="shared" si="89"/>
        <v>0</v>
      </c>
      <c r="AF398" s="48">
        <f t="shared" si="95"/>
        <v>298.34999999999997</v>
      </c>
      <c r="AG398" s="48" t="str">
        <f t="shared" si="96"/>
        <v>4255-255</v>
      </c>
    </row>
    <row r="399" spans="1:33" ht="12.75">
      <c r="A399" s="102"/>
      <c r="B399" s="364"/>
      <c r="C399" s="365"/>
      <c r="D399" s="676" t="s">
        <v>157</v>
      </c>
      <c r="E399" s="677" t="s">
        <v>314</v>
      </c>
      <c r="F399" s="678" t="s">
        <v>320</v>
      </c>
      <c r="G399" s="679" t="s">
        <v>409</v>
      </c>
      <c r="H399" s="679" t="str">
        <f t="shared" si="97"/>
        <v>sanitaire ruimte (toilet-/doucheruimte)</v>
      </c>
      <c r="I399" s="689" t="s">
        <v>578</v>
      </c>
      <c r="J399" s="680">
        <v>2.21</v>
      </c>
      <c r="K399" s="680"/>
      <c r="L399" s="692">
        <v>4255</v>
      </c>
      <c r="M399" s="677"/>
      <c r="N399" s="682"/>
      <c r="O399" s="682"/>
      <c r="P399" s="682">
        <f t="shared" si="90"/>
        <v>255</v>
      </c>
      <c r="Q399" s="683">
        <v>1.25</v>
      </c>
      <c r="R399" s="684">
        <v>1</v>
      </c>
      <c r="S399" s="685">
        <f t="shared" si="91"/>
        <v>0</v>
      </c>
      <c r="T399" s="685">
        <f t="shared" si="92"/>
        <v>0</v>
      </c>
      <c r="U399" s="685">
        <f t="shared" si="93"/>
        <v>0</v>
      </c>
      <c r="V399" s="685">
        <f t="shared" si="94"/>
        <v>0</v>
      </c>
      <c r="W399" s="686">
        <f t="shared" ref="W399:W438" si="98">IF($L399=0,0,VLOOKUP($L399,Kengetal,6,FALSE))</f>
        <v>0</v>
      </c>
      <c r="X399" s="686">
        <f t="shared" ref="X399:X438" si="99">IF($L399=0,0,VLOOKUP($L399,Kengetal,8,FALSE))</f>
        <v>0</v>
      </c>
      <c r="Y399" s="686">
        <f t="shared" ref="Y399:Y438" si="100">IF($M399=0,0,VLOOKUP($M399,Kengetal,6,FALSE))</f>
        <v>0</v>
      </c>
      <c r="Z399" s="686">
        <f t="shared" ref="Z399:Z438" si="101">IF($N399=0,0,VLOOKUP($N399,Kengetal,6,FALSE))</f>
        <v>0</v>
      </c>
      <c r="AA399" s="685" t="str">
        <f t="shared" ref="AA399:AA438" si="102">IF(L399="","",VLOOKUP(L399,Kengetal,15,FALSE))</f>
        <v>S</v>
      </c>
      <c r="AB399" s="687"/>
      <c r="AC399" s="688" t="e">
        <f>(S399+T399+U399)*'1.0-Contractblad'!$K$68</f>
        <v>#VALUE!</v>
      </c>
      <c r="AD399" s="688"/>
      <c r="AE399" s="48">
        <f t="shared" ref="AE399:AE438" si="103">IF(L399=8255,S399+T399,0)</f>
        <v>0</v>
      </c>
      <c r="AF399" s="48">
        <f t="shared" si="95"/>
        <v>563.54999999999995</v>
      </c>
      <c r="AG399" s="48" t="str">
        <f t="shared" si="96"/>
        <v>4255-255</v>
      </c>
    </row>
    <row r="400" spans="1:33" ht="12.75">
      <c r="A400" s="102"/>
      <c r="B400" s="364"/>
      <c r="C400" s="365"/>
      <c r="D400" s="676" t="s">
        <v>157</v>
      </c>
      <c r="E400" s="677" t="s">
        <v>314</v>
      </c>
      <c r="F400" s="678" t="s">
        <v>315</v>
      </c>
      <c r="G400" s="679" t="s">
        <v>767</v>
      </c>
      <c r="H400" s="679" t="str">
        <f t="shared" si="97"/>
        <v>entree, gang, hal, repro, kopieer</v>
      </c>
      <c r="I400" s="689" t="s">
        <v>578</v>
      </c>
      <c r="J400" s="680">
        <v>22.66</v>
      </c>
      <c r="K400" s="680"/>
      <c r="L400" s="692">
        <v>3255</v>
      </c>
      <c r="M400" s="677"/>
      <c r="N400" s="682"/>
      <c r="O400" s="682"/>
      <c r="P400" s="682">
        <f t="shared" ref="P400:P438" si="104">VLOOKUP(L400,Kengetal,3,FALSE)+VLOOKUP(M400,Kengetal,3,FALSE)+VLOOKUP(N400,Kengetal,3,FALSE)</f>
        <v>255</v>
      </c>
      <c r="Q400" s="683">
        <v>1.25</v>
      </c>
      <c r="R400" s="684">
        <v>1</v>
      </c>
      <c r="S400" s="685">
        <f t="shared" ref="S400:S438" si="105">W400*J400*Q400</f>
        <v>0</v>
      </c>
      <c r="T400" s="685">
        <f t="shared" ref="T400:T438" si="106">X400*J400*R400</f>
        <v>0</v>
      </c>
      <c r="U400" s="685">
        <f t="shared" ref="U400:U438" si="107">Y400*J400*Q400</f>
        <v>0</v>
      </c>
      <c r="V400" s="685">
        <f t="shared" ref="V400:V438" si="108">Z400*J400*T400</f>
        <v>0</v>
      </c>
      <c r="W400" s="686">
        <f t="shared" si="98"/>
        <v>0</v>
      </c>
      <c r="X400" s="686">
        <f t="shared" si="99"/>
        <v>0</v>
      </c>
      <c r="Y400" s="686">
        <f t="shared" si="100"/>
        <v>0</v>
      </c>
      <c r="Z400" s="686">
        <f t="shared" si="101"/>
        <v>0</v>
      </c>
      <c r="AA400" s="685" t="str">
        <f t="shared" si="102"/>
        <v>V</v>
      </c>
      <c r="AB400" s="687"/>
      <c r="AC400" s="688" t="e">
        <f>(S400+T400+U400)*'1.0-Contractblad'!$K$68</f>
        <v>#VALUE!</v>
      </c>
      <c r="AD400" s="688"/>
      <c r="AE400" s="48">
        <f t="shared" si="103"/>
        <v>0</v>
      </c>
      <c r="AF400" s="48">
        <f t="shared" ref="AF400:AF438" si="109">J400*P400</f>
        <v>5778.3</v>
      </c>
      <c r="AG400" s="48" t="str">
        <f t="shared" ref="AG400:AG438" si="110">CONCATENATE(L400,"-",P400)</f>
        <v>3255-255</v>
      </c>
    </row>
    <row r="401" spans="1:33" ht="12.75">
      <c r="A401" s="102"/>
      <c r="B401" s="364"/>
      <c r="C401" s="365"/>
      <c r="D401" s="676" t="s">
        <v>157</v>
      </c>
      <c r="E401" s="677" t="s">
        <v>314</v>
      </c>
      <c r="F401" s="678" t="s">
        <v>367</v>
      </c>
      <c r="G401" s="679" t="s">
        <v>516</v>
      </c>
      <c r="H401" s="679" t="str">
        <f t="shared" si="97"/>
        <v>entree, gang, hal, repro, kopieer</v>
      </c>
      <c r="I401" s="689" t="s">
        <v>578</v>
      </c>
      <c r="J401" s="680">
        <v>6.29</v>
      </c>
      <c r="K401" s="680"/>
      <c r="L401" s="692">
        <v>3255</v>
      </c>
      <c r="M401" s="677"/>
      <c r="N401" s="682"/>
      <c r="O401" s="682"/>
      <c r="P401" s="682">
        <f t="shared" si="104"/>
        <v>255</v>
      </c>
      <c r="Q401" s="683">
        <v>1.25</v>
      </c>
      <c r="R401" s="684">
        <v>1</v>
      </c>
      <c r="S401" s="685">
        <f t="shared" si="105"/>
        <v>0</v>
      </c>
      <c r="T401" s="685">
        <f t="shared" si="106"/>
        <v>0</v>
      </c>
      <c r="U401" s="685">
        <f t="shared" si="107"/>
        <v>0</v>
      </c>
      <c r="V401" s="685">
        <f t="shared" si="108"/>
        <v>0</v>
      </c>
      <c r="W401" s="686">
        <f t="shared" si="98"/>
        <v>0</v>
      </c>
      <c r="X401" s="686">
        <f t="shared" si="99"/>
        <v>0</v>
      </c>
      <c r="Y401" s="686">
        <f t="shared" si="100"/>
        <v>0</v>
      </c>
      <c r="Z401" s="686">
        <f t="shared" si="101"/>
        <v>0</v>
      </c>
      <c r="AA401" s="685" t="str">
        <f t="shared" si="102"/>
        <v>V</v>
      </c>
      <c r="AB401" s="687"/>
      <c r="AC401" s="688" t="e">
        <f>(S401+T401+U401)*'1.0-Contractblad'!$K$68</f>
        <v>#VALUE!</v>
      </c>
      <c r="AD401" s="688"/>
      <c r="AE401" s="48">
        <f t="shared" si="103"/>
        <v>0</v>
      </c>
      <c r="AF401" s="48">
        <f t="shared" si="109"/>
        <v>1603.95</v>
      </c>
      <c r="AG401" s="48" t="str">
        <f t="shared" si="110"/>
        <v>3255-255</v>
      </c>
    </row>
    <row r="402" spans="1:33" ht="12.75">
      <c r="A402" s="102"/>
      <c r="B402" s="364"/>
      <c r="C402" s="365"/>
      <c r="D402" s="676" t="s">
        <v>157</v>
      </c>
      <c r="E402" s="677" t="s">
        <v>314</v>
      </c>
      <c r="F402" s="678" t="s">
        <v>369</v>
      </c>
      <c r="G402" s="679" t="s">
        <v>516</v>
      </c>
      <c r="H402" s="679" t="str">
        <f t="shared" si="97"/>
        <v>entree, gang, hal, repro, kopieer</v>
      </c>
      <c r="I402" s="689" t="s">
        <v>578</v>
      </c>
      <c r="J402" s="680">
        <v>22.09</v>
      </c>
      <c r="K402" s="680"/>
      <c r="L402" s="692">
        <v>3255</v>
      </c>
      <c r="M402" s="677"/>
      <c r="N402" s="682"/>
      <c r="O402" s="682"/>
      <c r="P402" s="682">
        <f t="shared" si="104"/>
        <v>255</v>
      </c>
      <c r="Q402" s="683">
        <v>1.25</v>
      </c>
      <c r="R402" s="684">
        <v>1</v>
      </c>
      <c r="S402" s="685">
        <f t="shared" si="105"/>
        <v>0</v>
      </c>
      <c r="T402" s="685">
        <f t="shared" si="106"/>
        <v>0</v>
      </c>
      <c r="U402" s="685">
        <f t="shared" si="107"/>
        <v>0</v>
      </c>
      <c r="V402" s="685">
        <f t="shared" si="108"/>
        <v>0</v>
      </c>
      <c r="W402" s="686">
        <f t="shared" si="98"/>
        <v>0</v>
      </c>
      <c r="X402" s="686">
        <f t="shared" si="99"/>
        <v>0</v>
      </c>
      <c r="Y402" s="686">
        <f t="shared" si="100"/>
        <v>0</v>
      </c>
      <c r="Z402" s="686">
        <f t="shared" si="101"/>
        <v>0</v>
      </c>
      <c r="AA402" s="685" t="str">
        <f t="shared" si="102"/>
        <v>V</v>
      </c>
      <c r="AB402" s="687"/>
      <c r="AC402" s="688" t="e">
        <f>(S402+T402+U402)*'1.0-Contractblad'!$K$68</f>
        <v>#VALUE!</v>
      </c>
      <c r="AD402" s="688"/>
      <c r="AE402" s="48">
        <f t="shared" si="103"/>
        <v>0</v>
      </c>
      <c r="AF402" s="48">
        <f t="shared" si="109"/>
        <v>5632.95</v>
      </c>
      <c r="AG402" s="48" t="str">
        <f t="shared" si="110"/>
        <v>3255-255</v>
      </c>
    </row>
    <row r="403" spans="1:33" ht="12.75">
      <c r="A403" s="102"/>
      <c r="B403" s="364"/>
      <c r="C403" s="365"/>
      <c r="D403" s="676" t="s">
        <v>157</v>
      </c>
      <c r="E403" s="677" t="s">
        <v>314</v>
      </c>
      <c r="F403" s="678" t="s">
        <v>371</v>
      </c>
      <c r="G403" s="679" t="s">
        <v>424</v>
      </c>
      <c r="H403" s="679" t="str">
        <f t="shared" si="97"/>
        <v>entree, gang, hal, repro, kopieer</v>
      </c>
      <c r="I403" s="689" t="s">
        <v>578</v>
      </c>
      <c r="J403" s="680">
        <v>25.12</v>
      </c>
      <c r="K403" s="680"/>
      <c r="L403" s="692">
        <v>3255</v>
      </c>
      <c r="M403" s="677"/>
      <c r="N403" s="682"/>
      <c r="O403" s="682"/>
      <c r="P403" s="682">
        <f t="shared" si="104"/>
        <v>255</v>
      </c>
      <c r="Q403" s="683">
        <v>1.25</v>
      </c>
      <c r="R403" s="684">
        <v>1</v>
      </c>
      <c r="S403" s="685">
        <f t="shared" si="105"/>
        <v>0</v>
      </c>
      <c r="T403" s="685">
        <f t="shared" si="106"/>
        <v>0</v>
      </c>
      <c r="U403" s="685">
        <f t="shared" si="107"/>
        <v>0</v>
      </c>
      <c r="V403" s="685">
        <f t="shared" si="108"/>
        <v>0</v>
      </c>
      <c r="W403" s="686">
        <f t="shared" si="98"/>
        <v>0</v>
      </c>
      <c r="X403" s="686">
        <f t="shared" si="99"/>
        <v>0</v>
      </c>
      <c r="Y403" s="686">
        <f t="shared" si="100"/>
        <v>0</v>
      </c>
      <c r="Z403" s="686">
        <f t="shared" si="101"/>
        <v>0</v>
      </c>
      <c r="AA403" s="685" t="str">
        <f t="shared" si="102"/>
        <v>V</v>
      </c>
      <c r="AB403" s="687"/>
      <c r="AC403" s="688" t="e">
        <f>(S403+T403+U403)*'1.0-Contractblad'!$K$68</f>
        <v>#VALUE!</v>
      </c>
      <c r="AD403" s="688"/>
      <c r="AE403" s="48">
        <f t="shared" si="103"/>
        <v>0</v>
      </c>
      <c r="AF403" s="48">
        <f t="shared" si="109"/>
        <v>6405.6</v>
      </c>
      <c r="AG403" s="48" t="str">
        <f t="shared" si="110"/>
        <v>3255-255</v>
      </c>
    </row>
    <row r="404" spans="1:33" ht="12.75">
      <c r="A404" s="102"/>
      <c r="B404" s="364"/>
      <c r="C404" s="365"/>
      <c r="D404" s="676" t="s">
        <v>157</v>
      </c>
      <c r="E404" s="677" t="s">
        <v>419</v>
      </c>
      <c r="F404" s="678" t="s">
        <v>493</v>
      </c>
      <c r="G404" s="679" t="s">
        <v>768</v>
      </c>
      <c r="H404" s="679" t="str">
        <f t="shared" si="97"/>
        <v>entree, gang, hal, repro, kopieer</v>
      </c>
      <c r="I404" s="689" t="s">
        <v>578</v>
      </c>
      <c r="J404" s="680">
        <v>25.1</v>
      </c>
      <c r="K404" s="680"/>
      <c r="L404" s="692">
        <v>3255</v>
      </c>
      <c r="M404" s="677"/>
      <c r="N404" s="682"/>
      <c r="O404" s="682"/>
      <c r="P404" s="682">
        <f t="shared" si="104"/>
        <v>255</v>
      </c>
      <c r="Q404" s="683">
        <v>1.25</v>
      </c>
      <c r="R404" s="684">
        <v>1</v>
      </c>
      <c r="S404" s="685">
        <f t="shared" si="105"/>
        <v>0</v>
      </c>
      <c r="T404" s="685">
        <f t="shared" si="106"/>
        <v>0</v>
      </c>
      <c r="U404" s="685">
        <f t="shared" si="107"/>
        <v>0</v>
      </c>
      <c r="V404" s="685">
        <f t="shared" si="108"/>
        <v>0</v>
      </c>
      <c r="W404" s="686">
        <f t="shared" si="98"/>
        <v>0</v>
      </c>
      <c r="X404" s="686">
        <f t="shared" si="99"/>
        <v>0</v>
      </c>
      <c r="Y404" s="686">
        <f t="shared" si="100"/>
        <v>0</v>
      </c>
      <c r="Z404" s="686">
        <f t="shared" si="101"/>
        <v>0</v>
      </c>
      <c r="AA404" s="685" t="str">
        <f t="shared" si="102"/>
        <v>V</v>
      </c>
      <c r="AB404" s="687"/>
      <c r="AC404" s="688" t="e">
        <f>(S404+T404+U404)*'1.0-Contractblad'!$K$68</f>
        <v>#VALUE!</v>
      </c>
      <c r="AD404" s="688"/>
      <c r="AE404" s="48">
        <f t="shared" si="103"/>
        <v>0</v>
      </c>
      <c r="AF404" s="48">
        <f t="shared" si="109"/>
        <v>6400.5</v>
      </c>
      <c r="AG404" s="48" t="str">
        <f t="shared" si="110"/>
        <v>3255-255</v>
      </c>
    </row>
    <row r="405" spans="1:33" ht="12.75">
      <c r="A405" s="102"/>
      <c r="B405" s="364"/>
      <c r="C405" s="365"/>
      <c r="D405" s="676" t="s">
        <v>157</v>
      </c>
      <c r="E405" s="677" t="s">
        <v>419</v>
      </c>
      <c r="F405" s="678" t="s">
        <v>769</v>
      </c>
      <c r="G405" s="676" t="s">
        <v>770</v>
      </c>
      <c r="H405" s="679" t="str">
        <f t="shared" si="97"/>
        <v>administratieve -, personeels- en vergaderruimte</v>
      </c>
      <c r="I405" s="689" t="s">
        <v>238</v>
      </c>
      <c r="J405" s="680">
        <v>91.4</v>
      </c>
      <c r="K405" s="680"/>
      <c r="L405" s="692">
        <v>1255</v>
      </c>
      <c r="M405" s="677"/>
      <c r="N405" s="682"/>
      <c r="O405" s="682"/>
      <c r="P405" s="682">
        <f t="shared" si="104"/>
        <v>255</v>
      </c>
      <c r="Q405" s="683">
        <v>1.25</v>
      </c>
      <c r="R405" s="684">
        <v>1</v>
      </c>
      <c r="S405" s="685">
        <f t="shared" si="105"/>
        <v>0</v>
      </c>
      <c r="T405" s="685">
        <f t="shared" si="106"/>
        <v>0</v>
      </c>
      <c r="U405" s="685">
        <f t="shared" si="107"/>
        <v>0</v>
      </c>
      <c r="V405" s="685">
        <f t="shared" si="108"/>
        <v>0</v>
      </c>
      <c r="W405" s="686">
        <f t="shared" si="98"/>
        <v>0</v>
      </c>
      <c r="X405" s="686">
        <f t="shared" si="99"/>
        <v>0</v>
      </c>
      <c r="Y405" s="686">
        <f t="shared" si="100"/>
        <v>0</v>
      </c>
      <c r="Z405" s="686">
        <f t="shared" si="101"/>
        <v>0</v>
      </c>
      <c r="AA405" s="685" t="str">
        <f t="shared" si="102"/>
        <v>B</v>
      </c>
      <c r="AB405" s="687"/>
      <c r="AC405" s="688" t="e">
        <f>(S405+T405+U405)*'1.0-Contractblad'!$K$68</f>
        <v>#VALUE!</v>
      </c>
      <c r="AD405" s="688"/>
      <c r="AE405" s="48">
        <f t="shared" si="103"/>
        <v>0</v>
      </c>
      <c r="AF405" s="48">
        <f t="shared" si="109"/>
        <v>23307</v>
      </c>
      <c r="AG405" s="48" t="str">
        <f t="shared" si="110"/>
        <v>1255-255</v>
      </c>
    </row>
    <row r="406" spans="1:33" ht="12.75">
      <c r="A406" s="102"/>
      <c r="B406" s="364"/>
      <c r="C406" s="365"/>
      <c r="D406" s="676" t="s">
        <v>157</v>
      </c>
      <c r="E406" s="677" t="s">
        <v>419</v>
      </c>
      <c r="F406" s="678" t="s">
        <v>498</v>
      </c>
      <c r="G406" s="679" t="s">
        <v>386</v>
      </c>
      <c r="H406" s="679" t="str">
        <f t="shared" si="97"/>
        <v>administratieve -, personeels- en vergaderruimte</v>
      </c>
      <c r="I406" s="689" t="s">
        <v>238</v>
      </c>
      <c r="J406" s="680">
        <v>23.33</v>
      </c>
      <c r="K406" s="680"/>
      <c r="L406" s="692">
        <v>1255</v>
      </c>
      <c r="M406" s="677"/>
      <c r="N406" s="682"/>
      <c r="O406" s="682"/>
      <c r="P406" s="682">
        <f t="shared" si="104"/>
        <v>255</v>
      </c>
      <c r="Q406" s="683">
        <v>1.25</v>
      </c>
      <c r="R406" s="684">
        <v>1</v>
      </c>
      <c r="S406" s="685">
        <f t="shared" si="105"/>
        <v>0</v>
      </c>
      <c r="T406" s="685">
        <f t="shared" si="106"/>
        <v>0</v>
      </c>
      <c r="U406" s="685">
        <f t="shared" si="107"/>
        <v>0</v>
      </c>
      <c r="V406" s="685">
        <f t="shared" si="108"/>
        <v>0</v>
      </c>
      <c r="W406" s="686">
        <f t="shared" si="98"/>
        <v>0</v>
      </c>
      <c r="X406" s="686">
        <f t="shared" si="99"/>
        <v>0</v>
      </c>
      <c r="Y406" s="686">
        <f t="shared" si="100"/>
        <v>0</v>
      </c>
      <c r="Z406" s="686">
        <f t="shared" si="101"/>
        <v>0</v>
      </c>
      <c r="AA406" s="685" t="str">
        <f t="shared" si="102"/>
        <v>B</v>
      </c>
      <c r="AB406" s="687"/>
      <c r="AC406" s="688" t="e">
        <f>(S406+T406+U406)*'1.0-Contractblad'!$K$68</f>
        <v>#VALUE!</v>
      </c>
      <c r="AD406" s="688"/>
      <c r="AE406" s="48">
        <f t="shared" si="103"/>
        <v>0</v>
      </c>
      <c r="AF406" s="48">
        <f t="shared" si="109"/>
        <v>5949.15</v>
      </c>
      <c r="AG406" s="48" t="str">
        <f t="shared" si="110"/>
        <v>1255-255</v>
      </c>
    </row>
    <row r="407" spans="1:33" ht="12.75">
      <c r="A407" s="102"/>
      <c r="B407" s="364"/>
      <c r="C407" s="365"/>
      <c r="D407" s="676" t="s">
        <v>157</v>
      </c>
      <c r="E407" s="677" t="s">
        <v>419</v>
      </c>
      <c r="F407" s="678" t="s">
        <v>499</v>
      </c>
      <c r="G407" s="679" t="s">
        <v>386</v>
      </c>
      <c r="H407" s="679" t="str">
        <f t="shared" si="97"/>
        <v>administratieve -, personeels- en vergaderruimte</v>
      </c>
      <c r="I407" s="689" t="s">
        <v>238</v>
      </c>
      <c r="J407" s="680">
        <v>22.37</v>
      </c>
      <c r="K407" s="680"/>
      <c r="L407" s="692">
        <v>1255</v>
      </c>
      <c r="M407" s="677"/>
      <c r="N407" s="682"/>
      <c r="O407" s="682"/>
      <c r="P407" s="682">
        <f t="shared" si="104"/>
        <v>255</v>
      </c>
      <c r="Q407" s="683">
        <v>1.25</v>
      </c>
      <c r="R407" s="684">
        <v>1</v>
      </c>
      <c r="S407" s="685">
        <f t="shared" si="105"/>
        <v>0</v>
      </c>
      <c r="T407" s="685">
        <f t="shared" si="106"/>
        <v>0</v>
      </c>
      <c r="U407" s="685">
        <f t="shared" si="107"/>
        <v>0</v>
      </c>
      <c r="V407" s="685">
        <f t="shared" si="108"/>
        <v>0</v>
      </c>
      <c r="W407" s="686">
        <f t="shared" si="98"/>
        <v>0</v>
      </c>
      <c r="X407" s="686">
        <f t="shared" si="99"/>
        <v>0</v>
      </c>
      <c r="Y407" s="686">
        <f t="shared" si="100"/>
        <v>0</v>
      </c>
      <c r="Z407" s="686">
        <f t="shared" si="101"/>
        <v>0</v>
      </c>
      <c r="AA407" s="685" t="str">
        <f t="shared" si="102"/>
        <v>B</v>
      </c>
      <c r="AB407" s="687"/>
      <c r="AC407" s="688" t="e">
        <f>(S407+T407+U407)*'1.0-Contractblad'!$K$68</f>
        <v>#VALUE!</v>
      </c>
      <c r="AD407" s="688"/>
      <c r="AE407" s="48">
        <f t="shared" si="103"/>
        <v>0</v>
      </c>
      <c r="AF407" s="48">
        <f t="shared" si="109"/>
        <v>5704.35</v>
      </c>
      <c r="AG407" s="48" t="str">
        <f t="shared" si="110"/>
        <v>1255-255</v>
      </c>
    </row>
    <row r="408" spans="1:33" ht="12.75">
      <c r="A408" s="102"/>
      <c r="B408" s="364"/>
      <c r="C408" s="365"/>
      <c r="D408" s="676" t="s">
        <v>157</v>
      </c>
      <c r="E408" s="677" t="s">
        <v>419</v>
      </c>
      <c r="F408" s="678" t="s">
        <v>502</v>
      </c>
      <c r="G408" s="676" t="s">
        <v>386</v>
      </c>
      <c r="H408" s="679" t="str">
        <f t="shared" si="97"/>
        <v>administratieve -, personeels- en vergaderruimte</v>
      </c>
      <c r="I408" s="689" t="s">
        <v>238</v>
      </c>
      <c r="J408" s="680">
        <v>30</v>
      </c>
      <c r="K408" s="680"/>
      <c r="L408" s="692">
        <v>1255</v>
      </c>
      <c r="M408" s="677"/>
      <c r="N408" s="682"/>
      <c r="O408" s="682"/>
      <c r="P408" s="682">
        <f t="shared" si="104"/>
        <v>255</v>
      </c>
      <c r="Q408" s="683">
        <v>1.25</v>
      </c>
      <c r="R408" s="684">
        <v>1</v>
      </c>
      <c r="S408" s="685">
        <f t="shared" si="105"/>
        <v>0</v>
      </c>
      <c r="T408" s="685">
        <f t="shared" si="106"/>
        <v>0</v>
      </c>
      <c r="U408" s="685">
        <f t="shared" si="107"/>
        <v>0</v>
      </c>
      <c r="V408" s="685">
        <f t="shared" si="108"/>
        <v>0</v>
      </c>
      <c r="W408" s="686">
        <f t="shared" si="98"/>
        <v>0</v>
      </c>
      <c r="X408" s="686">
        <f t="shared" si="99"/>
        <v>0</v>
      </c>
      <c r="Y408" s="686">
        <f t="shared" si="100"/>
        <v>0</v>
      </c>
      <c r="Z408" s="686">
        <f t="shared" si="101"/>
        <v>0</v>
      </c>
      <c r="AA408" s="685" t="str">
        <f t="shared" si="102"/>
        <v>B</v>
      </c>
      <c r="AB408" s="687"/>
      <c r="AC408" s="688" t="e">
        <f>(S408+T408+U408)*'1.0-Contractblad'!$K$68</f>
        <v>#VALUE!</v>
      </c>
      <c r="AD408" s="688"/>
      <c r="AE408" s="48">
        <f t="shared" si="103"/>
        <v>0</v>
      </c>
      <c r="AF408" s="48">
        <f t="shared" si="109"/>
        <v>7650</v>
      </c>
      <c r="AG408" s="48" t="str">
        <f t="shared" si="110"/>
        <v>1255-255</v>
      </c>
    </row>
    <row r="409" spans="1:33" ht="12.75">
      <c r="A409" s="102"/>
      <c r="B409" s="364"/>
      <c r="C409" s="365"/>
      <c r="D409" s="676" t="s">
        <v>157</v>
      </c>
      <c r="E409" s="677" t="s">
        <v>419</v>
      </c>
      <c r="F409" s="678" t="s">
        <v>503</v>
      </c>
      <c r="G409" s="676" t="s">
        <v>333</v>
      </c>
      <c r="H409" s="679" t="str">
        <f t="shared" si="97"/>
        <v>administratieve -, personeels- en vergaderruimte</v>
      </c>
      <c r="I409" s="689" t="s">
        <v>238</v>
      </c>
      <c r="J409" s="680">
        <v>37.6</v>
      </c>
      <c r="K409" s="680"/>
      <c r="L409" s="692">
        <v>1255</v>
      </c>
      <c r="M409" s="677"/>
      <c r="N409" s="682"/>
      <c r="O409" s="682"/>
      <c r="P409" s="682">
        <f t="shared" si="104"/>
        <v>255</v>
      </c>
      <c r="Q409" s="683">
        <v>1.25</v>
      </c>
      <c r="R409" s="684">
        <v>1</v>
      </c>
      <c r="S409" s="685">
        <f t="shared" si="105"/>
        <v>0</v>
      </c>
      <c r="T409" s="685">
        <f t="shared" si="106"/>
        <v>0</v>
      </c>
      <c r="U409" s="685">
        <f t="shared" si="107"/>
        <v>0</v>
      </c>
      <c r="V409" s="685">
        <f t="shared" si="108"/>
        <v>0</v>
      </c>
      <c r="W409" s="686">
        <f t="shared" si="98"/>
        <v>0</v>
      </c>
      <c r="X409" s="686">
        <f t="shared" si="99"/>
        <v>0</v>
      </c>
      <c r="Y409" s="686">
        <f t="shared" si="100"/>
        <v>0</v>
      </c>
      <c r="Z409" s="686">
        <f t="shared" si="101"/>
        <v>0</v>
      </c>
      <c r="AA409" s="685" t="str">
        <f t="shared" si="102"/>
        <v>B</v>
      </c>
      <c r="AB409" s="687"/>
      <c r="AC409" s="688" t="e">
        <f>(S409+T409+U409)*'1.0-Contractblad'!$K$68</f>
        <v>#VALUE!</v>
      </c>
      <c r="AD409" s="688"/>
      <c r="AE409" s="48">
        <f t="shared" si="103"/>
        <v>0</v>
      </c>
      <c r="AF409" s="48">
        <f t="shared" si="109"/>
        <v>9588</v>
      </c>
      <c r="AG409" s="48" t="str">
        <f t="shared" si="110"/>
        <v>1255-255</v>
      </c>
    </row>
    <row r="410" spans="1:33" ht="12.75">
      <c r="A410" s="102"/>
      <c r="B410" s="364"/>
      <c r="C410" s="365"/>
      <c r="D410" s="676" t="s">
        <v>157</v>
      </c>
      <c r="E410" s="677" t="s">
        <v>419</v>
      </c>
      <c r="F410" s="678" t="s">
        <v>504</v>
      </c>
      <c r="G410" s="679" t="s">
        <v>393</v>
      </c>
      <c r="H410" s="679" t="str">
        <f t="shared" si="97"/>
        <v>niet van toepassing</v>
      </c>
      <c r="I410" s="689" t="s">
        <v>238</v>
      </c>
      <c r="J410" s="680"/>
      <c r="K410" s="680">
        <v>5</v>
      </c>
      <c r="L410" s="692" t="s">
        <v>225</v>
      </c>
      <c r="M410" s="677"/>
      <c r="N410" s="682"/>
      <c r="O410" s="682"/>
      <c r="P410" s="682">
        <f t="shared" si="104"/>
        <v>0</v>
      </c>
      <c r="Q410" s="683">
        <v>1.25</v>
      </c>
      <c r="R410" s="684">
        <v>1</v>
      </c>
      <c r="S410" s="685">
        <f t="shared" si="105"/>
        <v>0</v>
      </c>
      <c r="T410" s="685">
        <f t="shared" si="106"/>
        <v>0</v>
      </c>
      <c r="U410" s="685">
        <f t="shared" si="107"/>
        <v>0</v>
      </c>
      <c r="V410" s="685">
        <f t="shared" si="108"/>
        <v>0</v>
      </c>
      <c r="W410" s="686">
        <f t="shared" si="98"/>
        <v>0</v>
      </c>
      <c r="X410" s="686">
        <f t="shared" si="99"/>
        <v>0</v>
      </c>
      <c r="Y410" s="686">
        <f t="shared" si="100"/>
        <v>0</v>
      </c>
      <c r="Z410" s="686">
        <f t="shared" si="101"/>
        <v>0</v>
      </c>
      <c r="AA410" s="685">
        <f t="shared" si="102"/>
        <v>0</v>
      </c>
      <c r="AB410" s="687"/>
      <c r="AC410" s="688" t="e">
        <f>(S410+T410+U410)*'1.0-Contractblad'!$K$68</f>
        <v>#VALUE!</v>
      </c>
      <c r="AD410" s="688"/>
      <c r="AE410" s="48">
        <f t="shared" si="103"/>
        <v>0</v>
      </c>
      <c r="AF410" s="48">
        <f t="shared" si="109"/>
        <v>0</v>
      </c>
      <c r="AG410" s="48" t="str">
        <f t="shared" si="110"/>
        <v>nvt-0</v>
      </c>
    </row>
    <row r="411" spans="1:33" ht="12.75">
      <c r="A411" s="102"/>
      <c r="B411" s="364"/>
      <c r="C411" s="365"/>
      <c r="D411" s="676" t="s">
        <v>157</v>
      </c>
      <c r="E411" s="677" t="s">
        <v>419</v>
      </c>
      <c r="F411" s="678" t="s">
        <v>771</v>
      </c>
      <c r="G411" s="679" t="s">
        <v>328</v>
      </c>
      <c r="H411" s="679" t="str">
        <f t="shared" ref="H411:H438" si="111">IF($L411="",0,VLOOKUP($L411,Kengetal,4,FALSE))</f>
        <v>pantry, keuken, koffiecorner</v>
      </c>
      <c r="I411" s="689" t="s">
        <v>238</v>
      </c>
      <c r="J411" s="680">
        <v>49.4</v>
      </c>
      <c r="K411" s="680"/>
      <c r="L411" s="692">
        <v>5255</v>
      </c>
      <c r="M411" s="677"/>
      <c r="N411" s="682"/>
      <c r="O411" s="682"/>
      <c r="P411" s="682">
        <f t="shared" si="104"/>
        <v>255</v>
      </c>
      <c r="Q411" s="683">
        <v>1.25</v>
      </c>
      <c r="R411" s="684">
        <v>1</v>
      </c>
      <c r="S411" s="685">
        <f t="shared" si="105"/>
        <v>0</v>
      </c>
      <c r="T411" s="685">
        <f t="shared" si="106"/>
        <v>0</v>
      </c>
      <c r="U411" s="685">
        <f t="shared" si="107"/>
        <v>0</v>
      </c>
      <c r="V411" s="685">
        <f t="shared" si="108"/>
        <v>0</v>
      </c>
      <c r="W411" s="686">
        <f t="shared" si="98"/>
        <v>0</v>
      </c>
      <c r="X411" s="686">
        <f t="shared" si="99"/>
        <v>0</v>
      </c>
      <c r="Y411" s="686">
        <f t="shared" si="100"/>
        <v>0</v>
      </c>
      <c r="Z411" s="686">
        <f t="shared" si="101"/>
        <v>0</v>
      </c>
      <c r="AA411" s="685" t="str">
        <f t="shared" si="102"/>
        <v>V</v>
      </c>
      <c r="AB411" s="687"/>
      <c r="AC411" s="688" t="e">
        <f>(S411+T411+U411)*'1.0-Contractblad'!$K$68</f>
        <v>#VALUE!</v>
      </c>
      <c r="AD411" s="688"/>
      <c r="AE411" s="48">
        <f t="shared" si="103"/>
        <v>0</v>
      </c>
      <c r="AF411" s="48">
        <f t="shared" si="109"/>
        <v>12597</v>
      </c>
      <c r="AG411" s="48" t="str">
        <f t="shared" si="110"/>
        <v>5255-255</v>
      </c>
    </row>
    <row r="412" spans="1:33" ht="12.75">
      <c r="A412" s="102"/>
      <c r="B412" s="364"/>
      <c r="C412" s="365"/>
      <c r="D412" s="676" t="s">
        <v>160</v>
      </c>
      <c r="E412" s="677" t="s">
        <v>314</v>
      </c>
      <c r="F412" s="678" t="s">
        <v>772</v>
      </c>
      <c r="G412" s="676" t="s">
        <v>410</v>
      </c>
      <c r="H412" s="679" t="str">
        <f t="shared" si="111"/>
        <v>administratieve -, personeels- en vergaderruimte</v>
      </c>
      <c r="I412" s="689" t="s">
        <v>384</v>
      </c>
      <c r="J412" s="680">
        <v>7.74</v>
      </c>
      <c r="K412" s="680"/>
      <c r="L412" s="692">
        <v>1052</v>
      </c>
      <c r="M412" s="677"/>
      <c r="N412" s="682"/>
      <c r="O412" s="682"/>
      <c r="P412" s="682">
        <f t="shared" si="104"/>
        <v>52</v>
      </c>
      <c r="Q412" s="683">
        <v>0.5</v>
      </c>
      <c r="R412" s="684">
        <v>1</v>
      </c>
      <c r="S412" s="685">
        <f t="shared" si="105"/>
        <v>0</v>
      </c>
      <c r="T412" s="685">
        <f t="shared" si="106"/>
        <v>0</v>
      </c>
      <c r="U412" s="685">
        <f t="shared" si="107"/>
        <v>0</v>
      </c>
      <c r="V412" s="685">
        <f t="shared" si="108"/>
        <v>0</v>
      </c>
      <c r="W412" s="686">
        <f t="shared" si="98"/>
        <v>0</v>
      </c>
      <c r="X412" s="686">
        <f t="shared" si="99"/>
        <v>0</v>
      </c>
      <c r="Y412" s="686">
        <f t="shared" si="100"/>
        <v>0</v>
      </c>
      <c r="Z412" s="686">
        <f t="shared" si="101"/>
        <v>0</v>
      </c>
      <c r="AA412" s="685" t="str">
        <f t="shared" si="102"/>
        <v>B</v>
      </c>
      <c r="AB412" s="687"/>
      <c r="AC412" s="688" t="e">
        <f>(S412+T412+U412)*'1.0-Contractblad'!$K$68</f>
        <v>#VALUE!</v>
      </c>
      <c r="AD412" s="688"/>
      <c r="AE412" s="48">
        <f t="shared" si="103"/>
        <v>0</v>
      </c>
      <c r="AF412" s="48">
        <f t="shared" si="109"/>
        <v>402.48</v>
      </c>
      <c r="AG412" s="48" t="str">
        <f t="shared" si="110"/>
        <v>1052-52</v>
      </c>
    </row>
    <row r="413" spans="1:33" ht="12.75">
      <c r="A413" s="102"/>
      <c r="B413" s="364"/>
      <c r="C413" s="365"/>
      <c r="D413" s="676" t="s">
        <v>160</v>
      </c>
      <c r="E413" s="677" t="s">
        <v>314</v>
      </c>
      <c r="F413" s="678" t="s">
        <v>773</v>
      </c>
      <c r="G413" s="679" t="s">
        <v>410</v>
      </c>
      <c r="H413" s="679" t="str">
        <f t="shared" si="111"/>
        <v>administratieve -, personeels- en vergaderruimte</v>
      </c>
      <c r="I413" s="689" t="s">
        <v>433</v>
      </c>
      <c r="J413" s="680">
        <v>13.98</v>
      </c>
      <c r="K413" s="680"/>
      <c r="L413" s="692">
        <v>1052</v>
      </c>
      <c r="M413" s="677"/>
      <c r="N413" s="682"/>
      <c r="O413" s="682"/>
      <c r="P413" s="682">
        <f t="shared" si="104"/>
        <v>52</v>
      </c>
      <c r="Q413" s="683">
        <v>0.5</v>
      </c>
      <c r="R413" s="684">
        <v>1</v>
      </c>
      <c r="S413" s="685">
        <f t="shared" si="105"/>
        <v>0</v>
      </c>
      <c r="T413" s="685">
        <f t="shared" si="106"/>
        <v>0</v>
      </c>
      <c r="U413" s="685">
        <f t="shared" si="107"/>
        <v>0</v>
      </c>
      <c r="V413" s="685">
        <f t="shared" si="108"/>
        <v>0</v>
      </c>
      <c r="W413" s="686">
        <f t="shared" si="98"/>
        <v>0</v>
      </c>
      <c r="X413" s="686">
        <f t="shared" si="99"/>
        <v>0</v>
      </c>
      <c r="Y413" s="686">
        <f t="shared" si="100"/>
        <v>0</v>
      </c>
      <c r="Z413" s="686">
        <f t="shared" si="101"/>
        <v>0</v>
      </c>
      <c r="AA413" s="685" t="str">
        <f t="shared" si="102"/>
        <v>B</v>
      </c>
      <c r="AB413" s="687"/>
      <c r="AC413" s="688" t="e">
        <f>(S413+T413+U413)*'1.0-Contractblad'!$K$68</f>
        <v>#VALUE!</v>
      </c>
      <c r="AD413" s="688"/>
      <c r="AE413" s="48">
        <f t="shared" si="103"/>
        <v>0</v>
      </c>
      <c r="AF413" s="48">
        <f t="shared" si="109"/>
        <v>726.96</v>
      </c>
      <c r="AG413" s="48" t="str">
        <f t="shared" si="110"/>
        <v>1052-52</v>
      </c>
    </row>
    <row r="414" spans="1:33" ht="12.75">
      <c r="A414" s="102"/>
      <c r="B414" s="364"/>
      <c r="C414" s="365"/>
      <c r="D414" s="676" t="s">
        <v>160</v>
      </c>
      <c r="E414" s="677" t="s">
        <v>314</v>
      </c>
      <c r="F414" s="678" t="s">
        <v>774</v>
      </c>
      <c r="G414" s="679" t="s">
        <v>410</v>
      </c>
      <c r="H414" s="679" t="str">
        <f t="shared" si="111"/>
        <v>administratieve -, personeels- en vergaderruimte</v>
      </c>
      <c r="I414" s="689" t="s">
        <v>384</v>
      </c>
      <c r="J414" s="680">
        <v>67.739999999999995</v>
      </c>
      <c r="K414" s="680"/>
      <c r="L414" s="692">
        <v>1052</v>
      </c>
      <c r="M414" s="677"/>
      <c r="N414" s="682"/>
      <c r="O414" s="682"/>
      <c r="P414" s="682">
        <f t="shared" si="104"/>
        <v>52</v>
      </c>
      <c r="Q414" s="683">
        <v>0.5</v>
      </c>
      <c r="R414" s="684">
        <v>1</v>
      </c>
      <c r="S414" s="685">
        <f t="shared" si="105"/>
        <v>0</v>
      </c>
      <c r="T414" s="685">
        <f t="shared" si="106"/>
        <v>0</v>
      </c>
      <c r="U414" s="685">
        <f t="shared" si="107"/>
        <v>0</v>
      </c>
      <c r="V414" s="685">
        <f t="shared" si="108"/>
        <v>0</v>
      </c>
      <c r="W414" s="686">
        <f t="shared" si="98"/>
        <v>0</v>
      </c>
      <c r="X414" s="686">
        <f t="shared" si="99"/>
        <v>0</v>
      </c>
      <c r="Y414" s="686">
        <f t="shared" si="100"/>
        <v>0</v>
      </c>
      <c r="Z414" s="686">
        <f t="shared" si="101"/>
        <v>0</v>
      </c>
      <c r="AA414" s="685" t="str">
        <f t="shared" si="102"/>
        <v>B</v>
      </c>
      <c r="AB414" s="687"/>
      <c r="AC414" s="688" t="e">
        <f>(S414+T414+U414)*'1.0-Contractblad'!$K$68</f>
        <v>#VALUE!</v>
      </c>
      <c r="AD414" s="688"/>
      <c r="AE414" s="48">
        <f t="shared" si="103"/>
        <v>0</v>
      </c>
      <c r="AF414" s="48">
        <f t="shared" si="109"/>
        <v>3522.4799999999996</v>
      </c>
      <c r="AG414" s="48" t="str">
        <f t="shared" si="110"/>
        <v>1052-52</v>
      </c>
    </row>
    <row r="415" spans="1:33" ht="12.75">
      <c r="A415" s="102"/>
      <c r="B415" s="364"/>
      <c r="C415" s="365"/>
      <c r="D415" s="676" t="s">
        <v>160</v>
      </c>
      <c r="E415" s="677" t="s">
        <v>314</v>
      </c>
      <c r="F415" s="678" t="s">
        <v>775</v>
      </c>
      <c r="G415" s="679" t="s">
        <v>410</v>
      </c>
      <c r="H415" s="679" t="str">
        <f t="shared" si="111"/>
        <v>administratieve -, personeels- en vergaderruimte</v>
      </c>
      <c r="I415" s="689" t="s">
        <v>384</v>
      </c>
      <c r="J415" s="680">
        <v>12.73</v>
      </c>
      <c r="K415" s="680"/>
      <c r="L415" s="692">
        <v>1052</v>
      </c>
      <c r="M415" s="677"/>
      <c r="N415" s="682"/>
      <c r="O415" s="682"/>
      <c r="P415" s="682">
        <f t="shared" si="104"/>
        <v>52</v>
      </c>
      <c r="Q415" s="683">
        <v>0.5</v>
      </c>
      <c r="R415" s="684">
        <v>1</v>
      </c>
      <c r="S415" s="685">
        <f t="shared" si="105"/>
        <v>0</v>
      </c>
      <c r="T415" s="685">
        <f t="shared" si="106"/>
        <v>0</v>
      </c>
      <c r="U415" s="685">
        <f t="shared" si="107"/>
        <v>0</v>
      </c>
      <c r="V415" s="685">
        <f t="shared" si="108"/>
        <v>0</v>
      </c>
      <c r="W415" s="686">
        <f t="shared" si="98"/>
        <v>0</v>
      </c>
      <c r="X415" s="686">
        <f t="shared" si="99"/>
        <v>0</v>
      </c>
      <c r="Y415" s="686">
        <f t="shared" si="100"/>
        <v>0</v>
      </c>
      <c r="Z415" s="686">
        <f t="shared" si="101"/>
        <v>0</v>
      </c>
      <c r="AA415" s="685" t="str">
        <f t="shared" si="102"/>
        <v>B</v>
      </c>
      <c r="AB415" s="687"/>
      <c r="AC415" s="688" t="e">
        <f>(S415+T415+U415)*'1.0-Contractblad'!$K$68</f>
        <v>#VALUE!</v>
      </c>
      <c r="AD415" s="688"/>
      <c r="AE415" s="48">
        <f t="shared" si="103"/>
        <v>0</v>
      </c>
      <c r="AF415" s="48">
        <f t="shared" si="109"/>
        <v>661.96</v>
      </c>
      <c r="AG415" s="48" t="str">
        <f t="shared" si="110"/>
        <v>1052-52</v>
      </c>
    </row>
    <row r="416" spans="1:33" ht="12.75">
      <c r="A416" s="102"/>
      <c r="B416" s="364"/>
      <c r="C416" s="365"/>
      <c r="D416" s="676" t="s">
        <v>160</v>
      </c>
      <c r="E416" s="677" t="s">
        <v>314</v>
      </c>
      <c r="F416" s="678" t="s">
        <v>776</v>
      </c>
      <c r="G416" s="702" t="s">
        <v>410</v>
      </c>
      <c r="H416" s="679" t="str">
        <f t="shared" si="111"/>
        <v>administratieve -, personeels- en vergaderruimte</v>
      </c>
      <c r="I416" s="689" t="s">
        <v>384</v>
      </c>
      <c r="J416" s="680">
        <v>12.91</v>
      </c>
      <c r="K416" s="680"/>
      <c r="L416" s="692">
        <v>1052</v>
      </c>
      <c r="M416" s="677"/>
      <c r="N416" s="682"/>
      <c r="O416" s="682"/>
      <c r="P416" s="682">
        <f t="shared" si="104"/>
        <v>52</v>
      </c>
      <c r="Q416" s="683">
        <v>0.5</v>
      </c>
      <c r="R416" s="684">
        <v>1</v>
      </c>
      <c r="S416" s="685">
        <f t="shared" si="105"/>
        <v>0</v>
      </c>
      <c r="T416" s="685">
        <f t="shared" si="106"/>
        <v>0</v>
      </c>
      <c r="U416" s="685">
        <f t="shared" si="107"/>
        <v>0</v>
      </c>
      <c r="V416" s="685">
        <f t="shared" si="108"/>
        <v>0</v>
      </c>
      <c r="W416" s="686">
        <f t="shared" si="98"/>
        <v>0</v>
      </c>
      <c r="X416" s="686">
        <f t="shared" si="99"/>
        <v>0</v>
      </c>
      <c r="Y416" s="686">
        <f t="shared" si="100"/>
        <v>0</v>
      </c>
      <c r="Z416" s="686">
        <f t="shared" si="101"/>
        <v>0</v>
      </c>
      <c r="AA416" s="685" t="str">
        <f t="shared" si="102"/>
        <v>B</v>
      </c>
      <c r="AB416" s="687"/>
      <c r="AC416" s="688" t="e">
        <f>(S416+T416+U416)*'1.0-Contractblad'!$K$68</f>
        <v>#VALUE!</v>
      </c>
      <c r="AD416" s="688"/>
      <c r="AE416" s="48">
        <f t="shared" si="103"/>
        <v>0</v>
      </c>
      <c r="AF416" s="48">
        <f t="shared" si="109"/>
        <v>671.32</v>
      </c>
      <c r="AG416" s="48" t="str">
        <f t="shared" si="110"/>
        <v>1052-52</v>
      </c>
    </row>
    <row r="417" spans="1:33" ht="12.75">
      <c r="A417" s="102"/>
      <c r="B417" s="364"/>
      <c r="C417" s="365"/>
      <c r="D417" s="676" t="s">
        <v>160</v>
      </c>
      <c r="E417" s="677" t="s">
        <v>314</v>
      </c>
      <c r="F417" s="678" t="s">
        <v>376</v>
      </c>
      <c r="G417" s="679" t="s">
        <v>777</v>
      </c>
      <c r="H417" s="679" t="str">
        <f t="shared" si="111"/>
        <v>entree, gang, hal, repro, kopieer</v>
      </c>
      <c r="I417" s="689" t="s">
        <v>778</v>
      </c>
      <c r="J417" s="680">
        <v>4</v>
      </c>
      <c r="K417" s="680"/>
      <c r="L417" s="692">
        <v>3052</v>
      </c>
      <c r="M417" s="677"/>
      <c r="N417" s="682"/>
      <c r="O417" s="682"/>
      <c r="P417" s="682">
        <f t="shared" si="104"/>
        <v>52</v>
      </c>
      <c r="Q417" s="683">
        <v>0.5</v>
      </c>
      <c r="R417" s="684">
        <v>1</v>
      </c>
      <c r="S417" s="685">
        <f t="shared" si="105"/>
        <v>0</v>
      </c>
      <c r="T417" s="685">
        <f t="shared" si="106"/>
        <v>0</v>
      </c>
      <c r="U417" s="685">
        <f t="shared" si="107"/>
        <v>0</v>
      </c>
      <c r="V417" s="685">
        <f t="shared" si="108"/>
        <v>0</v>
      </c>
      <c r="W417" s="686">
        <f t="shared" si="98"/>
        <v>0</v>
      </c>
      <c r="X417" s="686">
        <f t="shared" si="99"/>
        <v>0</v>
      </c>
      <c r="Y417" s="686">
        <f t="shared" si="100"/>
        <v>0</v>
      </c>
      <c r="Z417" s="686">
        <f t="shared" si="101"/>
        <v>0</v>
      </c>
      <c r="AA417" s="685" t="str">
        <f t="shared" si="102"/>
        <v>V</v>
      </c>
      <c r="AB417" s="687"/>
      <c r="AC417" s="688" t="e">
        <f>(S417+T417+U417)*'1.0-Contractblad'!$K$68</f>
        <v>#VALUE!</v>
      </c>
      <c r="AD417" s="688"/>
      <c r="AE417" s="48">
        <f t="shared" si="103"/>
        <v>0</v>
      </c>
      <c r="AF417" s="48">
        <f t="shared" si="109"/>
        <v>208</v>
      </c>
      <c r="AG417" s="48" t="str">
        <f t="shared" si="110"/>
        <v>3052-52</v>
      </c>
    </row>
    <row r="418" spans="1:33" ht="12.75">
      <c r="A418" s="102"/>
      <c r="B418" s="364"/>
      <c r="C418" s="365"/>
      <c r="D418" s="676" t="s">
        <v>160</v>
      </c>
      <c r="E418" s="677" t="s">
        <v>314</v>
      </c>
      <c r="F418" s="678" t="s">
        <v>315</v>
      </c>
      <c r="G418" s="676" t="s">
        <v>413</v>
      </c>
      <c r="H418" s="679" t="str">
        <f t="shared" si="111"/>
        <v>entree, gang, hal, repro, kopieer</v>
      </c>
      <c r="I418" s="689" t="s">
        <v>578</v>
      </c>
      <c r="J418" s="680">
        <v>14.56</v>
      </c>
      <c r="K418" s="680"/>
      <c r="L418" s="692">
        <v>3052</v>
      </c>
      <c r="M418" s="677"/>
      <c r="N418" s="682"/>
      <c r="O418" s="682"/>
      <c r="P418" s="682">
        <f t="shared" si="104"/>
        <v>52</v>
      </c>
      <c r="Q418" s="683">
        <v>0.5</v>
      </c>
      <c r="R418" s="684">
        <v>1</v>
      </c>
      <c r="S418" s="685">
        <f t="shared" si="105"/>
        <v>0</v>
      </c>
      <c r="T418" s="685">
        <f t="shared" si="106"/>
        <v>0</v>
      </c>
      <c r="U418" s="685">
        <f t="shared" si="107"/>
        <v>0</v>
      </c>
      <c r="V418" s="685">
        <f t="shared" si="108"/>
        <v>0</v>
      </c>
      <c r="W418" s="686">
        <f t="shared" si="98"/>
        <v>0</v>
      </c>
      <c r="X418" s="686">
        <f t="shared" si="99"/>
        <v>0</v>
      </c>
      <c r="Y418" s="686">
        <f t="shared" si="100"/>
        <v>0</v>
      </c>
      <c r="Z418" s="686">
        <f t="shared" si="101"/>
        <v>0</v>
      </c>
      <c r="AA418" s="685" t="str">
        <f t="shared" si="102"/>
        <v>V</v>
      </c>
      <c r="AB418" s="687"/>
      <c r="AC418" s="688" t="e">
        <f>(S418+T418+U418)*'1.0-Contractblad'!$K$68</f>
        <v>#VALUE!</v>
      </c>
      <c r="AD418" s="688"/>
      <c r="AE418" s="48">
        <f t="shared" si="103"/>
        <v>0</v>
      </c>
      <c r="AF418" s="48">
        <f t="shared" si="109"/>
        <v>757.12</v>
      </c>
      <c r="AG418" s="48" t="str">
        <f t="shared" si="110"/>
        <v>3052-52</v>
      </c>
    </row>
    <row r="419" spans="1:33" ht="12.75">
      <c r="A419" s="102"/>
      <c r="B419" s="364"/>
      <c r="C419" s="365"/>
      <c r="D419" s="676" t="s">
        <v>160</v>
      </c>
      <c r="E419" s="677" t="s">
        <v>314</v>
      </c>
      <c r="F419" s="678" t="s">
        <v>317</v>
      </c>
      <c r="G419" s="679" t="s">
        <v>779</v>
      </c>
      <c r="H419" s="679" t="str">
        <f t="shared" si="111"/>
        <v>verblijfsruimte</v>
      </c>
      <c r="I419" s="689" t="s">
        <v>238</v>
      </c>
      <c r="J419" s="680">
        <v>20.5</v>
      </c>
      <c r="K419" s="680"/>
      <c r="L419" s="692">
        <v>15052</v>
      </c>
      <c r="M419" s="677"/>
      <c r="N419" s="682"/>
      <c r="O419" s="682"/>
      <c r="P419" s="682">
        <f t="shared" si="104"/>
        <v>52</v>
      </c>
      <c r="Q419" s="683">
        <v>0.5</v>
      </c>
      <c r="R419" s="684">
        <v>1</v>
      </c>
      <c r="S419" s="685">
        <f t="shared" si="105"/>
        <v>0</v>
      </c>
      <c r="T419" s="685">
        <f t="shared" si="106"/>
        <v>0</v>
      </c>
      <c r="U419" s="685">
        <f t="shared" si="107"/>
        <v>0</v>
      </c>
      <c r="V419" s="685">
        <f t="shared" si="108"/>
        <v>0</v>
      </c>
      <c r="W419" s="686">
        <f t="shared" si="98"/>
        <v>0</v>
      </c>
      <c r="X419" s="686">
        <f t="shared" si="99"/>
        <v>0</v>
      </c>
      <c r="Y419" s="686">
        <f t="shared" si="100"/>
        <v>0</v>
      </c>
      <c r="Z419" s="686">
        <f t="shared" si="101"/>
        <v>0</v>
      </c>
      <c r="AA419" s="685" t="str">
        <f t="shared" si="102"/>
        <v>V</v>
      </c>
      <c r="AB419" s="687"/>
      <c r="AC419" s="688" t="e">
        <f>(S419+T419+U419)*'1.0-Contractblad'!$K$68</f>
        <v>#VALUE!</v>
      </c>
      <c r="AD419" s="688"/>
      <c r="AE419" s="48">
        <f t="shared" si="103"/>
        <v>0</v>
      </c>
      <c r="AF419" s="48">
        <f t="shared" si="109"/>
        <v>1066</v>
      </c>
      <c r="AG419" s="48" t="str">
        <f t="shared" si="110"/>
        <v>15052-52</v>
      </c>
    </row>
    <row r="420" spans="1:33" ht="12.75">
      <c r="A420" s="102"/>
      <c r="B420" s="364"/>
      <c r="C420" s="365"/>
      <c r="D420" s="676" t="s">
        <v>160</v>
      </c>
      <c r="E420" s="677" t="s">
        <v>314</v>
      </c>
      <c r="F420" s="678" t="s">
        <v>320</v>
      </c>
      <c r="G420" s="679" t="s">
        <v>780</v>
      </c>
      <c r="H420" s="679" t="str">
        <f t="shared" si="111"/>
        <v>administratieve -, personeels- en vergaderruimte</v>
      </c>
      <c r="I420" s="689" t="s">
        <v>238</v>
      </c>
      <c r="J420" s="680">
        <v>32.479999999999997</v>
      </c>
      <c r="K420" s="680"/>
      <c r="L420" s="692">
        <v>1052</v>
      </c>
      <c r="M420" s="677"/>
      <c r="N420" s="682"/>
      <c r="O420" s="682"/>
      <c r="P420" s="682">
        <f t="shared" si="104"/>
        <v>52</v>
      </c>
      <c r="Q420" s="683">
        <v>0.5</v>
      </c>
      <c r="R420" s="684">
        <v>1</v>
      </c>
      <c r="S420" s="685">
        <f t="shared" si="105"/>
        <v>0</v>
      </c>
      <c r="T420" s="685">
        <f t="shared" si="106"/>
        <v>0</v>
      </c>
      <c r="U420" s="685">
        <f t="shared" si="107"/>
        <v>0</v>
      </c>
      <c r="V420" s="685">
        <f t="shared" si="108"/>
        <v>0</v>
      </c>
      <c r="W420" s="686">
        <f t="shared" si="98"/>
        <v>0</v>
      </c>
      <c r="X420" s="686">
        <f t="shared" si="99"/>
        <v>0</v>
      </c>
      <c r="Y420" s="686">
        <f t="shared" si="100"/>
        <v>0</v>
      </c>
      <c r="Z420" s="686">
        <f t="shared" si="101"/>
        <v>0</v>
      </c>
      <c r="AA420" s="685" t="str">
        <f t="shared" si="102"/>
        <v>B</v>
      </c>
      <c r="AB420" s="687"/>
      <c r="AC420" s="688" t="e">
        <f>(S420+T420+U420)*'1.0-Contractblad'!$K$68</f>
        <v>#VALUE!</v>
      </c>
      <c r="AD420" s="688"/>
      <c r="AE420" s="48">
        <f t="shared" si="103"/>
        <v>0</v>
      </c>
      <c r="AF420" s="48">
        <f t="shared" si="109"/>
        <v>1688.9599999999998</v>
      </c>
      <c r="AG420" s="48" t="str">
        <f t="shared" si="110"/>
        <v>1052-52</v>
      </c>
    </row>
    <row r="421" spans="1:33" ht="12.75">
      <c r="A421" s="102"/>
      <c r="B421" s="364"/>
      <c r="C421" s="365"/>
      <c r="D421" s="676" t="s">
        <v>160</v>
      </c>
      <c r="E421" s="677" t="s">
        <v>314</v>
      </c>
      <c r="F421" s="678" t="s">
        <v>323</v>
      </c>
      <c r="G421" s="679" t="s">
        <v>382</v>
      </c>
      <c r="H421" s="679" t="str">
        <f t="shared" si="111"/>
        <v>entree, gang, hal, repro, kopieer</v>
      </c>
      <c r="I421" s="689" t="s">
        <v>578</v>
      </c>
      <c r="J421" s="680">
        <v>6.6</v>
      </c>
      <c r="K421" s="680"/>
      <c r="L421" s="692">
        <v>3052</v>
      </c>
      <c r="M421" s="677"/>
      <c r="N421" s="682"/>
      <c r="O421" s="682"/>
      <c r="P421" s="682">
        <f t="shared" si="104"/>
        <v>52</v>
      </c>
      <c r="Q421" s="683">
        <v>0.5</v>
      </c>
      <c r="R421" s="684">
        <v>1</v>
      </c>
      <c r="S421" s="685">
        <f t="shared" si="105"/>
        <v>0</v>
      </c>
      <c r="T421" s="685">
        <f t="shared" si="106"/>
        <v>0</v>
      </c>
      <c r="U421" s="685">
        <f t="shared" si="107"/>
        <v>0</v>
      </c>
      <c r="V421" s="685">
        <f t="shared" si="108"/>
        <v>0</v>
      </c>
      <c r="W421" s="686">
        <f t="shared" si="98"/>
        <v>0</v>
      </c>
      <c r="X421" s="686">
        <f t="shared" si="99"/>
        <v>0</v>
      </c>
      <c r="Y421" s="686">
        <f t="shared" si="100"/>
        <v>0</v>
      </c>
      <c r="Z421" s="686">
        <f t="shared" si="101"/>
        <v>0</v>
      </c>
      <c r="AA421" s="685" t="str">
        <f t="shared" si="102"/>
        <v>V</v>
      </c>
      <c r="AB421" s="687"/>
      <c r="AC421" s="688" t="e">
        <f>(S421+T421+U421)*'1.0-Contractblad'!$K$68</f>
        <v>#VALUE!</v>
      </c>
      <c r="AD421" s="688"/>
      <c r="AE421" s="48">
        <f t="shared" si="103"/>
        <v>0</v>
      </c>
      <c r="AF421" s="48">
        <f t="shared" si="109"/>
        <v>343.2</v>
      </c>
      <c r="AG421" s="48" t="str">
        <f t="shared" si="110"/>
        <v>3052-52</v>
      </c>
    </row>
    <row r="422" spans="1:33" ht="12.75">
      <c r="A422" s="102"/>
      <c r="B422" s="364"/>
      <c r="C422" s="365"/>
      <c r="D422" s="676" t="s">
        <v>160</v>
      </c>
      <c r="E422" s="677" t="s">
        <v>314</v>
      </c>
      <c r="F422" s="678" t="s">
        <v>325</v>
      </c>
      <c r="G422" s="679" t="s">
        <v>405</v>
      </c>
      <c r="H422" s="679" t="str">
        <f t="shared" si="111"/>
        <v>sanitaire ruimte (toilet-/doucheruimte)</v>
      </c>
      <c r="I422" s="689" t="s">
        <v>578</v>
      </c>
      <c r="J422" s="680">
        <v>1.66</v>
      </c>
      <c r="K422" s="680"/>
      <c r="L422" s="692">
        <v>4052</v>
      </c>
      <c r="M422" s="677"/>
      <c r="N422" s="682"/>
      <c r="O422" s="682"/>
      <c r="P422" s="682">
        <f t="shared" si="104"/>
        <v>52</v>
      </c>
      <c r="Q422" s="683">
        <v>0.5</v>
      </c>
      <c r="R422" s="684">
        <v>1</v>
      </c>
      <c r="S422" s="685">
        <f t="shared" si="105"/>
        <v>0</v>
      </c>
      <c r="T422" s="685">
        <f t="shared" si="106"/>
        <v>0</v>
      </c>
      <c r="U422" s="685">
        <f t="shared" si="107"/>
        <v>0</v>
      </c>
      <c r="V422" s="685">
        <f t="shared" si="108"/>
        <v>0</v>
      </c>
      <c r="W422" s="686">
        <f t="shared" si="98"/>
        <v>0</v>
      </c>
      <c r="X422" s="686">
        <f t="shared" si="99"/>
        <v>0</v>
      </c>
      <c r="Y422" s="686">
        <f t="shared" si="100"/>
        <v>0</v>
      </c>
      <c r="Z422" s="686">
        <f t="shared" si="101"/>
        <v>0</v>
      </c>
      <c r="AA422" s="685" t="str">
        <f t="shared" si="102"/>
        <v>S</v>
      </c>
      <c r="AB422" s="687"/>
      <c r="AC422" s="688" t="e">
        <f>(S422+T422+U422)*'1.0-Contractblad'!$K$68</f>
        <v>#VALUE!</v>
      </c>
      <c r="AD422" s="688"/>
      <c r="AE422" s="48">
        <f t="shared" si="103"/>
        <v>0</v>
      </c>
      <c r="AF422" s="48">
        <f t="shared" si="109"/>
        <v>86.32</v>
      </c>
      <c r="AG422" s="48" t="str">
        <f t="shared" si="110"/>
        <v>4052-52</v>
      </c>
    </row>
    <row r="423" spans="1:33" ht="12.75">
      <c r="A423" s="102"/>
      <c r="B423" s="364"/>
      <c r="C423" s="365"/>
      <c r="D423" s="676" t="s">
        <v>160</v>
      </c>
      <c r="E423" s="677" t="s">
        <v>314</v>
      </c>
      <c r="F423" s="678" t="s">
        <v>327</v>
      </c>
      <c r="G423" s="676" t="s">
        <v>781</v>
      </c>
      <c r="H423" s="679" t="str">
        <f t="shared" si="111"/>
        <v>entree, gang, hal, repro, kopieer</v>
      </c>
      <c r="I423" s="689" t="s">
        <v>782</v>
      </c>
      <c r="J423" s="680">
        <v>17.32</v>
      </c>
      <c r="K423" s="680"/>
      <c r="L423" s="692">
        <v>3052</v>
      </c>
      <c r="M423" s="677"/>
      <c r="N423" s="682"/>
      <c r="O423" s="682"/>
      <c r="P423" s="682">
        <f t="shared" si="104"/>
        <v>52</v>
      </c>
      <c r="Q423" s="683">
        <v>0.5</v>
      </c>
      <c r="R423" s="684">
        <v>1</v>
      </c>
      <c r="S423" s="685">
        <f t="shared" si="105"/>
        <v>0</v>
      </c>
      <c r="T423" s="685">
        <f t="shared" si="106"/>
        <v>0</v>
      </c>
      <c r="U423" s="685">
        <f t="shared" si="107"/>
        <v>0</v>
      </c>
      <c r="V423" s="685">
        <f t="shared" si="108"/>
        <v>0</v>
      </c>
      <c r="W423" s="686">
        <f t="shared" si="98"/>
        <v>0</v>
      </c>
      <c r="X423" s="686">
        <f t="shared" si="99"/>
        <v>0</v>
      </c>
      <c r="Y423" s="686">
        <f t="shared" si="100"/>
        <v>0</v>
      </c>
      <c r="Z423" s="686">
        <f t="shared" si="101"/>
        <v>0</v>
      </c>
      <c r="AA423" s="685" t="str">
        <f t="shared" si="102"/>
        <v>V</v>
      </c>
      <c r="AB423" s="687"/>
      <c r="AC423" s="688" t="e">
        <f>(S423+T423+U423)*'1.0-Contractblad'!$K$68</f>
        <v>#VALUE!</v>
      </c>
      <c r="AD423" s="688"/>
      <c r="AE423" s="48">
        <f t="shared" si="103"/>
        <v>0</v>
      </c>
      <c r="AF423" s="48">
        <f t="shared" si="109"/>
        <v>900.64</v>
      </c>
      <c r="AG423" s="48" t="str">
        <f t="shared" si="110"/>
        <v>3052-52</v>
      </c>
    </row>
    <row r="424" spans="1:33" ht="12.75">
      <c r="A424" s="102"/>
      <c r="B424" s="364"/>
      <c r="C424" s="365"/>
      <c r="D424" s="676" t="s">
        <v>160</v>
      </c>
      <c r="E424" s="677" t="s">
        <v>314</v>
      </c>
      <c r="F424" s="678" t="s">
        <v>330</v>
      </c>
      <c r="G424" s="679" t="s">
        <v>386</v>
      </c>
      <c r="H424" s="679" t="str">
        <f t="shared" si="111"/>
        <v>administratieve -, personeels- en vergaderruimte</v>
      </c>
      <c r="I424" s="689" t="s">
        <v>783</v>
      </c>
      <c r="J424" s="680">
        <v>34.799999999999997</v>
      </c>
      <c r="K424" s="680"/>
      <c r="L424" s="692">
        <v>1052</v>
      </c>
      <c r="M424" s="677"/>
      <c r="N424" s="682"/>
      <c r="O424" s="682"/>
      <c r="P424" s="682">
        <f t="shared" si="104"/>
        <v>52</v>
      </c>
      <c r="Q424" s="683">
        <v>0.5</v>
      </c>
      <c r="R424" s="684">
        <v>1</v>
      </c>
      <c r="S424" s="685">
        <f t="shared" si="105"/>
        <v>0</v>
      </c>
      <c r="T424" s="685">
        <f t="shared" si="106"/>
        <v>0</v>
      </c>
      <c r="U424" s="685">
        <f t="shared" si="107"/>
        <v>0</v>
      </c>
      <c r="V424" s="685">
        <f t="shared" si="108"/>
        <v>0</v>
      </c>
      <c r="W424" s="686">
        <f t="shared" si="98"/>
        <v>0</v>
      </c>
      <c r="X424" s="686">
        <f t="shared" si="99"/>
        <v>0</v>
      </c>
      <c r="Y424" s="686">
        <f t="shared" si="100"/>
        <v>0</v>
      </c>
      <c r="Z424" s="686">
        <f t="shared" si="101"/>
        <v>0</v>
      </c>
      <c r="AA424" s="685" t="str">
        <f t="shared" si="102"/>
        <v>B</v>
      </c>
      <c r="AB424" s="687"/>
      <c r="AC424" s="688" t="e">
        <f>(S424+T424+U424)*'1.0-Contractblad'!$K$68</f>
        <v>#VALUE!</v>
      </c>
      <c r="AD424" s="688"/>
      <c r="AE424" s="48">
        <f t="shared" si="103"/>
        <v>0</v>
      </c>
      <c r="AF424" s="48">
        <f t="shared" si="109"/>
        <v>1809.6</v>
      </c>
      <c r="AG424" s="48" t="str">
        <f t="shared" si="110"/>
        <v>1052-52</v>
      </c>
    </row>
    <row r="425" spans="1:33" ht="12.75">
      <c r="A425" s="102"/>
      <c r="B425" s="364"/>
      <c r="C425" s="365"/>
      <c r="D425" s="676" t="s">
        <v>160</v>
      </c>
      <c r="E425" s="677" t="s">
        <v>314</v>
      </c>
      <c r="F425" s="678" t="s">
        <v>332</v>
      </c>
      <c r="G425" s="676" t="s">
        <v>386</v>
      </c>
      <c r="H425" s="679" t="str">
        <f t="shared" si="111"/>
        <v>administratieve -, personeels- en vergaderruimte</v>
      </c>
      <c r="I425" s="689" t="s">
        <v>783</v>
      </c>
      <c r="J425" s="680">
        <v>20.09</v>
      </c>
      <c r="K425" s="680"/>
      <c r="L425" s="692">
        <v>1052</v>
      </c>
      <c r="M425" s="677"/>
      <c r="N425" s="682"/>
      <c r="O425" s="682"/>
      <c r="P425" s="682">
        <f t="shared" si="104"/>
        <v>52</v>
      </c>
      <c r="Q425" s="683">
        <v>0.5</v>
      </c>
      <c r="R425" s="684">
        <v>1</v>
      </c>
      <c r="S425" s="685">
        <f t="shared" si="105"/>
        <v>0</v>
      </c>
      <c r="T425" s="685">
        <f t="shared" si="106"/>
        <v>0</v>
      </c>
      <c r="U425" s="685">
        <f t="shared" si="107"/>
        <v>0</v>
      </c>
      <c r="V425" s="685">
        <f t="shared" si="108"/>
        <v>0</v>
      </c>
      <c r="W425" s="686">
        <f t="shared" si="98"/>
        <v>0</v>
      </c>
      <c r="X425" s="686">
        <f t="shared" si="99"/>
        <v>0</v>
      </c>
      <c r="Y425" s="686">
        <f t="shared" si="100"/>
        <v>0</v>
      </c>
      <c r="Z425" s="686">
        <f t="shared" si="101"/>
        <v>0</v>
      </c>
      <c r="AA425" s="685" t="str">
        <f t="shared" si="102"/>
        <v>B</v>
      </c>
      <c r="AB425" s="687"/>
      <c r="AC425" s="688" t="e">
        <f>(S425+T425+U425)*'1.0-Contractblad'!$K$68</f>
        <v>#VALUE!</v>
      </c>
      <c r="AD425" s="688"/>
      <c r="AE425" s="48">
        <f t="shared" si="103"/>
        <v>0</v>
      </c>
      <c r="AF425" s="48">
        <f t="shared" si="109"/>
        <v>1044.68</v>
      </c>
      <c r="AG425" s="48" t="str">
        <f t="shared" si="110"/>
        <v>1052-52</v>
      </c>
    </row>
    <row r="426" spans="1:33" ht="12.75">
      <c r="A426" s="102"/>
      <c r="B426" s="364"/>
      <c r="C426" s="365"/>
      <c r="D426" s="676" t="s">
        <v>92</v>
      </c>
      <c r="E426" s="677" t="s">
        <v>314</v>
      </c>
      <c r="F426" s="678" t="s">
        <v>376</v>
      </c>
      <c r="G426" s="676" t="s">
        <v>377</v>
      </c>
      <c r="H426" s="679" t="str">
        <f t="shared" si="111"/>
        <v>buitenbordes</v>
      </c>
      <c r="I426" s="689" t="s">
        <v>234</v>
      </c>
      <c r="J426" s="680">
        <v>1.66</v>
      </c>
      <c r="K426" s="680"/>
      <c r="L426" s="692">
        <v>16052</v>
      </c>
      <c r="M426" s="677"/>
      <c r="N426" s="682"/>
      <c r="O426" s="682"/>
      <c r="P426" s="682">
        <f t="shared" si="104"/>
        <v>52</v>
      </c>
      <c r="Q426" s="683">
        <v>1.48</v>
      </c>
      <c r="R426" s="684">
        <v>1</v>
      </c>
      <c r="S426" s="685">
        <f>W426*J426*Q426</f>
        <v>0</v>
      </c>
      <c r="T426" s="685">
        <f t="shared" si="106"/>
        <v>0</v>
      </c>
      <c r="U426" s="685">
        <f t="shared" si="107"/>
        <v>0</v>
      </c>
      <c r="V426" s="685">
        <f t="shared" si="108"/>
        <v>0</v>
      </c>
      <c r="W426" s="686">
        <f t="shared" si="98"/>
        <v>0</v>
      </c>
      <c r="X426" s="686">
        <f t="shared" si="99"/>
        <v>0</v>
      </c>
      <c r="Y426" s="686">
        <f t="shared" si="100"/>
        <v>0</v>
      </c>
      <c r="Z426" s="686">
        <f t="shared" si="101"/>
        <v>0</v>
      </c>
      <c r="AA426" s="685" t="str">
        <f t="shared" si="102"/>
        <v>V</v>
      </c>
      <c r="AB426" s="687" t="s">
        <v>622</v>
      </c>
      <c r="AC426" s="688" t="e">
        <f>(S426+T426+U426)*'1.0-Contractblad'!$K$68</f>
        <v>#VALUE!</v>
      </c>
      <c r="AD426" s="688"/>
      <c r="AE426" s="48">
        <f t="shared" si="103"/>
        <v>0</v>
      </c>
      <c r="AF426" s="48">
        <f t="shared" si="109"/>
        <v>86.32</v>
      </c>
      <c r="AG426" s="48" t="str">
        <f t="shared" si="110"/>
        <v>16052-52</v>
      </c>
    </row>
    <row r="427" spans="1:33" ht="12.75">
      <c r="A427" s="102"/>
      <c r="B427" s="364"/>
      <c r="C427" s="365"/>
      <c r="D427" s="676" t="s">
        <v>92</v>
      </c>
      <c r="E427" s="677" t="s">
        <v>314</v>
      </c>
      <c r="F427" s="678" t="s">
        <v>315</v>
      </c>
      <c r="G427" s="679" t="s">
        <v>626</v>
      </c>
      <c r="H427" s="679" t="str">
        <f t="shared" si="111"/>
        <v>entree, gang, hal, repro, kopieer</v>
      </c>
      <c r="I427" s="689" t="s">
        <v>455</v>
      </c>
      <c r="J427" s="680">
        <v>3.67</v>
      </c>
      <c r="K427" s="680"/>
      <c r="L427" s="692">
        <v>3052</v>
      </c>
      <c r="M427" s="677"/>
      <c r="N427" s="682"/>
      <c r="O427" s="682"/>
      <c r="P427" s="682">
        <f t="shared" si="104"/>
        <v>52</v>
      </c>
      <c r="Q427" s="683">
        <v>1.48</v>
      </c>
      <c r="R427" s="684">
        <v>1</v>
      </c>
      <c r="S427" s="685">
        <f t="shared" si="105"/>
        <v>0</v>
      </c>
      <c r="T427" s="685">
        <f t="shared" si="106"/>
        <v>0</v>
      </c>
      <c r="U427" s="685">
        <f t="shared" si="107"/>
        <v>0</v>
      </c>
      <c r="V427" s="685">
        <f t="shared" si="108"/>
        <v>0</v>
      </c>
      <c r="W427" s="686">
        <f t="shared" si="98"/>
        <v>0</v>
      </c>
      <c r="X427" s="686">
        <f t="shared" si="99"/>
        <v>0</v>
      </c>
      <c r="Y427" s="686">
        <f t="shared" si="100"/>
        <v>0</v>
      </c>
      <c r="Z427" s="686">
        <f t="shared" si="101"/>
        <v>0</v>
      </c>
      <c r="AA427" s="685" t="str">
        <f t="shared" si="102"/>
        <v>V</v>
      </c>
      <c r="AB427" s="687" t="s">
        <v>622</v>
      </c>
      <c r="AC427" s="688" t="e">
        <f>(S427+T427+U427)*'1.0-Contractblad'!$K$68</f>
        <v>#VALUE!</v>
      </c>
      <c r="AD427" s="688"/>
      <c r="AE427" s="48">
        <f t="shared" si="103"/>
        <v>0</v>
      </c>
      <c r="AF427" s="48">
        <f t="shared" si="109"/>
        <v>190.84</v>
      </c>
      <c r="AG427" s="48" t="str">
        <f t="shared" si="110"/>
        <v>3052-52</v>
      </c>
    </row>
    <row r="428" spans="1:33" ht="12.75">
      <c r="A428" s="102"/>
      <c r="B428" s="364"/>
      <c r="C428" s="365"/>
      <c r="D428" s="676" t="s">
        <v>92</v>
      </c>
      <c r="E428" s="677" t="s">
        <v>314</v>
      </c>
      <c r="F428" s="678" t="s">
        <v>317</v>
      </c>
      <c r="G428" s="679" t="s">
        <v>382</v>
      </c>
      <c r="H428" s="679" t="str">
        <f t="shared" si="111"/>
        <v>entree, gang, hal, repro, kopieer</v>
      </c>
      <c r="I428" s="689" t="s">
        <v>238</v>
      </c>
      <c r="J428" s="680">
        <v>17.57</v>
      </c>
      <c r="K428" s="680"/>
      <c r="L428" s="692">
        <v>3052</v>
      </c>
      <c r="M428" s="677"/>
      <c r="N428" s="682"/>
      <c r="O428" s="682"/>
      <c r="P428" s="682">
        <f t="shared" si="104"/>
        <v>52</v>
      </c>
      <c r="Q428" s="683">
        <v>1.48</v>
      </c>
      <c r="R428" s="684">
        <v>1</v>
      </c>
      <c r="S428" s="685">
        <f t="shared" si="105"/>
        <v>0</v>
      </c>
      <c r="T428" s="685">
        <f t="shared" si="106"/>
        <v>0</v>
      </c>
      <c r="U428" s="685">
        <f t="shared" si="107"/>
        <v>0</v>
      </c>
      <c r="V428" s="685">
        <f t="shared" si="108"/>
        <v>0</v>
      </c>
      <c r="W428" s="686">
        <f t="shared" si="98"/>
        <v>0</v>
      </c>
      <c r="X428" s="686">
        <f t="shared" si="99"/>
        <v>0</v>
      </c>
      <c r="Y428" s="686">
        <f t="shared" si="100"/>
        <v>0</v>
      </c>
      <c r="Z428" s="686">
        <f t="shared" si="101"/>
        <v>0</v>
      </c>
      <c r="AA428" s="685" t="str">
        <f t="shared" si="102"/>
        <v>V</v>
      </c>
      <c r="AB428" s="687" t="s">
        <v>622</v>
      </c>
      <c r="AC428" s="688" t="e">
        <f>(S428+T428+U428)*'1.0-Contractblad'!$K$68</f>
        <v>#VALUE!</v>
      </c>
      <c r="AD428" s="688"/>
      <c r="AE428" s="48">
        <f t="shared" si="103"/>
        <v>0</v>
      </c>
      <c r="AF428" s="48">
        <f t="shared" si="109"/>
        <v>913.64</v>
      </c>
      <c r="AG428" s="48" t="str">
        <f t="shared" si="110"/>
        <v>3052-52</v>
      </c>
    </row>
    <row r="429" spans="1:33" ht="12.75">
      <c r="A429" s="102"/>
      <c r="B429" s="364"/>
      <c r="C429" s="365"/>
      <c r="D429" s="676" t="s">
        <v>92</v>
      </c>
      <c r="E429" s="677" t="s">
        <v>314</v>
      </c>
      <c r="F429" s="678" t="s">
        <v>320</v>
      </c>
      <c r="G429" s="679" t="s">
        <v>784</v>
      </c>
      <c r="H429" s="679" t="str">
        <f t="shared" si="111"/>
        <v>kleedruimten</v>
      </c>
      <c r="I429" s="689" t="s">
        <v>234</v>
      </c>
      <c r="J429" s="680">
        <v>7.29</v>
      </c>
      <c r="K429" s="680"/>
      <c r="L429" s="692">
        <v>10052</v>
      </c>
      <c r="M429" s="677"/>
      <c r="N429" s="682"/>
      <c r="O429" s="682"/>
      <c r="P429" s="682">
        <f t="shared" si="104"/>
        <v>52</v>
      </c>
      <c r="Q429" s="683">
        <v>1.48</v>
      </c>
      <c r="R429" s="684">
        <v>1</v>
      </c>
      <c r="S429" s="685">
        <f t="shared" si="105"/>
        <v>0</v>
      </c>
      <c r="T429" s="685">
        <f t="shared" si="106"/>
        <v>0</v>
      </c>
      <c r="U429" s="685">
        <f t="shared" si="107"/>
        <v>0</v>
      </c>
      <c r="V429" s="685">
        <f t="shared" si="108"/>
        <v>0</v>
      </c>
      <c r="W429" s="686">
        <f t="shared" si="98"/>
        <v>0</v>
      </c>
      <c r="X429" s="686">
        <f t="shared" si="99"/>
        <v>0</v>
      </c>
      <c r="Y429" s="686">
        <f t="shared" si="100"/>
        <v>0</v>
      </c>
      <c r="Z429" s="686">
        <f t="shared" si="101"/>
        <v>0</v>
      </c>
      <c r="AA429" s="685" t="str">
        <f t="shared" si="102"/>
        <v>V</v>
      </c>
      <c r="AB429" s="687" t="s">
        <v>622</v>
      </c>
      <c r="AC429" s="688" t="e">
        <f>(S429+T429+U429)*'1.0-Contractblad'!$K$68</f>
        <v>#VALUE!</v>
      </c>
      <c r="AD429" s="688"/>
      <c r="AE429" s="48">
        <f t="shared" si="103"/>
        <v>0</v>
      </c>
      <c r="AF429" s="48">
        <f t="shared" si="109"/>
        <v>379.08</v>
      </c>
      <c r="AG429" s="48" t="str">
        <f t="shared" si="110"/>
        <v>10052-52</v>
      </c>
    </row>
    <row r="430" spans="1:33" ht="12.75">
      <c r="A430" s="102"/>
      <c r="B430" s="364"/>
      <c r="C430" s="365"/>
      <c r="D430" s="676" t="s">
        <v>92</v>
      </c>
      <c r="E430" s="677" t="s">
        <v>314</v>
      </c>
      <c r="F430" s="678" t="s">
        <v>323</v>
      </c>
      <c r="G430" s="679" t="s">
        <v>405</v>
      </c>
      <c r="H430" s="679" t="str">
        <f t="shared" si="111"/>
        <v>sanitaire ruimte (toilet-/doucheruimte)</v>
      </c>
      <c r="I430" s="689" t="s">
        <v>234</v>
      </c>
      <c r="J430" s="680">
        <v>1.22</v>
      </c>
      <c r="K430" s="680"/>
      <c r="L430" s="692">
        <v>4052</v>
      </c>
      <c r="M430" s="677"/>
      <c r="N430" s="682"/>
      <c r="O430" s="682"/>
      <c r="P430" s="682">
        <f t="shared" si="104"/>
        <v>52</v>
      </c>
      <c r="Q430" s="683">
        <v>1.48</v>
      </c>
      <c r="R430" s="684">
        <v>1</v>
      </c>
      <c r="S430" s="685">
        <f t="shared" si="105"/>
        <v>0</v>
      </c>
      <c r="T430" s="685">
        <f t="shared" si="106"/>
        <v>0</v>
      </c>
      <c r="U430" s="685">
        <f t="shared" si="107"/>
        <v>0</v>
      </c>
      <c r="V430" s="685">
        <f t="shared" si="108"/>
        <v>0</v>
      </c>
      <c r="W430" s="686">
        <f t="shared" si="98"/>
        <v>0</v>
      </c>
      <c r="X430" s="686">
        <f t="shared" si="99"/>
        <v>0</v>
      </c>
      <c r="Y430" s="686">
        <f t="shared" si="100"/>
        <v>0</v>
      </c>
      <c r="Z430" s="686">
        <f t="shared" si="101"/>
        <v>0</v>
      </c>
      <c r="AA430" s="685" t="str">
        <f t="shared" si="102"/>
        <v>S</v>
      </c>
      <c r="AB430" s="687" t="s">
        <v>622</v>
      </c>
      <c r="AC430" s="688" t="e">
        <f>(S430+T430+U430)*'1.0-Contractblad'!$K$68</f>
        <v>#VALUE!</v>
      </c>
      <c r="AD430" s="688"/>
      <c r="AE430" s="48">
        <f t="shared" si="103"/>
        <v>0</v>
      </c>
      <c r="AF430" s="48">
        <f t="shared" si="109"/>
        <v>63.44</v>
      </c>
      <c r="AG430" s="48" t="str">
        <f t="shared" si="110"/>
        <v>4052-52</v>
      </c>
    </row>
    <row r="431" spans="1:33" ht="12.75">
      <c r="A431" s="102"/>
      <c r="B431" s="364"/>
      <c r="C431" s="365"/>
      <c r="D431" s="676" t="s">
        <v>92</v>
      </c>
      <c r="E431" s="677" t="s">
        <v>314</v>
      </c>
      <c r="F431" s="678" t="s">
        <v>325</v>
      </c>
      <c r="G431" s="679" t="s">
        <v>359</v>
      </c>
      <c r="H431" s="679" t="str">
        <f t="shared" si="111"/>
        <v>sanitaire ruimte (toilet-/doucheruimte)</v>
      </c>
      <c r="I431" s="689" t="s">
        <v>234</v>
      </c>
      <c r="J431" s="680">
        <v>2.7</v>
      </c>
      <c r="K431" s="680"/>
      <c r="L431" s="692">
        <v>4052</v>
      </c>
      <c r="M431" s="677"/>
      <c r="N431" s="682"/>
      <c r="O431" s="682"/>
      <c r="P431" s="682">
        <f t="shared" si="104"/>
        <v>52</v>
      </c>
      <c r="Q431" s="683">
        <v>1.48</v>
      </c>
      <c r="R431" s="684">
        <v>1</v>
      </c>
      <c r="S431" s="685">
        <f t="shared" si="105"/>
        <v>0</v>
      </c>
      <c r="T431" s="685">
        <f t="shared" si="106"/>
        <v>0</v>
      </c>
      <c r="U431" s="685">
        <f t="shared" si="107"/>
        <v>0</v>
      </c>
      <c r="V431" s="685">
        <f t="shared" si="108"/>
        <v>0</v>
      </c>
      <c r="W431" s="686">
        <f t="shared" si="98"/>
        <v>0</v>
      </c>
      <c r="X431" s="686">
        <f t="shared" si="99"/>
        <v>0</v>
      </c>
      <c r="Y431" s="686">
        <f t="shared" si="100"/>
        <v>0</v>
      </c>
      <c r="Z431" s="686">
        <f t="shared" si="101"/>
        <v>0</v>
      </c>
      <c r="AA431" s="685" t="str">
        <f t="shared" si="102"/>
        <v>S</v>
      </c>
      <c r="AB431" s="687" t="s">
        <v>622</v>
      </c>
      <c r="AC431" s="688" t="e">
        <f>(S431+T431+U431)*'1.0-Contractblad'!$K$68</f>
        <v>#VALUE!</v>
      </c>
      <c r="AD431" s="688"/>
      <c r="AE431" s="48">
        <f t="shared" si="103"/>
        <v>0</v>
      </c>
      <c r="AF431" s="48">
        <f t="shared" si="109"/>
        <v>140.4</v>
      </c>
      <c r="AG431" s="48" t="str">
        <f t="shared" si="110"/>
        <v>4052-52</v>
      </c>
    </row>
    <row r="432" spans="1:33" ht="12.75">
      <c r="A432" s="102"/>
      <c r="B432" s="364"/>
      <c r="C432" s="365"/>
      <c r="D432" s="676" t="s">
        <v>92</v>
      </c>
      <c r="E432" s="677" t="s">
        <v>314</v>
      </c>
      <c r="F432" s="678" t="s">
        <v>327</v>
      </c>
      <c r="G432" s="679" t="s">
        <v>392</v>
      </c>
      <c r="H432" s="679" t="str">
        <f t="shared" si="111"/>
        <v>niet van toepassing</v>
      </c>
      <c r="I432" s="689" t="s">
        <v>234</v>
      </c>
      <c r="J432" s="680"/>
      <c r="K432" s="680">
        <v>69.91</v>
      </c>
      <c r="L432" s="692" t="s">
        <v>225</v>
      </c>
      <c r="M432" s="677"/>
      <c r="N432" s="682"/>
      <c r="O432" s="682"/>
      <c r="P432" s="682">
        <f t="shared" si="104"/>
        <v>0</v>
      </c>
      <c r="Q432" s="683">
        <v>1.48</v>
      </c>
      <c r="R432" s="684">
        <v>1</v>
      </c>
      <c r="S432" s="685">
        <f t="shared" si="105"/>
        <v>0</v>
      </c>
      <c r="T432" s="685">
        <f t="shared" si="106"/>
        <v>0</v>
      </c>
      <c r="U432" s="685">
        <f t="shared" si="107"/>
        <v>0</v>
      </c>
      <c r="V432" s="685">
        <f t="shared" si="108"/>
        <v>0</v>
      </c>
      <c r="W432" s="686">
        <f t="shared" si="98"/>
        <v>0</v>
      </c>
      <c r="X432" s="686">
        <f t="shared" si="99"/>
        <v>0</v>
      </c>
      <c r="Y432" s="686">
        <f t="shared" si="100"/>
        <v>0</v>
      </c>
      <c r="Z432" s="686">
        <f t="shared" si="101"/>
        <v>0</v>
      </c>
      <c r="AA432" s="685">
        <f t="shared" si="102"/>
        <v>0</v>
      </c>
      <c r="AB432" s="687"/>
      <c r="AC432" s="688" t="e">
        <f>(S432+T432+U432)*'1.0-Contractblad'!$K$68</f>
        <v>#VALUE!</v>
      </c>
      <c r="AD432" s="688"/>
      <c r="AE432" s="48">
        <f t="shared" si="103"/>
        <v>0</v>
      </c>
      <c r="AF432" s="48">
        <f t="shared" si="109"/>
        <v>0</v>
      </c>
      <c r="AG432" s="48" t="str">
        <f t="shared" si="110"/>
        <v>nvt-0</v>
      </c>
    </row>
    <row r="433" spans="1:33" ht="12.75">
      <c r="A433" s="102"/>
      <c r="B433" s="364"/>
      <c r="C433" s="365"/>
      <c r="D433" s="676" t="s">
        <v>92</v>
      </c>
      <c r="E433" s="677" t="s">
        <v>314</v>
      </c>
      <c r="F433" s="678" t="s">
        <v>334</v>
      </c>
      <c r="G433" s="679" t="s">
        <v>386</v>
      </c>
      <c r="H433" s="679" t="str">
        <f t="shared" si="111"/>
        <v>administratieve -, personeels- en vergaderruimte</v>
      </c>
      <c r="I433" s="689" t="s">
        <v>387</v>
      </c>
      <c r="J433" s="680">
        <v>21.02</v>
      </c>
      <c r="K433" s="680"/>
      <c r="L433" s="692">
        <v>1052</v>
      </c>
      <c r="M433" s="677"/>
      <c r="N433" s="682"/>
      <c r="O433" s="682"/>
      <c r="P433" s="682">
        <f t="shared" si="104"/>
        <v>52</v>
      </c>
      <c r="Q433" s="683">
        <v>1.48</v>
      </c>
      <c r="R433" s="684">
        <v>1</v>
      </c>
      <c r="S433" s="685">
        <f t="shared" si="105"/>
        <v>0</v>
      </c>
      <c r="T433" s="685">
        <f t="shared" si="106"/>
        <v>0</v>
      </c>
      <c r="U433" s="685">
        <f t="shared" si="107"/>
        <v>0</v>
      </c>
      <c r="V433" s="685">
        <f t="shared" si="108"/>
        <v>0</v>
      </c>
      <c r="W433" s="686">
        <f t="shared" si="98"/>
        <v>0</v>
      </c>
      <c r="X433" s="686">
        <f t="shared" si="99"/>
        <v>0</v>
      </c>
      <c r="Y433" s="686">
        <f t="shared" si="100"/>
        <v>0</v>
      </c>
      <c r="Z433" s="686">
        <f t="shared" si="101"/>
        <v>0</v>
      </c>
      <c r="AA433" s="685" t="str">
        <f t="shared" si="102"/>
        <v>B</v>
      </c>
      <c r="AB433" s="687" t="s">
        <v>622</v>
      </c>
      <c r="AC433" s="688" t="e">
        <f>(S433+T433+U433)*'1.0-Contractblad'!$K$68</f>
        <v>#VALUE!</v>
      </c>
      <c r="AD433" s="688"/>
      <c r="AE433" s="48">
        <f t="shared" si="103"/>
        <v>0</v>
      </c>
      <c r="AF433" s="48">
        <f t="shared" si="109"/>
        <v>1093.04</v>
      </c>
      <c r="AG433" s="48" t="str">
        <f t="shared" si="110"/>
        <v>1052-52</v>
      </c>
    </row>
    <row r="434" spans="1:33" ht="12.75">
      <c r="A434" s="102"/>
      <c r="B434" s="364"/>
      <c r="C434" s="365"/>
      <c r="D434" s="676" t="s">
        <v>92</v>
      </c>
      <c r="E434" s="677" t="s">
        <v>314</v>
      </c>
      <c r="F434" s="678" t="s">
        <v>391</v>
      </c>
      <c r="G434" s="679" t="s">
        <v>785</v>
      </c>
      <c r="H434" s="679" t="str">
        <f t="shared" si="111"/>
        <v>pantry, keuken, koffiecorner</v>
      </c>
      <c r="I434" s="689" t="s">
        <v>786</v>
      </c>
      <c r="J434" s="680">
        <v>30.31</v>
      </c>
      <c r="K434" s="680"/>
      <c r="L434" s="692">
        <v>5052</v>
      </c>
      <c r="M434" s="677"/>
      <c r="N434" s="682"/>
      <c r="O434" s="682"/>
      <c r="P434" s="682">
        <f t="shared" si="104"/>
        <v>52</v>
      </c>
      <c r="Q434" s="683">
        <v>1.48</v>
      </c>
      <c r="R434" s="684">
        <v>1</v>
      </c>
      <c r="S434" s="685">
        <f t="shared" si="105"/>
        <v>0</v>
      </c>
      <c r="T434" s="685">
        <f t="shared" si="106"/>
        <v>0</v>
      </c>
      <c r="U434" s="685">
        <f t="shared" si="107"/>
        <v>0</v>
      </c>
      <c r="V434" s="685">
        <f t="shared" si="108"/>
        <v>0</v>
      </c>
      <c r="W434" s="686">
        <f t="shared" si="98"/>
        <v>0</v>
      </c>
      <c r="X434" s="686">
        <f t="shared" si="99"/>
        <v>0</v>
      </c>
      <c r="Y434" s="686">
        <f t="shared" si="100"/>
        <v>0</v>
      </c>
      <c r="Z434" s="686">
        <f t="shared" si="101"/>
        <v>0</v>
      </c>
      <c r="AA434" s="685" t="str">
        <f t="shared" si="102"/>
        <v>V</v>
      </c>
      <c r="AB434" s="687" t="s">
        <v>622</v>
      </c>
      <c r="AC434" s="688" t="e">
        <f>(S434+T434+U434)*'1.0-Contractblad'!$K$68</f>
        <v>#VALUE!</v>
      </c>
      <c r="AD434" s="688"/>
      <c r="AE434" s="48">
        <f t="shared" si="103"/>
        <v>0</v>
      </c>
      <c r="AF434" s="48">
        <f t="shared" si="109"/>
        <v>1576.12</v>
      </c>
      <c r="AG434" s="48" t="str">
        <f t="shared" si="110"/>
        <v>5052-52</v>
      </c>
    </row>
    <row r="435" spans="1:33" ht="12.75">
      <c r="A435" s="102"/>
      <c r="B435" s="364"/>
      <c r="C435" s="365"/>
      <c r="D435" s="676" t="s">
        <v>92</v>
      </c>
      <c r="E435" s="677" t="s">
        <v>314</v>
      </c>
      <c r="F435" s="678" t="s">
        <v>342</v>
      </c>
      <c r="G435" s="679" t="s">
        <v>383</v>
      </c>
      <c r="H435" s="679" t="str">
        <f t="shared" si="111"/>
        <v>labruimte</v>
      </c>
      <c r="I435" s="689" t="s">
        <v>786</v>
      </c>
      <c r="J435" s="680">
        <v>10.23</v>
      </c>
      <c r="K435" s="680"/>
      <c r="L435" s="692">
        <v>8052</v>
      </c>
      <c r="M435" s="677"/>
      <c r="N435" s="682"/>
      <c r="O435" s="682"/>
      <c r="P435" s="682">
        <f t="shared" si="104"/>
        <v>52</v>
      </c>
      <c r="Q435" s="683">
        <v>1.48</v>
      </c>
      <c r="R435" s="684">
        <v>1</v>
      </c>
      <c r="S435" s="685">
        <f t="shared" si="105"/>
        <v>0</v>
      </c>
      <c r="T435" s="685">
        <f t="shared" si="106"/>
        <v>0</v>
      </c>
      <c r="U435" s="685">
        <f t="shared" si="107"/>
        <v>0</v>
      </c>
      <c r="V435" s="685">
        <f t="shared" si="108"/>
        <v>0</v>
      </c>
      <c r="W435" s="686">
        <f t="shared" si="98"/>
        <v>0</v>
      </c>
      <c r="X435" s="686">
        <f t="shared" si="99"/>
        <v>0</v>
      </c>
      <c r="Y435" s="686">
        <f t="shared" si="100"/>
        <v>0</v>
      </c>
      <c r="Z435" s="686">
        <f t="shared" si="101"/>
        <v>0</v>
      </c>
      <c r="AA435" s="685" t="str">
        <f t="shared" si="102"/>
        <v>V</v>
      </c>
      <c r="AB435" s="687" t="s">
        <v>622</v>
      </c>
      <c r="AC435" s="688" t="e">
        <f>(S435+T435+U435)*'1.0-Contractblad'!$K$68</f>
        <v>#VALUE!</v>
      </c>
      <c r="AD435" s="688"/>
      <c r="AE435" s="48">
        <f t="shared" si="103"/>
        <v>0</v>
      </c>
      <c r="AF435" s="48">
        <f t="shared" si="109"/>
        <v>531.96</v>
      </c>
      <c r="AG435" s="48" t="str">
        <f t="shared" si="110"/>
        <v>8052-52</v>
      </c>
    </row>
    <row r="436" spans="1:33" ht="12.75">
      <c r="A436" s="102"/>
      <c r="B436" s="364"/>
      <c r="C436" s="365"/>
      <c r="D436" s="676" t="s">
        <v>92</v>
      </c>
      <c r="E436" s="677" t="s">
        <v>314</v>
      </c>
      <c r="F436" s="678" t="s">
        <v>394</v>
      </c>
      <c r="G436" s="679" t="s">
        <v>386</v>
      </c>
      <c r="H436" s="679" t="str">
        <f t="shared" si="111"/>
        <v>administratieve -, personeels- en vergaderruimte</v>
      </c>
      <c r="I436" s="689" t="s">
        <v>786</v>
      </c>
      <c r="J436" s="680">
        <v>14.08</v>
      </c>
      <c r="K436" s="680"/>
      <c r="L436" s="692">
        <v>1052</v>
      </c>
      <c r="M436" s="677"/>
      <c r="N436" s="682"/>
      <c r="O436" s="682"/>
      <c r="P436" s="682">
        <f t="shared" si="104"/>
        <v>52</v>
      </c>
      <c r="Q436" s="683">
        <v>1.48</v>
      </c>
      <c r="R436" s="684">
        <v>1</v>
      </c>
      <c r="S436" s="685">
        <f t="shared" si="105"/>
        <v>0</v>
      </c>
      <c r="T436" s="685">
        <f t="shared" si="106"/>
        <v>0</v>
      </c>
      <c r="U436" s="685">
        <f t="shared" si="107"/>
        <v>0</v>
      </c>
      <c r="V436" s="685">
        <f t="shared" si="108"/>
        <v>0</v>
      </c>
      <c r="W436" s="686">
        <f t="shared" si="98"/>
        <v>0</v>
      </c>
      <c r="X436" s="686">
        <f t="shared" si="99"/>
        <v>0</v>
      </c>
      <c r="Y436" s="686">
        <f t="shared" si="100"/>
        <v>0</v>
      </c>
      <c r="Z436" s="686">
        <f t="shared" si="101"/>
        <v>0</v>
      </c>
      <c r="AA436" s="685" t="str">
        <f t="shared" si="102"/>
        <v>B</v>
      </c>
      <c r="AB436" s="687" t="s">
        <v>622</v>
      </c>
      <c r="AC436" s="688" t="e">
        <f>(S436+T436+U436)*'1.0-Contractblad'!$K$68</f>
        <v>#VALUE!</v>
      </c>
      <c r="AD436" s="688"/>
      <c r="AE436" s="48">
        <f t="shared" si="103"/>
        <v>0</v>
      </c>
      <c r="AF436" s="48">
        <f t="shared" si="109"/>
        <v>732.16</v>
      </c>
      <c r="AG436" s="48" t="str">
        <f t="shared" si="110"/>
        <v>1052-52</v>
      </c>
    </row>
    <row r="437" spans="1:33" ht="12.75">
      <c r="A437" s="102"/>
      <c r="B437" s="364"/>
      <c r="C437" s="365"/>
      <c r="D437" s="676" t="s">
        <v>92</v>
      </c>
      <c r="E437" s="677" t="s">
        <v>314</v>
      </c>
      <c r="F437" s="678" t="s">
        <v>348</v>
      </c>
      <c r="G437" s="679" t="s">
        <v>787</v>
      </c>
      <c r="H437" s="679" t="str">
        <f t="shared" si="111"/>
        <v>entree, gang, hal, repro, kopieer</v>
      </c>
      <c r="I437" s="689" t="s">
        <v>786</v>
      </c>
      <c r="J437" s="680">
        <v>1.83</v>
      </c>
      <c r="K437" s="680"/>
      <c r="L437" s="692">
        <v>3052</v>
      </c>
      <c r="M437" s="677"/>
      <c r="N437" s="682"/>
      <c r="O437" s="682"/>
      <c r="P437" s="682">
        <f t="shared" si="104"/>
        <v>52</v>
      </c>
      <c r="Q437" s="683">
        <v>1.48</v>
      </c>
      <c r="R437" s="684">
        <v>1</v>
      </c>
      <c r="S437" s="685">
        <f t="shared" si="105"/>
        <v>0</v>
      </c>
      <c r="T437" s="685">
        <f t="shared" si="106"/>
        <v>0</v>
      </c>
      <c r="U437" s="685">
        <f t="shared" si="107"/>
        <v>0</v>
      </c>
      <c r="V437" s="685">
        <f t="shared" si="108"/>
        <v>0</v>
      </c>
      <c r="W437" s="686">
        <f t="shared" si="98"/>
        <v>0</v>
      </c>
      <c r="X437" s="686">
        <f t="shared" si="99"/>
        <v>0</v>
      </c>
      <c r="Y437" s="686">
        <f t="shared" si="100"/>
        <v>0</v>
      </c>
      <c r="Z437" s="686">
        <f t="shared" si="101"/>
        <v>0</v>
      </c>
      <c r="AA437" s="685" t="str">
        <f t="shared" si="102"/>
        <v>V</v>
      </c>
      <c r="AB437" s="687" t="s">
        <v>622</v>
      </c>
      <c r="AC437" s="688" t="e">
        <f>(S437+T437+U437)*'1.0-Contractblad'!$K$68</f>
        <v>#VALUE!</v>
      </c>
      <c r="AD437" s="688"/>
      <c r="AE437" s="48">
        <f t="shared" si="103"/>
        <v>0</v>
      </c>
      <c r="AF437" s="48">
        <f t="shared" si="109"/>
        <v>95.16</v>
      </c>
      <c r="AG437" s="48" t="str">
        <f t="shared" si="110"/>
        <v>3052-52</v>
      </c>
    </row>
    <row r="438" spans="1:33" s="416" customFormat="1" ht="12.75">
      <c r="A438" s="655"/>
      <c r="B438" s="656"/>
      <c r="C438" s="657"/>
      <c r="D438" s="676" t="s">
        <v>92</v>
      </c>
      <c r="E438" s="677" t="s">
        <v>314</v>
      </c>
      <c r="F438" s="678" t="s">
        <v>350</v>
      </c>
      <c r="G438" s="679" t="s">
        <v>405</v>
      </c>
      <c r="H438" s="679" t="str">
        <f t="shared" si="111"/>
        <v>sanitaire ruimte (toilet-/doucheruimte)</v>
      </c>
      <c r="I438" s="689" t="s">
        <v>234</v>
      </c>
      <c r="J438" s="680">
        <v>1.86</v>
      </c>
      <c r="K438" s="680"/>
      <c r="L438" s="692">
        <v>4052</v>
      </c>
      <c r="M438" s="677"/>
      <c r="N438" s="682"/>
      <c r="O438" s="682"/>
      <c r="P438" s="682">
        <f t="shared" si="104"/>
        <v>52</v>
      </c>
      <c r="Q438" s="683">
        <v>1.48</v>
      </c>
      <c r="R438" s="697">
        <v>1</v>
      </c>
      <c r="S438" s="698">
        <f t="shared" si="105"/>
        <v>0</v>
      </c>
      <c r="T438" s="698">
        <f t="shared" si="106"/>
        <v>0</v>
      </c>
      <c r="U438" s="698">
        <f t="shared" si="107"/>
        <v>0</v>
      </c>
      <c r="V438" s="698">
        <f t="shared" si="108"/>
        <v>0</v>
      </c>
      <c r="W438" s="699">
        <f t="shared" si="98"/>
        <v>0</v>
      </c>
      <c r="X438" s="699">
        <f t="shared" si="99"/>
        <v>0</v>
      </c>
      <c r="Y438" s="699">
        <f t="shared" si="100"/>
        <v>0</v>
      </c>
      <c r="Z438" s="699">
        <f t="shared" si="101"/>
        <v>0</v>
      </c>
      <c r="AA438" s="698" t="str">
        <f t="shared" si="102"/>
        <v>S</v>
      </c>
      <c r="AB438" s="689" t="s">
        <v>622</v>
      </c>
      <c r="AC438" s="700" t="e">
        <f>(S438+T438+U438)*'1.0-Contractblad'!$K$68</f>
        <v>#VALUE!</v>
      </c>
      <c r="AD438" s="700"/>
      <c r="AE438" s="416">
        <f t="shared" si="103"/>
        <v>0</v>
      </c>
      <c r="AF438" s="416">
        <f t="shared" si="109"/>
        <v>96.72</v>
      </c>
      <c r="AG438" s="416" t="str">
        <f t="shared" si="110"/>
        <v>4052-52</v>
      </c>
    </row>
    <row r="439" spans="1:33" s="416" customFormat="1" ht="12.75">
      <c r="A439" s="655"/>
      <c r="B439" s="656"/>
      <c r="C439" s="657"/>
      <c r="D439" s="676" t="s">
        <v>145</v>
      </c>
      <c r="E439" s="677" t="s">
        <v>314</v>
      </c>
      <c r="F439" s="678" t="s">
        <v>315</v>
      </c>
      <c r="G439" s="679" t="s">
        <v>318</v>
      </c>
      <c r="H439" s="679" t="str">
        <f t="shared" ref="H439:H490" si="112">IF($L439="",0,VLOOKUP($L439,Kengetal,4,FALSE))</f>
        <v>entree, gang, hal, repro, kopieer</v>
      </c>
      <c r="I439" s="689" t="s">
        <v>242</v>
      </c>
      <c r="J439" s="680">
        <v>3.35</v>
      </c>
      <c r="K439" s="680"/>
      <c r="L439" s="681">
        <v>3104</v>
      </c>
      <c r="M439" s="677"/>
      <c r="N439" s="677"/>
      <c r="O439" s="682"/>
      <c r="P439" s="682">
        <f>VLOOKUP(L439,Kengetal,3,FALSE)+VLOOKUP(M439,Kengetal,3,FALSE)+VLOOKUP(N439,Kengetal,3,FALSE)</f>
        <v>104</v>
      </c>
      <c r="Q439" s="696">
        <v>2</v>
      </c>
      <c r="R439" s="697">
        <v>1</v>
      </c>
      <c r="S439" s="698">
        <f>W439*J439*Q439</f>
        <v>0</v>
      </c>
      <c r="T439" s="698">
        <f>X439*J439*R439</f>
        <v>0</v>
      </c>
      <c r="U439" s="698">
        <f>Y439*J439*Q439</f>
        <v>0</v>
      </c>
      <c r="V439" s="698">
        <f>Z439*J439*T439</f>
        <v>0</v>
      </c>
      <c r="W439" s="699">
        <f>IF($L439=0,0,VLOOKUP($L439,Kengetal,6,FALSE))</f>
        <v>0</v>
      </c>
      <c r="X439" s="699">
        <f>IF($L439=0,0,VLOOKUP($L439,Kengetal,8,FALSE))</f>
        <v>0</v>
      </c>
      <c r="Y439" s="699">
        <f>IF($M439=0,0,VLOOKUP($M439,Kengetal,6,FALSE))</f>
        <v>0</v>
      </c>
      <c r="Z439" s="699">
        <f>IF($N439=0,0,VLOOKUP($N439,Kengetal,6,FALSE))</f>
        <v>0</v>
      </c>
      <c r="AA439" s="698" t="str">
        <f>IF(L439="","",VLOOKUP(L439,Kengetal,15,FALSE))</f>
        <v>V</v>
      </c>
      <c r="AB439" s="689" t="s">
        <v>622</v>
      </c>
      <c r="AC439" s="700" t="e">
        <f>(S439+T439+U439)*'1.0-Contractblad'!$K$68</f>
        <v>#VALUE!</v>
      </c>
      <c r="AD439" s="700"/>
      <c r="AE439" s="416">
        <f>IF(L439=8255,S439+T439,0)</f>
        <v>0</v>
      </c>
      <c r="AF439" s="416">
        <f>J439*P439</f>
        <v>348.40000000000003</v>
      </c>
      <c r="AG439" s="416" t="str">
        <f>CONCATENATE(L439,"-",P439)</f>
        <v>3104-104</v>
      </c>
    </row>
    <row r="440" spans="1:33" s="416" customFormat="1" ht="12.75">
      <c r="A440" s="655"/>
      <c r="B440" s="656"/>
      <c r="C440" s="657"/>
      <c r="D440" s="676" t="s">
        <v>145</v>
      </c>
      <c r="E440" s="677" t="s">
        <v>314</v>
      </c>
      <c r="F440" s="678" t="s">
        <v>788</v>
      </c>
      <c r="G440" s="679" t="s">
        <v>789</v>
      </c>
      <c r="H440" s="679" t="str">
        <f t="shared" si="112"/>
        <v>entree, gang, hal, repro, kopieer</v>
      </c>
      <c r="I440" s="689" t="s">
        <v>240</v>
      </c>
      <c r="J440" s="680">
        <v>4.66</v>
      </c>
      <c r="K440" s="680"/>
      <c r="L440" s="681">
        <v>3104</v>
      </c>
      <c r="M440" s="677"/>
      <c r="N440" s="677"/>
      <c r="O440" s="682"/>
      <c r="P440" s="682">
        <f>VLOOKUP(L440,Kengetal,3,FALSE)+VLOOKUP(M440,Kengetal,3,FALSE)+VLOOKUP(N440,Kengetal,3,FALSE)</f>
        <v>104</v>
      </c>
      <c r="Q440" s="696">
        <v>2</v>
      </c>
      <c r="R440" s="697">
        <v>1</v>
      </c>
      <c r="S440" s="698">
        <f>W440*J440*Q440</f>
        <v>0</v>
      </c>
      <c r="T440" s="698">
        <f>X440*J440*R440</f>
        <v>0</v>
      </c>
      <c r="U440" s="698">
        <f>Y440*J440*Q440</f>
        <v>0</v>
      </c>
      <c r="V440" s="698">
        <f>Z440*J440*T440</f>
        <v>0</v>
      </c>
      <c r="W440" s="699">
        <f>IF($L440=0,0,VLOOKUP($L440,Kengetal,6,FALSE))</f>
        <v>0</v>
      </c>
      <c r="X440" s="699">
        <f>IF($L440=0,0,VLOOKUP($L440,Kengetal,8,FALSE))</f>
        <v>0</v>
      </c>
      <c r="Y440" s="699">
        <f>IF($M440=0,0,VLOOKUP($M440,Kengetal,6,FALSE))</f>
        <v>0</v>
      </c>
      <c r="Z440" s="699">
        <f>IF($N440=0,0,VLOOKUP($N440,Kengetal,6,FALSE))</f>
        <v>0</v>
      </c>
      <c r="AA440" s="698" t="str">
        <f>IF(L440="","",VLOOKUP(L440,Kengetal,15,FALSE))</f>
        <v>V</v>
      </c>
      <c r="AB440" s="689"/>
      <c r="AC440" s="700" t="e">
        <f>(S440+T440+U440)*'1.0-Contractblad'!$K$68</f>
        <v>#VALUE!</v>
      </c>
      <c r="AD440" s="700"/>
      <c r="AE440" s="416">
        <f>IF(L440=8255,S440+T440,0)</f>
        <v>0</v>
      </c>
      <c r="AF440" s="416">
        <f>J440*P440</f>
        <v>484.64</v>
      </c>
      <c r="AG440" s="416" t="str">
        <f>CONCATENATE(L440,"-",P440)</f>
        <v>3104-104</v>
      </c>
    </row>
    <row r="441" spans="1:33" s="416" customFormat="1" ht="12.75">
      <c r="A441" s="655"/>
      <c r="B441" s="656"/>
      <c r="C441" s="657"/>
      <c r="D441" s="676" t="s">
        <v>145</v>
      </c>
      <c r="E441" s="677" t="s">
        <v>314</v>
      </c>
      <c r="F441" s="678" t="s">
        <v>317</v>
      </c>
      <c r="G441" s="679" t="s">
        <v>790</v>
      </c>
      <c r="H441" s="679" t="str">
        <f t="shared" si="112"/>
        <v>kleedruimten</v>
      </c>
      <c r="I441" s="689" t="s">
        <v>234</v>
      </c>
      <c r="J441" s="680">
        <v>13</v>
      </c>
      <c r="K441" s="680"/>
      <c r="L441" s="681">
        <v>10104</v>
      </c>
      <c r="M441" s="677"/>
      <c r="N441" s="677"/>
      <c r="O441" s="682"/>
      <c r="P441" s="682">
        <f>VLOOKUP(L441,Kengetal,3,FALSE)+VLOOKUP(M441,Kengetal,3,FALSE)+VLOOKUP(N441,Kengetal,3,FALSE)</f>
        <v>104</v>
      </c>
      <c r="Q441" s="696">
        <v>2</v>
      </c>
      <c r="R441" s="697">
        <v>1</v>
      </c>
      <c r="S441" s="698">
        <f>W441*J441*Q441</f>
        <v>0</v>
      </c>
      <c r="T441" s="698">
        <f>X441*J441*R441</f>
        <v>0</v>
      </c>
      <c r="U441" s="698">
        <f>Y441*J441*Q441</f>
        <v>0</v>
      </c>
      <c r="V441" s="698">
        <f>Z441*J441*T441</f>
        <v>0</v>
      </c>
      <c r="W441" s="699">
        <f t="shared" ref="W441:W490" si="113">IF($L441=0,0,VLOOKUP($L441,Kengetal,6,FALSE))</f>
        <v>0</v>
      </c>
      <c r="X441" s="699">
        <f t="shared" ref="X441:X490" si="114">IF($L441=0,0,VLOOKUP($L441,Kengetal,8,FALSE))</f>
        <v>0</v>
      </c>
      <c r="Y441" s="699">
        <f t="shared" ref="Y441:Y490" si="115">IF($M441=0,0,VLOOKUP($M441,Kengetal,6,FALSE))</f>
        <v>0</v>
      </c>
      <c r="Z441" s="699">
        <f t="shared" ref="Z441:Z490" si="116">IF($N441=0,0,VLOOKUP($N441,Kengetal,6,FALSE))</f>
        <v>0</v>
      </c>
      <c r="AA441" s="698" t="str">
        <f>IF(L441="","",VLOOKUP(L441,Kengetal,15,FALSE))</f>
        <v>V</v>
      </c>
      <c r="AB441" s="689" t="s">
        <v>622</v>
      </c>
      <c r="AC441" s="700" t="e">
        <f>(S441+T441+U441)*'1.0-Contractblad'!$K$68</f>
        <v>#VALUE!</v>
      </c>
      <c r="AD441" s="700"/>
      <c r="AE441" s="416">
        <f>IF(L441=8255,S441+T441,0)</f>
        <v>0</v>
      </c>
      <c r="AF441" s="416">
        <f>J441*P441</f>
        <v>1352</v>
      </c>
      <c r="AG441" s="416" t="str">
        <f>CONCATENATE(L441,"-",P441)</f>
        <v>10104-104</v>
      </c>
    </row>
    <row r="442" spans="1:33" s="416" customFormat="1" ht="12.75">
      <c r="A442" s="655"/>
      <c r="B442" s="656"/>
      <c r="C442" s="657"/>
      <c r="D442" s="676" t="s">
        <v>145</v>
      </c>
      <c r="E442" s="677" t="s">
        <v>314</v>
      </c>
      <c r="F442" s="678" t="s">
        <v>320</v>
      </c>
      <c r="G442" s="679" t="s">
        <v>359</v>
      </c>
      <c r="H442" s="679" t="str">
        <f t="shared" si="112"/>
        <v>sanitaire ruimte (toilet-/doucheruimte)</v>
      </c>
      <c r="I442" s="689" t="s">
        <v>234</v>
      </c>
      <c r="J442" s="680">
        <v>2.54</v>
      </c>
      <c r="K442" s="680"/>
      <c r="L442" s="681">
        <v>4104</v>
      </c>
      <c r="M442" s="677"/>
      <c r="N442" s="677"/>
      <c r="O442" s="682"/>
      <c r="P442" s="682">
        <f>VLOOKUP(L442,Kengetal,3,FALSE)+VLOOKUP(M442,Kengetal,3,FALSE)+VLOOKUP(N442,Kengetal,3,FALSE)</f>
        <v>104</v>
      </c>
      <c r="Q442" s="696">
        <v>2</v>
      </c>
      <c r="R442" s="697">
        <v>1</v>
      </c>
      <c r="S442" s="698">
        <f>W442*J442*Q442</f>
        <v>0</v>
      </c>
      <c r="T442" s="698">
        <f>X442*J442*R442</f>
        <v>0</v>
      </c>
      <c r="U442" s="698">
        <f>Y442*J442*Q442</f>
        <v>0</v>
      </c>
      <c r="V442" s="698">
        <f>Z442*J442*T442</f>
        <v>0</v>
      </c>
      <c r="W442" s="699">
        <f t="shared" si="113"/>
        <v>0</v>
      </c>
      <c r="X442" s="699">
        <f t="shared" si="114"/>
        <v>0</v>
      </c>
      <c r="Y442" s="699">
        <f t="shared" si="115"/>
        <v>0</v>
      </c>
      <c r="Z442" s="699">
        <f t="shared" si="116"/>
        <v>0</v>
      </c>
      <c r="AA442" s="698" t="str">
        <f>IF(L442="","",VLOOKUP(L442,Kengetal,15,FALSE))</f>
        <v>S</v>
      </c>
      <c r="AB442" s="689" t="s">
        <v>622</v>
      </c>
      <c r="AC442" s="700" t="e">
        <f>(S442+T442+U442)*'1.0-Contractblad'!$K$68</f>
        <v>#VALUE!</v>
      </c>
      <c r="AD442" s="700"/>
      <c r="AE442" s="416">
        <f>IF(L442=8255,S442+T442,0)</f>
        <v>0</v>
      </c>
      <c r="AF442" s="416">
        <f>J442*P442</f>
        <v>264.16000000000003</v>
      </c>
      <c r="AG442" s="416" t="str">
        <f>CONCATENATE(L442,"-",P442)</f>
        <v>4104-104</v>
      </c>
    </row>
    <row r="443" spans="1:33" s="416" customFormat="1" ht="12.75">
      <c r="A443" s="655"/>
      <c r="B443" s="656"/>
      <c r="C443" s="657"/>
      <c r="D443" s="676" t="s">
        <v>145</v>
      </c>
      <c r="E443" s="677" t="s">
        <v>314</v>
      </c>
      <c r="F443" s="678" t="s">
        <v>323</v>
      </c>
      <c r="G443" s="679" t="s">
        <v>405</v>
      </c>
      <c r="H443" s="679" t="str">
        <f t="shared" si="112"/>
        <v>sanitaire ruimte (toilet-/doucheruimte)</v>
      </c>
      <c r="I443" s="689" t="s">
        <v>234</v>
      </c>
      <c r="J443" s="680">
        <v>1.43</v>
      </c>
      <c r="K443" s="680"/>
      <c r="L443" s="681">
        <v>4104</v>
      </c>
      <c r="M443" s="677"/>
      <c r="N443" s="677"/>
      <c r="O443" s="682"/>
      <c r="P443" s="682">
        <f>VLOOKUP(L443,Kengetal,3,FALSE)+VLOOKUP(M443,Kengetal,3,FALSE)+VLOOKUP(N443,Kengetal,3,FALSE)</f>
        <v>104</v>
      </c>
      <c r="Q443" s="696">
        <v>2</v>
      </c>
      <c r="R443" s="697">
        <v>1</v>
      </c>
      <c r="S443" s="698">
        <f>W443*J443*Q443</f>
        <v>0</v>
      </c>
      <c r="T443" s="698">
        <f>X443*J443*R443</f>
        <v>0</v>
      </c>
      <c r="U443" s="698">
        <f>Y443*J443*Q443</f>
        <v>0</v>
      </c>
      <c r="V443" s="698">
        <f>Z443*J443*T443</f>
        <v>0</v>
      </c>
      <c r="W443" s="699">
        <f t="shared" si="113"/>
        <v>0</v>
      </c>
      <c r="X443" s="699">
        <f t="shared" si="114"/>
        <v>0</v>
      </c>
      <c r="Y443" s="699">
        <f t="shared" si="115"/>
        <v>0</v>
      </c>
      <c r="Z443" s="699">
        <f t="shared" si="116"/>
        <v>0</v>
      </c>
      <c r="AA443" s="698" t="str">
        <f>IF(L443="","",VLOOKUP(L443,Kengetal,15,FALSE))</f>
        <v>S</v>
      </c>
      <c r="AB443" s="689" t="s">
        <v>622</v>
      </c>
      <c r="AC443" s="700" t="e">
        <f>(S443+T443+U443)*'1.0-Contractblad'!$K$68</f>
        <v>#VALUE!</v>
      </c>
      <c r="AD443" s="700"/>
      <c r="AE443" s="416">
        <f>IF(L443=8255,S443+T443,0)</f>
        <v>0</v>
      </c>
      <c r="AF443" s="416">
        <f>J443*P443</f>
        <v>148.72</v>
      </c>
      <c r="AG443" s="416" t="str">
        <f>CONCATENATE(L443,"-",P443)</f>
        <v>4104-104</v>
      </c>
    </row>
    <row r="444" spans="1:33" s="416" customFormat="1" ht="12.75">
      <c r="A444" s="655"/>
      <c r="B444" s="656"/>
      <c r="C444" s="657"/>
      <c r="D444" s="676" t="s">
        <v>145</v>
      </c>
      <c r="E444" s="677" t="s">
        <v>314</v>
      </c>
      <c r="F444" s="678" t="s">
        <v>391</v>
      </c>
      <c r="G444" s="679" t="s">
        <v>626</v>
      </c>
      <c r="H444" s="679" t="str">
        <f t="shared" si="112"/>
        <v>entree, gang, hal, repro, kopieer</v>
      </c>
      <c r="I444" s="689" t="s">
        <v>384</v>
      </c>
      <c r="J444" s="680">
        <v>9.43</v>
      </c>
      <c r="K444" s="680"/>
      <c r="L444" s="681">
        <v>3104</v>
      </c>
      <c r="M444" s="677"/>
      <c r="N444" s="677"/>
      <c r="O444" s="682"/>
      <c r="P444" s="682">
        <f t="shared" ref="P444:P451" si="117">VLOOKUP(L444,Kengetal,3,FALSE)+VLOOKUP(M444,Kengetal,3,FALSE)+VLOOKUP(N444,Kengetal,3,FALSE)</f>
        <v>104</v>
      </c>
      <c r="Q444" s="696">
        <v>2</v>
      </c>
      <c r="R444" s="697">
        <v>1</v>
      </c>
      <c r="S444" s="698">
        <f t="shared" ref="S444:S451" si="118">W444*J444*Q444</f>
        <v>0</v>
      </c>
      <c r="T444" s="698">
        <f t="shared" ref="T444:T451" si="119">X444*J444*R444</f>
        <v>0</v>
      </c>
      <c r="U444" s="698">
        <f t="shared" ref="U444:U451" si="120">Y444*J444*Q444</f>
        <v>0</v>
      </c>
      <c r="V444" s="698">
        <f t="shared" ref="V444:V451" si="121">Z444*J444*T444</f>
        <v>0</v>
      </c>
      <c r="W444" s="699">
        <f t="shared" si="113"/>
        <v>0</v>
      </c>
      <c r="X444" s="699">
        <f t="shared" si="114"/>
        <v>0</v>
      </c>
      <c r="Y444" s="699">
        <f t="shared" si="115"/>
        <v>0</v>
      </c>
      <c r="Z444" s="699">
        <f t="shared" si="116"/>
        <v>0</v>
      </c>
      <c r="AA444" s="698" t="str">
        <f t="shared" ref="AA444:AA450" si="122">IF(L444="","",VLOOKUP(L444,Kengetal,15,FALSE))</f>
        <v>V</v>
      </c>
      <c r="AB444" s="689" t="s">
        <v>622</v>
      </c>
      <c r="AC444" s="700" t="e">
        <f>(S444+T444+U444)*'1.0-Contractblad'!$K$68</f>
        <v>#VALUE!</v>
      </c>
      <c r="AD444" s="700"/>
      <c r="AE444" s="416">
        <f t="shared" ref="AE444:AE450" si="123">IF(L444=8255,S444+T444,0)</f>
        <v>0</v>
      </c>
      <c r="AF444" s="416">
        <f t="shared" ref="AF444:AF450" si="124">J444*P444</f>
        <v>980.72</v>
      </c>
      <c r="AG444" s="416" t="str">
        <f t="shared" ref="AG444:AG450" si="125">CONCATENATE(L444,"-",P444)</f>
        <v>3104-104</v>
      </c>
    </row>
    <row r="445" spans="1:33" s="416" customFormat="1" ht="12.75">
      <c r="A445" s="655"/>
      <c r="B445" s="656"/>
      <c r="C445" s="657"/>
      <c r="D445" s="676" t="s">
        <v>145</v>
      </c>
      <c r="E445" s="677" t="s">
        <v>314</v>
      </c>
      <c r="F445" s="678" t="s">
        <v>342</v>
      </c>
      <c r="G445" s="679" t="s">
        <v>364</v>
      </c>
      <c r="H445" s="679" t="str">
        <f t="shared" si="112"/>
        <v>entree, gang, hal, repro, kopieer</v>
      </c>
      <c r="I445" s="689" t="s">
        <v>384</v>
      </c>
      <c r="J445" s="680">
        <v>2.19</v>
      </c>
      <c r="K445" s="680"/>
      <c r="L445" s="681">
        <v>3104</v>
      </c>
      <c r="M445" s="677"/>
      <c r="N445" s="677"/>
      <c r="O445" s="682"/>
      <c r="P445" s="682">
        <f t="shared" si="117"/>
        <v>104</v>
      </c>
      <c r="Q445" s="696">
        <v>2</v>
      </c>
      <c r="R445" s="697">
        <v>1</v>
      </c>
      <c r="S445" s="698">
        <f t="shared" si="118"/>
        <v>0</v>
      </c>
      <c r="T445" s="698">
        <f t="shared" si="119"/>
        <v>0</v>
      </c>
      <c r="U445" s="698">
        <f t="shared" si="120"/>
        <v>0</v>
      </c>
      <c r="V445" s="698">
        <f t="shared" si="121"/>
        <v>0</v>
      </c>
      <c r="W445" s="699">
        <f t="shared" si="113"/>
        <v>0</v>
      </c>
      <c r="X445" s="699">
        <f t="shared" si="114"/>
        <v>0</v>
      </c>
      <c r="Y445" s="699">
        <f t="shared" si="115"/>
        <v>0</v>
      </c>
      <c r="Z445" s="699">
        <f t="shared" si="116"/>
        <v>0</v>
      </c>
      <c r="AA445" s="698" t="str">
        <f t="shared" si="122"/>
        <v>V</v>
      </c>
      <c r="AB445" s="689" t="s">
        <v>622</v>
      </c>
      <c r="AC445" s="700" t="e">
        <f>(S445+T445+U445)*'1.0-Contractblad'!$K$68</f>
        <v>#VALUE!</v>
      </c>
      <c r="AD445" s="700"/>
      <c r="AE445" s="416">
        <f t="shared" si="123"/>
        <v>0</v>
      </c>
      <c r="AF445" s="416">
        <f t="shared" si="124"/>
        <v>227.76</v>
      </c>
      <c r="AG445" s="416" t="str">
        <f t="shared" si="125"/>
        <v>3104-104</v>
      </c>
    </row>
    <row r="446" spans="1:33" s="416" customFormat="1" ht="12.75">
      <c r="A446" s="655"/>
      <c r="B446" s="656"/>
      <c r="C446" s="657"/>
      <c r="D446" s="676" t="s">
        <v>145</v>
      </c>
      <c r="E446" s="677" t="s">
        <v>314</v>
      </c>
      <c r="F446" s="678" t="s">
        <v>394</v>
      </c>
      <c r="G446" s="679" t="s">
        <v>383</v>
      </c>
      <c r="H446" s="679" t="str">
        <f t="shared" si="112"/>
        <v>labruimte</v>
      </c>
      <c r="I446" s="689" t="s">
        <v>384</v>
      </c>
      <c r="J446" s="680">
        <v>7.88</v>
      </c>
      <c r="K446" s="680"/>
      <c r="L446" s="681">
        <v>8104</v>
      </c>
      <c r="M446" s="677"/>
      <c r="N446" s="677"/>
      <c r="O446" s="682"/>
      <c r="P446" s="682">
        <f t="shared" si="117"/>
        <v>104</v>
      </c>
      <c r="Q446" s="696">
        <v>2</v>
      </c>
      <c r="R446" s="697">
        <v>1</v>
      </c>
      <c r="S446" s="698">
        <f t="shared" si="118"/>
        <v>0</v>
      </c>
      <c r="T446" s="698">
        <f t="shared" si="119"/>
        <v>0</v>
      </c>
      <c r="U446" s="698">
        <f t="shared" si="120"/>
        <v>0</v>
      </c>
      <c r="V446" s="698">
        <f t="shared" si="121"/>
        <v>0</v>
      </c>
      <c r="W446" s="699">
        <f t="shared" si="113"/>
        <v>0</v>
      </c>
      <c r="X446" s="699">
        <f t="shared" si="114"/>
        <v>0</v>
      </c>
      <c r="Y446" s="699">
        <f t="shared" si="115"/>
        <v>0</v>
      </c>
      <c r="Z446" s="699">
        <f t="shared" si="116"/>
        <v>0</v>
      </c>
      <c r="AA446" s="698" t="str">
        <f t="shared" si="122"/>
        <v>V</v>
      </c>
      <c r="AB446" s="689" t="s">
        <v>622</v>
      </c>
      <c r="AC446" s="700" t="e">
        <f>(S446+T446+U446)*'1.0-Contractblad'!$K$68</f>
        <v>#VALUE!</v>
      </c>
      <c r="AD446" s="700"/>
      <c r="AE446" s="416">
        <f t="shared" si="123"/>
        <v>0</v>
      </c>
      <c r="AF446" s="416">
        <f t="shared" si="124"/>
        <v>819.52</v>
      </c>
      <c r="AG446" s="416" t="str">
        <f t="shared" si="125"/>
        <v>8104-104</v>
      </c>
    </row>
    <row r="447" spans="1:33" s="416" customFormat="1" ht="12.75">
      <c r="A447" s="655"/>
      <c r="B447" s="656"/>
      <c r="C447" s="657"/>
      <c r="D447" s="676" t="s">
        <v>145</v>
      </c>
      <c r="E447" s="677" t="s">
        <v>314</v>
      </c>
      <c r="F447" s="678" t="s">
        <v>348</v>
      </c>
      <c r="G447" s="679" t="s">
        <v>791</v>
      </c>
      <c r="H447" s="679" t="str">
        <f t="shared" si="112"/>
        <v>kleedruimten</v>
      </c>
      <c r="I447" s="689" t="s">
        <v>234</v>
      </c>
      <c r="J447" s="680">
        <v>9.94</v>
      </c>
      <c r="K447" s="680"/>
      <c r="L447" s="681">
        <v>10104</v>
      </c>
      <c r="M447" s="677"/>
      <c r="N447" s="677"/>
      <c r="O447" s="682"/>
      <c r="P447" s="682">
        <f t="shared" si="117"/>
        <v>104</v>
      </c>
      <c r="Q447" s="696">
        <v>2</v>
      </c>
      <c r="R447" s="697">
        <v>1</v>
      </c>
      <c r="S447" s="698">
        <f t="shared" si="118"/>
        <v>0</v>
      </c>
      <c r="T447" s="698">
        <f t="shared" si="119"/>
        <v>0</v>
      </c>
      <c r="U447" s="698">
        <f t="shared" si="120"/>
        <v>0</v>
      </c>
      <c r="V447" s="698">
        <f t="shared" si="121"/>
        <v>0</v>
      </c>
      <c r="W447" s="699">
        <f t="shared" si="113"/>
        <v>0</v>
      </c>
      <c r="X447" s="699">
        <f t="shared" si="114"/>
        <v>0</v>
      </c>
      <c r="Y447" s="699">
        <f t="shared" si="115"/>
        <v>0</v>
      </c>
      <c r="Z447" s="699">
        <f t="shared" si="116"/>
        <v>0</v>
      </c>
      <c r="AA447" s="698" t="str">
        <f t="shared" si="122"/>
        <v>V</v>
      </c>
      <c r="AB447" s="689" t="s">
        <v>622</v>
      </c>
      <c r="AC447" s="700" t="e">
        <f>(S447+T447+U447)*'1.0-Contractblad'!$K$68</f>
        <v>#VALUE!</v>
      </c>
      <c r="AD447" s="700"/>
      <c r="AE447" s="416">
        <f t="shared" si="123"/>
        <v>0</v>
      </c>
      <c r="AF447" s="416">
        <f t="shared" si="124"/>
        <v>1033.76</v>
      </c>
      <c r="AG447" s="416" t="str">
        <f t="shared" si="125"/>
        <v>10104-104</v>
      </c>
    </row>
    <row r="448" spans="1:33" s="416" customFormat="1" ht="12.75">
      <c r="A448" s="655"/>
      <c r="B448" s="656"/>
      <c r="C448" s="657"/>
      <c r="D448" s="676" t="s">
        <v>145</v>
      </c>
      <c r="E448" s="677" t="s">
        <v>314</v>
      </c>
      <c r="F448" s="678" t="s">
        <v>350</v>
      </c>
      <c r="G448" s="679" t="s">
        <v>791</v>
      </c>
      <c r="H448" s="679" t="str">
        <f t="shared" si="112"/>
        <v>kleedruimten</v>
      </c>
      <c r="I448" s="689" t="s">
        <v>234</v>
      </c>
      <c r="J448" s="680">
        <v>4.3899999999999997</v>
      </c>
      <c r="K448" s="680"/>
      <c r="L448" s="681">
        <v>10104</v>
      </c>
      <c r="M448" s="677"/>
      <c r="N448" s="677"/>
      <c r="O448" s="682"/>
      <c r="P448" s="682">
        <f t="shared" si="117"/>
        <v>104</v>
      </c>
      <c r="Q448" s="696">
        <v>2</v>
      </c>
      <c r="R448" s="697">
        <v>1</v>
      </c>
      <c r="S448" s="698">
        <f t="shared" si="118"/>
        <v>0</v>
      </c>
      <c r="T448" s="698">
        <f t="shared" si="119"/>
        <v>0</v>
      </c>
      <c r="U448" s="698">
        <f t="shared" si="120"/>
        <v>0</v>
      </c>
      <c r="V448" s="698">
        <f t="shared" si="121"/>
        <v>0</v>
      </c>
      <c r="W448" s="699">
        <f t="shared" si="113"/>
        <v>0</v>
      </c>
      <c r="X448" s="699">
        <f t="shared" si="114"/>
        <v>0</v>
      </c>
      <c r="Y448" s="699">
        <f t="shared" si="115"/>
        <v>0</v>
      </c>
      <c r="Z448" s="699">
        <f t="shared" si="116"/>
        <v>0</v>
      </c>
      <c r="AA448" s="698" t="str">
        <f t="shared" si="122"/>
        <v>V</v>
      </c>
      <c r="AB448" s="689" t="s">
        <v>622</v>
      </c>
      <c r="AC448" s="700" t="e">
        <f>(S448+T448+U448)*'1.0-Contractblad'!$K$68</f>
        <v>#VALUE!</v>
      </c>
      <c r="AD448" s="700"/>
      <c r="AE448" s="416">
        <f t="shared" si="123"/>
        <v>0</v>
      </c>
      <c r="AF448" s="416">
        <f t="shared" si="124"/>
        <v>456.55999999999995</v>
      </c>
      <c r="AG448" s="416" t="str">
        <f t="shared" si="125"/>
        <v>10104-104</v>
      </c>
    </row>
    <row r="449" spans="1:33" s="416" customFormat="1" ht="12.75">
      <c r="A449" s="655"/>
      <c r="B449" s="656"/>
      <c r="C449" s="657"/>
      <c r="D449" s="676" t="s">
        <v>145</v>
      </c>
      <c r="E449" s="677" t="s">
        <v>314</v>
      </c>
      <c r="F449" s="678" t="s">
        <v>361</v>
      </c>
      <c r="G449" s="679" t="s">
        <v>359</v>
      </c>
      <c r="H449" s="679" t="str">
        <f t="shared" si="112"/>
        <v>sanitaire ruimte (toilet-/doucheruimte)</v>
      </c>
      <c r="I449" s="689" t="s">
        <v>234</v>
      </c>
      <c r="J449" s="680">
        <v>2.5</v>
      </c>
      <c r="K449" s="680"/>
      <c r="L449" s="681">
        <v>4104</v>
      </c>
      <c r="M449" s="677"/>
      <c r="N449" s="677"/>
      <c r="O449" s="682"/>
      <c r="P449" s="682">
        <f t="shared" si="117"/>
        <v>104</v>
      </c>
      <c r="Q449" s="696">
        <v>2</v>
      </c>
      <c r="R449" s="697">
        <v>1</v>
      </c>
      <c r="S449" s="698">
        <f t="shared" si="118"/>
        <v>0</v>
      </c>
      <c r="T449" s="698">
        <f t="shared" si="119"/>
        <v>0</v>
      </c>
      <c r="U449" s="698">
        <f t="shared" si="120"/>
        <v>0</v>
      </c>
      <c r="V449" s="698">
        <f t="shared" si="121"/>
        <v>0</v>
      </c>
      <c r="W449" s="699">
        <f t="shared" si="113"/>
        <v>0</v>
      </c>
      <c r="X449" s="699">
        <f t="shared" si="114"/>
        <v>0</v>
      </c>
      <c r="Y449" s="699">
        <f t="shared" si="115"/>
        <v>0</v>
      </c>
      <c r="Z449" s="699">
        <f t="shared" si="116"/>
        <v>0</v>
      </c>
      <c r="AA449" s="698" t="str">
        <f t="shared" si="122"/>
        <v>S</v>
      </c>
      <c r="AB449" s="689" t="s">
        <v>622</v>
      </c>
      <c r="AC449" s="700" t="e">
        <f>(S449+T449+U449)*'1.0-Contractblad'!$K$68</f>
        <v>#VALUE!</v>
      </c>
      <c r="AD449" s="700"/>
      <c r="AE449" s="416">
        <f t="shared" si="123"/>
        <v>0</v>
      </c>
      <c r="AF449" s="416">
        <f t="shared" si="124"/>
        <v>260</v>
      </c>
      <c r="AG449" s="416" t="str">
        <f t="shared" si="125"/>
        <v>4104-104</v>
      </c>
    </row>
    <row r="450" spans="1:33" s="416" customFormat="1" ht="12.75">
      <c r="A450" s="655"/>
      <c r="B450" s="656"/>
      <c r="C450" s="657"/>
      <c r="D450" s="676" t="s">
        <v>145</v>
      </c>
      <c r="E450" s="677" t="s">
        <v>314</v>
      </c>
      <c r="F450" s="678" t="s">
        <v>365</v>
      </c>
      <c r="G450" s="679" t="s">
        <v>386</v>
      </c>
      <c r="H450" s="679" t="str">
        <f t="shared" si="112"/>
        <v>administratieve -, personeels- en vergaderruimte</v>
      </c>
      <c r="I450" s="689" t="s">
        <v>384</v>
      </c>
      <c r="J450" s="680">
        <v>15.21</v>
      </c>
      <c r="K450" s="680"/>
      <c r="L450" s="681">
        <v>1104</v>
      </c>
      <c r="M450" s="677"/>
      <c r="N450" s="677"/>
      <c r="O450" s="682"/>
      <c r="P450" s="682">
        <f t="shared" si="117"/>
        <v>104</v>
      </c>
      <c r="Q450" s="696">
        <v>2</v>
      </c>
      <c r="R450" s="697">
        <v>1</v>
      </c>
      <c r="S450" s="698">
        <f t="shared" si="118"/>
        <v>0</v>
      </c>
      <c r="T450" s="698">
        <f t="shared" si="119"/>
        <v>0</v>
      </c>
      <c r="U450" s="698">
        <f t="shared" si="120"/>
        <v>0</v>
      </c>
      <c r="V450" s="698">
        <f t="shared" si="121"/>
        <v>0</v>
      </c>
      <c r="W450" s="699">
        <f t="shared" si="113"/>
        <v>0</v>
      </c>
      <c r="X450" s="699">
        <f t="shared" si="114"/>
        <v>0</v>
      </c>
      <c r="Y450" s="699">
        <f t="shared" si="115"/>
        <v>0</v>
      </c>
      <c r="Z450" s="699">
        <f t="shared" si="116"/>
        <v>0</v>
      </c>
      <c r="AA450" s="698" t="str">
        <f t="shared" si="122"/>
        <v>B</v>
      </c>
      <c r="AB450" s="689" t="s">
        <v>622</v>
      </c>
      <c r="AC450" s="700" t="e">
        <f>(S450+T450+U450)*'1.0-Contractblad'!$K$68</f>
        <v>#VALUE!</v>
      </c>
      <c r="AD450" s="700"/>
      <c r="AE450" s="416">
        <f t="shared" si="123"/>
        <v>0</v>
      </c>
      <c r="AF450" s="416">
        <f t="shared" si="124"/>
        <v>1581.8400000000001</v>
      </c>
      <c r="AG450" s="416" t="str">
        <f t="shared" si="125"/>
        <v>1104-104</v>
      </c>
    </row>
    <row r="451" spans="1:33" s="416" customFormat="1" ht="12.75">
      <c r="A451" s="655"/>
      <c r="B451" s="656"/>
      <c r="C451" s="657"/>
      <c r="D451" s="676" t="s">
        <v>145</v>
      </c>
      <c r="E451" s="677" t="s">
        <v>314</v>
      </c>
      <c r="F451" s="678" t="s">
        <v>367</v>
      </c>
      <c r="G451" s="679" t="s">
        <v>405</v>
      </c>
      <c r="H451" s="679" t="str">
        <f t="shared" si="112"/>
        <v>sanitaire ruimte (toilet-/doucheruimte)</v>
      </c>
      <c r="I451" s="689" t="s">
        <v>234</v>
      </c>
      <c r="J451" s="680">
        <v>1.66</v>
      </c>
      <c r="K451" s="680"/>
      <c r="L451" s="681">
        <v>4104</v>
      </c>
      <c r="M451" s="677"/>
      <c r="N451" s="677"/>
      <c r="O451" s="682"/>
      <c r="P451" s="682">
        <f t="shared" si="117"/>
        <v>104</v>
      </c>
      <c r="Q451" s="696">
        <v>2</v>
      </c>
      <c r="R451" s="697">
        <v>1</v>
      </c>
      <c r="S451" s="698">
        <f t="shared" si="118"/>
        <v>0</v>
      </c>
      <c r="T451" s="698">
        <f t="shared" si="119"/>
        <v>0</v>
      </c>
      <c r="U451" s="698">
        <f t="shared" si="120"/>
        <v>0</v>
      </c>
      <c r="V451" s="698">
        <f t="shared" si="121"/>
        <v>0</v>
      </c>
      <c r="W451" s="699">
        <f t="shared" si="113"/>
        <v>0</v>
      </c>
      <c r="X451" s="699">
        <f t="shared" si="114"/>
        <v>0</v>
      </c>
      <c r="Y451" s="699">
        <f t="shared" si="115"/>
        <v>0</v>
      </c>
      <c r="Z451" s="699">
        <f t="shared" si="116"/>
        <v>0</v>
      </c>
      <c r="AA451" s="698" t="str">
        <f>IF(L451="","",VLOOKUP(L451,Kengetal,15,FALSE))</f>
        <v>S</v>
      </c>
      <c r="AB451" s="689" t="s">
        <v>622</v>
      </c>
      <c r="AC451" s="700" t="e">
        <f>(S451+T451+U451)*'1.0-Contractblad'!$K$68</f>
        <v>#VALUE!</v>
      </c>
      <c r="AD451" s="700"/>
      <c r="AE451" s="416">
        <f>IF(L451=8255,S451+T451,0)</f>
        <v>0</v>
      </c>
      <c r="AF451" s="416">
        <f>J451*P451</f>
        <v>172.64</v>
      </c>
      <c r="AG451" s="416" t="str">
        <f>CONCATENATE(L451,"-",P451)</f>
        <v>4104-104</v>
      </c>
    </row>
    <row r="452" spans="1:33" s="416" customFormat="1" ht="12.75">
      <c r="A452" s="655"/>
      <c r="B452" s="656"/>
      <c r="C452" s="657"/>
      <c r="D452" s="676" t="s">
        <v>145</v>
      </c>
      <c r="E452" s="677" t="s">
        <v>314</v>
      </c>
      <c r="F452" s="678" t="s">
        <v>371</v>
      </c>
      <c r="G452" s="679" t="s">
        <v>670</v>
      </c>
      <c r="H452" s="679" t="str">
        <f t="shared" si="112"/>
        <v>entree, gang, hal, repro, kopieer</v>
      </c>
      <c r="I452" s="689" t="s">
        <v>259</v>
      </c>
      <c r="J452" s="680">
        <v>5.35</v>
      </c>
      <c r="K452" s="680"/>
      <c r="L452" s="681">
        <v>3104</v>
      </c>
      <c r="M452" s="677"/>
      <c r="N452" s="677"/>
      <c r="O452" s="682"/>
      <c r="P452" s="682">
        <f t="shared" ref="P452:P460" si="126">VLOOKUP(L452,Kengetal,3,FALSE)+VLOOKUP(M452,Kengetal,3,FALSE)+VLOOKUP(N452,Kengetal,3,FALSE)</f>
        <v>104</v>
      </c>
      <c r="Q452" s="696">
        <v>2</v>
      </c>
      <c r="R452" s="697">
        <v>1</v>
      </c>
      <c r="S452" s="698">
        <f>W452*J452*Q452</f>
        <v>0</v>
      </c>
      <c r="T452" s="698">
        <f>X452*J452*R452</f>
        <v>0</v>
      </c>
      <c r="U452" s="698">
        <f t="shared" ref="U452:U460" si="127">Y452*J452*Q452</f>
        <v>0</v>
      </c>
      <c r="V452" s="698">
        <f t="shared" ref="V452:V460" si="128">Z452*J452*T452</f>
        <v>0</v>
      </c>
      <c r="W452" s="699">
        <f t="shared" si="113"/>
        <v>0</v>
      </c>
      <c r="X452" s="699">
        <f t="shared" si="114"/>
        <v>0</v>
      </c>
      <c r="Y452" s="699">
        <f t="shared" si="115"/>
        <v>0</v>
      </c>
      <c r="Z452" s="699">
        <f t="shared" si="116"/>
        <v>0</v>
      </c>
      <c r="AA452" s="698" t="str">
        <f>IF(L452="","",VLOOKUP(L452,Kengetal,15,FALSE))</f>
        <v>V</v>
      </c>
      <c r="AB452" s="689" t="s">
        <v>622</v>
      </c>
      <c r="AC452" s="700" t="e">
        <f>(S452+T452+U452)*'1.0-Contractblad'!$K$68</f>
        <v>#VALUE!</v>
      </c>
      <c r="AD452" s="700"/>
      <c r="AE452" s="416">
        <f>IF(L452=8255,S452+T452,0)</f>
        <v>0</v>
      </c>
      <c r="AF452" s="416">
        <f>J452*P452</f>
        <v>556.4</v>
      </c>
      <c r="AG452" s="416" t="str">
        <f>CONCATENATE(L452,"-",P452)</f>
        <v>3104-104</v>
      </c>
    </row>
    <row r="453" spans="1:33" s="416" customFormat="1" ht="12.75">
      <c r="A453" s="655"/>
      <c r="B453" s="656"/>
      <c r="C453" s="657"/>
      <c r="D453" s="676" t="s">
        <v>145</v>
      </c>
      <c r="E453" s="677" t="s">
        <v>314</v>
      </c>
      <c r="F453" s="678" t="s">
        <v>373</v>
      </c>
      <c r="G453" s="679" t="s">
        <v>405</v>
      </c>
      <c r="H453" s="679" t="str">
        <f t="shared" si="112"/>
        <v>sanitaire ruimte (toilet-/doucheruimte)</v>
      </c>
      <c r="I453" s="689" t="s">
        <v>234</v>
      </c>
      <c r="J453" s="680">
        <v>1.66</v>
      </c>
      <c r="K453" s="680"/>
      <c r="L453" s="681">
        <v>4104</v>
      </c>
      <c r="M453" s="677"/>
      <c r="N453" s="677"/>
      <c r="O453" s="682"/>
      <c r="P453" s="682">
        <f t="shared" si="126"/>
        <v>104</v>
      </c>
      <c r="Q453" s="696">
        <v>2</v>
      </c>
      <c r="R453" s="697">
        <v>1</v>
      </c>
      <c r="S453" s="698">
        <f>W453*J453*Q453</f>
        <v>0</v>
      </c>
      <c r="T453" s="698">
        <f>X453*J453*R453</f>
        <v>0</v>
      </c>
      <c r="U453" s="698">
        <f t="shared" si="127"/>
        <v>0</v>
      </c>
      <c r="V453" s="698">
        <f t="shared" si="128"/>
        <v>0</v>
      </c>
      <c r="W453" s="699">
        <f t="shared" si="113"/>
        <v>0</v>
      </c>
      <c r="X453" s="699">
        <f t="shared" si="114"/>
        <v>0</v>
      </c>
      <c r="Y453" s="699">
        <f t="shared" si="115"/>
        <v>0</v>
      </c>
      <c r="Z453" s="699">
        <f t="shared" si="116"/>
        <v>0</v>
      </c>
      <c r="AA453" s="698" t="str">
        <f>IF(L453="","",VLOOKUP(L453,Kengetal,15,FALSE))</f>
        <v>S</v>
      </c>
      <c r="AB453" s="689" t="s">
        <v>622</v>
      </c>
      <c r="AC453" s="700" t="e">
        <f>(S453+T453+U453)*'1.0-Contractblad'!$K$68</f>
        <v>#VALUE!</v>
      </c>
      <c r="AD453" s="700"/>
      <c r="AE453" s="416">
        <f>IF(L453=8255,S453+T453,0)</f>
        <v>0</v>
      </c>
      <c r="AF453" s="416">
        <f>J453*P453</f>
        <v>172.64</v>
      </c>
      <c r="AG453" s="416" t="str">
        <f>CONCATENATE(L453,"-",P453)</f>
        <v>4104-104</v>
      </c>
    </row>
    <row r="454" spans="1:33" s="416" customFormat="1" ht="12.75">
      <c r="A454" s="655"/>
      <c r="B454" s="656"/>
      <c r="C454" s="657"/>
      <c r="D454" s="676" t="s">
        <v>145</v>
      </c>
      <c r="E454" s="677" t="s">
        <v>419</v>
      </c>
      <c r="F454" s="678" t="s">
        <v>792</v>
      </c>
      <c r="G454" s="679" t="s">
        <v>793</v>
      </c>
      <c r="H454" s="679" t="str">
        <f t="shared" si="112"/>
        <v>entree, gang, hal, repro, kopieer</v>
      </c>
      <c r="I454" s="689" t="s">
        <v>387</v>
      </c>
      <c r="J454" s="680">
        <v>3.9</v>
      </c>
      <c r="K454" s="680"/>
      <c r="L454" s="681">
        <v>3104</v>
      </c>
      <c r="M454" s="677"/>
      <c r="N454" s="677"/>
      <c r="O454" s="682"/>
      <c r="P454" s="682">
        <f t="shared" si="126"/>
        <v>104</v>
      </c>
      <c r="Q454" s="696">
        <v>2</v>
      </c>
      <c r="R454" s="697">
        <v>1</v>
      </c>
      <c r="S454" s="698">
        <f t="shared" ref="S454:S459" si="129">W454*J454*Q454</f>
        <v>0</v>
      </c>
      <c r="T454" s="698">
        <f t="shared" ref="T454:T459" si="130">X454*J454*R454</f>
        <v>0</v>
      </c>
      <c r="U454" s="698"/>
      <c r="V454" s="698"/>
      <c r="W454" s="699">
        <f t="shared" si="113"/>
        <v>0</v>
      </c>
      <c r="X454" s="699">
        <f t="shared" si="114"/>
        <v>0</v>
      </c>
      <c r="Y454" s="699"/>
      <c r="Z454" s="699"/>
      <c r="AA454" s="698"/>
      <c r="AB454" s="689" t="s">
        <v>622</v>
      </c>
      <c r="AC454" s="700" t="e">
        <f>(S454+T454+U454)*'1.0-Contractblad'!$K$68</f>
        <v>#VALUE!</v>
      </c>
      <c r="AD454" s="700"/>
    </row>
    <row r="455" spans="1:33" s="416" customFormat="1" ht="12.75">
      <c r="A455" s="655"/>
      <c r="B455" s="656"/>
      <c r="C455" s="657"/>
      <c r="D455" s="676" t="s">
        <v>145</v>
      </c>
      <c r="E455" s="677" t="s">
        <v>419</v>
      </c>
      <c r="F455" s="678" t="s">
        <v>494</v>
      </c>
      <c r="G455" s="679" t="s">
        <v>470</v>
      </c>
      <c r="H455" s="679" t="str">
        <f t="shared" si="112"/>
        <v>administratieve -, personeels- en vergaderruimte</v>
      </c>
      <c r="I455" s="689" t="s">
        <v>384</v>
      </c>
      <c r="J455" s="680">
        <v>28.28</v>
      </c>
      <c r="K455" s="680"/>
      <c r="L455" s="681">
        <v>1104</v>
      </c>
      <c r="M455" s="677"/>
      <c r="N455" s="677"/>
      <c r="O455" s="682"/>
      <c r="P455" s="682">
        <f t="shared" si="126"/>
        <v>104</v>
      </c>
      <c r="Q455" s="696">
        <v>2</v>
      </c>
      <c r="R455" s="697">
        <v>1</v>
      </c>
      <c r="S455" s="698">
        <f t="shared" si="129"/>
        <v>0</v>
      </c>
      <c r="T455" s="698">
        <f t="shared" si="130"/>
        <v>0</v>
      </c>
      <c r="U455" s="698">
        <f t="shared" si="127"/>
        <v>0</v>
      </c>
      <c r="V455" s="698">
        <f t="shared" si="128"/>
        <v>0</v>
      </c>
      <c r="W455" s="699">
        <f t="shared" si="113"/>
        <v>0</v>
      </c>
      <c r="X455" s="699">
        <f t="shared" si="114"/>
        <v>0</v>
      </c>
      <c r="Y455" s="699">
        <f t="shared" si="115"/>
        <v>0</v>
      </c>
      <c r="Z455" s="699">
        <f t="shared" si="116"/>
        <v>0</v>
      </c>
      <c r="AA455" s="698" t="str">
        <f>IF(L455="","",VLOOKUP(L455,Kengetal,15,FALSE))</f>
        <v>B</v>
      </c>
      <c r="AB455" s="689" t="s">
        <v>622</v>
      </c>
      <c r="AC455" s="700" t="e">
        <f>(S455+T455+U455)*'1.0-Contractblad'!$K$68</f>
        <v>#VALUE!</v>
      </c>
      <c r="AD455" s="700"/>
      <c r="AE455" s="416">
        <f>IF(L455=8255,S455+T455,0)</f>
        <v>0</v>
      </c>
      <c r="AF455" s="416">
        <f>J455*P455</f>
        <v>2941.12</v>
      </c>
      <c r="AG455" s="416" t="str">
        <f>CONCATENATE(L455,"-",P455)</f>
        <v>1104-104</v>
      </c>
    </row>
    <row r="456" spans="1:33" s="416" customFormat="1" ht="12.75">
      <c r="A456" s="655"/>
      <c r="B456" s="656"/>
      <c r="C456" s="657"/>
      <c r="D456" s="676" t="s">
        <v>145</v>
      </c>
      <c r="E456" s="677" t="s">
        <v>419</v>
      </c>
      <c r="F456" s="678" t="s">
        <v>496</v>
      </c>
      <c r="G456" s="679" t="s">
        <v>382</v>
      </c>
      <c r="H456" s="679" t="str">
        <f t="shared" si="112"/>
        <v>entree, gang, hal, repro, kopieer</v>
      </c>
      <c r="I456" s="689" t="s">
        <v>794</v>
      </c>
      <c r="J456" s="680">
        <v>2.16</v>
      </c>
      <c r="K456" s="680"/>
      <c r="L456" s="681">
        <v>3104</v>
      </c>
      <c r="M456" s="677"/>
      <c r="N456" s="677"/>
      <c r="O456" s="682"/>
      <c r="P456" s="682">
        <f t="shared" si="126"/>
        <v>104</v>
      </c>
      <c r="Q456" s="696">
        <v>2</v>
      </c>
      <c r="R456" s="697">
        <v>1</v>
      </c>
      <c r="S456" s="698">
        <f t="shared" si="129"/>
        <v>0</v>
      </c>
      <c r="T456" s="698">
        <f t="shared" si="130"/>
        <v>0</v>
      </c>
      <c r="U456" s="698"/>
      <c r="V456" s="698"/>
      <c r="W456" s="699">
        <f t="shared" si="113"/>
        <v>0</v>
      </c>
      <c r="X456" s="699">
        <f t="shared" si="114"/>
        <v>0</v>
      </c>
      <c r="Y456" s="699"/>
      <c r="Z456" s="699"/>
      <c r="AA456" s="698"/>
      <c r="AB456" s="689" t="s">
        <v>622</v>
      </c>
      <c r="AC456" s="700" t="e">
        <f>(S456+T456+U456)*'1.0-Contractblad'!$K$68</f>
        <v>#VALUE!</v>
      </c>
      <c r="AD456" s="700"/>
    </row>
    <row r="457" spans="1:33" s="416" customFormat="1" ht="12.75">
      <c r="A457" s="655"/>
      <c r="B457" s="656"/>
      <c r="C457" s="657"/>
      <c r="D457" s="676" t="s">
        <v>145</v>
      </c>
      <c r="E457" s="677" t="s">
        <v>419</v>
      </c>
      <c r="F457" s="678" t="s">
        <v>497</v>
      </c>
      <c r="G457" s="679" t="s">
        <v>795</v>
      </c>
      <c r="H457" s="679" t="str">
        <f t="shared" si="112"/>
        <v>entree, gang, hal, repro, kopieer</v>
      </c>
      <c r="I457" s="689" t="s">
        <v>246</v>
      </c>
      <c r="J457" s="680">
        <v>2.83</v>
      </c>
      <c r="K457" s="680"/>
      <c r="L457" s="681">
        <v>3104</v>
      </c>
      <c r="M457" s="677"/>
      <c r="N457" s="677"/>
      <c r="O457" s="682"/>
      <c r="P457" s="682">
        <f t="shared" si="126"/>
        <v>104</v>
      </c>
      <c r="Q457" s="696">
        <v>2</v>
      </c>
      <c r="R457" s="697">
        <v>1</v>
      </c>
      <c r="S457" s="698">
        <f t="shared" si="129"/>
        <v>0</v>
      </c>
      <c r="T457" s="698">
        <f t="shared" si="130"/>
        <v>0</v>
      </c>
      <c r="U457" s="698"/>
      <c r="V457" s="698"/>
      <c r="W457" s="699">
        <f t="shared" si="113"/>
        <v>0</v>
      </c>
      <c r="X457" s="699">
        <f t="shared" si="114"/>
        <v>0</v>
      </c>
      <c r="Y457" s="699"/>
      <c r="Z457" s="699"/>
      <c r="AA457" s="698"/>
      <c r="AB457" s="689" t="s">
        <v>622</v>
      </c>
      <c r="AC457" s="700" t="e">
        <f>(S457+T457+U457)*'1.0-Contractblad'!$K$68</f>
        <v>#VALUE!</v>
      </c>
      <c r="AD457" s="700"/>
    </row>
    <row r="458" spans="1:33" s="416" customFormat="1" ht="12.75">
      <c r="A458" s="655"/>
      <c r="B458" s="656"/>
      <c r="C458" s="657"/>
      <c r="D458" s="676" t="s">
        <v>145</v>
      </c>
      <c r="E458" s="677" t="s">
        <v>419</v>
      </c>
      <c r="F458" s="678" t="s">
        <v>498</v>
      </c>
      <c r="G458" s="679" t="s">
        <v>796</v>
      </c>
      <c r="H458" s="679" t="str">
        <f t="shared" si="112"/>
        <v>entree, gang, hal, repro, kopieer</v>
      </c>
      <c r="I458" s="689" t="s">
        <v>794</v>
      </c>
      <c r="J458" s="680">
        <v>4.96</v>
      </c>
      <c r="K458" s="680"/>
      <c r="L458" s="681">
        <v>3104</v>
      </c>
      <c r="M458" s="677"/>
      <c r="N458" s="677"/>
      <c r="O458" s="682"/>
      <c r="P458" s="682">
        <f t="shared" si="126"/>
        <v>104</v>
      </c>
      <c r="Q458" s="696">
        <v>2</v>
      </c>
      <c r="R458" s="697">
        <v>1</v>
      </c>
      <c r="S458" s="698">
        <f t="shared" si="129"/>
        <v>0</v>
      </c>
      <c r="T458" s="698">
        <f t="shared" si="130"/>
        <v>0</v>
      </c>
      <c r="U458" s="698"/>
      <c r="V458" s="698"/>
      <c r="W458" s="699">
        <f t="shared" si="113"/>
        <v>0</v>
      </c>
      <c r="X458" s="699">
        <f t="shared" si="114"/>
        <v>0</v>
      </c>
      <c r="Y458" s="699"/>
      <c r="Z458" s="699"/>
      <c r="AA458" s="698"/>
      <c r="AB458" s="689" t="s">
        <v>622</v>
      </c>
      <c r="AC458" s="700" t="e">
        <f>(S458+T458+U458)*'1.0-Contractblad'!$K$68</f>
        <v>#VALUE!</v>
      </c>
      <c r="AD458" s="700"/>
    </row>
    <row r="459" spans="1:33" s="416" customFormat="1" ht="12.75">
      <c r="A459" s="655"/>
      <c r="B459" s="656"/>
      <c r="C459" s="657"/>
      <c r="D459" s="676" t="s">
        <v>145</v>
      </c>
      <c r="E459" s="677" t="s">
        <v>419</v>
      </c>
      <c r="F459" s="678" t="s">
        <v>499</v>
      </c>
      <c r="G459" s="679" t="s">
        <v>797</v>
      </c>
      <c r="H459" s="679" t="str">
        <f t="shared" si="112"/>
        <v>entree, gang, hal, repro, kopieer</v>
      </c>
      <c r="I459" s="689" t="s">
        <v>387</v>
      </c>
      <c r="J459" s="680">
        <v>5.62</v>
      </c>
      <c r="K459" s="680"/>
      <c r="L459" s="681">
        <v>3104</v>
      </c>
      <c r="M459" s="677"/>
      <c r="N459" s="677"/>
      <c r="O459" s="682"/>
      <c r="P459" s="682">
        <f t="shared" si="126"/>
        <v>104</v>
      </c>
      <c r="Q459" s="696">
        <v>2</v>
      </c>
      <c r="R459" s="697">
        <v>1</v>
      </c>
      <c r="S459" s="698">
        <f t="shared" si="129"/>
        <v>0</v>
      </c>
      <c r="T459" s="698">
        <f t="shared" si="130"/>
        <v>0</v>
      </c>
      <c r="U459" s="698"/>
      <c r="V459" s="698"/>
      <c r="W459" s="699">
        <f t="shared" si="113"/>
        <v>0</v>
      </c>
      <c r="X459" s="699">
        <f t="shared" si="114"/>
        <v>0</v>
      </c>
      <c r="Y459" s="699"/>
      <c r="Z459" s="699"/>
      <c r="AA459" s="698"/>
      <c r="AB459" s="689" t="s">
        <v>622</v>
      </c>
      <c r="AC459" s="700" t="e">
        <f>(S459+T459+U459)*'1.0-Contractblad'!$K$68</f>
        <v>#VALUE!</v>
      </c>
      <c r="AD459" s="700"/>
    </row>
    <row r="460" spans="1:33" s="416" customFormat="1" ht="12.75">
      <c r="A460" s="655"/>
      <c r="B460" s="656"/>
      <c r="C460" s="657"/>
      <c r="D460" s="676" t="s">
        <v>145</v>
      </c>
      <c r="E460" s="677" t="s">
        <v>419</v>
      </c>
      <c r="F460" s="678" t="s">
        <v>503</v>
      </c>
      <c r="G460" s="679" t="s">
        <v>328</v>
      </c>
      <c r="H460" s="679" t="str">
        <f t="shared" si="112"/>
        <v>pantry, keuken, koffiecorner</v>
      </c>
      <c r="I460" s="689" t="s">
        <v>384</v>
      </c>
      <c r="J460" s="680">
        <v>28.28</v>
      </c>
      <c r="K460" s="680"/>
      <c r="L460" s="681">
        <v>5104</v>
      </c>
      <c r="M460" s="677"/>
      <c r="N460" s="677"/>
      <c r="O460" s="682"/>
      <c r="P460" s="682">
        <f t="shared" si="126"/>
        <v>104</v>
      </c>
      <c r="Q460" s="696">
        <v>2</v>
      </c>
      <c r="R460" s="697">
        <v>1</v>
      </c>
      <c r="S460" s="698">
        <f t="shared" ref="S460:S467" si="131">W460*J460*Q460</f>
        <v>0</v>
      </c>
      <c r="T460" s="698">
        <f t="shared" ref="T460:T467" si="132">X460*J460*R460</f>
        <v>0</v>
      </c>
      <c r="U460" s="698">
        <f t="shared" si="127"/>
        <v>0</v>
      </c>
      <c r="V460" s="698">
        <f t="shared" si="128"/>
        <v>0</v>
      </c>
      <c r="W460" s="699">
        <f t="shared" si="113"/>
        <v>0</v>
      </c>
      <c r="X460" s="699">
        <f t="shared" si="114"/>
        <v>0</v>
      </c>
      <c r="Y460" s="699">
        <f t="shared" si="115"/>
        <v>0</v>
      </c>
      <c r="Z460" s="699">
        <f t="shared" si="116"/>
        <v>0</v>
      </c>
      <c r="AA460" s="698" t="str">
        <f t="shared" ref="AA460:AA467" si="133">IF(L460="","",VLOOKUP(L460,Kengetal,15,FALSE))</f>
        <v>V</v>
      </c>
      <c r="AB460" s="689" t="s">
        <v>622</v>
      </c>
      <c r="AC460" s="700" t="e">
        <f>(S460+T460+U460)*'1.0-Contractblad'!$K$68</f>
        <v>#VALUE!</v>
      </c>
      <c r="AD460" s="700"/>
      <c r="AE460" s="416">
        <f t="shared" ref="AE460:AE467" si="134">IF(L460=8255,S460+T460,0)</f>
        <v>0</v>
      </c>
      <c r="AF460" s="416">
        <f t="shared" ref="AF460:AF467" si="135">J460*P460</f>
        <v>2941.12</v>
      </c>
      <c r="AG460" s="416" t="str">
        <f t="shared" ref="AG460:AG467" si="136">CONCATENATE(L460,"-",P460)</f>
        <v>5104-104</v>
      </c>
    </row>
    <row r="461" spans="1:33" ht="12.75">
      <c r="A461" s="102"/>
      <c r="B461" s="364"/>
      <c r="C461" s="365"/>
      <c r="D461" s="676" t="s">
        <v>161</v>
      </c>
      <c r="E461" s="677" t="s">
        <v>314</v>
      </c>
      <c r="F461" s="703" t="s">
        <v>798</v>
      </c>
      <c r="G461" s="704" t="s">
        <v>799</v>
      </c>
      <c r="H461" s="679" t="str">
        <f t="shared" si="112"/>
        <v>entree, gang, hal, repro, kopieer</v>
      </c>
      <c r="I461" s="704" t="s">
        <v>799</v>
      </c>
      <c r="J461" s="705">
        <v>26.6</v>
      </c>
      <c r="K461" s="680"/>
      <c r="L461" s="681">
        <v>3255</v>
      </c>
      <c r="M461" s="677"/>
      <c r="N461" s="677"/>
      <c r="O461" s="682"/>
      <c r="P461" s="682">
        <f t="shared" ref="P461:P467" si="137">VLOOKUP(L461,Kengetal,3,FALSE)+VLOOKUP(M461,Kengetal,3,FALSE)+VLOOKUP(N461,Kengetal,3,FALSE)</f>
        <v>255</v>
      </c>
      <c r="Q461" s="683">
        <v>1</v>
      </c>
      <c r="R461" s="684">
        <v>1</v>
      </c>
      <c r="S461" s="685">
        <f t="shared" si="131"/>
        <v>0</v>
      </c>
      <c r="T461" s="685">
        <f t="shared" si="132"/>
        <v>0</v>
      </c>
      <c r="U461" s="685">
        <f t="shared" ref="U461:U467" si="138">Y461*J461*Q461</f>
        <v>0</v>
      </c>
      <c r="V461" s="685">
        <f t="shared" ref="V461:V467" si="139">Z461*J461*T461</f>
        <v>0</v>
      </c>
      <c r="W461" s="686">
        <f t="shared" si="113"/>
        <v>0</v>
      </c>
      <c r="X461" s="686">
        <f t="shared" si="114"/>
        <v>0</v>
      </c>
      <c r="Y461" s="686">
        <f t="shared" si="115"/>
        <v>0</v>
      </c>
      <c r="Z461" s="686">
        <f t="shared" si="116"/>
        <v>0</v>
      </c>
      <c r="AA461" s="685" t="str">
        <f t="shared" si="133"/>
        <v>V</v>
      </c>
      <c r="AB461" s="687" t="s">
        <v>622</v>
      </c>
      <c r="AC461" s="688" t="e">
        <f>(S461+T461+U461)*'1.0-Contractblad'!$K$68</f>
        <v>#VALUE!</v>
      </c>
      <c r="AD461" s="688"/>
      <c r="AE461" s="48">
        <f t="shared" si="134"/>
        <v>0</v>
      </c>
      <c r="AF461" s="48">
        <f t="shared" si="135"/>
        <v>6783</v>
      </c>
      <c r="AG461" s="48" t="str">
        <f t="shared" si="136"/>
        <v>3255-255</v>
      </c>
    </row>
    <row r="462" spans="1:33" ht="12.75">
      <c r="A462" s="102"/>
      <c r="B462" s="364"/>
      <c r="C462" s="365"/>
      <c r="D462" s="676" t="s">
        <v>161</v>
      </c>
      <c r="E462" s="677" t="s">
        <v>314</v>
      </c>
      <c r="F462" s="703" t="s">
        <v>800</v>
      </c>
      <c r="G462" s="704" t="s">
        <v>801</v>
      </c>
      <c r="H462" s="679" t="str">
        <f t="shared" si="112"/>
        <v>trappenhuis</v>
      </c>
      <c r="I462" s="704" t="s">
        <v>801</v>
      </c>
      <c r="J462" s="705">
        <v>15</v>
      </c>
      <c r="K462" s="680"/>
      <c r="L462" s="681">
        <v>9255</v>
      </c>
      <c r="M462" s="677"/>
      <c r="N462" s="677"/>
      <c r="O462" s="682"/>
      <c r="P462" s="682">
        <f t="shared" si="137"/>
        <v>255</v>
      </c>
      <c r="Q462" s="683">
        <v>1</v>
      </c>
      <c r="R462" s="684">
        <v>1</v>
      </c>
      <c r="S462" s="685">
        <f t="shared" si="131"/>
        <v>0</v>
      </c>
      <c r="T462" s="685">
        <f t="shared" si="132"/>
        <v>0</v>
      </c>
      <c r="U462" s="685">
        <f t="shared" si="138"/>
        <v>0</v>
      </c>
      <c r="V462" s="685">
        <f t="shared" si="139"/>
        <v>0</v>
      </c>
      <c r="W462" s="686">
        <f t="shared" si="113"/>
        <v>0</v>
      </c>
      <c r="X462" s="686">
        <f t="shared" si="114"/>
        <v>0</v>
      </c>
      <c r="Y462" s="686">
        <f t="shared" si="115"/>
        <v>0</v>
      </c>
      <c r="Z462" s="686">
        <f t="shared" si="116"/>
        <v>0</v>
      </c>
      <c r="AA462" s="685" t="str">
        <f t="shared" si="133"/>
        <v>V</v>
      </c>
      <c r="AB462" s="687" t="s">
        <v>622</v>
      </c>
      <c r="AC462" s="688" t="e">
        <f>(S462+T462+U462)*'1.0-Contractblad'!$K$68</f>
        <v>#VALUE!</v>
      </c>
      <c r="AD462" s="688"/>
      <c r="AE462" s="48">
        <f t="shared" si="134"/>
        <v>0</v>
      </c>
      <c r="AF462" s="48">
        <f t="shared" si="135"/>
        <v>3825</v>
      </c>
      <c r="AG462" s="48" t="str">
        <f t="shared" si="136"/>
        <v>9255-255</v>
      </c>
    </row>
    <row r="463" spans="1:33" ht="12.75">
      <c r="A463" s="102"/>
      <c r="B463" s="364"/>
      <c r="C463" s="365"/>
      <c r="D463" s="676" t="s">
        <v>161</v>
      </c>
      <c r="E463" s="677" t="s">
        <v>314</v>
      </c>
      <c r="F463" s="703" t="s">
        <v>802</v>
      </c>
      <c r="G463" s="704" t="s">
        <v>803</v>
      </c>
      <c r="H463" s="679" t="str">
        <f t="shared" si="112"/>
        <v>sanitaire ruimte (toilet-/doucheruimte)</v>
      </c>
      <c r="I463" s="704" t="s">
        <v>803</v>
      </c>
      <c r="J463" s="703">
        <v>9.73</v>
      </c>
      <c r="K463" s="680"/>
      <c r="L463" s="681">
        <v>4255</v>
      </c>
      <c r="M463" s="677"/>
      <c r="N463" s="677"/>
      <c r="O463" s="682"/>
      <c r="P463" s="682">
        <f t="shared" si="137"/>
        <v>255</v>
      </c>
      <c r="Q463" s="683">
        <v>1</v>
      </c>
      <c r="R463" s="684">
        <v>1</v>
      </c>
      <c r="S463" s="685">
        <f t="shared" si="131"/>
        <v>0</v>
      </c>
      <c r="T463" s="685">
        <f t="shared" si="132"/>
        <v>0</v>
      </c>
      <c r="U463" s="685">
        <f t="shared" si="138"/>
        <v>0</v>
      </c>
      <c r="V463" s="685">
        <f t="shared" si="139"/>
        <v>0</v>
      </c>
      <c r="W463" s="686">
        <f t="shared" si="113"/>
        <v>0</v>
      </c>
      <c r="X463" s="686">
        <f t="shared" si="114"/>
        <v>0</v>
      </c>
      <c r="Y463" s="686">
        <f t="shared" si="115"/>
        <v>0</v>
      </c>
      <c r="Z463" s="686">
        <f t="shared" si="116"/>
        <v>0</v>
      </c>
      <c r="AA463" s="685" t="str">
        <f t="shared" si="133"/>
        <v>S</v>
      </c>
      <c r="AB463" s="687" t="s">
        <v>622</v>
      </c>
      <c r="AC463" s="688" t="e">
        <f>(S463+T463+U463)*'1.0-Contractblad'!$K$68</f>
        <v>#VALUE!</v>
      </c>
      <c r="AD463" s="688"/>
      <c r="AE463" s="48">
        <f t="shared" si="134"/>
        <v>0</v>
      </c>
      <c r="AF463" s="48">
        <f t="shared" si="135"/>
        <v>2481.15</v>
      </c>
      <c r="AG463" s="48" t="str">
        <f t="shared" si="136"/>
        <v>4255-255</v>
      </c>
    </row>
    <row r="464" spans="1:33" ht="12.75">
      <c r="A464" s="102"/>
      <c r="B464" s="364"/>
      <c r="C464" s="365"/>
      <c r="D464" s="676" t="s">
        <v>161</v>
      </c>
      <c r="E464" s="677" t="s">
        <v>314</v>
      </c>
      <c r="F464" s="703" t="s">
        <v>804</v>
      </c>
      <c r="G464" s="704" t="s">
        <v>805</v>
      </c>
      <c r="H464" s="679" t="str">
        <f t="shared" si="112"/>
        <v>sanitaire ruimte (toilet-/doucheruimte)</v>
      </c>
      <c r="I464" s="704" t="s">
        <v>805</v>
      </c>
      <c r="J464" s="703">
        <v>11.91</v>
      </c>
      <c r="K464" s="680"/>
      <c r="L464" s="681">
        <v>4255</v>
      </c>
      <c r="M464" s="677"/>
      <c r="N464" s="677"/>
      <c r="O464" s="682"/>
      <c r="P464" s="682">
        <f t="shared" si="137"/>
        <v>255</v>
      </c>
      <c r="Q464" s="683">
        <v>1</v>
      </c>
      <c r="R464" s="684">
        <v>1</v>
      </c>
      <c r="S464" s="685">
        <f t="shared" si="131"/>
        <v>0</v>
      </c>
      <c r="T464" s="685">
        <f t="shared" si="132"/>
        <v>0</v>
      </c>
      <c r="U464" s="685">
        <f t="shared" si="138"/>
        <v>0</v>
      </c>
      <c r="V464" s="685">
        <f t="shared" si="139"/>
        <v>0</v>
      </c>
      <c r="W464" s="686">
        <f t="shared" si="113"/>
        <v>0</v>
      </c>
      <c r="X464" s="686">
        <f t="shared" si="114"/>
        <v>0</v>
      </c>
      <c r="Y464" s="686">
        <f t="shared" si="115"/>
        <v>0</v>
      </c>
      <c r="Z464" s="686">
        <f t="shared" si="116"/>
        <v>0</v>
      </c>
      <c r="AA464" s="685" t="str">
        <f t="shared" si="133"/>
        <v>S</v>
      </c>
      <c r="AB464" s="687" t="s">
        <v>622</v>
      </c>
      <c r="AC464" s="688" t="e">
        <f>(S464+T464+U464)*'1.0-Contractblad'!$K$68</f>
        <v>#VALUE!</v>
      </c>
      <c r="AD464" s="688"/>
      <c r="AE464" s="48">
        <f t="shared" si="134"/>
        <v>0</v>
      </c>
      <c r="AF464" s="48">
        <f t="shared" si="135"/>
        <v>3037.05</v>
      </c>
      <c r="AG464" s="48" t="str">
        <f t="shared" si="136"/>
        <v>4255-255</v>
      </c>
    </row>
    <row r="465" spans="1:33" ht="12.75">
      <c r="A465" s="102"/>
      <c r="B465" s="364"/>
      <c r="C465" s="365"/>
      <c r="D465" s="676" t="s">
        <v>161</v>
      </c>
      <c r="E465" s="677" t="s">
        <v>314</v>
      </c>
      <c r="F465" s="703" t="s">
        <v>806</v>
      </c>
      <c r="G465" s="704" t="s">
        <v>405</v>
      </c>
      <c r="H465" s="679" t="str">
        <f t="shared" si="112"/>
        <v>sanitaire ruimte (toilet-/doucheruimte)</v>
      </c>
      <c r="I465" s="704" t="s">
        <v>405</v>
      </c>
      <c r="J465" s="705">
        <v>1</v>
      </c>
      <c r="K465" s="680"/>
      <c r="L465" s="681">
        <v>4255</v>
      </c>
      <c r="M465" s="677"/>
      <c r="N465" s="677"/>
      <c r="O465" s="682"/>
      <c r="P465" s="682">
        <f t="shared" si="137"/>
        <v>255</v>
      </c>
      <c r="Q465" s="683">
        <v>1</v>
      </c>
      <c r="R465" s="684">
        <v>1</v>
      </c>
      <c r="S465" s="685">
        <f t="shared" si="131"/>
        <v>0</v>
      </c>
      <c r="T465" s="685">
        <f t="shared" si="132"/>
        <v>0</v>
      </c>
      <c r="U465" s="685">
        <f t="shared" si="138"/>
        <v>0</v>
      </c>
      <c r="V465" s="685">
        <f t="shared" si="139"/>
        <v>0</v>
      </c>
      <c r="W465" s="686">
        <f t="shared" si="113"/>
        <v>0</v>
      </c>
      <c r="X465" s="686">
        <f t="shared" si="114"/>
        <v>0</v>
      </c>
      <c r="Y465" s="686">
        <f t="shared" si="115"/>
        <v>0</v>
      </c>
      <c r="Z465" s="686">
        <f t="shared" si="116"/>
        <v>0</v>
      </c>
      <c r="AA465" s="685" t="str">
        <f t="shared" si="133"/>
        <v>S</v>
      </c>
      <c r="AB465" s="687" t="s">
        <v>622</v>
      </c>
      <c r="AC465" s="688" t="e">
        <f>(S465+T465+U465)*'1.0-Contractblad'!$K$68</f>
        <v>#VALUE!</v>
      </c>
      <c r="AD465" s="688"/>
      <c r="AE465" s="48">
        <f t="shared" si="134"/>
        <v>0</v>
      </c>
      <c r="AF465" s="48">
        <f t="shared" si="135"/>
        <v>255</v>
      </c>
      <c r="AG465" s="48" t="str">
        <f t="shared" si="136"/>
        <v>4255-255</v>
      </c>
    </row>
    <row r="466" spans="1:33" ht="12.75">
      <c r="A466" s="102"/>
      <c r="B466" s="364"/>
      <c r="C466" s="365"/>
      <c r="D466" s="676" t="s">
        <v>161</v>
      </c>
      <c r="E466" s="677" t="s">
        <v>314</v>
      </c>
      <c r="F466" s="703" t="s">
        <v>807</v>
      </c>
      <c r="G466" s="704" t="s">
        <v>405</v>
      </c>
      <c r="H466" s="679" t="str">
        <f t="shared" si="112"/>
        <v>sanitaire ruimte (toilet-/doucheruimte)</v>
      </c>
      <c r="I466" s="704" t="s">
        <v>405</v>
      </c>
      <c r="J466" s="705">
        <v>1</v>
      </c>
      <c r="K466" s="680"/>
      <c r="L466" s="681">
        <v>4255</v>
      </c>
      <c r="M466" s="677"/>
      <c r="N466" s="677"/>
      <c r="O466" s="682"/>
      <c r="P466" s="682">
        <f t="shared" si="137"/>
        <v>255</v>
      </c>
      <c r="Q466" s="683">
        <v>1</v>
      </c>
      <c r="R466" s="684">
        <v>1</v>
      </c>
      <c r="S466" s="685">
        <f t="shared" si="131"/>
        <v>0</v>
      </c>
      <c r="T466" s="685">
        <f t="shared" si="132"/>
        <v>0</v>
      </c>
      <c r="U466" s="685">
        <f t="shared" si="138"/>
        <v>0</v>
      </c>
      <c r="V466" s="685">
        <f t="shared" si="139"/>
        <v>0</v>
      </c>
      <c r="W466" s="686">
        <f t="shared" si="113"/>
        <v>0</v>
      </c>
      <c r="X466" s="686">
        <f t="shared" si="114"/>
        <v>0</v>
      </c>
      <c r="Y466" s="686">
        <f t="shared" si="115"/>
        <v>0</v>
      </c>
      <c r="Z466" s="686">
        <f t="shared" si="116"/>
        <v>0</v>
      </c>
      <c r="AA466" s="685" t="str">
        <f t="shared" si="133"/>
        <v>S</v>
      </c>
      <c r="AB466" s="687" t="s">
        <v>622</v>
      </c>
      <c r="AC466" s="688" t="e">
        <f>(S466+T466+U466)*'1.0-Contractblad'!$K$68</f>
        <v>#VALUE!</v>
      </c>
      <c r="AD466" s="688"/>
      <c r="AE466" s="48">
        <f t="shared" si="134"/>
        <v>0</v>
      </c>
      <c r="AF466" s="48">
        <f t="shared" si="135"/>
        <v>255</v>
      </c>
      <c r="AG466" s="48" t="str">
        <f t="shared" si="136"/>
        <v>4255-255</v>
      </c>
    </row>
    <row r="467" spans="1:33" ht="12.75">
      <c r="A467" s="102"/>
      <c r="B467" s="364"/>
      <c r="C467" s="365"/>
      <c r="D467" s="676" t="s">
        <v>161</v>
      </c>
      <c r="E467" s="677" t="s">
        <v>314</v>
      </c>
      <c r="F467" s="703" t="s">
        <v>808</v>
      </c>
      <c r="G467" s="704" t="s">
        <v>488</v>
      </c>
      <c r="H467" s="679" t="str">
        <f t="shared" si="112"/>
        <v>sanitaire ruimte (toilet-/doucheruimte)</v>
      </c>
      <c r="I467" s="704" t="s">
        <v>488</v>
      </c>
      <c r="J467" s="705">
        <v>1</v>
      </c>
      <c r="K467" s="680"/>
      <c r="L467" s="681">
        <v>4255</v>
      </c>
      <c r="M467" s="677"/>
      <c r="N467" s="677"/>
      <c r="O467" s="682"/>
      <c r="P467" s="682">
        <f t="shared" si="137"/>
        <v>255</v>
      </c>
      <c r="Q467" s="683">
        <v>1</v>
      </c>
      <c r="R467" s="684">
        <v>1</v>
      </c>
      <c r="S467" s="685">
        <f t="shared" si="131"/>
        <v>0</v>
      </c>
      <c r="T467" s="685">
        <f t="shared" si="132"/>
        <v>0</v>
      </c>
      <c r="U467" s="685">
        <f t="shared" si="138"/>
        <v>0</v>
      </c>
      <c r="V467" s="685">
        <f t="shared" si="139"/>
        <v>0</v>
      </c>
      <c r="W467" s="686">
        <f t="shared" si="113"/>
        <v>0</v>
      </c>
      <c r="X467" s="686">
        <f t="shared" si="114"/>
        <v>0</v>
      </c>
      <c r="Y467" s="686">
        <f t="shared" si="115"/>
        <v>0</v>
      </c>
      <c r="Z467" s="686">
        <f t="shared" si="116"/>
        <v>0</v>
      </c>
      <c r="AA467" s="685" t="str">
        <f t="shared" si="133"/>
        <v>S</v>
      </c>
      <c r="AB467" s="687" t="s">
        <v>622</v>
      </c>
      <c r="AC467" s="688" t="e">
        <f>(S467+T467+U467)*'1.0-Contractblad'!$K$68</f>
        <v>#VALUE!</v>
      </c>
      <c r="AD467" s="688"/>
      <c r="AE467" s="48">
        <f t="shared" si="134"/>
        <v>0</v>
      </c>
      <c r="AF467" s="48">
        <f t="shared" si="135"/>
        <v>255</v>
      </c>
      <c r="AG467" s="48" t="str">
        <f t="shared" si="136"/>
        <v>4255-255</v>
      </c>
    </row>
    <row r="468" spans="1:33" ht="12.75">
      <c r="A468" s="102"/>
      <c r="B468" s="364"/>
      <c r="C468" s="365"/>
      <c r="D468" s="676" t="s">
        <v>161</v>
      </c>
      <c r="E468" s="677" t="s">
        <v>314</v>
      </c>
      <c r="F468" s="703" t="s">
        <v>809</v>
      </c>
      <c r="G468" s="704" t="s">
        <v>488</v>
      </c>
      <c r="H468" s="679" t="str">
        <f t="shared" si="112"/>
        <v>sanitaire ruimte (toilet-/doucheruimte)</v>
      </c>
      <c r="I468" s="704" t="s">
        <v>488</v>
      </c>
      <c r="J468" s="705">
        <v>1</v>
      </c>
      <c r="K468" s="680"/>
      <c r="L468" s="681">
        <v>4255</v>
      </c>
      <c r="M468" s="677"/>
      <c r="N468" s="677"/>
      <c r="O468" s="682"/>
      <c r="P468" s="682">
        <f t="shared" ref="P468:P475" si="140">VLOOKUP(L468,Kengetal,3,FALSE)+VLOOKUP(M468,Kengetal,3,FALSE)+VLOOKUP(N468,Kengetal,3,FALSE)</f>
        <v>255</v>
      </c>
      <c r="Q468" s="683">
        <v>1</v>
      </c>
      <c r="R468" s="684">
        <v>1</v>
      </c>
      <c r="S468" s="685">
        <f t="shared" ref="S468:S475" si="141">W468*J468*Q468</f>
        <v>0</v>
      </c>
      <c r="T468" s="685">
        <f t="shared" ref="T468:T475" si="142">X468*J468*R468</f>
        <v>0</v>
      </c>
      <c r="U468" s="685">
        <f t="shared" ref="U468:U475" si="143">Y468*J468*Q468</f>
        <v>0</v>
      </c>
      <c r="V468" s="685">
        <f t="shared" ref="V468:V475" si="144">Z468*J468*T468</f>
        <v>0</v>
      </c>
      <c r="W468" s="686">
        <f t="shared" si="113"/>
        <v>0</v>
      </c>
      <c r="X468" s="686">
        <f t="shared" si="114"/>
        <v>0</v>
      </c>
      <c r="Y468" s="686">
        <f t="shared" si="115"/>
        <v>0</v>
      </c>
      <c r="Z468" s="686">
        <f t="shared" si="116"/>
        <v>0</v>
      </c>
      <c r="AA468" s="685" t="str">
        <f t="shared" ref="AA468:AA475" si="145">IF(L468="","",VLOOKUP(L468,Kengetal,15,FALSE))</f>
        <v>S</v>
      </c>
      <c r="AB468" s="687" t="s">
        <v>622</v>
      </c>
      <c r="AC468" s="688" t="e">
        <f>(S468+T468+U468)*'1.0-Contractblad'!$K$68</f>
        <v>#VALUE!</v>
      </c>
      <c r="AD468" s="688"/>
      <c r="AE468" s="48">
        <f t="shared" ref="AE468:AE475" si="146">IF(L468=8255,S468+T468,0)</f>
        <v>0</v>
      </c>
      <c r="AF468" s="48">
        <f t="shared" ref="AF468:AF475" si="147">J468*P468</f>
        <v>255</v>
      </c>
      <c r="AG468" s="48" t="str">
        <f t="shared" ref="AG468:AG475" si="148">CONCATENATE(L468,"-",P468)</f>
        <v>4255-255</v>
      </c>
    </row>
    <row r="469" spans="1:33" ht="12.75">
      <c r="A469" s="102"/>
      <c r="B469" s="364"/>
      <c r="C469" s="365"/>
      <c r="D469" s="676" t="s">
        <v>161</v>
      </c>
      <c r="E469" s="677" t="s">
        <v>314</v>
      </c>
      <c r="F469" s="703" t="s">
        <v>810</v>
      </c>
      <c r="G469" s="704" t="s">
        <v>785</v>
      </c>
      <c r="H469" s="679" t="str">
        <f t="shared" si="112"/>
        <v>pantry, keuken, koffiecorner</v>
      </c>
      <c r="I469" s="704" t="s">
        <v>785</v>
      </c>
      <c r="J469" s="703">
        <v>29.62</v>
      </c>
      <c r="K469" s="680"/>
      <c r="L469" s="681">
        <v>5255</v>
      </c>
      <c r="M469" s="677"/>
      <c r="N469" s="677"/>
      <c r="O469" s="682"/>
      <c r="P469" s="682">
        <f t="shared" si="140"/>
        <v>255</v>
      </c>
      <c r="Q469" s="683">
        <v>1</v>
      </c>
      <c r="R469" s="684">
        <v>1</v>
      </c>
      <c r="S469" s="685">
        <f t="shared" si="141"/>
        <v>0</v>
      </c>
      <c r="T469" s="685">
        <f t="shared" si="142"/>
        <v>0</v>
      </c>
      <c r="U469" s="685">
        <f t="shared" si="143"/>
        <v>0</v>
      </c>
      <c r="V469" s="685">
        <f t="shared" si="144"/>
        <v>0</v>
      </c>
      <c r="W469" s="686">
        <f t="shared" si="113"/>
        <v>0</v>
      </c>
      <c r="X469" s="686">
        <f t="shared" si="114"/>
        <v>0</v>
      </c>
      <c r="Y469" s="686">
        <f t="shared" si="115"/>
        <v>0</v>
      </c>
      <c r="Z469" s="686">
        <f t="shared" si="116"/>
        <v>0</v>
      </c>
      <c r="AA469" s="685" t="str">
        <f t="shared" si="145"/>
        <v>V</v>
      </c>
      <c r="AB469" s="687" t="s">
        <v>622</v>
      </c>
      <c r="AC469" s="688" t="e">
        <f>(S469+T469+U469)*'1.0-Contractblad'!$K$68</f>
        <v>#VALUE!</v>
      </c>
      <c r="AD469" s="688"/>
      <c r="AE469" s="48">
        <f t="shared" si="146"/>
        <v>0</v>
      </c>
      <c r="AF469" s="48">
        <f t="shared" si="147"/>
        <v>7553.1</v>
      </c>
      <c r="AG469" s="48" t="str">
        <f t="shared" si="148"/>
        <v>5255-255</v>
      </c>
    </row>
    <row r="470" spans="1:33" ht="12.75">
      <c r="A470" s="102"/>
      <c r="B470" s="364"/>
      <c r="C470" s="365"/>
      <c r="D470" s="676" t="s">
        <v>161</v>
      </c>
      <c r="E470" s="677" t="s">
        <v>314</v>
      </c>
      <c r="F470" s="703" t="s">
        <v>811</v>
      </c>
      <c r="G470" s="704" t="s">
        <v>812</v>
      </c>
      <c r="H470" s="679" t="str">
        <f t="shared" si="112"/>
        <v>entree, gang, hal, repro, kopieer</v>
      </c>
      <c r="I470" s="704" t="s">
        <v>812</v>
      </c>
      <c r="J470" s="703">
        <v>1.0900000000000001</v>
      </c>
      <c r="K470" s="680"/>
      <c r="L470" s="692">
        <v>3255</v>
      </c>
      <c r="M470" s="677"/>
      <c r="N470" s="677"/>
      <c r="O470" s="682"/>
      <c r="P470" s="682">
        <f t="shared" si="140"/>
        <v>255</v>
      </c>
      <c r="Q470" s="683">
        <v>1</v>
      </c>
      <c r="R470" s="684">
        <v>1</v>
      </c>
      <c r="S470" s="685">
        <f t="shared" si="141"/>
        <v>0</v>
      </c>
      <c r="T470" s="685">
        <f t="shared" si="142"/>
        <v>0</v>
      </c>
      <c r="U470" s="685">
        <f t="shared" si="143"/>
        <v>0</v>
      </c>
      <c r="V470" s="685">
        <f t="shared" si="144"/>
        <v>0</v>
      </c>
      <c r="W470" s="686">
        <f t="shared" si="113"/>
        <v>0</v>
      </c>
      <c r="X470" s="686">
        <f t="shared" si="114"/>
        <v>0</v>
      </c>
      <c r="Y470" s="686">
        <f t="shared" si="115"/>
        <v>0</v>
      </c>
      <c r="Z470" s="686">
        <f t="shared" si="116"/>
        <v>0</v>
      </c>
      <c r="AA470" s="685" t="str">
        <f t="shared" si="145"/>
        <v>V</v>
      </c>
      <c r="AB470" s="687" t="s">
        <v>622</v>
      </c>
      <c r="AC470" s="688" t="e">
        <f>(S470+T470+U470)*'1.0-Contractblad'!$K$68</f>
        <v>#VALUE!</v>
      </c>
      <c r="AD470" s="688"/>
      <c r="AE470" s="48">
        <f t="shared" si="146"/>
        <v>0</v>
      </c>
      <c r="AF470" s="48">
        <f t="shared" si="147"/>
        <v>277.95000000000005</v>
      </c>
      <c r="AG470" s="48" t="str">
        <f t="shared" si="148"/>
        <v>3255-255</v>
      </c>
    </row>
    <row r="471" spans="1:33" ht="12.75">
      <c r="A471" s="102"/>
      <c r="B471" s="364"/>
      <c r="C471" s="365"/>
      <c r="D471" s="676" t="s">
        <v>161</v>
      </c>
      <c r="E471" s="677" t="s">
        <v>314</v>
      </c>
      <c r="F471" s="703" t="s">
        <v>813</v>
      </c>
      <c r="G471" s="704" t="s">
        <v>642</v>
      </c>
      <c r="H471" s="679" t="str">
        <f t="shared" si="112"/>
        <v>entree, gang, hal, repro, kopieer</v>
      </c>
      <c r="I471" s="704" t="s">
        <v>642</v>
      </c>
      <c r="J471" s="705">
        <v>16</v>
      </c>
      <c r="K471" s="680"/>
      <c r="L471" s="692">
        <v>3255</v>
      </c>
      <c r="M471" s="677"/>
      <c r="N471" s="677"/>
      <c r="O471" s="682"/>
      <c r="P471" s="682">
        <f t="shared" si="140"/>
        <v>255</v>
      </c>
      <c r="Q471" s="683">
        <v>1</v>
      </c>
      <c r="R471" s="684">
        <v>1</v>
      </c>
      <c r="S471" s="685">
        <f t="shared" si="141"/>
        <v>0</v>
      </c>
      <c r="T471" s="685">
        <f t="shared" si="142"/>
        <v>0</v>
      </c>
      <c r="U471" s="685">
        <f t="shared" si="143"/>
        <v>0</v>
      </c>
      <c r="V471" s="685">
        <f t="shared" si="144"/>
        <v>0</v>
      </c>
      <c r="W471" s="686">
        <f t="shared" si="113"/>
        <v>0</v>
      </c>
      <c r="X471" s="686">
        <f t="shared" si="114"/>
        <v>0</v>
      </c>
      <c r="Y471" s="686">
        <f t="shared" si="115"/>
        <v>0</v>
      </c>
      <c r="Z471" s="686">
        <f t="shared" si="116"/>
        <v>0</v>
      </c>
      <c r="AA471" s="685" t="str">
        <f t="shared" si="145"/>
        <v>V</v>
      </c>
      <c r="AB471" s="687" t="s">
        <v>622</v>
      </c>
      <c r="AC471" s="688" t="e">
        <f>(S471+T471+U471)*'1.0-Contractblad'!$K$68</f>
        <v>#VALUE!</v>
      </c>
      <c r="AD471" s="688"/>
      <c r="AE471" s="48">
        <f t="shared" si="146"/>
        <v>0</v>
      </c>
      <c r="AF471" s="48">
        <f t="shared" si="147"/>
        <v>4080</v>
      </c>
      <c r="AG471" s="48" t="str">
        <f t="shared" si="148"/>
        <v>3255-255</v>
      </c>
    </row>
    <row r="472" spans="1:33" ht="12.75">
      <c r="A472" s="102"/>
      <c r="B472" s="364"/>
      <c r="C472" s="365"/>
      <c r="D472" s="676" t="s">
        <v>161</v>
      </c>
      <c r="E472" s="677" t="s">
        <v>314</v>
      </c>
      <c r="F472" s="703" t="s">
        <v>814</v>
      </c>
      <c r="G472" s="704" t="s">
        <v>359</v>
      </c>
      <c r="H472" s="679" t="str">
        <f t="shared" si="112"/>
        <v>sanitaire ruimte (toilet-/doucheruimte)</v>
      </c>
      <c r="I472" s="704" t="s">
        <v>359</v>
      </c>
      <c r="J472" s="703">
        <v>1.73</v>
      </c>
      <c r="K472" s="680"/>
      <c r="L472" s="681">
        <v>4255</v>
      </c>
      <c r="M472" s="677"/>
      <c r="N472" s="677"/>
      <c r="O472" s="682"/>
      <c r="P472" s="682">
        <f t="shared" si="140"/>
        <v>255</v>
      </c>
      <c r="Q472" s="683">
        <v>1</v>
      </c>
      <c r="R472" s="684">
        <v>1</v>
      </c>
      <c r="S472" s="685">
        <f t="shared" si="141"/>
        <v>0</v>
      </c>
      <c r="T472" s="685">
        <f t="shared" si="142"/>
        <v>0</v>
      </c>
      <c r="U472" s="685">
        <f t="shared" si="143"/>
        <v>0</v>
      </c>
      <c r="V472" s="685">
        <f t="shared" si="144"/>
        <v>0</v>
      </c>
      <c r="W472" s="686">
        <f t="shared" si="113"/>
        <v>0</v>
      </c>
      <c r="X472" s="686">
        <f t="shared" si="114"/>
        <v>0</v>
      </c>
      <c r="Y472" s="686">
        <f t="shared" si="115"/>
        <v>0</v>
      </c>
      <c r="Z472" s="686">
        <f t="shared" si="116"/>
        <v>0</v>
      </c>
      <c r="AA472" s="685" t="str">
        <f t="shared" si="145"/>
        <v>S</v>
      </c>
      <c r="AB472" s="687" t="s">
        <v>622</v>
      </c>
      <c r="AC472" s="688" t="e">
        <f>(S472+T472+U472)*'1.0-Contractblad'!$K$68</f>
        <v>#VALUE!</v>
      </c>
      <c r="AD472" s="688"/>
      <c r="AE472" s="48">
        <f t="shared" si="146"/>
        <v>0</v>
      </c>
      <c r="AF472" s="48">
        <f t="shared" si="147"/>
        <v>441.15</v>
      </c>
      <c r="AG472" s="48" t="str">
        <f t="shared" si="148"/>
        <v>4255-255</v>
      </c>
    </row>
    <row r="473" spans="1:33" ht="12.75">
      <c r="A473" s="102"/>
      <c r="B473" s="364"/>
      <c r="C473" s="365"/>
      <c r="D473" s="676" t="s">
        <v>161</v>
      </c>
      <c r="E473" s="677" t="s">
        <v>314</v>
      </c>
      <c r="F473" s="703" t="s">
        <v>815</v>
      </c>
      <c r="G473" s="704" t="s">
        <v>359</v>
      </c>
      <c r="H473" s="679" t="str">
        <f t="shared" si="112"/>
        <v>sanitaire ruimte (toilet-/doucheruimte)</v>
      </c>
      <c r="I473" s="704" t="s">
        <v>359</v>
      </c>
      <c r="J473" s="703">
        <v>1.73</v>
      </c>
      <c r="K473" s="680"/>
      <c r="L473" s="681">
        <v>4255</v>
      </c>
      <c r="M473" s="677"/>
      <c r="N473" s="677"/>
      <c r="O473" s="682"/>
      <c r="P473" s="682">
        <f t="shared" si="140"/>
        <v>255</v>
      </c>
      <c r="Q473" s="683">
        <v>1</v>
      </c>
      <c r="R473" s="684">
        <v>1</v>
      </c>
      <c r="S473" s="685">
        <f t="shared" si="141"/>
        <v>0</v>
      </c>
      <c r="T473" s="685">
        <f t="shared" si="142"/>
        <v>0</v>
      </c>
      <c r="U473" s="685">
        <f t="shared" si="143"/>
        <v>0</v>
      </c>
      <c r="V473" s="685">
        <f t="shared" si="144"/>
        <v>0</v>
      </c>
      <c r="W473" s="686">
        <f t="shared" si="113"/>
        <v>0</v>
      </c>
      <c r="X473" s="686">
        <f t="shared" si="114"/>
        <v>0</v>
      </c>
      <c r="Y473" s="686">
        <f t="shared" si="115"/>
        <v>0</v>
      </c>
      <c r="Z473" s="686">
        <f t="shared" si="116"/>
        <v>0</v>
      </c>
      <c r="AA473" s="685" t="str">
        <f t="shared" si="145"/>
        <v>S</v>
      </c>
      <c r="AB473" s="687" t="s">
        <v>622</v>
      </c>
      <c r="AC473" s="688" t="e">
        <f>(S473+T473+U473)*'1.0-Contractblad'!$K$68</f>
        <v>#VALUE!</v>
      </c>
      <c r="AD473" s="688"/>
      <c r="AE473" s="48">
        <f t="shared" si="146"/>
        <v>0</v>
      </c>
      <c r="AF473" s="48">
        <f t="shared" si="147"/>
        <v>441.15</v>
      </c>
      <c r="AG473" s="48" t="str">
        <f t="shared" si="148"/>
        <v>4255-255</v>
      </c>
    </row>
    <row r="474" spans="1:33" ht="12.75">
      <c r="A474" s="102"/>
      <c r="B474" s="364"/>
      <c r="C474" s="365"/>
      <c r="D474" s="676" t="s">
        <v>161</v>
      </c>
      <c r="E474" s="677" t="s">
        <v>314</v>
      </c>
      <c r="F474" s="703" t="s">
        <v>816</v>
      </c>
      <c r="G474" s="704" t="s">
        <v>817</v>
      </c>
      <c r="H474" s="679" t="str">
        <f t="shared" si="112"/>
        <v>entree, gang, hal, repro, kopieer</v>
      </c>
      <c r="I474" s="704" t="s">
        <v>817</v>
      </c>
      <c r="J474" s="703">
        <v>2.66</v>
      </c>
      <c r="K474" s="680"/>
      <c r="L474" s="692">
        <v>3255</v>
      </c>
      <c r="M474" s="677"/>
      <c r="N474" s="677"/>
      <c r="O474" s="682"/>
      <c r="P474" s="682">
        <f t="shared" si="140"/>
        <v>255</v>
      </c>
      <c r="Q474" s="683">
        <v>1</v>
      </c>
      <c r="R474" s="684">
        <v>1</v>
      </c>
      <c r="S474" s="685">
        <f t="shared" si="141"/>
        <v>0</v>
      </c>
      <c r="T474" s="685">
        <f t="shared" si="142"/>
        <v>0</v>
      </c>
      <c r="U474" s="685">
        <f t="shared" si="143"/>
        <v>0</v>
      </c>
      <c r="V474" s="685">
        <f t="shared" si="144"/>
        <v>0</v>
      </c>
      <c r="W474" s="686">
        <f t="shared" si="113"/>
        <v>0</v>
      </c>
      <c r="X474" s="686">
        <f t="shared" si="114"/>
        <v>0</v>
      </c>
      <c r="Y474" s="686">
        <f t="shared" si="115"/>
        <v>0</v>
      </c>
      <c r="Z474" s="686">
        <f t="shared" si="116"/>
        <v>0</v>
      </c>
      <c r="AA474" s="685" t="str">
        <f t="shared" si="145"/>
        <v>V</v>
      </c>
      <c r="AB474" s="687" t="s">
        <v>622</v>
      </c>
      <c r="AC474" s="688" t="e">
        <f>(S474+T474+U474)*'1.0-Contractblad'!$K$68</f>
        <v>#VALUE!</v>
      </c>
      <c r="AD474" s="688"/>
      <c r="AE474" s="48">
        <f t="shared" si="146"/>
        <v>0</v>
      </c>
      <c r="AF474" s="48">
        <f t="shared" si="147"/>
        <v>678.30000000000007</v>
      </c>
      <c r="AG474" s="48" t="str">
        <f t="shared" si="148"/>
        <v>3255-255</v>
      </c>
    </row>
    <row r="475" spans="1:33" ht="12.75">
      <c r="A475" s="102"/>
      <c r="B475" s="364"/>
      <c r="C475" s="365"/>
      <c r="D475" s="676" t="s">
        <v>161</v>
      </c>
      <c r="E475" s="677" t="s">
        <v>314</v>
      </c>
      <c r="F475" s="703" t="s">
        <v>818</v>
      </c>
      <c r="G475" s="704" t="s">
        <v>819</v>
      </c>
      <c r="H475" s="679" t="str">
        <f t="shared" si="112"/>
        <v>sanitaire ruimte (toilet-/doucheruimte)</v>
      </c>
      <c r="I475" s="704" t="s">
        <v>819</v>
      </c>
      <c r="J475" s="703">
        <v>7.85</v>
      </c>
      <c r="K475" s="680"/>
      <c r="L475" s="681">
        <v>4255</v>
      </c>
      <c r="M475" s="677"/>
      <c r="N475" s="677"/>
      <c r="O475" s="682"/>
      <c r="P475" s="682">
        <f t="shared" si="140"/>
        <v>255</v>
      </c>
      <c r="Q475" s="683">
        <v>1</v>
      </c>
      <c r="R475" s="684">
        <v>1</v>
      </c>
      <c r="S475" s="685">
        <f t="shared" si="141"/>
        <v>0</v>
      </c>
      <c r="T475" s="685">
        <f t="shared" si="142"/>
        <v>0</v>
      </c>
      <c r="U475" s="685">
        <f t="shared" si="143"/>
        <v>0</v>
      </c>
      <c r="V475" s="685">
        <f t="shared" si="144"/>
        <v>0</v>
      </c>
      <c r="W475" s="686">
        <f t="shared" si="113"/>
        <v>0</v>
      </c>
      <c r="X475" s="686">
        <f t="shared" si="114"/>
        <v>0</v>
      </c>
      <c r="Y475" s="686">
        <f t="shared" si="115"/>
        <v>0</v>
      </c>
      <c r="Z475" s="686">
        <f t="shared" si="116"/>
        <v>0</v>
      </c>
      <c r="AA475" s="685" t="str">
        <f t="shared" si="145"/>
        <v>S</v>
      </c>
      <c r="AB475" s="687" t="s">
        <v>622</v>
      </c>
      <c r="AC475" s="688" t="e">
        <f>(S475+T475+U475)*'1.0-Contractblad'!$K$68</f>
        <v>#VALUE!</v>
      </c>
      <c r="AD475" s="688"/>
      <c r="AE475" s="48">
        <f t="shared" si="146"/>
        <v>0</v>
      </c>
      <c r="AF475" s="48">
        <f t="shared" si="147"/>
        <v>2001.75</v>
      </c>
      <c r="AG475" s="48" t="str">
        <f t="shared" si="148"/>
        <v>4255-255</v>
      </c>
    </row>
    <row r="476" spans="1:33" ht="12.75">
      <c r="A476" s="102"/>
      <c r="B476" s="364"/>
      <c r="C476" s="365"/>
      <c r="D476" s="676" t="s">
        <v>161</v>
      </c>
      <c r="E476" s="677" t="s">
        <v>314</v>
      </c>
      <c r="F476" s="703" t="s">
        <v>820</v>
      </c>
      <c r="G476" s="704" t="s">
        <v>821</v>
      </c>
      <c r="H476" s="679" t="str">
        <f t="shared" si="112"/>
        <v>kleedruimten</v>
      </c>
      <c r="I476" s="704" t="s">
        <v>821</v>
      </c>
      <c r="J476" s="703">
        <v>30.44</v>
      </c>
      <c r="K476" s="680"/>
      <c r="L476" s="681">
        <v>10255</v>
      </c>
      <c r="M476" s="677"/>
      <c r="N476" s="677"/>
      <c r="O476" s="682"/>
      <c r="P476" s="682">
        <f t="shared" ref="P476:P484" si="149">VLOOKUP(L476,Kengetal,3,FALSE)+VLOOKUP(M476,Kengetal,3,FALSE)+VLOOKUP(N476,Kengetal,3,FALSE)</f>
        <v>255</v>
      </c>
      <c r="Q476" s="683">
        <v>1</v>
      </c>
      <c r="R476" s="684">
        <v>1</v>
      </c>
      <c r="S476" s="685">
        <f t="shared" ref="S476:S484" si="150">W476*J476*Q476</f>
        <v>0</v>
      </c>
      <c r="T476" s="685">
        <f t="shared" ref="T476:T484" si="151">X476*J476*R476</f>
        <v>0</v>
      </c>
      <c r="U476" s="685">
        <f t="shared" ref="U476:U484" si="152">Y476*J476*Q476</f>
        <v>0</v>
      </c>
      <c r="V476" s="685">
        <f t="shared" ref="V476:V484" si="153">Z476*J476*T476</f>
        <v>0</v>
      </c>
      <c r="W476" s="686">
        <f t="shared" si="113"/>
        <v>0</v>
      </c>
      <c r="X476" s="686">
        <f t="shared" si="114"/>
        <v>0</v>
      </c>
      <c r="Y476" s="686">
        <f t="shared" si="115"/>
        <v>0</v>
      </c>
      <c r="Z476" s="686">
        <f t="shared" si="116"/>
        <v>0</v>
      </c>
      <c r="AA476" s="685" t="str">
        <f t="shared" ref="AA476:AA484" si="154">IF(L476="","",VLOOKUP(L476,Kengetal,15,FALSE))</f>
        <v>V</v>
      </c>
      <c r="AB476" s="687" t="s">
        <v>622</v>
      </c>
      <c r="AC476" s="688" t="e">
        <f>(S476+T476+U476)*'1.0-Contractblad'!$K$68</f>
        <v>#VALUE!</v>
      </c>
      <c r="AD476" s="688"/>
      <c r="AE476" s="48">
        <f t="shared" ref="AE476:AE484" si="155">IF(L476=8255,S476+T476,0)</f>
        <v>0</v>
      </c>
      <c r="AF476" s="48">
        <f t="shared" ref="AF476:AF484" si="156">J476*P476</f>
        <v>7762.2000000000007</v>
      </c>
      <c r="AG476" s="48" t="str">
        <f t="shared" ref="AG476:AG484" si="157">CONCATENATE(L476,"-",P476)</f>
        <v>10255-255</v>
      </c>
    </row>
    <row r="477" spans="1:33" ht="12.75">
      <c r="A477" s="102"/>
      <c r="B477" s="364"/>
      <c r="C477" s="365"/>
      <c r="D477" s="676" t="s">
        <v>161</v>
      </c>
      <c r="E477" s="677" t="s">
        <v>314</v>
      </c>
      <c r="F477" s="703" t="s">
        <v>822</v>
      </c>
      <c r="G477" s="704" t="s">
        <v>359</v>
      </c>
      <c r="H477" s="679" t="str">
        <f t="shared" si="112"/>
        <v>sanitaire ruimte (toilet-/doucheruimte)</v>
      </c>
      <c r="I477" s="704" t="s">
        <v>359</v>
      </c>
      <c r="J477" s="703">
        <v>1.79</v>
      </c>
      <c r="K477" s="680"/>
      <c r="L477" s="681">
        <v>4255</v>
      </c>
      <c r="M477" s="677"/>
      <c r="N477" s="677"/>
      <c r="O477" s="682"/>
      <c r="P477" s="682">
        <f t="shared" si="149"/>
        <v>255</v>
      </c>
      <c r="Q477" s="683">
        <v>1</v>
      </c>
      <c r="R477" s="684">
        <v>1</v>
      </c>
      <c r="S477" s="685">
        <f t="shared" si="150"/>
        <v>0</v>
      </c>
      <c r="T477" s="685">
        <f t="shared" si="151"/>
        <v>0</v>
      </c>
      <c r="U477" s="685">
        <f t="shared" si="152"/>
        <v>0</v>
      </c>
      <c r="V477" s="685">
        <f t="shared" si="153"/>
        <v>0</v>
      </c>
      <c r="W477" s="686">
        <f t="shared" si="113"/>
        <v>0</v>
      </c>
      <c r="X477" s="686">
        <f t="shared" si="114"/>
        <v>0</v>
      </c>
      <c r="Y477" s="686">
        <f t="shared" si="115"/>
        <v>0</v>
      </c>
      <c r="Z477" s="686">
        <f t="shared" si="116"/>
        <v>0</v>
      </c>
      <c r="AA477" s="685" t="str">
        <f t="shared" si="154"/>
        <v>S</v>
      </c>
      <c r="AB477" s="687" t="s">
        <v>622</v>
      </c>
      <c r="AC477" s="688" t="e">
        <f>(S477+T477+U477)*'1.0-Contractblad'!$K$68</f>
        <v>#VALUE!</v>
      </c>
      <c r="AD477" s="688"/>
      <c r="AE477" s="48">
        <f t="shared" si="155"/>
        <v>0</v>
      </c>
      <c r="AF477" s="48">
        <f t="shared" si="156"/>
        <v>456.45</v>
      </c>
      <c r="AG477" s="48" t="str">
        <f t="shared" si="157"/>
        <v>4255-255</v>
      </c>
    </row>
    <row r="478" spans="1:33" ht="12.75">
      <c r="A478" s="102"/>
      <c r="B478" s="364"/>
      <c r="C478" s="365"/>
      <c r="D478" s="676" t="s">
        <v>161</v>
      </c>
      <c r="E478" s="677" t="s">
        <v>314</v>
      </c>
      <c r="F478" s="703" t="s">
        <v>823</v>
      </c>
      <c r="G478" s="704" t="s">
        <v>359</v>
      </c>
      <c r="H478" s="679" t="str">
        <f t="shared" si="112"/>
        <v>sanitaire ruimte (toilet-/doucheruimte)</v>
      </c>
      <c r="I478" s="704" t="s">
        <v>359</v>
      </c>
      <c r="J478" s="703">
        <v>1.79</v>
      </c>
      <c r="K478" s="680"/>
      <c r="L478" s="681">
        <v>4255</v>
      </c>
      <c r="M478" s="677"/>
      <c r="N478" s="677"/>
      <c r="O478" s="682"/>
      <c r="P478" s="682">
        <f t="shared" si="149"/>
        <v>255</v>
      </c>
      <c r="Q478" s="683">
        <v>1</v>
      </c>
      <c r="R478" s="684">
        <v>1</v>
      </c>
      <c r="S478" s="685">
        <f t="shared" si="150"/>
        <v>0</v>
      </c>
      <c r="T478" s="685">
        <f t="shared" si="151"/>
        <v>0</v>
      </c>
      <c r="U478" s="685">
        <f t="shared" si="152"/>
        <v>0</v>
      </c>
      <c r="V478" s="685">
        <f t="shared" si="153"/>
        <v>0</v>
      </c>
      <c r="W478" s="686">
        <f t="shared" si="113"/>
        <v>0</v>
      </c>
      <c r="X478" s="686">
        <f t="shared" si="114"/>
        <v>0</v>
      </c>
      <c r="Y478" s="686">
        <f t="shared" si="115"/>
        <v>0</v>
      </c>
      <c r="Z478" s="686">
        <f t="shared" si="116"/>
        <v>0</v>
      </c>
      <c r="AA478" s="685" t="str">
        <f t="shared" si="154"/>
        <v>S</v>
      </c>
      <c r="AB478" s="687" t="s">
        <v>622</v>
      </c>
      <c r="AC478" s="688" t="e">
        <f>(S478+T478+U478)*'1.0-Contractblad'!$K$68</f>
        <v>#VALUE!</v>
      </c>
      <c r="AD478" s="688"/>
      <c r="AE478" s="48">
        <f t="shared" si="155"/>
        <v>0</v>
      </c>
      <c r="AF478" s="48">
        <f t="shared" si="156"/>
        <v>456.45</v>
      </c>
      <c r="AG478" s="48" t="str">
        <f t="shared" si="157"/>
        <v>4255-255</v>
      </c>
    </row>
    <row r="479" spans="1:33" ht="12.75">
      <c r="A479" s="102"/>
      <c r="B479" s="364"/>
      <c r="C479" s="365"/>
      <c r="D479" s="676" t="s">
        <v>161</v>
      </c>
      <c r="E479" s="677" t="s">
        <v>314</v>
      </c>
      <c r="F479" s="703" t="s">
        <v>824</v>
      </c>
      <c r="G479" s="704" t="s">
        <v>359</v>
      </c>
      <c r="H479" s="679" t="str">
        <f t="shared" si="112"/>
        <v>sanitaire ruimte (toilet-/doucheruimte)</v>
      </c>
      <c r="I479" s="704" t="s">
        <v>359</v>
      </c>
      <c r="J479" s="703">
        <v>1.79</v>
      </c>
      <c r="K479" s="680"/>
      <c r="L479" s="681">
        <v>4255</v>
      </c>
      <c r="M479" s="677"/>
      <c r="N479" s="677"/>
      <c r="O479" s="682"/>
      <c r="P479" s="682">
        <f t="shared" si="149"/>
        <v>255</v>
      </c>
      <c r="Q479" s="683">
        <v>1</v>
      </c>
      <c r="R479" s="684">
        <v>1</v>
      </c>
      <c r="S479" s="685">
        <f t="shared" si="150"/>
        <v>0</v>
      </c>
      <c r="T479" s="685">
        <f t="shared" si="151"/>
        <v>0</v>
      </c>
      <c r="U479" s="685">
        <f t="shared" si="152"/>
        <v>0</v>
      </c>
      <c r="V479" s="685">
        <f t="shared" si="153"/>
        <v>0</v>
      </c>
      <c r="W479" s="686">
        <f t="shared" si="113"/>
        <v>0</v>
      </c>
      <c r="X479" s="686">
        <f t="shared" si="114"/>
        <v>0</v>
      </c>
      <c r="Y479" s="686">
        <f t="shared" si="115"/>
        <v>0</v>
      </c>
      <c r="Z479" s="686">
        <f t="shared" si="116"/>
        <v>0</v>
      </c>
      <c r="AA479" s="685" t="str">
        <f t="shared" si="154"/>
        <v>S</v>
      </c>
      <c r="AB479" s="687" t="s">
        <v>622</v>
      </c>
      <c r="AC479" s="688" t="e">
        <f>(S479+T479+U479)*'1.0-Contractblad'!$K$68</f>
        <v>#VALUE!</v>
      </c>
      <c r="AD479" s="688"/>
      <c r="AE479" s="48">
        <f t="shared" si="155"/>
        <v>0</v>
      </c>
      <c r="AF479" s="48">
        <f t="shared" si="156"/>
        <v>456.45</v>
      </c>
      <c r="AG479" s="48" t="str">
        <f t="shared" si="157"/>
        <v>4255-255</v>
      </c>
    </row>
    <row r="480" spans="1:33" ht="12.75">
      <c r="A480" s="102"/>
      <c r="B480" s="364"/>
      <c r="C480" s="365"/>
      <c r="D480" s="676" t="s">
        <v>161</v>
      </c>
      <c r="E480" s="677" t="s">
        <v>314</v>
      </c>
      <c r="F480" s="703" t="s">
        <v>825</v>
      </c>
      <c r="G480" s="704" t="s">
        <v>359</v>
      </c>
      <c r="H480" s="679" t="str">
        <f t="shared" si="112"/>
        <v>sanitaire ruimte (toilet-/doucheruimte)</v>
      </c>
      <c r="I480" s="704" t="s">
        <v>359</v>
      </c>
      <c r="J480" s="703">
        <v>1.79</v>
      </c>
      <c r="K480" s="680"/>
      <c r="L480" s="681">
        <v>4255</v>
      </c>
      <c r="M480" s="677"/>
      <c r="N480" s="677"/>
      <c r="O480" s="682"/>
      <c r="P480" s="682">
        <f t="shared" si="149"/>
        <v>255</v>
      </c>
      <c r="Q480" s="683">
        <v>1</v>
      </c>
      <c r="R480" s="684">
        <v>1</v>
      </c>
      <c r="S480" s="685">
        <f t="shared" si="150"/>
        <v>0</v>
      </c>
      <c r="T480" s="685">
        <f t="shared" si="151"/>
        <v>0</v>
      </c>
      <c r="U480" s="685">
        <f t="shared" si="152"/>
        <v>0</v>
      </c>
      <c r="V480" s="685">
        <f t="shared" si="153"/>
        <v>0</v>
      </c>
      <c r="W480" s="686">
        <f t="shared" si="113"/>
        <v>0</v>
      </c>
      <c r="X480" s="686">
        <f t="shared" si="114"/>
        <v>0</v>
      </c>
      <c r="Y480" s="686">
        <f t="shared" si="115"/>
        <v>0</v>
      </c>
      <c r="Z480" s="686">
        <f t="shared" si="116"/>
        <v>0</v>
      </c>
      <c r="AA480" s="685" t="str">
        <f t="shared" si="154"/>
        <v>S</v>
      </c>
      <c r="AB480" s="687" t="s">
        <v>622</v>
      </c>
      <c r="AC480" s="688" t="e">
        <f>(S480+T480+U480)*'1.0-Contractblad'!$K$68</f>
        <v>#VALUE!</v>
      </c>
      <c r="AD480" s="688"/>
      <c r="AE480" s="48">
        <f t="shared" si="155"/>
        <v>0</v>
      </c>
      <c r="AF480" s="48">
        <f t="shared" si="156"/>
        <v>456.45</v>
      </c>
      <c r="AG480" s="48" t="str">
        <f t="shared" si="157"/>
        <v>4255-255</v>
      </c>
    </row>
    <row r="481" spans="1:33" ht="12.75">
      <c r="A481" s="102"/>
      <c r="B481" s="364"/>
      <c r="C481" s="365"/>
      <c r="D481" s="676" t="s">
        <v>161</v>
      </c>
      <c r="E481" s="677" t="s">
        <v>314</v>
      </c>
      <c r="F481" s="703" t="s">
        <v>826</v>
      </c>
      <c r="G481" s="704" t="s">
        <v>784</v>
      </c>
      <c r="H481" s="679" t="str">
        <f t="shared" si="112"/>
        <v>kleedruimten</v>
      </c>
      <c r="I481" s="704" t="s">
        <v>784</v>
      </c>
      <c r="J481" s="703">
        <v>13.8</v>
      </c>
      <c r="K481" s="680"/>
      <c r="L481" s="681">
        <v>10255</v>
      </c>
      <c r="M481" s="677"/>
      <c r="N481" s="677"/>
      <c r="O481" s="682"/>
      <c r="P481" s="682">
        <f t="shared" si="149"/>
        <v>255</v>
      </c>
      <c r="Q481" s="683">
        <v>1</v>
      </c>
      <c r="R481" s="684">
        <v>1</v>
      </c>
      <c r="S481" s="685">
        <f t="shared" si="150"/>
        <v>0</v>
      </c>
      <c r="T481" s="685">
        <f t="shared" si="151"/>
        <v>0</v>
      </c>
      <c r="U481" s="685">
        <f t="shared" si="152"/>
        <v>0</v>
      </c>
      <c r="V481" s="685">
        <f t="shared" si="153"/>
        <v>0</v>
      </c>
      <c r="W481" s="686">
        <f t="shared" si="113"/>
        <v>0</v>
      </c>
      <c r="X481" s="686">
        <f t="shared" si="114"/>
        <v>0</v>
      </c>
      <c r="Y481" s="686">
        <f t="shared" si="115"/>
        <v>0</v>
      </c>
      <c r="Z481" s="686">
        <f t="shared" si="116"/>
        <v>0</v>
      </c>
      <c r="AA481" s="685" t="str">
        <f t="shared" si="154"/>
        <v>V</v>
      </c>
      <c r="AB481" s="687" t="s">
        <v>622</v>
      </c>
      <c r="AC481" s="688" t="e">
        <f>(S481+T481+U481)*'1.0-Contractblad'!$K$68</f>
        <v>#VALUE!</v>
      </c>
      <c r="AD481" s="688"/>
      <c r="AE481" s="48">
        <f t="shared" si="155"/>
        <v>0</v>
      </c>
      <c r="AF481" s="48">
        <f t="shared" si="156"/>
        <v>3519</v>
      </c>
      <c r="AG481" s="48" t="str">
        <f t="shared" si="157"/>
        <v>10255-255</v>
      </c>
    </row>
    <row r="482" spans="1:33" ht="12.75">
      <c r="A482" s="102"/>
      <c r="B482" s="364"/>
      <c r="C482" s="365"/>
      <c r="D482" s="676" t="s">
        <v>161</v>
      </c>
      <c r="E482" s="677" t="s">
        <v>314</v>
      </c>
      <c r="F482" s="703" t="s">
        <v>827</v>
      </c>
      <c r="G482" s="704" t="s">
        <v>828</v>
      </c>
      <c r="H482" s="679" t="str">
        <f t="shared" si="112"/>
        <v>sanitaire ruimte (toilet-/doucheruimte)</v>
      </c>
      <c r="I482" s="704" t="s">
        <v>828</v>
      </c>
      <c r="J482" s="705">
        <v>2.9</v>
      </c>
      <c r="K482" s="680"/>
      <c r="L482" s="681">
        <v>4255</v>
      </c>
      <c r="M482" s="677"/>
      <c r="N482" s="677"/>
      <c r="O482" s="682"/>
      <c r="P482" s="682">
        <f t="shared" si="149"/>
        <v>255</v>
      </c>
      <c r="Q482" s="683">
        <v>1</v>
      </c>
      <c r="R482" s="684">
        <v>1</v>
      </c>
      <c r="S482" s="685">
        <f t="shared" si="150"/>
        <v>0</v>
      </c>
      <c r="T482" s="685">
        <f t="shared" si="151"/>
        <v>0</v>
      </c>
      <c r="U482" s="685">
        <f t="shared" si="152"/>
        <v>0</v>
      </c>
      <c r="V482" s="685">
        <f t="shared" si="153"/>
        <v>0</v>
      </c>
      <c r="W482" s="686">
        <f t="shared" si="113"/>
        <v>0</v>
      </c>
      <c r="X482" s="686">
        <f t="shared" si="114"/>
        <v>0</v>
      </c>
      <c r="Y482" s="686">
        <f t="shared" si="115"/>
        <v>0</v>
      </c>
      <c r="Z482" s="686">
        <f t="shared" si="116"/>
        <v>0</v>
      </c>
      <c r="AA482" s="685" t="str">
        <f t="shared" si="154"/>
        <v>S</v>
      </c>
      <c r="AB482" s="687" t="s">
        <v>622</v>
      </c>
      <c r="AC482" s="688" t="e">
        <f>(S482+T482+U482)*'1.0-Contractblad'!$K$68</f>
        <v>#VALUE!</v>
      </c>
      <c r="AD482" s="688"/>
      <c r="AE482" s="48">
        <f t="shared" si="155"/>
        <v>0</v>
      </c>
      <c r="AF482" s="48">
        <f t="shared" si="156"/>
        <v>739.5</v>
      </c>
      <c r="AG482" s="48" t="str">
        <f t="shared" si="157"/>
        <v>4255-255</v>
      </c>
    </row>
    <row r="483" spans="1:33" ht="12.75">
      <c r="A483" s="102"/>
      <c r="B483" s="364"/>
      <c r="C483" s="365"/>
      <c r="D483" s="676" t="s">
        <v>161</v>
      </c>
      <c r="E483" s="677" t="s">
        <v>314</v>
      </c>
      <c r="F483" s="703" t="s">
        <v>829</v>
      </c>
      <c r="G483" s="704" t="s">
        <v>830</v>
      </c>
      <c r="H483" s="679" t="str">
        <f t="shared" si="112"/>
        <v>entree, gang, hal, repro, kopieer</v>
      </c>
      <c r="I483" s="704" t="s">
        <v>830</v>
      </c>
      <c r="J483" s="703">
        <v>3.78</v>
      </c>
      <c r="K483" s="680"/>
      <c r="L483" s="692">
        <v>3255</v>
      </c>
      <c r="M483" s="677"/>
      <c r="N483" s="677"/>
      <c r="O483" s="682"/>
      <c r="P483" s="682">
        <f t="shared" si="149"/>
        <v>255</v>
      </c>
      <c r="Q483" s="683">
        <v>1</v>
      </c>
      <c r="R483" s="684">
        <v>1</v>
      </c>
      <c r="S483" s="685">
        <f t="shared" si="150"/>
        <v>0</v>
      </c>
      <c r="T483" s="685">
        <f t="shared" si="151"/>
        <v>0</v>
      </c>
      <c r="U483" s="685">
        <f t="shared" si="152"/>
        <v>0</v>
      </c>
      <c r="V483" s="685">
        <f t="shared" si="153"/>
        <v>0</v>
      </c>
      <c r="W483" s="686">
        <f t="shared" si="113"/>
        <v>0</v>
      </c>
      <c r="X483" s="686">
        <f t="shared" si="114"/>
        <v>0</v>
      </c>
      <c r="Y483" s="686">
        <f t="shared" si="115"/>
        <v>0</v>
      </c>
      <c r="Z483" s="686">
        <f t="shared" si="116"/>
        <v>0</v>
      </c>
      <c r="AA483" s="685" t="str">
        <f t="shared" si="154"/>
        <v>V</v>
      </c>
      <c r="AB483" s="687" t="s">
        <v>622</v>
      </c>
      <c r="AC483" s="688" t="e">
        <f>(S483+T483+U483)*'1.0-Contractblad'!$K$68</f>
        <v>#VALUE!</v>
      </c>
      <c r="AD483" s="688"/>
      <c r="AE483" s="48">
        <f t="shared" si="155"/>
        <v>0</v>
      </c>
      <c r="AF483" s="48">
        <f t="shared" si="156"/>
        <v>963.9</v>
      </c>
      <c r="AG483" s="48" t="str">
        <f t="shared" si="157"/>
        <v>3255-255</v>
      </c>
    </row>
    <row r="484" spans="1:33" ht="12.75">
      <c r="A484" s="102"/>
      <c r="B484" s="364"/>
      <c r="C484" s="365"/>
      <c r="D484" s="676" t="s">
        <v>161</v>
      </c>
      <c r="E484" s="677" t="s">
        <v>314</v>
      </c>
      <c r="F484" s="703" t="s">
        <v>831</v>
      </c>
      <c r="G484" s="704" t="s">
        <v>405</v>
      </c>
      <c r="H484" s="679" t="str">
        <f t="shared" si="112"/>
        <v>sanitaire ruimte (toilet-/doucheruimte)</v>
      </c>
      <c r="I484" s="704" t="s">
        <v>405</v>
      </c>
      <c r="J484" s="703">
        <v>1.0900000000000001</v>
      </c>
      <c r="K484" s="680"/>
      <c r="L484" s="681">
        <v>4255</v>
      </c>
      <c r="M484" s="677"/>
      <c r="N484" s="677"/>
      <c r="O484" s="682"/>
      <c r="P484" s="682">
        <f t="shared" si="149"/>
        <v>255</v>
      </c>
      <c r="Q484" s="683">
        <v>1</v>
      </c>
      <c r="R484" s="684">
        <v>1</v>
      </c>
      <c r="S484" s="685">
        <f t="shared" si="150"/>
        <v>0</v>
      </c>
      <c r="T484" s="685">
        <f t="shared" si="151"/>
        <v>0</v>
      </c>
      <c r="U484" s="685">
        <f t="shared" si="152"/>
        <v>0</v>
      </c>
      <c r="V484" s="685">
        <f t="shared" si="153"/>
        <v>0</v>
      </c>
      <c r="W484" s="686">
        <f t="shared" si="113"/>
        <v>0</v>
      </c>
      <c r="X484" s="686">
        <f t="shared" si="114"/>
        <v>0</v>
      </c>
      <c r="Y484" s="686">
        <f t="shared" si="115"/>
        <v>0</v>
      </c>
      <c r="Z484" s="686">
        <f t="shared" si="116"/>
        <v>0</v>
      </c>
      <c r="AA484" s="685" t="str">
        <f t="shared" si="154"/>
        <v>S</v>
      </c>
      <c r="AB484" s="687" t="s">
        <v>622</v>
      </c>
      <c r="AC484" s="688" t="e">
        <f>(S484+T484+U484)*'1.0-Contractblad'!$K$68</f>
        <v>#VALUE!</v>
      </c>
      <c r="AD484" s="688"/>
      <c r="AE484" s="48">
        <f t="shared" si="155"/>
        <v>0</v>
      </c>
      <c r="AF484" s="48">
        <f t="shared" si="156"/>
        <v>277.95000000000005</v>
      </c>
      <c r="AG484" s="48" t="str">
        <f t="shared" si="157"/>
        <v>4255-255</v>
      </c>
    </row>
    <row r="485" spans="1:33" ht="12.75">
      <c r="A485" s="102"/>
      <c r="B485" s="364"/>
      <c r="C485" s="365"/>
      <c r="D485" s="676" t="s">
        <v>161</v>
      </c>
      <c r="E485" s="677" t="s">
        <v>314</v>
      </c>
      <c r="F485" s="703" t="s">
        <v>832</v>
      </c>
      <c r="G485" s="704" t="s">
        <v>405</v>
      </c>
      <c r="H485" s="679" t="str">
        <f t="shared" si="112"/>
        <v>sanitaire ruimte (toilet-/doucheruimte)</v>
      </c>
      <c r="I485" s="704" t="s">
        <v>405</v>
      </c>
      <c r="J485" s="703">
        <v>1.0900000000000001</v>
      </c>
      <c r="K485" s="680"/>
      <c r="L485" s="681">
        <v>4255</v>
      </c>
      <c r="M485" s="677"/>
      <c r="N485" s="677"/>
      <c r="O485" s="682"/>
      <c r="P485" s="682">
        <f t="shared" ref="P485:P492" si="158">VLOOKUP(L485,Kengetal,3,FALSE)+VLOOKUP(M485,Kengetal,3,FALSE)+VLOOKUP(N485,Kengetal,3,FALSE)</f>
        <v>255</v>
      </c>
      <c r="Q485" s="683">
        <v>1</v>
      </c>
      <c r="R485" s="684">
        <v>1</v>
      </c>
      <c r="S485" s="685">
        <f t="shared" ref="S485:S492" si="159">W485*J485*Q485</f>
        <v>0</v>
      </c>
      <c r="T485" s="685">
        <f t="shared" ref="T485:T492" si="160">X485*J485*R485</f>
        <v>0</v>
      </c>
      <c r="U485" s="685">
        <f t="shared" ref="U485:U492" si="161">Y485*J485*Q485</f>
        <v>0</v>
      </c>
      <c r="V485" s="685">
        <f t="shared" ref="V485:V492" si="162">Z485*J485*T485</f>
        <v>0</v>
      </c>
      <c r="W485" s="686">
        <f t="shared" si="113"/>
        <v>0</v>
      </c>
      <c r="X485" s="686">
        <f t="shared" si="114"/>
        <v>0</v>
      </c>
      <c r="Y485" s="686">
        <f t="shared" si="115"/>
        <v>0</v>
      </c>
      <c r="Z485" s="686">
        <f t="shared" si="116"/>
        <v>0</v>
      </c>
      <c r="AA485" s="685" t="str">
        <f t="shared" ref="AA485:AA492" si="163">IF(L485="","",VLOOKUP(L485,Kengetal,15,FALSE))</f>
        <v>S</v>
      </c>
      <c r="AB485" s="687" t="s">
        <v>622</v>
      </c>
      <c r="AC485" s="688" t="e">
        <f>(S485+T485+U485)*'1.0-Contractblad'!$K$68</f>
        <v>#VALUE!</v>
      </c>
      <c r="AD485" s="688"/>
      <c r="AE485" s="48">
        <f>IF(L485=8255,S485+T485,0)</f>
        <v>0</v>
      </c>
      <c r="AF485" s="48">
        <f>J485*P485</f>
        <v>277.95000000000005</v>
      </c>
      <c r="AG485" s="48" t="str">
        <f>CONCATENATE(L485,"-",P485)</f>
        <v>4255-255</v>
      </c>
    </row>
    <row r="486" spans="1:33" ht="15.95" customHeight="1">
      <c r="B486" s="364"/>
      <c r="C486" s="365"/>
      <c r="D486" s="676" t="s">
        <v>163</v>
      </c>
      <c r="E486" s="677" t="s">
        <v>314</v>
      </c>
      <c r="F486" s="706" t="s">
        <v>833</v>
      </c>
      <c r="G486" s="704" t="s">
        <v>626</v>
      </c>
      <c r="H486" s="679" t="str">
        <f t="shared" si="112"/>
        <v>entree, gang, hal, repro, kopieer</v>
      </c>
      <c r="I486" s="704" t="s">
        <v>626</v>
      </c>
      <c r="J486" s="705">
        <v>8</v>
      </c>
      <c r="K486" s="680"/>
      <c r="L486" s="692">
        <v>3255</v>
      </c>
      <c r="M486" s="677"/>
      <c r="N486" s="677"/>
      <c r="O486" s="682"/>
      <c r="P486" s="682">
        <f t="shared" si="158"/>
        <v>255</v>
      </c>
      <c r="Q486" s="683">
        <v>1</v>
      </c>
      <c r="R486" s="684">
        <v>1</v>
      </c>
      <c r="S486" s="685">
        <f t="shared" si="159"/>
        <v>0</v>
      </c>
      <c r="T486" s="685">
        <f t="shared" si="160"/>
        <v>0</v>
      </c>
      <c r="U486" s="685">
        <f t="shared" si="161"/>
        <v>0</v>
      </c>
      <c r="V486" s="685">
        <f t="shared" si="162"/>
        <v>0</v>
      </c>
      <c r="W486" s="686">
        <f t="shared" si="113"/>
        <v>0</v>
      </c>
      <c r="X486" s="686">
        <f t="shared" si="114"/>
        <v>0</v>
      </c>
      <c r="Y486" s="686">
        <f t="shared" si="115"/>
        <v>0</v>
      </c>
      <c r="Z486" s="686">
        <f t="shared" si="116"/>
        <v>0</v>
      </c>
      <c r="AA486" s="685" t="str">
        <f t="shared" si="163"/>
        <v>V</v>
      </c>
      <c r="AB486" s="687" t="s">
        <v>622</v>
      </c>
      <c r="AC486" s="688" t="e">
        <f>(S486+T486+U486)*'1.0-Contractblad'!$K$68</f>
        <v>#VALUE!</v>
      </c>
      <c r="AD486" s="688"/>
    </row>
    <row r="487" spans="1:33" ht="15.95" customHeight="1">
      <c r="B487" s="364"/>
      <c r="C487" s="365"/>
      <c r="D487" s="676" t="s">
        <v>163</v>
      </c>
      <c r="E487" s="677" t="s">
        <v>314</v>
      </c>
      <c r="F487" s="706" t="s">
        <v>834</v>
      </c>
      <c r="G487" s="704" t="s">
        <v>835</v>
      </c>
      <c r="H487" s="679" t="str">
        <f t="shared" si="112"/>
        <v>entree, gang, hal, repro, kopieer</v>
      </c>
      <c r="I487" s="704" t="s">
        <v>835</v>
      </c>
      <c r="J487" s="705">
        <v>65</v>
      </c>
      <c r="K487" s="680"/>
      <c r="L487" s="692">
        <v>3255</v>
      </c>
      <c r="M487" s="677"/>
      <c r="N487" s="677"/>
      <c r="O487" s="682"/>
      <c r="P487" s="682">
        <f t="shared" si="158"/>
        <v>255</v>
      </c>
      <c r="Q487" s="683">
        <v>1</v>
      </c>
      <c r="R487" s="684">
        <v>1</v>
      </c>
      <c r="S487" s="685">
        <f t="shared" si="159"/>
        <v>0</v>
      </c>
      <c r="T487" s="685">
        <f t="shared" si="160"/>
        <v>0</v>
      </c>
      <c r="U487" s="685">
        <f t="shared" si="161"/>
        <v>0</v>
      </c>
      <c r="V487" s="685">
        <f t="shared" si="162"/>
        <v>0</v>
      </c>
      <c r="W487" s="686">
        <f t="shared" si="113"/>
        <v>0</v>
      </c>
      <c r="X487" s="686">
        <f t="shared" si="114"/>
        <v>0</v>
      </c>
      <c r="Y487" s="686">
        <f t="shared" si="115"/>
        <v>0</v>
      </c>
      <c r="Z487" s="686">
        <f t="shared" si="116"/>
        <v>0</v>
      </c>
      <c r="AA487" s="685" t="str">
        <f t="shared" si="163"/>
        <v>V</v>
      </c>
      <c r="AB487" s="687" t="s">
        <v>622</v>
      </c>
      <c r="AC487" s="688" t="e">
        <f>(S487+T487+U487)*'1.0-Contractblad'!$K$68</f>
        <v>#VALUE!</v>
      </c>
      <c r="AD487" s="688"/>
    </row>
    <row r="488" spans="1:33" ht="15.95" customHeight="1">
      <c r="B488" s="364"/>
      <c r="C488" s="365"/>
      <c r="D488" s="676" t="s">
        <v>163</v>
      </c>
      <c r="E488" s="677" t="s">
        <v>314</v>
      </c>
      <c r="F488" s="706" t="s">
        <v>836</v>
      </c>
      <c r="G488" s="704" t="s">
        <v>837</v>
      </c>
      <c r="H488" s="679" t="str">
        <f t="shared" si="112"/>
        <v>trappenhuis</v>
      </c>
      <c r="I488" s="704" t="s">
        <v>837</v>
      </c>
      <c r="J488" s="703">
        <v>1.52</v>
      </c>
      <c r="K488" s="680"/>
      <c r="L488" s="681">
        <v>9255</v>
      </c>
      <c r="M488" s="677"/>
      <c r="N488" s="677"/>
      <c r="O488" s="682"/>
      <c r="P488" s="682">
        <f t="shared" si="158"/>
        <v>255</v>
      </c>
      <c r="Q488" s="683">
        <v>1</v>
      </c>
      <c r="R488" s="684">
        <v>1</v>
      </c>
      <c r="S488" s="685">
        <f t="shared" si="159"/>
        <v>0</v>
      </c>
      <c r="T488" s="685">
        <f t="shared" si="160"/>
        <v>0</v>
      </c>
      <c r="U488" s="685">
        <f t="shared" si="161"/>
        <v>0</v>
      </c>
      <c r="V488" s="685">
        <f t="shared" si="162"/>
        <v>0</v>
      </c>
      <c r="W488" s="686">
        <f t="shared" si="113"/>
        <v>0</v>
      </c>
      <c r="X488" s="686">
        <f t="shared" si="114"/>
        <v>0</v>
      </c>
      <c r="Y488" s="686">
        <f t="shared" si="115"/>
        <v>0</v>
      </c>
      <c r="Z488" s="686">
        <f t="shared" si="116"/>
        <v>0</v>
      </c>
      <c r="AA488" s="685" t="str">
        <f t="shared" si="163"/>
        <v>V</v>
      </c>
      <c r="AB488" s="687" t="s">
        <v>622</v>
      </c>
      <c r="AC488" s="688" t="e">
        <f>(S488+T488+U488)*'1.0-Contractblad'!$K$68</f>
        <v>#VALUE!</v>
      </c>
      <c r="AD488" s="688"/>
    </row>
    <row r="489" spans="1:33" ht="15.95" customHeight="1">
      <c r="B489" s="364"/>
      <c r="C489" s="365"/>
      <c r="D489" s="676" t="s">
        <v>163</v>
      </c>
      <c r="E489" s="677" t="s">
        <v>314</v>
      </c>
      <c r="F489" s="706" t="s">
        <v>838</v>
      </c>
      <c r="G489" s="704" t="s">
        <v>785</v>
      </c>
      <c r="H489" s="679" t="str">
        <f>IF($L489="",0,VLOOKUP($L489,Kengetal,4,FALSE))</f>
        <v>pantry, keuken, koffiecorner</v>
      </c>
      <c r="I489" s="704" t="s">
        <v>785</v>
      </c>
      <c r="J489" s="703">
        <v>98.28</v>
      </c>
      <c r="K489" s="680"/>
      <c r="L489" s="681">
        <v>5255</v>
      </c>
      <c r="M489" s="677"/>
      <c r="N489" s="677"/>
      <c r="O489" s="682"/>
      <c r="P489" s="682">
        <f t="shared" si="158"/>
        <v>255</v>
      </c>
      <c r="Q489" s="683">
        <v>1</v>
      </c>
      <c r="R489" s="684">
        <v>1</v>
      </c>
      <c r="S489" s="685">
        <f t="shared" si="159"/>
        <v>0</v>
      </c>
      <c r="T489" s="685">
        <f t="shared" si="160"/>
        <v>0</v>
      </c>
      <c r="U489" s="685">
        <f t="shared" si="161"/>
        <v>0</v>
      </c>
      <c r="V489" s="685">
        <f t="shared" si="162"/>
        <v>0</v>
      </c>
      <c r="W489" s="686">
        <f>IF($L489=0,0,VLOOKUP($L489,Kengetal,6,FALSE))</f>
        <v>0</v>
      </c>
      <c r="X489" s="686">
        <f>IF($L489=0,0,VLOOKUP($L489,Kengetal,8,FALSE))</f>
        <v>0</v>
      </c>
      <c r="Y489" s="686">
        <f>IF($M489=0,0,VLOOKUP($M489,Kengetal,6,FALSE))</f>
        <v>0</v>
      </c>
      <c r="Z489" s="686">
        <f>IF($N489=0,0,VLOOKUP($N489,Kengetal,6,FALSE))</f>
        <v>0</v>
      </c>
      <c r="AA489" s="685" t="str">
        <f t="shared" si="163"/>
        <v>V</v>
      </c>
      <c r="AB489" s="687" t="s">
        <v>622</v>
      </c>
      <c r="AC489" s="688" t="e">
        <f>(S489+T489+U489)*'1.0-Contractblad'!$K$68</f>
        <v>#VALUE!</v>
      </c>
      <c r="AD489" s="688"/>
    </row>
    <row r="490" spans="1:33" ht="15.95" customHeight="1">
      <c r="B490" s="364"/>
      <c r="C490" s="365"/>
      <c r="D490" s="676" t="s">
        <v>163</v>
      </c>
      <c r="E490" s="677" t="s">
        <v>314</v>
      </c>
      <c r="F490" s="706" t="s">
        <v>839</v>
      </c>
      <c r="G490" s="704" t="s">
        <v>642</v>
      </c>
      <c r="H490" s="679" t="str">
        <f t="shared" si="112"/>
        <v>entree, gang, hal, repro, kopieer</v>
      </c>
      <c r="I490" s="704" t="s">
        <v>642</v>
      </c>
      <c r="J490" s="703">
        <v>10.97</v>
      </c>
      <c r="K490" s="680"/>
      <c r="L490" s="692">
        <v>3255</v>
      </c>
      <c r="M490" s="677"/>
      <c r="N490" s="677"/>
      <c r="O490" s="682"/>
      <c r="P490" s="682">
        <f t="shared" si="158"/>
        <v>255</v>
      </c>
      <c r="Q490" s="683">
        <v>1</v>
      </c>
      <c r="R490" s="684">
        <v>1</v>
      </c>
      <c r="S490" s="685">
        <f t="shared" si="159"/>
        <v>0</v>
      </c>
      <c r="T490" s="685">
        <f t="shared" si="160"/>
        <v>0</v>
      </c>
      <c r="U490" s="685">
        <f t="shared" si="161"/>
        <v>0</v>
      </c>
      <c r="V490" s="685">
        <f t="shared" si="162"/>
        <v>0</v>
      </c>
      <c r="W490" s="686">
        <f t="shared" si="113"/>
        <v>0</v>
      </c>
      <c r="X490" s="686">
        <f t="shared" si="114"/>
        <v>0</v>
      </c>
      <c r="Y490" s="686">
        <f t="shared" si="115"/>
        <v>0</v>
      </c>
      <c r="Z490" s="686">
        <f t="shared" si="116"/>
        <v>0</v>
      </c>
      <c r="AA490" s="685" t="str">
        <f t="shared" si="163"/>
        <v>V</v>
      </c>
      <c r="AB490" s="687" t="s">
        <v>622</v>
      </c>
      <c r="AC490" s="688" t="e">
        <f>(S490+T490+U490)*'1.0-Contractblad'!$K$68</f>
        <v>#VALUE!</v>
      </c>
      <c r="AD490" s="688"/>
    </row>
    <row r="491" spans="1:33" ht="15.95" customHeight="1">
      <c r="B491" s="364"/>
      <c r="C491" s="365"/>
      <c r="D491" s="676" t="s">
        <v>163</v>
      </c>
      <c r="E491" s="677" t="s">
        <v>314</v>
      </c>
      <c r="F491" s="706" t="s">
        <v>840</v>
      </c>
      <c r="G491" s="704" t="s">
        <v>405</v>
      </c>
      <c r="H491" s="679" t="str">
        <f t="shared" ref="H491:H506" si="164">IF($L491="",0,VLOOKUP($L491,Kengetal,4,FALSE))</f>
        <v>sanitaire ruimte (toilet-/doucheruimte)</v>
      </c>
      <c r="I491" s="704" t="s">
        <v>405</v>
      </c>
      <c r="J491" s="703">
        <v>1.1599999999999999</v>
      </c>
      <c r="K491" s="680"/>
      <c r="L491" s="681">
        <v>4255</v>
      </c>
      <c r="M491" s="677"/>
      <c r="N491" s="677"/>
      <c r="O491" s="682"/>
      <c r="P491" s="682">
        <f t="shared" si="158"/>
        <v>255</v>
      </c>
      <c r="Q491" s="683">
        <v>1</v>
      </c>
      <c r="R491" s="684">
        <v>1</v>
      </c>
      <c r="S491" s="685">
        <f t="shared" si="159"/>
        <v>0</v>
      </c>
      <c r="T491" s="685">
        <f t="shared" si="160"/>
        <v>0</v>
      </c>
      <c r="U491" s="685">
        <f t="shared" si="161"/>
        <v>0</v>
      </c>
      <c r="V491" s="685">
        <f t="shared" si="162"/>
        <v>0</v>
      </c>
      <c r="W491" s="686">
        <f t="shared" ref="W491:W506" si="165">IF($L491=0,0,VLOOKUP($L491,Kengetal,6,FALSE))</f>
        <v>0</v>
      </c>
      <c r="X491" s="686">
        <f t="shared" ref="X491:X506" si="166">IF($L491=0,0,VLOOKUP($L491,Kengetal,8,FALSE))</f>
        <v>0</v>
      </c>
      <c r="Y491" s="686">
        <f t="shared" ref="Y491:Y506" si="167">IF($M491=0,0,VLOOKUP($M491,Kengetal,6,FALSE))</f>
        <v>0</v>
      </c>
      <c r="Z491" s="686">
        <f t="shared" ref="Z491:Z506" si="168">IF($N491=0,0,VLOOKUP($N491,Kengetal,6,FALSE))</f>
        <v>0</v>
      </c>
      <c r="AA491" s="685" t="str">
        <f t="shared" si="163"/>
        <v>S</v>
      </c>
      <c r="AB491" s="687" t="s">
        <v>622</v>
      </c>
      <c r="AC491" s="688" t="e">
        <f>(S491+T491+U491)*'1.0-Contractblad'!$K$68</f>
        <v>#VALUE!</v>
      </c>
      <c r="AD491" s="688"/>
    </row>
    <row r="492" spans="1:33" ht="15.95" customHeight="1">
      <c r="B492" s="364"/>
      <c r="C492" s="365"/>
      <c r="D492" s="676" t="s">
        <v>163</v>
      </c>
      <c r="E492" s="677" t="s">
        <v>314</v>
      </c>
      <c r="F492" s="706" t="s">
        <v>841</v>
      </c>
      <c r="G492" s="704" t="s">
        <v>405</v>
      </c>
      <c r="H492" s="679" t="str">
        <f t="shared" si="164"/>
        <v>sanitaire ruimte (toilet-/doucheruimte)</v>
      </c>
      <c r="I492" s="704" t="s">
        <v>405</v>
      </c>
      <c r="J492" s="703">
        <v>1.1599999999999999</v>
      </c>
      <c r="K492" s="680"/>
      <c r="L492" s="681">
        <v>4255</v>
      </c>
      <c r="M492" s="677"/>
      <c r="N492" s="677"/>
      <c r="O492" s="682"/>
      <c r="P492" s="682">
        <f t="shared" si="158"/>
        <v>255</v>
      </c>
      <c r="Q492" s="683">
        <v>1</v>
      </c>
      <c r="R492" s="684">
        <v>1</v>
      </c>
      <c r="S492" s="685">
        <f t="shared" si="159"/>
        <v>0</v>
      </c>
      <c r="T492" s="685">
        <f t="shared" si="160"/>
        <v>0</v>
      </c>
      <c r="U492" s="685">
        <f t="shared" si="161"/>
        <v>0</v>
      </c>
      <c r="V492" s="685">
        <f t="shared" si="162"/>
        <v>0</v>
      </c>
      <c r="W492" s="686">
        <f t="shared" si="165"/>
        <v>0</v>
      </c>
      <c r="X492" s="686">
        <f t="shared" si="166"/>
        <v>0</v>
      </c>
      <c r="Y492" s="686">
        <f t="shared" si="167"/>
        <v>0</v>
      </c>
      <c r="Z492" s="686">
        <f t="shared" si="168"/>
        <v>0</v>
      </c>
      <c r="AA492" s="685" t="str">
        <f t="shared" si="163"/>
        <v>S</v>
      </c>
      <c r="AB492" s="687" t="s">
        <v>622</v>
      </c>
      <c r="AC492" s="688" t="e">
        <f>(S492+T492+U492)*'1.0-Contractblad'!$K$68</f>
        <v>#VALUE!</v>
      </c>
      <c r="AD492" s="688"/>
    </row>
    <row r="493" spans="1:33" ht="15.95" customHeight="1">
      <c r="B493" s="364"/>
      <c r="C493" s="365"/>
      <c r="D493" s="676" t="s">
        <v>163</v>
      </c>
      <c r="E493" s="677" t="s">
        <v>314</v>
      </c>
      <c r="F493" s="706" t="s">
        <v>842</v>
      </c>
      <c r="G493" s="704" t="s">
        <v>642</v>
      </c>
      <c r="H493" s="679" t="str">
        <f t="shared" si="164"/>
        <v>entree, gang, hal, repro, kopieer</v>
      </c>
      <c r="I493" s="704" t="s">
        <v>642</v>
      </c>
      <c r="J493" s="703">
        <v>2.02</v>
      </c>
      <c r="K493" s="680"/>
      <c r="L493" s="692">
        <v>3255</v>
      </c>
      <c r="M493" s="677"/>
      <c r="N493" s="677"/>
      <c r="O493" s="682"/>
      <c r="P493" s="682">
        <f t="shared" ref="P493:P500" si="169">VLOOKUP(L493,Kengetal,3,FALSE)+VLOOKUP(M493,Kengetal,3,FALSE)+VLOOKUP(N493,Kengetal,3,FALSE)</f>
        <v>255</v>
      </c>
      <c r="Q493" s="683">
        <v>1</v>
      </c>
      <c r="R493" s="684">
        <v>1</v>
      </c>
      <c r="S493" s="685">
        <f t="shared" ref="S493:S500" si="170">W493*J493*Q493</f>
        <v>0</v>
      </c>
      <c r="T493" s="685">
        <f t="shared" ref="T493:T500" si="171">X493*J493*R493</f>
        <v>0</v>
      </c>
      <c r="U493" s="685">
        <f t="shared" ref="U493:U500" si="172">Y493*J493*Q493</f>
        <v>0</v>
      </c>
      <c r="V493" s="685">
        <f t="shared" ref="V493:V500" si="173">Z493*J493*T493</f>
        <v>0</v>
      </c>
      <c r="W493" s="686">
        <f t="shared" si="165"/>
        <v>0</v>
      </c>
      <c r="X493" s="686">
        <f t="shared" si="166"/>
        <v>0</v>
      </c>
      <c r="Y493" s="686">
        <f t="shared" si="167"/>
        <v>0</v>
      </c>
      <c r="Z493" s="686">
        <f t="shared" si="168"/>
        <v>0</v>
      </c>
      <c r="AA493" s="685" t="str">
        <f t="shared" ref="AA493:AA500" si="174">IF(L493="","",VLOOKUP(L493,Kengetal,15,FALSE))</f>
        <v>V</v>
      </c>
      <c r="AB493" s="687" t="s">
        <v>622</v>
      </c>
      <c r="AC493" s="688" t="e">
        <f>(S493+T493+U493)*'1.0-Contractblad'!$K$68</f>
        <v>#VALUE!</v>
      </c>
      <c r="AD493" s="688"/>
    </row>
    <row r="494" spans="1:33" ht="15.95" customHeight="1">
      <c r="B494" s="364"/>
      <c r="C494" s="365"/>
      <c r="D494" s="676" t="s">
        <v>163</v>
      </c>
      <c r="E494" s="677" t="s">
        <v>314</v>
      </c>
      <c r="F494" s="706" t="s">
        <v>843</v>
      </c>
      <c r="G494" s="704" t="s">
        <v>405</v>
      </c>
      <c r="H494" s="679" t="str">
        <f t="shared" si="164"/>
        <v>sanitaire ruimte (toilet-/doucheruimte)</v>
      </c>
      <c r="I494" s="704" t="s">
        <v>405</v>
      </c>
      <c r="J494" s="703">
        <v>1.18</v>
      </c>
      <c r="K494" s="680"/>
      <c r="L494" s="681">
        <v>4255</v>
      </c>
      <c r="M494" s="677"/>
      <c r="N494" s="677"/>
      <c r="O494" s="682"/>
      <c r="P494" s="682">
        <f t="shared" si="169"/>
        <v>255</v>
      </c>
      <c r="Q494" s="683">
        <v>1</v>
      </c>
      <c r="R494" s="684">
        <v>1</v>
      </c>
      <c r="S494" s="685">
        <f t="shared" si="170"/>
        <v>0</v>
      </c>
      <c r="T494" s="685">
        <f t="shared" si="171"/>
        <v>0</v>
      </c>
      <c r="U494" s="685">
        <f t="shared" si="172"/>
        <v>0</v>
      </c>
      <c r="V494" s="685">
        <f t="shared" si="173"/>
        <v>0</v>
      </c>
      <c r="W494" s="686">
        <f t="shared" si="165"/>
        <v>0</v>
      </c>
      <c r="X494" s="686">
        <f t="shared" si="166"/>
        <v>0</v>
      </c>
      <c r="Y494" s="686">
        <f t="shared" si="167"/>
        <v>0</v>
      </c>
      <c r="Z494" s="686">
        <f t="shared" si="168"/>
        <v>0</v>
      </c>
      <c r="AA494" s="685" t="str">
        <f t="shared" si="174"/>
        <v>S</v>
      </c>
      <c r="AB494" s="687" t="s">
        <v>622</v>
      </c>
      <c r="AC494" s="688" t="e">
        <f>(S494+T494+U494)*'1.0-Contractblad'!$K$68</f>
        <v>#VALUE!</v>
      </c>
      <c r="AD494" s="688"/>
    </row>
    <row r="495" spans="1:33" ht="15.95" customHeight="1">
      <c r="B495" s="364"/>
      <c r="C495" s="365"/>
      <c r="D495" s="676" t="s">
        <v>163</v>
      </c>
      <c r="E495" s="677" t="s">
        <v>314</v>
      </c>
      <c r="F495" s="706" t="s">
        <v>844</v>
      </c>
      <c r="G495" s="704" t="s">
        <v>405</v>
      </c>
      <c r="H495" s="679" t="str">
        <f t="shared" si="164"/>
        <v>sanitaire ruimte (toilet-/doucheruimte)</v>
      </c>
      <c r="I495" s="704" t="s">
        <v>405</v>
      </c>
      <c r="J495" s="703">
        <v>1.18</v>
      </c>
      <c r="K495" s="680"/>
      <c r="L495" s="681">
        <v>4255</v>
      </c>
      <c r="M495" s="677"/>
      <c r="N495" s="677"/>
      <c r="O495" s="682"/>
      <c r="P495" s="682">
        <f t="shared" si="169"/>
        <v>255</v>
      </c>
      <c r="Q495" s="683">
        <v>1</v>
      </c>
      <c r="R495" s="684">
        <v>1</v>
      </c>
      <c r="S495" s="685">
        <f t="shared" si="170"/>
        <v>0</v>
      </c>
      <c r="T495" s="685">
        <f t="shared" si="171"/>
        <v>0</v>
      </c>
      <c r="U495" s="685">
        <f t="shared" si="172"/>
        <v>0</v>
      </c>
      <c r="V495" s="685">
        <f t="shared" si="173"/>
        <v>0</v>
      </c>
      <c r="W495" s="686">
        <f t="shared" si="165"/>
        <v>0</v>
      </c>
      <c r="X495" s="686">
        <f t="shared" si="166"/>
        <v>0</v>
      </c>
      <c r="Y495" s="686">
        <f t="shared" si="167"/>
        <v>0</v>
      </c>
      <c r="Z495" s="686">
        <f t="shared" si="168"/>
        <v>0</v>
      </c>
      <c r="AA495" s="685" t="str">
        <f t="shared" si="174"/>
        <v>S</v>
      </c>
      <c r="AB495" s="687" t="s">
        <v>622</v>
      </c>
      <c r="AC495" s="688" t="e">
        <f>(S495+T495+U495)*'1.0-Contractblad'!$K$68</f>
        <v>#VALUE!</v>
      </c>
      <c r="AD495" s="688"/>
    </row>
    <row r="496" spans="1:33" ht="15.95" customHeight="1">
      <c r="B496" s="364"/>
      <c r="C496" s="365"/>
      <c r="D496" s="676" t="s">
        <v>163</v>
      </c>
      <c r="E496" s="677" t="s">
        <v>314</v>
      </c>
      <c r="F496" s="706" t="s">
        <v>845</v>
      </c>
      <c r="G496" s="704" t="s">
        <v>383</v>
      </c>
      <c r="H496" s="679" t="str">
        <f t="shared" si="164"/>
        <v>labruimte</v>
      </c>
      <c r="I496" s="704" t="s">
        <v>383</v>
      </c>
      <c r="J496" s="705">
        <v>28</v>
      </c>
      <c r="K496" s="680"/>
      <c r="L496" s="681">
        <v>8255</v>
      </c>
      <c r="M496" s="677"/>
      <c r="N496" s="677"/>
      <c r="O496" s="682"/>
      <c r="P496" s="682">
        <f t="shared" si="169"/>
        <v>255</v>
      </c>
      <c r="Q496" s="683">
        <v>1</v>
      </c>
      <c r="R496" s="684">
        <v>1</v>
      </c>
      <c r="S496" s="685">
        <f t="shared" si="170"/>
        <v>0</v>
      </c>
      <c r="T496" s="685">
        <f t="shared" si="171"/>
        <v>0</v>
      </c>
      <c r="U496" s="685">
        <f t="shared" si="172"/>
        <v>0</v>
      </c>
      <c r="V496" s="685">
        <f t="shared" si="173"/>
        <v>0</v>
      </c>
      <c r="W496" s="686">
        <f t="shared" si="165"/>
        <v>0</v>
      </c>
      <c r="X496" s="686">
        <f t="shared" si="166"/>
        <v>0</v>
      </c>
      <c r="Y496" s="686">
        <f t="shared" si="167"/>
        <v>0</v>
      </c>
      <c r="Z496" s="686">
        <f t="shared" si="168"/>
        <v>0</v>
      </c>
      <c r="AA496" s="685" t="str">
        <f t="shared" si="174"/>
        <v>V</v>
      </c>
      <c r="AB496" s="687" t="s">
        <v>622</v>
      </c>
      <c r="AC496" s="688" t="e">
        <f>(S496+T496+U496)*'1.0-Contractblad'!$K$68</f>
        <v>#VALUE!</v>
      </c>
      <c r="AD496" s="688"/>
    </row>
    <row r="497" spans="2:30" ht="15.95" customHeight="1">
      <c r="B497" s="364"/>
      <c r="C497" s="365"/>
      <c r="D497" s="676" t="s">
        <v>163</v>
      </c>
      <c r="E497" s="677" t="s">
        <v>314</v>
      </c>
      <c r="F497" s="706" t="s">
        <v>846</v>
      </c>
      <c r="G497" s="704" t="s">
        <v>623</v>
      </c>
      <c r="H497" s="679" t="str">
        <f t="shared" si="164"/>
        <v>trappenhuis</v>
      </c>
      <c r="I497" s="704" t="s">
        <v>623</v>
      </c>
      <c r="J497" s="705">
        <v>12</v>
      </c>
      <c r="K497" s="680"/>
      <c r="L497" s="681">
        <v>9255</v>
      </c>
      <c r="M497" s="677"/>
      <c r="N497" s="677"/>
      <c r="O497" s="682"/>
      <c r="P497" s="682">
        <f t="shared" si="169"/>
        <v>255</v>
      </c>
      <c r="Q497" s="683">
        <v>1</v>
      </c>
      <c r="R497" s="684">
        <v>1</v>
      </c>
      <c r="S497" s="685">
        <f t="shared" si="170"/>
        <v>0</v>
      </c>
      <c r="T497" s="685">
        <f t="shared" si="171"/>
        <v>0</v>
      </c>
      <c r="U497" s="685">
        <f t="shared" si="172"/>
        <v>0</v>
      </c>
      <c r="V497" s="685">
        <f t="shared" si="173"/>
        <v>0</v>
      </c>
      <c r="W497" s="686">
        <f t="shared" si="165"/>
        <v>0</v>
      </c>
      <c r="X497" s="686">
        <f t="shared" si="166"/>
        <v>0</v>
      </c>
      <c r="Y497" s="686">
        <f t="shared" si="167"/>
        <v>0</v>
      </c>
      <c r="Z497" s="686">
        <f t="shared" si="168"/>
        <v>0</v>
      </c>
      <c r="AA497" s="685" t="str">
        <f t="shared" si="174"/>
        <v>V</v>
      </c>
      <c r="AB497" s="687" t="s">
        <v>622</v>
      </c>
      <c r="AC497" s="688" t="e">
        <f>(S497+T497+U497)*'1.0-Contractblad'!$K$68</f>
        <v>#VALUE!</v>
      </c>
      <c r="AD497" s="688"/>
    </row>
    <row r="498" spans="2:30" ht="15.95" customHeight="1">
      <c r="B498" s="364"/>
      <c r="C498" s="365"/>
      <c r="D498" s="676" t="s">
        <v>163</v>
      </c>
      <c r="E498" s="677" t="s">
        <v>314</v>
      </c>
      <c r="F498" s="706" t="s">
        <v>847</v>
      </c>
      <c r="G498" s="704" t="s">
        <v>848</v>
      </c>
      <c r="H498" s="679" t="str">
        <f t="shared" si="164"/>
        <v>entree, gang, hal, repro, kopieer</v>
      </c>
      <c r="I498" s="704" t="s">
        <v>848</v>
      </c>
      <c r="J498" s="703">
        <v>20.5</v>
      </c>
      <c r="K498" s="680"/>
      <c r="L498" s="681">
        <v>3255</v>
      </c>
      <c r="M498" s="677"/>
      <c r="N498" s="677"/>
      <c r="O498" s="682"/>
      <c r="P498" s="682">
        <f t="shared" si="169"/>
        <v>255</v>
      </c>
      <c r="Q498" s="683">
        <v>1</v>
      </c>
      <c r="R498" s="684">
        <v>1</v>
      </c>
      <c r="S498" s="685">
        <f t="shared" si="170"/>
        <v>0</v>
      </c>
      <c r="T498" s="685">
        <f t="shared" si="171"/>
        <v>0</v>
      </c>
      <c r="U498" s="685">
        <f t="shared" si="172"/>
        <v>0</v>
      </c>
      <c r="V498" s="685">
        <f t="shared" si="173"/>
        <v>0</v>
      </c>
      <c r="W498" s="686">
        <f t="shared" si="165"/>
        <v>0</v>
      </c>
      <c r="X498" s="686">
        <f t="shared" si="166"/>
        <v>0</v>
      </c>
      <c r="Y498" s="686">
        <f t="shared" si="167"/>
        <v>0</v>
      </c>
      <c r="Z498" s="686">
        <f t="shared" si="168"/>
        <v>0</v>
      </c>
      <c r="AA498" s="685" t="str">
        <f t="shared" si="174"/>
        <v>V</v>
      </c>
      <c r="AB498" s="687" t="s">
        <v>622</v>
      </c>
      <c r="AC498" s="688" t="e">
        <f>(S498+T498+U498)*'1.0-Contractblad'!$K$68</f>
        <v>#VALUE!</v>
      </c>
      <c r="AD498" s="688"/>
    </row>
    <row r="499" spans="2:30" ht="15.95" customHeight="1">
      <c r="B499" s="364"/>
      <c r="C499" s="365"/>
      <c r="D499" s="676" t="s">
        <v>163</v>
      </c>
      <c r="E499" s="677" t="s">
        <v>314</v>
      </c>
      <c r="F499" s="706" t="s">
        <v>849</v>
      </c>
      <c r="G499" s="704" t="s">
        <v>386</v>
      </c>
      <c r="H499" s="679" t="str">
        <f t="shared" si="164"/>
        <v>administratieve -, personeels- en vergaderruimte</v>
      </c>
      <c r="I499" s="704" t="s">
        <v>386</v>
      </c>
      <c r="J499" s="703">
        <v>32.840000000000003</v>
      </c>
      <c r="K499" s="680"/>
      <c r="L499" s="681">
        <v>1255</v>
      </c>
      <c r="M499" s="677"/>
      <c r="N499" s="677"/>
      <c r="O499" s="682"/>
      <c r="P499" s="682">
        <f t="shared" si="169"/>
        <v>255</v>
      </c>
      <c r="Q499" s="683">
        <v>1</v>
      </c>
      <c r="R499" s="684">
        <v>1</v>
      </c>
      <c r="S499" s="685">
        <f t="shared" si="170"/>
        <v>0</v>
      </c>
      <c r="T499" s="685">
        <f t="shared" si="171"/>
        <v>0</v>
      </c>
      <c r="U499" s="685">
        <f t="shared" si="172"/>
        <v>0</v>
      </c>
      <c r="V499" s="685">
        <f t="shared" si="173"/>
        <v>0</v>
      </c>
      <c r="W499" s="686">
        <f t="shared" si="165"/>
        <v>0</v>
      </c>
      <c r="X499" s="686">
        <f t="shared" si="166"/>
        <v>0</v>
      </c>
      <c r="Y499" s="686">
        <f t="shared" si="167"/>
        <v>0</v>
      </c>
      <c r="Z499" s="686">
        <f t="shared" si="168"/>
        <v>0</v>
      </c>
      <c r="AA499" s="685" t="str">
        <f t="shared" si="174"/>
        <v>B</v>
      </c>
      <c r="AB499" s="687" t="s">
        <v>622</v>
      </c>
      <c r="AC499" s="688" t="e">
        <f>(S499+T499+U499)*'1.0-Contractblad'!$K$68</f>
        <v>#VALUE!</v>
      </c>
      <c r="AD499" s="688"/>
    </row>
    <row r="500" spans="2:30" ht="15.95" customHeight="1">
      <c r="B500" s="364"/>
      <c r="C500" s="365"/>
      <c r="D500" s="676" t="s">
        <v>163</v>
      </c>
      <c r="E500" s="677" t="s">
        <v>314</v>
      </c>
      <c r="F500" s="706" t="s">
        <v>850</v>
      </c>
      <c r="G500" s="704" t="s">
        <v>851</v>
      </c>
      <c r="H500" s="679" t="str">
        <f t="shared" si="164"/>
        <v>entree, gang, hal, repro, kopieer</v>
      </c>
      <c r="I500" s="704" t="s">
        <v>851</v>
      </c>
      <c r="J500" s="703">
        <v>64</v>
      </c>
      <c r="K500" s="680"/>
      <c r="L500" s="692">
        <v>3255</v>
      </c>
      <c r="M500" s="677"/>
      <c r="N500" s="677"/>
      <c r="O500" s="682"/>
      <c r="P500" s="682">
        <f t="shared" si="169"/>
        <v>255</v>
      </c>
      <c r="Q500" s="683">
        <v>1</v>
      </c>
      <c r="R500" s="684">
        <v>1</v>
      </c>
      <c r="S500" s="685">
        <f t="shared" si="170"/>
        <v>0</v>
      </c>
      <c r="T500" s="685">
        <f t="shared" si="171"/>
        <v>0</v>
      </c>
      <c r="U500" s="685">
        <f t="shared" si="172"/>
        <v>0</v>
      </c>
      <c r="V500" s="685">
        <f t="shared" si="173"/>
        <v>0</v>
      </c>
      <c r="W500" s="686">
        <f t="shared" si="165"/>
        <v>0</v>
      </c>
      <c r="X500" s="686">
        <f t="shared" si="166"/>
        <v>0</v>
      </c>
      <c r="Y500" s="686">
        <f t="shared" si="167"/>
        <v>0</v>
      </c>
      <c r="Z500" s="686">
        <f t="shared" si="168"/>
        <v>0</v>
      </c>
      <c r="AA500" s="685" t="str">
        <f t="shared" si="174"/>
        <v>V</v>
      </c>
      <c r="AB500" s="687" t="s">
        <v>622</v>
      </c>
      <c r="AC500" s="688" t="e">
        <f>(S500+T500+U500)*'1.0-Contractblad'!$K$68</f>
        <v>#VALUE!</v>
      </c>
      <c r="AD500" s="688"/>
    </row>
    <row r="501" spans="2:30" ht="15.95" customHeight="1">
      <c r="B501" s="364"/>
      <c r="C501" s="365"/>
      <c r="D501" s="676" t="s">
        <v>163</v>
      </c>
      <c r="E501" s="677" t="s">
        <v>314</v>
      </c>
      <c r="F501" s="706" t="s">
        <v>852</v>
      </c>
      <c r="G501" s="704" t="s">
        <v>853</v>
      </c>
      <c r="H501" s="679" t="str">
        <f t="shared" si="164"/>
        <v>administratieve -, personeels- en vergaderruimte</v>
      </c>
      <c r="I501" s="704" t="s">
        <v>853</v>
      </c>
      <c r="J501" s="703">
        <v>50.5</v>
      </c>
      <c r="K501" s="680"/>
      <c r="L501" s="681">
        <v>1255</v>
      </c>
      <c r="M501" s="677"/>
      <c r="N501" s="677"/>
      <c r="O501" s="682"/>
      <c r="P501" s="682">
        <f t="shared" ref="P501:P506" si="175">VLOOKUP(L501,Kengetal,3,FALSE)+VLOOKUP(M501,Kengetal,3,FALSE)+VLOOKUP(N501,Kengetal,3,FALSE)</f>
        <v>255</v>
      </c>
      <c r="Q501" s="683">
        <v>1</v>
      </c>
      <c r="R501" s="684">
        <v>1</v>
      </c>
      <c r="S501" s="685">
        <f t="shared" ref="S501:S506" si="176">W501*J501*Q501</f>
        <v>0</v>
      </c>
      <c r="T501" s="685">
        <f t="shared" ref="T501:T506" si="177">X501*J501*R501</f>
        <v>0</v>
      </c>
      <c r="U501" s="685">
        <f t="shared" ref="U501:U506" si="178">Y501*J501*Q501</f>
        <v>0</v>
      </c>
      <c r="V501" s="685">
        <f t="shared" ref="V501:V506" si="179">Z501*J501*T501</f>
        <v>0</v>
      </c>
      <c r="W501" s="686">
        <f t="shared" si="165"/>
        <v>0</v>
      </c>
      <c r="X501" s="686">
        <f t="shared" si="166"/>
        <v>0</v>
      </c>
      <c r="Y501" s="686">
        <f t="shared" si="167"/>
        <v>0</v>
      </c>
      <c r="Z501" s="686">
        <f t="shared" si="168"/>
        <v>0</v>
      </c>
      <c r="AA501" s="685" t="str">
        <f t="shared" ref="AA501:AA506" si="180">IF(L501="","",VLOOKUP(L501,Kengetal,15,FALSE))</f>
        <v>B</v>
      </c>
      <c r="AB501" s="687" t="s">
        <v>622</v>
      </c>
      <c r="AC501" s="688" t="e">
        <f>(S501+T501+U501)*'1.0-Contractblad'!$K$68</f>
        <v>#VALUE!</v>
      </c>
      <c r="AD501" s="688"/>
    </row>
    <row r="502" spans="2:30" ht="15.95" customHeight="1">
      <c r="B502" s="364"/>
      <c r="C502" s="365"/>
      <c r="D502" s="676" t="s">
        <v>163</v>
      </c>
      <c r="E502" s="677" t="s">
        <v>314</v>
      </c>
      <c r="F502" s="706" t="s">
        <v>854</v>
      </c>
      <c r="G502" s="704" t="s">
        <v>405</v>
      </c>
      <c r="H502" s="679" t="str">
        <f t="shared" si="164"/>
        <v>sanitaire ruimte (toilet-/doucheruimte)</v>
      </c>
      <c r="I502" s="704" t="s">
        <v>405</v>
      </c>
      <c r="J502" s="703">
        <v>1.46</v>
      </c>
      <c r="K502" s="680"/>
      <c r="L502" s="681">
        <v>4255</v>
      </c>
      <c r="M502" s="677"/>
      <c r="N502" s="677"/>
      <c r="O502" s="682"/>
      <c r="P502" s="682">
        <f t="shared" si="175"/>
        <v>255</v>
      </c>
      <c r="Q502" s="683">
        <v>1</v>
      </c>
      <c r="R502" s="684">
        <v>1</v>
      </c>
      <c r="S502" s="685">
        <f t="shared" si="176"/>
        <v>0</v>
      </c>
      <c r="T502" s="685">
        <f t="shared" si="177"/>
        <v>0</v>
      </c>
      <c r="U502" s="685">
        <f t="shared" si="178"/>
        <v>0</v>
      </c>
      <c r="V502" s="685">
        <f t="shared" si="179"/>
        <v>0</v>
      </c>
      <c r="W502" s="686">
        <f t="shared" si="165"/>
        <v>0</v>
      </c>
      <c r="X502" s="686">
        <f t="shared" si="166"/>
        <v>0</v>
      </c>
      <c r="Y502" s="686">
        <f t="shared" si="167"/>
        <v>0</v>
      </c>
      <c r="Z502" s="686">
        <f t="shared" si="168"/>
        <v>0</v>
      </c>
      <c r="AA502" s="685" t="str">
        <f t="shared" si="180"/>
        <v>S</v>
      </c>
      <c r="AB502" s="687" t="s">
        <v>622</v>
      </c>
      <c r="AC502" s="688" t="e">
        <f>(S502+T502+U502)*'1.0-Contractblad'!$K$68</f>
        <v>#VALUE!</v>
      </c>
      <c r="AD502" s="688"/>
    </row>
    <row r="503" spans="2:30" ht="15.95" customHeight="1">
      <c r="B503" s="364"/>
      <c r="C503" s="365"/>
      <c r="D503" s="676" t="s">
        <v>163</v>
      </c>
      <c r="E503" s="677" t="s">
        <v>314</v>
      </c>
      <c r="F503" s="706" t="s">
        <v>855</v>
      </c>
      <c r="G503" s="704" t="s">
        <v>405</v>
      </c>
      <c r="H503" s="679" t="str">
        <f t="shared" si="164"/>
        <v>sanitaire ruimte (toilet-/doucheruimte)</v>
      </c>
      <c r="I503" s="704" t="s">
        <v>405</v>
      </c>
      <c r="J503" s="703">
        <v>1.46</v>
      </c>
      <c r="K503" s="680"/>
      <c r="L503" s="681">
        <v>4255</v>
      </c>
      <c r="M503" s="677"/>
      <c r="N503" s="677"/>
      <c r="O503" s="682"/>
      <c r="P503" s="682">
        <f t="shared" si="175"/>
        <v>255</v>
      </c>
      <c r="Q503" s="683">
        <v>1</v>
      </c>
      <c r="R503" s="684">
        <v>1</v>
      </c>
      <c r="S503" s="685">
        <f t="shared" si="176"/>
        <v>0</v>
      </c>
      <c r="T503" s="685">
        <f t="shared" si="177"/>
        <v>0</v>
      </c>
      <c r="U503" s="685">
        <f t="shared" si="178"/>
        <v>0</v>
      </c>
      <c r="V503" s="685">
        <f t="shared" si="179"/>
        <v>0</v>
      </c>
      <c r="W503" s="686">
        <f t="shared" si="165"/>
        <v>0</v>
      </c>
      <c r="X503" s="686">
        <f t="shared" si="166"/>
        <v>0</v>
      </c>
      <c r="Y503" s="686">
        <f t="shared" si="167"/>
        <v>0</v>
      </c>
      <c r="Z503" s="686">
        <f t="shared" si="168"/>
        <v>0</v>
      </c>
      <c r="AA503" s="685" t="str">
        <f t="shared" si="180"/>
        <v>S</v>
      </c>
      <c r="AB503" s="687" t="s">
        <v>622</v>
      </c>
      <c r="AC503" s="688" t="e">
        <f>(S503+T503+U503)*'1.0-Contractblad'!$K$68</f>
        <v>#VALUE!</v>
      </c>
      <c r="AD503" s="688"/>
    </row>
    <row r="504" spans="2:30" ht="15.95" customHeight="1">
      <c r="B504" s="364"/>
      <c r="C504" s="365"/>
      <c r="D504" s="676" t="s">
        <v>163</v>
      </c>
      <c r="E504" s="677" t="s">
        <v>314</v>
      </c>
      <c r="F504" s="706" t="s">
        <v>856</v>
      </c>
      <c r="G504" s="704" t="s">
        <v>857</v>
      </c>
      <c r="H504" s="679" t="str">
        <f t="shared" si="164"/>
        <v>sanitaire ruimte (toilet-/doucheruimte)</v>
      </c>
      <c r="I504" s="704" t="s">
        <v>857</v>
      </c>
      <c r="J504" s="703">
        <v>2.66</v>
      </c>
      <c r="K504" s="680"/>
      <c r="L504" s="681">
        <v>4255</v>
      </c>
      <c r="M504" s="677"/>
      <c r="N504" s="677"/>
      <c r="O504" s="682"/>
      <c r="P504" s="682">
        <f t="shared" si="175"/>
        <v>255</v>
      </c>
      <c r="Q504" s="683">
        <v>1</v>
      </c>
      <c r="R504" s="684">
        <v>1</v>
      </c>
      <c r="S504" s="685">
        <f t="shared" si="176"/>
        <v>0</v>
      </c>
      <c r="T504" s="685">
        <f t="shared" si="177"/>
        <v>0</v>
      </c>
      <c r="U504" s="685">
        <f t="shared" si="178"/>
        <v>0</v>
      </c>
      <c r="V504" s="685">
        <f t="shared" si="179"/>
        <v>0</v>
      </c>
      <c r="W504" s="686">
        <f t="shared" si="165"/>
        <v>0</v>
      </c>
      <c r="X504" s="686">
        <f t="shared" si="166"/>
        <v>0</v>
      </c>
      <c r="Y504" s="686">
        <f t="shared" si="167"/>
        <v>0</v>
      </c>
      <c r="Z504" s="686">
        <f t="shared" si="168"/>
        <v>0</v>
      </c>
      <c r="AA504" s="685" t="str">
        <f t="shared" si="180"/>
        <v>S</v>
      </c>
      <c r="AB504" s="687" t="s">
        <v>622</v>
      </c>
      <c r="AC504" s="688" t="e">
        <f>(S504+T504+U504)*'1.0-Contractblad'!$K$68</f>
        <v>#VALUE!</v>
      </c>
      <c r="AD504" s="688"/>
    </row>
    <row r="505" spans="2:30" ht="15.95" customHeight="1">
      <c r="B505" s="364"/>
      <c r="C505" s="365"/>
      <c r="D505" s="676" t="s">
        <v>163</v>
      </c>
      <c r="E505" s="677" t="s">
        <v>314</v>
      </c>
      <c r="F505" s="706" t="s">
        <v>858</v>
      </c>
      <c r="G505" s="704" t="s">
        <v>595</v>
      </c>
      <c r="H505" s="679" t="str">
        <f t="shared" si="164"/>
        <v>entree, gang, hal, repro, kopieer</v>
      </c>
      <c r="I505" s="704" t="s">
        <v>595</v>
      </c>
      <c r="J505" s="703">
        <v>15.73</v>
      </c>
      <c r="K505" s="680"/>
      <c r="L505" s="692">
        <v>3255</v>
      </c>
      <c r="M505" s="677"/>
      <c r="N505" s="677"/>
      <c r="O505" s="682"/>
      <c r="P505" s="682">
        <f t="shared" si="175"/>
        <v>255</v>
      </c>
      <c r="Q505" s="683">
        <v>1</v>
      </c>
      <c r="R505" s="684">
        <v>1</v>
      </c>
      <c r="S505" s="685">
        <f t="shared" si="176"/>
        <v>0</v>
      </c>
      <c r="T505" s="685">
        <f t="shared" si="177"/>
        <v>0</v>
      </c>
      <c r="U505" s="685">
        <f t="shared" si="178"/>
        <v>0</v>
      </c>
      <c r="V505" s="685">
        <f t="shared" si="179"/>
        <v>0</v>
      </c>
      <c r="W505" s="686">
        <f t="shared" si="165"/>
        <v>0</v>
      </c>
      <c r="X505" s="686">
        <f t="shared" si="166"/>
        <v>0</v>
      </c>
      <c r="Y505" s="686">
        <f t="shared" si="167"/>
        <v>0</v>
      </c>
      <c r="Z505" s="686">
        <f t="shared" si="168"/>
        <v>0</v>
      </c>
      <c r="AA505" s="685" t="str">
        <f t="shared" si="180"/>
        <v>V</v>
      </c>
      <c r="AB505" s="687" t="s">
        <v>622</v>
      </c>
      <c r="AC505" s="688" t="e">
        <f>(S505+T505+U505)*'1.0-Contractblad'!$K$68</f>
        <v>#VALUE!</v>
      </c>
      <c r="AD505" s="688"/>
    </row>
    <row r="506" spans="2:30" ht="15.95" customHeight="1">
      <c r="B506" s="364"/>
      <c r="C506" s="365"/>
      <c r="D506" s="676" t="s">
        <v>163</v>
      </c>
      <c r="E506" s="677" t="s">
        <v>314</v>
      </c>
      <c r="F506" s="706" t="s">
        <v>859</v>
      </c>
      <c r="G506" s="704" t="s">
        <v>860</v>
      </c>
      <c r="H506" s="679" t="str">
        <f t="shared" si="164"/>
        <v>administratieve -, personeels- en vergaderruimte</v>
      </c>
      <c r="I506" s="704" t="s">
        <v>860</v>
      </c>
      <c r="J506" s="705">
        <v>90</v>
      </c>
      <c r="K506" s="680"/>
      <c r="L506" s="681">
        <v>1255</v>
      </c>
      <c r="M506" s="677"/>
      <c r="N506" s="677"/>
      <c r="O506" s="682"/>
      <c r="P506" s="682">
        <f t="shared" si="175"/>
        <v>255</v>
      </c>
      <c r="Q506" s="683">
        <v>1</v>
      </c>
      <c r="R506" s="684">
        <v>1</v>
      </c>
      <c r="S506" s="685">
        <f t="shared" si="176"/>
        <v>0</v>
      </c>
      <c r="T506" s="685">
        <f t="shared" si="177"/>
        <v>0</v>
      </c>
      <c r="U506" s="685">
        <f t="shared" si="178"/>
        <v>0</v>
      </c>
      <c r="V506" s="685">
        <f t="shared" si="179"/>
        <v>0</v>
      </c>
      <c r="W506" s="686">
        <f t="shared" si="165"/>
        <v>0</v>
      </c>
      <c r="X506" s="686">
        <f t="shared" si="166"/>
        <v>0</v>
      </c>
      <c r="Y506" s="686">
        <f t="shared" si="167"/>
        <v>0</v>
      </c>
      <c r="Z506" s="686">
        <f t="shared" si="168"/>
        <v>0</v>
      </c>
      <c r="AA506" s="685" t="str">
        <f t="shared" si="180"/>
        <v>B</v>
      </c>
      <c r="AB506" s="687" t="s">
        <v>622</v>
      </c>
      <c r="AC506" s="688" t="e">
        <f>(S506+T506+U506)*'1.0-Contractblad'!$K$68</f>
        <v>#VALUE!</v>
      </c>
      <c r="AD506" s="688"/>
    </row>
  </sheetData>
  <mergeCells count="1">
    <mergeCell ref="F8:G8"/>
  </mergeCells>
  <phoneticPr fontId="12" type="noConversion"/>
  <conditionalFormatting sqref="S11:Z441 AC11:AD441 S444:Z453 AC444:AD453 U454:V454 Y454:Z454 AD454">
    <cfRule type="cellIs" dxfId="335" priority="632" operator="greaterThan">
      <formula>0</formula>
    </cfRule>
  </conditionalFormatting>
  <conditionalFormatting sqref="I4">
    <cfRule type="cellIs" dxfId="334" priority="560" operator="greaterThan">
      <formula>0</formula>
    </cfRule>
  </conditionalFormatting>
  <conditionalFormatting sqref="I5">
    <cfRule type="cellIs" dxfId="333" priority="559" operator="greaterThan">
      <formula>0</formula>
    </cfRule>
  </conditionalFormatting>
  <conditionalFormatting sqref="S7:AA7">
    <cfRule type="cellIs" dxfId="332" priority="73" operator="greaterThan">
      <formula>0</formula>
    </cfRule>
  </conditionalFormatting>
  <conditionalFormatting sqref="S461:Z461 AC461:AD461">
    <cfRule type="cellIs" dxfId="331" priority="57" operator="greaterThan">
      <formula>0</formula>
    </cfRule>
  </conditionalFormatting>
  <conditionalFormatting sqref="S462:Z462 AC462:AD462">
    <cfRule type="cellIs" dxfId="330" priority="56" operator="greaterThan">
      <formula>0</formula>
    </cfRule>
  </conditionalFormatting>
  <conditionalFormatting sqref="S463:Z463 AC463:AD463">
    <cfRule type="cellIs" dxfId="329" priority="55" operator="greaterThan">
      <formula>0</formula>
    </cfRule>
  </conditionalFormatting>
  <conditionalFormatting sqref="S464:Z464 AC464:AD464">
    <cfRule type="cellIs" dxfId="328" priority="54" operator="greaterThan">
      <formula>0</formula>
    </cfRule>
  </conditionalFormatting>
  <conditionalFormatting sqref="S465:Z465 AC465:AD465">
    <cfRule type="cellIs" dxfId="327" priority="53" operator="greaterThan">
      <formula>0</formula>
    </cfRule>
  </conditionalFormatting>
  <conditionalFormatting sqref="S466:Z466 AC466:AD466">
    <cfRule type="cellIs" dxfId="326" priority="52" operator="greaterThan">
      <formula>0</formula>
    </cfRule>
  </conditionalFormatting>
  <conditionalFormatting sqref="S467:Z467 AC467:AD467">
    <cfRule type="cellIs" dxfId="325" priority="51" operator="greaterThan">
      <formula>0</formula>
    </cfRule>
  </conditionalFormatting>
  <conditionalFormatting sqref="S468:Z468 AC468:AD468">
    <cfRule type="cellIs" dxfId="324" priority="50" operator="greaterThan">
      <formula>0</formula>
    </cfRule>
  </conditionalFormatting>
  <conditionalFormatting sqref="S469:Z469 AC469:AD469">
    <cfRule type="cellIs" dxfId="323" priority="49" operator="greaterThan">
      <formula>0</formula>
    </cfRule>
  </conditionalFormatting>
  <conditionalFormatting sqref="S470:Z470 AC470:AD470">
    <cfRule type="cellIs" dxfId="322" priority="48" operator="greaterThan">
      <formula>0</formula>
    </cfRule>
  </conditionalFormatting>
  <conditionalFormatting sqref="S471:Z471 AC471:AD471">
    <cfRule type="cellIs" dxfId="321" priority="47" operator="greaterThan">
      <formula>0</formula>
    </cfRule>
  </conditionalFormatting>
  <conditionalFormatting sqref="S472:Z472 AC472:AD472">
    <cfRule type="cellIs" dxfId="320" priority="46" operator="greaterThan">
      <formula>0</formula>
    </cfRule>
  </conditionalFormatting>
  <conditionalFormatting sqref="S473:Z473 AC473:AD473">
    <cfRule type="cellIs" dxfId="319" priority="45" operator="greaterThan">
      <formula>0</formula>
    </cfRule>
  </conditionalFormatting>
  <conditionalFormatting sqref="S474:Z474 AC474:AD474">
    <cfRule type="cellIs" dxfId="318" priority="44" operator="greaterThan">
      <formula>0</formula>
    </cfRule>
  </conditionalFormatting>
  <conditionalFormatting sqref="S475:Z475 AC475:AD475">
    <cfRule type="cellIs" dxfId="317" priority="43" operator="greaterThan">
      <formula>0</formula>
    </cfRule>
  </conditionalFormatting>
  <conditionalFormatting sqref="S476:Z476 AC476:AD476">
    <cfRule type="cellIs" dxfId="316" priority="42" operator="greaterThan">
      <formula>0</formula>
    </cfRule>
  </conditionalFormatting>
  <conditionalFormatting sqref="S477:Z477 AC477:AD477">
    <cfRule type="cellIs" dxfId="315" priority="41" operator="greaterThan">
      <formula>0</formula>
    </cfRule>
  </conditionalFormatting>
  <conditionalFormatting sqref="S478:Z478 AC478:AD478">
    <cfRule type="cellIs" dxfId="314" priority="40" operator="greaterThan">
      <formula>0</formula>
    </cfRule>
  </conditionalFormatting>
  <conditionalFormatting sqref="S479:Z479 AC479:AD479">
    <cfRule type="cellIs" dxfId="313" priority="39" operator="greaterThan">
      <formula>0</formula>
    </cfRule>
  </conditionalFormatting>
  <conditionalFormatting sqref="S480:Z480 AC480:AD480">
    <cfRule type="cellIs" dxfId="312" priority="38" operator="greaterThan">
      <formula>0</formula>
    </cfRule>
  </conditionalFormatting>
  <conditionalFormatting sqref="S481:Z481 AC481:AD481">
    <cfRule type="cellIs" dxfId="311" priority="37" operator="greaterThan">
      <formula>0</formula>
    </cfRule>
  </conditionalFormatting>
  <conditionalFormatting sqref="S482:Z482 AC482:AD482">
    <cfRule type="cellIs" dxfId="310" priority="36" operator="greaterThan">
      <formula>0</formula>
    </cfRule>
  </conditionalFormatting>
  <conditionalFormatting sqref="S483:Z483 AC483:AD483">
    <cfRule type="cellIs" dxfId="309" priority="35" operator="greaterThan">
      <formula>0</formula>
    </cfRule>
  </conditionalFormatting>
  <conditionalFormatting sqref="S484:Z484 AC484:AD484">
    <cfRule type="cellIs" dxfId="308" priority="34" operator="greaterThan">
      <formula>0</formula>
    </cfRule>
  </conditionalFormatting>
  <conditionalFormatting sqref="S485:Z485 AC485:AD485">
    <cfRule type="cellIs" dxfId="307" priority="33" operator="greaterThan">
      <formula>0</formula>
    </cfRule>
  </conditionalFormatting>
  <conditionalFormatting sqref="S486:Z486 AC486:AD486">
    <cfRule type="cellIs" dxfId="306" priority="32" operator="greaterThan">
      <formula>0</formula>
    </cfRule>
  </conditionalFormatting>
  <conditionalFormatting sqref="S487:Z487 AC487:AD487">
    <cfRule type="cellIs" dxfId="305" priority="31" operator="greaterThan">
      <formula>0</formula>
    </cfRule>
  </conditionalFormatting>
  <conditionalFormatting sqref="S488:Z488 AC488:AD488">
    <cfRule type="cellIs" dxfId="304" priority="30" operator="greaterThan">
      <formula>0</formula>
    </cfRule>
  </conditionalFormatting>
  <conditionalFormatting sqref="S489:Z489 AC489:AD489">
    <cfRule type="cellIs" dxfId="303" priority="29" operator="greaterThan">
      <formula>0</formula>
    </cfRule>
  </conditionalFormatting>
  <conditionalFormatting sqref="S490:Z490 AC490:AD490">
    <cfRule type="cellIs" dxfId="302" priority="28" operator="greaterThan">
      <formula>0</formula>
    </cfRule>
  </conditionalFormatting>
  <conditionalFormatting sqref="S491:Z491 AC491:AD491">
    <cfRule type="cellIs" dxfId="301" priority="27" operator="greaterThan">
      <formula>0</formula>
    </cfRule>
  </conditionalFormatting>
  <conditionalFormatting sqref="S492:Z492 AC492:AD492">
    <cfRule type="cellIs" dxfId="300" priority="26" operator="greaterThan">
      <formula>0</formula>
    </cfRule>
  </conditionalFormatting>
  <conditionalFormatting sqref="S493:Z493 AC493:AD493">
    <cfRule type="cellIs" dxfId="299" priority="25" operator="greaterThan">
      <formula>0</formula>
    </cfRule>
  </conditionalFormatting>
  <conditionalFormatting sqref="S494:Z494 AC494:AD494">
    <cfRule type="cellIs" dxfId="298" priority="24" operator="greaterThan">
      <formula>0</formula>
    </cfRule>
  </conditionalFormatting>
  <conditionalFormatting sqref="S495:Z495 AC495:AD495">
    <cfRule type="cellIs" dxfId="297" priority="23" operator="greaterThan">
      <formula>0</formula>
    </cfRule>
  </conditionalFormatting>
  <conditionalFormatting sqref="S496:Z496 AC496:AD496">
    <cfRule type="cellIs" dxfId="296" priority="22" operator="greaterThan">
      <formula>0</formula>
    </cfRule>
  </conditionalFormatting>
  <conditionalFormatting sqref="S497:Z497 AC497:AD497">
    <cfRule type="cellIs" dxfId="295" priority="21" operator="greaterThan">
      <formula>0</formula>
    </cfRule>
  </conditionalFormatting>
  <conditionalFormatting sqref="S498:Z498 AC498:AD498">
    <cfRule type="cellIs" dxfId="294" priority="20" operator="greaterThan">
      <formula>0</formula>
    </cfRule>
  </conditionalFormatting>
  <conditionalFormatting sqref="S499:Z499 AC499:AD499">
    <cfRule type="cellIs" dxfId="293" priority="19" operator="greaterThan">
      <formula>0</formula>
    </cfRule>
  </conditionalFormatting>
  <conditionalFormatting sqref="S500:Z500 AC500:AD500">
    <cfRule type="cellIs" dxfId="292" priority="18" operator="greaterThan">
      <formula>0</formula>
    </cfRule>
  </conditionalFormatting>
  <conditionalFormatting sqref="S501:Z501 AC501:AD501">
    <cfRule type="cellIs" dxfId="291" priority="17" operator="greaterThan">
      <formula>0</formula>
    </cfRule>
  </conditionalFormatting>
  <conditionalFormatting sqref="S502:Z502 AC502:AD502">
    <cfRule type="cellIs" dxfId="290" priority="16" operator="greaterThan">
      <formula>0</formula>
    </cfRule>
  </conditionalFormatting>
  <conditionalFormatting sqref="S503:Z503 AC503:AD503">
    <cfRule type="cellIs" dxfId="289" priority="15" operator="greaterThan">
      <formula>0</formula>
    </cfRule>
  </conditionalFormatting>
  <conditionalFormatting sqref="S504:Z504 AC504:AD504">
    <cfRule type="cellIs" dxfId="288" priority="14" operator="greaterThan">
      <formula>0</formula>
    </cfRule>
  </conditionalFormatting>
  <conditionalFormatting sqref="S505:Z505 AC505:AD505">
    <cfRule type="cellIs" dxfId="287" priority="13" operator="greaterThan">
      <formula>0</formula>
    </cfRule>
  </conditionalFormatting>
  <conditionalFormatting sqref="S506:Z506 AC506:AD506">
    <cfRule type="cellIs" dxfId="286" priority="12" operator="greaterThan">
      <formula>0</formula>
    </cfRule>
  </conditionalFormatting>
  <conditionalFormatting sqref="S460:Z460 AC460:AD460 U455:V459 Y455:Z459 AD455:AD459">
    <cfRule type="cellIs" dxfId="285" priority="9" operator="greaterThan">
      <formula>0</formula>
    </cfRule>
  </conditionalFormatting>
  <conditionalFormatting sqref="AC442:AD442 S442:Z442">
    <cfRule type="cellIs" dxfId="284" priority="6" operator="greaterThan">
      <formula>0</formula>
    </cfRule>
  </conditionalFormatting>
  <conditionalFormatting sqref="AC443:AD443 S443:Z443">
    <cfRule type="cellIs" dxfId="283" priority="5" operator="greaterThan">
      <formula>0</formula>
    </cfRule>
  </conditionalFormatting>
  <conditionalFormatting sqref="S454:T459">
    <cfRule type="cellIs" dxfId="282" priority="4" operator="greaterThan">
      <formula>0</formula>
    </cfRule>
  </conditionalFormatting>
  <conditionalFormatting sqref="W454:W459">
    <cfRule type="cellIs" dxfId="281" priority="3" operator="greaterThan">
      <formula>0</formula>
    </cfRule>
  </conditionalFormatting>
  <conditionalFormatting sqref="X454:X459">
    <cfRule type="cellIs" dxfId="280" priority="2" operator="greaterThan">
      <formula>0</formula>
    </cfRule>
  </conditionalFormatting>
  <conditionalFormatting sqref="AC454:AC459">
    <cfRule type="cellIs" dxfId="279" priority="1" operator="greaterThan">
      <formula>0</formula>
    </cfRule>
  </conditionalFormatting>
  <dataValidations disablePrompts="1" xWindow="1233" yWindow="261"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I4" xr:uid="{00000000-0002-0000-0500-000000000000}"/>
  </dataValidations>
  <printOptions gridLinesSet="0"/>
  <pageMargins left="0" right="0" top="0.59" bottom="0.79" header="0.39" footer="0.2"/>
  <pageSetup paperSize="9" scale="34" pageOrder="overThenDown" orientation="landscape" r:id="rId1"/>
  <headerFooter>
    <oddHeader>&amp;L&amp;C&amp;R</oddHeader>
    <oddFooter>&amp;L&amp;"Verdana,Standaard"&amp;K000000&amp;F-&amp;A
&amp;R&amp;"Verdana,Standaard"&amp;K000000printversie &amp;D</oddFooter>
  </headerFooter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3"/>
  <dimension ref="A1:AC53"/>
  <sheetViews>
    <sheetView showGridLines="0" showZeros="0" showOutlineSymbols="0" topLeftCell="B1" zoomScale="91" zoomScaleNormal="91" zoomScaleSheetLayoutView="65" zoomScalePageLayoutView="90" workbookViewId="0">
      <selection activeCell="J31" sqref="J31"/>
    </sheetView>
  </sheetViews>
  <sheetFormatPr defaultColWidth="8.85546875" defaultRowHeight="15.95" customHeight="1"/>
  <cols>
    <col min="1" max="1" width="7.140625" style="48" hidden="1" customWidth="1"/>
    <col min="2" max="2" width="17.140625" style="102" bestFit="1" customWidth="1"/>
    <col min="3" max="3" width="13.85546875" style="414" customWidth="1"/>
    <col min="4" max="4" width="10.140625" style="48" customWidth="1"/>
    <col min="5" max="5" width="51" style="1" bestFit="1" customWidth="1"/>
    <col min="6" max="6" width="11.140625" style="102" customWidth="1"/>
    <col min="7" max="7" width="12.85546875" style="328" customWidth="1"/>
    <col min="8" max="8" width="38.85546875" style="48" customWidth="1"/>
    <col min="9" max="9" width="57.140625" style="48" customWidth="1"/>
    <col min="10" max="10" width="13.85546875" style="102" customWidth="1"/>
    <col min="11" max="11" width="15.140625" style="330" bestFit="1" customWidth="1"/>
    <col min="12" max="12" width="14.140625" style="164" customWidth="1"/>
    <col min="13" max="13" width="23.42578125" style="50" bestFit="1" customWidth="1"/>
    <col min="14" max="14" width="22.42578125" style="102" hidden="1" customWidth="1"/>
    <col min="15" max="15" width="16.140625" style="50" hidden="1" customWidth="1"/>
    <col min="16" max="16" width="0.140625" style="50" hidden="1" customWidth="1"/>
    <col min="17" max="17" width="18.140625" style="102" bestFit="1" customWidth="1"/>
    <col min="18" max="19" width="14.140625" style="50" customWidth="1"/>
    <col min="20" max="20" width="16.85546875" style="250" customWidth="1"/>
    <col min="21" max="21" width="20" style="250" customWidth="1"/>
    <col min="22" max="22" width="9.42578125" style="48" hidden="1" customWidth="1"/>
    <col min="23" max="23" width="20" style="102" bestFit="1" customWidth="1"/>
    <col min="24" max="24" width="19.5703125" style="102" customWidth="1"/>
    <col min="25" max="25" width="20" style="48" hidden="1" customWidth="1"/>
    <col min="26" max="26" width="11.42578125" style="48" customWidth="1"/>
    <col min="27" max="27" width="33.42578125" style="347" customWidth="1"/>
    <col min="28" max="28" width="20.85546875" style="102" customWidth="1"/>
    <col min="29" max="29" width="21.5703125" style="102" bestFit="1" customWidth="1"/>
    <col min="30" max="30" width="8.85546875" style="48" bestFit="1" customWidth="1"/>
    <col min="31" max="31" width="16.85546875" style="48" bestFit="1" customWidth="1"/>
    <col min="32" max="32" width="14" style="48" bestFit="1" customWidth="1"/>
    <col min="33" max="33" width="25.140625" style="48" bestFit="1" customWidth="1"/>
    <col min="34" max="16384" width="8.85546875" style="48"/>
  </cols>
  <sheetData>
    <row r="1" spans="1:29" ht="18" customHeight="1">
      <c r="A1" s="102"/>
      <c r="C1" s="412"/>
      <c r="D1" s="102"/>
      <c r="E1" s="333"/>
      <c r="F1" s="165"/>
      <c r="G1" s="103"/>
      <c r="H1" s="334"/>
      <c r="I1" s="49"/>
      <c r="J1" s="103"/>
      <c r="K1" s="329"/>
      <c r="L1" s="122"/>
      <c r="M1" s="51"/>
      <c r="N1" s="103"/>
      <c r="O1" s="122"/>
      <c r="P1" s="122"/>
      <c r="Q1" s="122"/>
      <c r="R1" s="122"/>
      <c r="S1" s="122"/>
      <c r="T1" s="351"/>
      <c r="U1" s="352"/>
      <c r="V1" s="335"/>
      <c r="W1" s="166"/>
      <c r="X1" s="166"/>
      <c r="Y1" s="335"/>
      <c r="Z1" s="393"/>
      <c r="AA1" s="344"/>
      <c r="AB1" s="167"/>
    </row>
    <row r="2" spans="1:29" ht="18" customHeight="1">
      <c r="A2" s="102"/>
      <c r="C2" s="412"/>
      <c r="D2" s="102"/>
      <c r="E2" s="70" t="str">
        <f>'1.2-Kengetal'!C2</f>
        <v>Omschrijving blad</v>
      </c>
      <c r="F2" s="168"/>
      <c r="G2" s="117" t="s">
        <v>861</v>
      </c>
      <c r="H2" s="336"/>
      <c r="I2" s="49"/>
      <c r="J2" s="103"/>
      <c r="K2" s="329"/>
      <c r="L2" s="122"/>
      <c r="M2" s="51"/>
      <c r="N2" s="103"/>
      <c r="O2" s="122"/>
      <c r="P2" s="122"/>
      <c r="Q2" s="122"/>
      <c r="R2" s="122"/>
      <c r="S2" s="122"/>
      <c r="T2" s="351"/>
      <c r="U2" s="352"/>
      <c r="V2" s="335"/>
      <c r="W2" s="166"/>
      <c r="X2" s="166"/>
      <c r="Y2" s="335"/>
      <c r="Z2" s="337"/>
      <c r="AA2" s="345"/>
      <c r="AB2" s="103"/>
    </row>
    <row r="3" spans="1:29" ht="18" customHeight="1">
      <c r="A3" s="102"/>
      <c r="C3" s="412"/>
      <c r="D3" s="102"/>
      <c r="E3" s="177" t="s">
        <v>42</v>
      </c>
      <c r="G3" s="178" t="str">
        <f>Voorblad!$E$16</f>
        <v>HHNK bedrijfsgebouwen van werven en RWZI's</v>
      </c>
      <c r="H3" s="336"/>
      <c r="I3" s="9"/>
      <c r="J3" s="103"/>
      <c r="K3" s="329"/>
      <c r="L3" s="122"/>
      <c r="M3" s="51"/>
      <c r="N3" s="103"/>
      <c r="O3" s="51"/>
      <c r="P3" s="51"/>
      <c r="Q3" s="103"/>
      <c r="R3" s="51"/>
      <c r="S3" s="51"/>
      <c r="T3" s="351"/>
      <c r="U3" s="352"/>
      <c r="V3" s="335"/>
      <c r="W3" s="166"/>
      <c r="X3" s="166"/>
      <c r="Y3" s="331"/>
      <c r="Z3" s="337"/>
      <c r="AA3" s="345"/>
      <c r="AB3" s="103"/>
    </row>
    <row r="4" spans="1:29" ht="18" customHeight="1">
      <c r="A4" s="102"/>
      <c r="C4" s="412"/>
      <c r="D4" s="102"/>
      <c r="E4" s="177" t="s">
        <v>43</v>
      </c>
      <c r="G4" s="178" t="str">
        <f>'1.0-Contractblad'!$D$4</f>
        <v>Heerhugowaard</v>
      </c>
      <c r="H4" s="336"/>
      <c r="J4" s="338" t="s">
        <v>15</v>
      </c>
      <c r="K4" s="339"/>
      <c r="M4" s="51"/>
      <c r="N4" s="103"/>
      <c r="O4" s="51"/>
      <c r="P4" s="51"/>
      <c r="Q4" s="165"/>
      <c r="U4" s="352"/>
      <c r="V4" s="335"/>
      <c r="W4" s="166"/>
      <c r="X4" s="166"/>
      <c r="Y4" s="335"/>
      <c r="Z4" s="337"/>
      <c r="AA4" s="345"/>
      <c r="AB4" s="103"/>
    </row>
    <row r="5" spans="1:29" ht="18" customHeight="1">
      <c r="A5" s="102"/>
      <c r="C5" s="412"/>
      <c r="D5" s="102"/>
      <c r="E5" s="177" t="s">
        <v>192</v>
      </c>
      <c r="G5" s="193" t="e">
        <f>Voorblad!#REF!</f>
        <v>#REF!</v>
      </c>
      <c r="H5" s="336"/>
      <c r="J5" s="338">
        <v>0</v>
      </c>
      <c r="K5" s="340" t="s">
        <v>16</v>
      </c>
      <c r="L5" s="122"/>
      <c r="M5" s="51"/>
      <c r="Z5" s="337"/>
      <c r="AA5" s="345"/>
      <c r="AB5" s="103"/>
    </row>
    <row r="6" spans="1:29" ht="18" customHeight="1">
      <c r="A6" s="102"/>
      <c r="C6" s="412"/>
      <c r="D6" s="102"/>
      <c r="E6" s="177" t="s">
        <v>37</v>
      </c>
      <c r="G6" s="322" t="str">
        <f>Voorblad!$E$25</f>
        <v>V1 15-06-2023</v>
      </c>
      <c r="H6" s="336"/>
      <c r="J6" s="103"/>
      <c r="K6" s="329"/>
      <c r="L6" s="122"/>
      <c r="M6" s="51"/>
      <c r="Q6" s="747" t="s">
        <v>862</v>
      </c>
      <c r="R6" s="747"/>
      <c r="S6" s="747"/>
      <c r="T6" s="747"/>
      <c r="U6" s="747"/>
      <c r="V6" s="747"/>
      <c r="W6" s="747"/>
      <c r="X6" s="747"/>
      <c r="Y6" s="747"/>
      <c r="Z6" s="337"/>
      <c r="AA6" s="345"/>
      <c r="AB6" s="103"/>
    </row>
    <row r="7" spans="1:29" ht="30.95" customHeight="1">
      <c r="A7" s="102"/>
      <c r="C7" s="412"/>
      <c r="D7" s="102"/>
      <c r="E7" s="177" t="s">
        <v>45</v>
      </c>
      <c r="G7" s="178" t="str">
        <f>Voorblad!$E$19</f>
        <v>Naam inschrijver</v>
      </c>
      <c r="H7" s="194"/>
      <c r="I7" s="118"/>
      <c r="J7" s="103"/>
      <c r="K7" s="329"/>
      <c r="L7" s="122"/>
      <c r="M7" s="51"/>
      <c r="Q7" s="748" t="s">
        <v>863</v>
      </c>
      <c r="R7" s="748"/>
      <c r="Z7" s="337"/>
      <c r="AA7" s="345"/>
      <c r="AB7" s="103"/>
    </row>
    <row r="8" spans="1:29" ht="18" customHeight="1">
      <c r="A8" s="102"/>
      <c r="C8" s="412"/>
      <c r="D8" s="102"/>
      <c r="E8" s="177" t="s">
        <v>36</v>
      </c>
      <c r="G8" s="746">
        <f>Voorblad!$E$22</f>
        <v>45261</v>
      </c>
      <c r="H8" s="746"/>
      <c r="I8" s="118"/>
      <c r="J8" s="103"/>
      <c r="K8" s="329"/>
      <c r="L8" s="122"/>
      <c r="M8" s="51"/>
      <c r="N8" s="103"/>
      <c r="O8" s="51"/>
      <c r="P8" s="51"/>
      <c r="Q8" s="246"/>
      <c r="R8" s="246"/>
      <c r="S8" s="246" t="s">
        <v>864</v>
      </c>
      <c r="T8" s="242" t="s">
        <v>865</v>
      </c>
      <c r="U8" s="243" t="s">
        <v>866</v>
      </c>
      <c r="V8" s="335"/>
      <c r="W8" s="244" t="s">
        <v>867</v>
      </c>
      <c r="X8" s="245" t="s">
        <v>868</v>
      </c>
      <c r="Y8" s="335"/>
      <c r="AA8" s="345"/>
      <c r="AB8" s="103"/>
    </row>
    <row r="9" spans="1:29" ht="18" customHeight="1">
      <c r="A9" s="102"/>
      <c r="C9" s="412"/>
      <c r="D9" s="102"/>
      <c r="E9" s="177"/>
      <c r="G9" s="179"/>
      <c r="H9" s="179"/>
      <c r="I9" s="118"/>
      <c r="J9" s="103"/>
      <c r="K9" s="329"/>
      <c r="L9" s="122"/>
      <c r="M9" s="51"/>
      <c r="N9" s="103"/>
      <c r="O9" s="51"/>
      <c r="P9" s="51"/>
      <c r="Q9" s="103"/>
      <c r="R9" s="241"/>
      <c r="S9" s="213"/>
      <c r="T9" s="242"/>
      <c r="U9" s="247">
        <f>IF(S9=0,0,$R$9-S9)</f>
        <v>0</v>
      </c>
      <c r="V9" s="335"/>
      <c r="W9" s="248">
        <f>SUMIF(B:B,T9,AB:AB)</f>
        <v>0</v>
      </c>
      <c r="X9" s="249">
        <f>W9/200*U9</f>
        <v>0</v>
      </c>
      <c r="Y9" s="335"/>
      <c r="AA9" s="345"/>
      <c r="AB9" s="103"/>
    </row>
    <row r="10" spans="1:29" ht="18" customHeight="1">
      <c r="A10" s="102"/>
      <c r="C10" s="412"/>
      <c r="D10" s="102"/>
      <c r="E10" s="177"/>
      <c r="G10" s="179"/>
      <c r="H10" s="179"/>
      <c r="I10" s="118"/>
      <c r="J10" s="103"/>
      <c r="K10" s="329"/>
      <c r="L10" s="122"/>
      <c r="M10" s="51"/>
      <c r="N10" s="103"/>
      <c r="O10" s="51"/>
      <c r="P10" s="51"/>
      <c r="Q10" s="103"/>
      <c r="U10" s="352"/>
      <c r="V10" s="335"/>
      <c r="W10" s="166"/>
      <c r="X10" s="166"/>
      <c r="Y10" s="335"/>
      <c r="AA10" s="48"/>
      <c r="AB10" s="48"/>
      <c r="AC10" s="48"/>
    </row>
    <row r="11" spans="1:29" ht="12.75">
      <c r="A11" s="102"/>
      <c r="C11" s="412"/>
      <c r="D11" s="102"/>
      <c r="E11" s="333"/>
      <c r="F11" s="165"/>
      <c r="G11" s="103"/>
      <c r="H11" s="334"/>
      <c r="I11" s="49"/>
      <c r="J11" s="103"/>
      <c r="K11" s="329"/>
      <c r="L11" s="122"/>
      <c r="M11" s="51"/>
      <c r="N11" s="103"/>
      <c r="O11" s="51"/>
      <c r="P11" s="51"/>
      <c r="Q11" s="103"/>
      <c r="U11" s="352"/>
      <c r="V11" s="335"/>
      <c r="W11" s="166"/>
      <c r="X11" s="166"/>
      <c r="Y11" s="335"/>
      <c r="Z11" s="334"/>
      <c r="AA11" s="345"/>
      <c r="AB11" s="103"/>
    </row>
    <row r="12" spans="1:29" s="169" customFormat="1" ht="63" customHeight="1">
      <c r="A12" s="343"/>
      <c r="B12" s="176" t="s">
        <v>292</v>
      </c>
      <c r="C12" s="413" t="s">
        <v>864</v>
      </c>
      <c r="D12" s="149" t="s">
        <v>869</v>
      </c>
      <c r="E12" s="149" t="s">
        <v>80</v>
      </c>
      <c r="F12" s="150" t="s">
        <v>295</v>
      </c>
      <c r="G12" s="348" t="s">
        <v>296</v>
      </c>
      <c r="H12" s="149" t="s">
        <v>870</v>
      </c>
      <c r="I12" s="171" t="s">
        <v>298</v>
      </c>
      <c r="J12" s="176" t="s">
        <v>299</v>
      </c>
      <c r="K12" s="349" t="s">
        <v>201</v>
      </c>
      <c r="L12" s="172" t="s">
        <v>202</v>
      </c>
      <c r="M12" s="173" t="s">
        <v>300</v>
      </c>
      <c r="N12" s="173" t="s">
        <v>301</v>
      </c>
      <c r="O12" s="173" t="s">
        <v>871</v>
      </c>
      <c r="P12" s="173" t="s">
        <v>872</v>
      </c>
      <c r="Q12" s="174" t="s">
        <v>195</v>
      </c>
      <c r="R12" s="173" t="s">
        <v>873</v>
      </c>
      <c r="S12" s="173" t="s">
        <v>304</v>
      </c>
      <c r="T12" s="353" t="s">
        <v>305</v>
      </c>
      <c r="U12" s="353" t="s">
        <v>306</v>
      </c>
      <c r="V12" s="174" t="s">
        <v>874</v>
      </c>
      <c r="W12" s="175" t="s">
        <v>308</v>
      </c>
      <c r="X12" s="174" t="s">
        <v>199</v>
      </c>
      <c r="Y12" s="174" t="s">
        <v>309</v>
      </c>
      <c r="Z12" s="149" t="s">
        <v>205</v>
      </c>
      <c r="AA12" s="350" t="s">
        <v>311</v>
      </c>
      <c r="AB12" s="176" t="s">
        <v>312</v>
      </c>
      <c r="AC12" s="176" t="s">
        <v>313</v>
      </c>
    </row>
    <row r="13" spans="1:29" ht="15.95" customHeight="1">
      <c r="A13" s="102"/>
      <c r="B13" s="364"/>
      <c r="C13" s="213"/>
      <c r="D13" s="214"/>
      <c r="E13" s="215"/>
      <c r="F13" s="216"/>
      <c r="G13" s="357"/>
      <c r="H13" s="217"/>
      <c r="I13" s="217"/>
      <c r="J13" s="216"/>
      <c r="K13" s="408"/>
      <c r="L13" s="359"/>
      <c r="M13" s="360"/>
      <c r="N13" s="216"/>
      <c r="O13" s="361"/>
      <c r="P13" s="361"/>
      <c r="Q13" s="218"/>
      <c r="R13" s="396"/>
      <c r="S13" s="396"/>
      <c r="T13" s="410"/>
      <c r="U13" s="410"/>
      <c r="V13" s="366"/>
      <c r="W13" s="363"/>
      <c r="X13" s="363"/>
      <c r="Y13" s="367"/>
      <c r="Z13" s="219"/>
      <c r="AA13" s="346"/>
      <c r="AB13" s="409"/>
      <c r="AC13" s="220"/>
    </row>
    <row r="14" spans="1:29" ht="15.95" customHeight="1">
      <c r="A14" s="102"/>
      <c r="B14" s="364"/>
      <c r="C14" s="213"/>
      <c r="D14" s="214"/>
      <c r="E14" s="215"/>
      <c r="F14" s="216"/>
      <c r="G14" s="357"/>
      <c r="H14" s="217"/>
      <c r="I14" s="217"/>
      <c r="J14" s="216"/>
      <c r="K14" s="408"/>
      <c r="L14" s="359"/>
      <c r="M14" s="360"/>
      <c r="N14" s="216"/>
      <c r="O14" s="361"/>
      <c r="P14" s="361"/>
      <c r="Q14" s="218"/>
      <c r="R14" s="396"/>
      <c r="S14" s="396"/>
      <c r="T14" s="410"/>
      <c r="U14" s="410"/>
      <c r="V14" s="366"/>
      <c r="W14" s="363"/>
      <c r="X14" s="363"/>
      <c r="Y14" s="367"/>
      <c r="Z14" s="219"/>
      <c r="AA14" s="346"/>
      <c r="AB14" s="409"/>
      <c r="AC14" s="220"/>
    </row>
    <row r="15" spans="1:29" ht="15.95" customHeight="1">
      <c r="A15" s="102"/>
      <c r="B15" s="364"/>
      <c r="C15" s="213"/>
      <c r="D15" s="214"/>
      <c r="E15" s="215"/>
      <c r="F15" s="216"/>
      <c r="G15" s="357"/>
      <c r="H15" s="217"/>
      <c r="I15" s="217"/>
      <c r="J15" s="216"/>
      <c r="K15" s="408"/>
      <c r="L15" s="359"/>
      <c r="M15" s="360"/>
      <c r="N15" s="216"/>
      <c r="O15" s="361"/>
      <c r="P15" s="361"/>
      <c r="Q15" s="218"/>
      <c r="R15" s="396"/>
      <c r="S15" s="396"/>
      <c r="T15" s="410"/>
      <c r="U15" s="410"/>
      <c r="V15" s="366"/>
      <c r="W15" s="363"/>
      <c r="X15" s="363"/>
      <c r="Y15" s="367"/>
      <c r="Z15" s="219"/>
      <c r="AA15" s="346"/>
      <c r="AB15" s="409"/>
      <c r="AC15" s="220"/>
    </row>
    <row r="16" spans="1:29" ht="15.95" customHeight="1">
      <c r="A16" s="102"/>
      <c r="B16" s="364"/>
      <c r="C16" s="213"/>
      <c r="D16" s="214"/>
      <c r="E16" s="215"/>
      <c r="F16" s="216"/>
      <c r="G16" s="357"/>
      <c r="H16" s="217"/>
      <c r="I16" s="217"/>
      <c r="J16" s="216"/>
      <c r="K16" s="408"/>
      <c r="L16" s="359"/>
      <c r="M16" s="360"/>
      <c r="N16" s="216"/>
      <c r="O16" s="361"/>
      <c r="P16" s="361"/>
      <c r="Q16" s="218"/>
      <c r="R16" s="396"/>
      <c r="S16" s="396"/>
      <c r="T16" s="410"/>
      <c r="U16" s="410"/>
      <c r="V16" s="366"/>
      <c r="W16" s="363"/>
      <c r="X16" s="363"/>
      <c r="Y16" s="367"/>
      <c r="Z16" s="219"/>
      <c r="AA16" s="346"/>
      <c r="AB16" s="409"/>
      <c r="AC16" s="220"/>
    </row>
    <row r="17" spans="1:29" ht="15.95" customHeight="1">
      <c r="A17" s="102"/>
      <c r="B17" s="364"/>
      <c r="C17" s="213"/>
      <c r="D17" s="214"/>
      <c r="E17" s="215"/>
      <c r="F17" s="216"/>
      <c r="G17" s="357"/>
      <c r="H17" s="217"/>
      <c r="I17" s="217"/>
      <c r="J17" s="216"/>
      <c r="K17" s="408"/>
      <c r="L17" s="359"/>
      <c r="M17" s="360"/>
      <c r="N17" s="216"/>
      <c r="O17" s="361"/>
      <c r="P17" s="361"/>
      <c r="Q17" s="218"/>
      <c r="R17" s="396"/>
      <c r="S17" s="396"/>
      <c r="T17" s="410"/>
      <c r="U17" s="410"/>
      <c r="V17" s="366"/>
      <c r="W17" s="363"/>
      <c r="X17" s="363"/>
      <c r="Y17" s="367"/>
      <c r="Z17" s="219"/>
      <c r="AA17" s="346"/>
      <c r="AB17" s="409"/>
      <c r="AC17" s="220"/>
    </row>
    <row r="18" spans="1:29" ht="15.95" customHeight="1">
      <c r="A18" s="102"/>
      <c r="B18" s="364"/>
      <c r="C18" s="213"/>
      <c r="D18" s="214"/>
      <c r="E18" s="215"/>
      <c r="F18" s="216"/>
      <c r="G18" s="357"/>
      <c r="H18" s="217"/>
      <c r="I18" s="217"/>
      <c r="J18" s="216"/>
      <c r="K18" s="408"/>
      <c r="L18" s="359"/>
      <c r="M18" s="360"/>
      <c r="N18" s="216"/>
      <c r="O18" s="361"/>
      <c r="P18" s="361"/>
      <c r="Q18" s="218"/>
      <c r="R18" s="396"/>
      <c r="S18" s="396"/>
      <c r="T18" s="410"/>
      <c r="U18" s="410"/>
      <c r="V18" s="366"/>
      <c r="W18" s="363"/>
      <c r="X18" s="363"/>
      <c r="Y18" s="367"/>
      <c r="Z18" s="219"/>
      <c r="AA18" s="346"/>
      <c r="AB18" s="409"/>
      <c r="AC18" s="220"/>
    </row>
    <row r="19" spans="1:29" ht="15.95" customHeight="1">
      <c r="A19" s="102"/>
      <c r="B19" s="364"/>
      <c r="C19" s="213"/>
      <c r="D19" s="214"/>
      <c r="E19" s="215"/>
      <c r="F19" s="216"/>
      <c r="G19" s="357"/>
      <c r="H19" s="217"/>
      <c r="I19" s="217"/>
      <c r="J19" s="216"/>
      <c r="K19" s="408"/>
      <c r="L19" s="359"/>
      <c r="M19" s="360"/>
      <c r="N19" s="216"/>
      <c r="O19" s="361"/>
      <c r="P19" s="361"/>
      <c r="Q19" s="218"/>
      <c r="R19" s="396"/>
      <c r="S19" s="396"/>
      <c r="T19" s="410"/>
      <c r="U19" s="410"/>
      <c r="V19" s="366"/>
      <c r="W19" s="363"/>
      <c r="X19" s="363"/>
      <c r="Y19" s="367"/>
      <c r="Z19" s="219"/>
      <c r="AA19" s="346"/>
      <c r="AB19" s="409"/>
      <c r="AC19" s="220"/>
    </row>
    <row r="20" spans="1:29" ht="15.95" customHeight="1">
      <c r="A20" s="102"/>
      <c r="B20" s="364"/>
      <c r="C20" s="213"/>
      <c r="D20" s="214"/>
      <c r="E20" s="215"/>
      <c r="F20" s="216"/>
      <c r="G20" s="357"/>
      <c r="H20" s="217"/>
      <c r="I20" s="217"/>
      <c r="J20" s="216"/>
      <c r="K20" s="408"/>
      <c r="L20" s="359"/>
      <c r="M20" s="360"/>
      <c r="N20" s="216"/>
      <c r="O20" s="361"/>
      <c r="P20" s="361"/>
      <c r="Q20" s="218"/>
      <c r="R20" s="396"/>
      <c r="S20" s="396"/>
      <c r="T20" s="410"/>
      <c r="U20" s="410"/>
      <c r="V20" s="366"/>
      <c r="W20" s="363"/>
      <c r="X20" s="363"/>
      <c r="Y20" s="367"/>
      <c r="Z20" s="219"/>
      <c r="AA20" s="346"/>
      <c r="AB20" s="409"/>
      <c r="AC20" s="220"/>
    </row>
    <row r="21" spans="1:29" ht="15.95" customHeight="1">
      <c r="A21" s="102"/>
      <c r="B21" s="364"/>
      <c r="C21" s="213"/>
      <c r="D21" s="214"/>
      <c r="E21" s="215"/>
      <c r="F21" s="216"/>
      <c r="G21" s="357"/>
      <c r="H21" s="217"/>
      <c r="I21" s="217"/>
      <c r="J21" s="216"/>
      <c r="K21" s="408"/>
      <c r="L21" s="359"/>
      <c r="M21" s="360"/>
      <c r="N21" s="216"/>
      <c r="O21" s="361"/>
      <c r="P21" s="361"/>
      <c r="Q21" s="218"/>
      <c r="R21" s="396"/>
      <c r="S21" s="396"/>
      <c r="T21" s="410"/>
      <c r="U21" s="410"/>
      <c r="V21" s="366"/>
      <c r="W21" s="363"/>
      <c r="X21" s="363"/>
      <c r="Y21" s="367"/>
      <c r="Z21" s="219"/>
      <c r="AA21" s="346"/>
      <c r="AB21" s="409"/>
      <c r="AC21" s="220"/>
    </row>
    <row r="22" spans="1:29" ht="15.95" customHeight="1">
      <c r="A22" s="102"/>
      <c r="B22" s="364"/>
      <c r="C22" s="213"/>
      <c r="D22" s="214"/>
      <c r="E22" s="215"/>
      <c r="F22" s="216"/>
      <c r="G22" s="357"/>
      <c r="H22" s="217"/>
      <c r="I22" s="217"/>
      <c r="J22" s="216"/>
      <c r="K22" s="408"/>
      <c r="L22" s="359"/>
      <c r="M22" s="360"/>
      <c r="N22" s="216"/>
      <c r="O22" s="361"/>
      <c r="P22" s="361"/>
      <c r="Q22" s="218"/>
      <c r="R22" s="396"/>
      <c r="S22" s="396"/>
      <c r="T22" s="410"/>
      <c r="U22" s="410"/>
      <c r="V22" s="366"/>
      <c r="W22" s="363"/>
      <c r="X22" s="363"/>
      <c r="Y22" s="367"/>
      <c r="Z22" s="219"/>
      <c r="AA22" s="346"/>
      <c r="AB22" s="409"/>
      <c r="AC22" s="220"/>
    </row>
    <row r="23" spans="1:29" ht="15.95" customHeight="1">
      <c r="A23" s="102"/>
      <c r="B23" s="364"/>
      <c r="C23" s="213"/>
      <c r="D23" s="214"/>
      <c r="E23" s="215"/>
      <c r="F23" s="216"/>
      <c r="G23" s="357"/>
      <c r="H23" s="217"/>
      <c r="I23" s="217"/>
      <c r="J23" s="216"/>
      <c r="K23" s="408"/>
      <c r="L23" s="359"/>
      <c r="M23" s="360"/>
      <c r="N23" s="216"/>
      <c r="O23" s="361"/>
      <c r="P23" s="361"/>
      <c r="Q23" s="218"/>
      <c r="R23" s="396"/>
      <c r="S23" s="396"/>
      <c r="T23" s="410"/>
      <c r="U23" s="410"/>
      <c r="V23" s="366"/>
      <c r="W23" s="363"/>
      <c r="X23" s="363"/>
      <c r="Y23" s="367"/>
      <c r="Z23" s="219"/>
      <c r="AA23" s="346"/>
      <c r="AB23" s="409"/>
      <c r="AC23" s="220"/>
    </row>
    <row r="24" spans="1:29" ht="15.95" customHeight="1">
      <c r="A24" s="102"/>
      <c r="B24" s="364"/>
      <c r="C24" s="213"/>
      <c r="D24" s="214"/>
      <c r="E24" s="215"/>
      <c r="F24" s="216"/>
      <c r="G24" s="357"/>
      <c r="H24" s="217"/>
      <c r="I24" s="217"/>
      <c r="J24" s="216"/>
      <c r="K24" s="408"/>
      <c r="L24" s="359"/>
      <c r="M24" s="360"/>
      <c r="N24" s="216"/>
      <c r="O24" s="361"/>
      <c r="P24" s="361"/>
      <c r="Q24" s="218"/>
      <c r="R24" s="396"/>
      <c r="S24" s="396"/>
      <c r="T24" s="410"/>
      <c r="U24" s="410"/>
      <c r="V24" s="366"/>
      <c r="W24" s="363"/>
      <c r="X24" s="363"/>
      <c r="Y24" s="367"/>
      <c r="Z24" s="219"/>
      <c r="AA24" s="346"/>
      <c r="AB24" s="409"/>
      <c r="AC24" s="220"/>
    </row>
    <row r="25" spans="1:29" ht="15.95" customHeight="1">
      <c r="A25" s="102"/>
      <c r="B25" s="364"/>
      <c r="C25" s="213"/>
      <c r="D25" s="214"/>
      <c r="E25" s="215"/>
      <c r="F25" s="216"/>
      <c r="G25" s="357"/>
      <c r="H25" s="217"/>
      <c r="I25" s="217"/>
      <c r="J25" s="216"/>
      <c r="K25" s="408"/>
      <c r="L25" s="359"/>
      <c r="M25" s="360"/>
      <c r="N25" s="216"/>
      <c r="O25" s="361"/>
      <c r="P25" s="361"/>
      <c r="Q25" s="218"/>
      <c r="R25" s="396"/>
      <c r="S25" s="396"/>
      <c r="T25" s="410"/>
      <c r="U25" s="410"/>
      <c r="V25" s="366"/>
      <c r="W25" s="363"/>
      <c r="X25" s="363"/>
      <c r="Y25" s="367"/>
      <c r="Z25" s="219"/>
      <c r="AA25" s="346"/>
      <c r="AB25" s="409"/>
      <c r="AC25" s="220"/>
    </row>
    <row r="26" spans="1:29" ht="15.95" customHeight="1">
      <c r="A26" s="102"/>
      <c r="B26" s="364"/>
      <c r="C26" s="213"/>
      <c r="D26" s="214"/>
      <c r="E26" s="215"/>
      <c r="F26" s="216"/>
      <c r="G26" s="357"/>
      <c r="H26" s="217"/>
      <c r="I26" s="217"/>
      <c r="J26" s="216"/>
      <c r="K26" s="408"/>
      <c r="L26" s="359"/>
      <c r="M26" s="360"/>
      <c r="N26" s="216"/>
      <c r="O26" s="361"/>
      <c r="P26" s="361"/>
      <c r="Q26" s="218"/>
      <c r="R26" s="396"/>
      <c r="S26" s="396"/>
      <c r="T26" s="410"/>
      <c r="U26" s="410"/>
      <c r="V26" s="366"/>
      <c r="W26" s="363"/>
      <c r="X26" s="363"/>
      <c r="Y26" s="367"/>
      <c r="Z26" s="219"/>
      <c r="AA26" s="346"/>
      <c r="AB26" s="409"/>
      <c r="AC26" s="220"/>
    </row>
    <row r="27" spans="1:29" ht="15.95" customHeight="1">
      <c r="A27" s="102"/>
      <c r="B27" s="364"/>
      <c r="C27" s="213"/>
      <c r="D27" s="214"/>
      <c r="E27" s="215"/>
      <c r="F27" s="216"/>
      <c r="G27" s="357"/>
      <c r="H27" s="217"/>
      <c r="I27" s="217"/>
      <c r="J27" s="216"/>
      <c r="K27" s="408"/>
      <c r="L27" s="359"/>
      <c r="M27" s="360"/>
      <c r="N27" s="216"/>
      <c r="O27" s="361"/>
      <c r="P27" s="361"/>
      <c r="Q27" s="218"/>
      <c r="R27" s="396"/>
      <c r="S27" s="396"/>
      <c r="T27" s="410"/>
      <c r="U27" s="410"/>
      <c r="V27" s="366"/>
      <c r="W27" s="363"/>
      <c r="X27" s="363"/>
      <c r="Y27" s="367"/>
      <c r="Z27" s="219"/>
      <c r="AA27" s="346"/>
      <c r="AB27" s="409"/>
      <c r="AC27" s="220"/>
    </row>
    <row r="28" spans="1:29" ht="15.95" customHeight="1">
      <c r="A28" s="102"/>
      <c r="B28" s="364"/>
      <c r="C28" s="213"/>
      <c r="D28" s="214"/>
      <c r="E28" s="215"/>
      <c r="F28" s="216"/>
      <c r="G28" s="357"/>
      <c r="H28" s="217"/>
      <c r="I28" s="217"/>
      <c r="J28" s="216"/>
      <c r="K28" s="408"/>
      <c r="L28" s="359"/>
      <c r="M28" s="360"/>
      <c r="N28" s="216"/>
      <c r="O28" s="361"/>
      <c r="P28" s="361"/>
      <c r="Q28" s="218"/>
      <c r="R28" s="396"/>
      <c r="S28" s="396"/>
      <c r="T28" s="410"/>
      <c r="U28" s="410"/>
      <c r="V28" s="366"/>
      <c r="W28" s="363"/>
      <c r="X28" s="363"/>
      <c r="Y28" s="367"/>
      <c r="Z28" s="219"/>
      <c r="AA28" s="346"/>
      <c r="AB28" s="409"/>
      <c r="AC28" s="220"/>
    </row>
    <row r="29" spans="1:29" ht="15.95" customHeight="1">
      <c r="A29" s="102"/>
      <c r="B29" s="364"/>
      <c r="C29" s="213"/>
      <c r="D29" s="214"/>
      <c r="E29" s="215"/>
      <c r="F29" s="216"/>
      <c r="G29" s="357"/>
      <c r="H29" s="217"/>
      <c r="I29" s="217"/>
      <c r="J29" s="216"/>
      <c r="K29" s="408"/>
      <c r="L29" s="359"/>
      <c r="M29" s="360"/>
      <c r="N29" s="216"/>
      <c r="O29" s="361"/>
      <c r="P29" s="361"/>
      <c r="Q29" s="218"/>
      <c r="R29" s="396"/>
      <c r="S29" s="396"/>
      <c r="T29" s="410"/>
      <c r="U29" s="410"/>
      <c r="V29" s="366"/>
      <c r="W29" s="363"/>
      <c r="X29" s="363"/>
      <c r="Y29" s="367"/>
      <c r="Z29" s="219"/>
      <c r="AA29" s="346"/>
      <c r="AB29" s="409"/>
      <c r="AC29" s="220"/>
    </row>
    <row r="30" spans="1:29" ht="15.95" customHeight="1">
      <c r="A30" s="102"/>
      <c r="B30" s="364"/>
      <c r="C30" s="213"/>
      <c r="D30" s="214"/>
      <c r="E30" s="215"/>
      <c r="F30" s="216"/>
      <c r="G30" s="357"/>
      <c r="H30" s="217"/>
      <c r="I30" s="217"/>
      <c r="J30" s="216"/>
      <c r="K30" s="408"/>
      <c r="L30" s="359"/>
      <c r="M30" s="360"/>
      <c r="N30" s="216"/>
      <c r="O30" s="361"/>
      <c r="P30" s="361"/>
      <c r="Q30" s="218"/>
      <c r="R30" s="396"/>
      <c r="S30" s="396"/>
      <c r="T30" s="410"/>
      <c r="U30" s="410"/>
      <c r="V30" s="366"/>
      <c r="W30" s="363"/>
      <c r="X30" s="363"/>
      <c r="Y30" s="367"/>
      <c r="Z30" s="219"/>
      <c r="AA30" s="346"/>
      <c r="AB30" s="409"/>
      <c r="AC30" s="220"/>
    </row>
    <row r="31" spans="1:29" ht="15.95" customHeight="1">
      <c r="A31" s="102"/>
      <c r="B31" s="364"/>
      <c r="C31" s="213"/>
      <c r="D31" s="214"/>
      <c r="E31" s="215"/>
      <c r="F31" s="216"/>
      <c r="G31" s="357"/>
      <c r="H31" s="217"/>
      <c r="I31" s="217"/>
      <c r="J31" s="216"/>
      <c r="K31" s="408"/>
      <c r="L31" s="359"/>
      <c r="M31" s="360"/>
      <c r="N31" s="216"/>
      <c r="O31" s="361"/>
      <c r="P31" s="361"/>
      <c r="Q31" s="218"/>
      <c r="R31" s="396"/>
      <c r="S31" s="396"/>
      <c r="T31" s="410"/>
      <c r="U31" s="410"/>
      <c r="V31" s="366"/>
      <c r="W31" s="363"/>
      <c r="X31" s="363"/>
      <c r="Y31" s="367"/>
      <c r="Z31" s="219"/>
      <c r="AA31" s="346"/>
      <c r="AB31" s="409"/>
      <c r="AC31" s="220"/>
    </row>
    <row r="32" spans="1:29" ht="15.95" customHeight="1">
      <c r="A32" s="102"/>
      <c r="B32" s="364"/>
      <c r="C32" s="213"/>
      <c r="D32" s="214"/>
      <c r="E32" s="215"/>
      <c r="F32" s="216"/>
      <c r="G32" s="357"/>
      <c r="H32" s="217"/>
      <c r="I32" s="217"/>
      <c r="J32" s="216"/>
      <c r="K32" s="358"/>
      <c r="L32" s="359"/>
      <c r="M32" s="360"/>
      <c r="N32" s="216"/>
      <c r="O32" s="361"/>
      <c r="P32" s="361"/>
      <c r="Q32" s="218"/>
      <c r="R32" s="396"/>
      <c r="S32" s="396"/>
      <c r="T32" s="362"/>
      <c r="U32" s="362"/>
      <c r="V32" s="366"/>
      <c r="W32" s="363"/>
      <c r="X32" s="363"/>
      <c r="Y32" s="367"/>
      <c r="Z32" s="219"/>
      <c r="AA32" s="346"/>
      <c r="AB32" s="220"/>
      <c r="AC32" s="220"/>
    </row>
    <row r="33" spans="1:29" ht="15.95" customHeight="1">
      <c r="A33" s="102"/>
      <c r="B33" s="364"/>
      <c r="C33" s="213"/>
      <c r="D33" s="214"/>
      <c r="E33" s="215"/>
      <c r="F33" s="216"/>
      <c r="G33" s="357"/>
      <c r="H33" s="217"/>
      <c r="I33" s="217"/>
      <c r="J33" s="216"/>
      <c r="K33" s="358"/>
      <c r="L33" s="359"/>
      <c r="M33" s="360"/>
      <c r="N33" s="218"/>
      <c r="O33" s="361"/>
      <c r="P33" s="361"/>
      <c r="Q33" s="218"/>
      <c r="R33" s="396"/>
      <c r="S33" s="396"/>
      <c r="T33" s="362"/>
      <c r="U33" s="362"/>
      <c r="V33" s="366"/>
      <c r="W33" s="363"/>
      <c r="X33" s="363"/>
      <c r="Y33" s="367"/>
      <c r="Z33" s="219"/>
      <c r="AA33" s="346"/>
      <c r="AB33" s="220"/>
      <c r="AC33" s="220"/>
    </row>
    <row r="34" spans="1:29" ht="15.95" customHeight="1">
      <c r="A34" s="102"/>
      <c r="B34" s="364"/>
      <c r="C34" s="213"/>
      <c r="D34" s="214"/>
      <c r="E34" s="215"/>
      <c r="F34" s="216"/>
      <c r="G34" s="357"/>
      <c r="H34" s="217"/>
      <c r="I34" s="217"/>
      <c r="J34" s="216"/>
      <c r="K34" s="358"/>
      <c r="L34" s="359"/>
      <c r="M34" s="360"/>
      <c r="N34" s="218"/>
      <c r="O34" s="361"/>
      <c r="P34" s="361"/>
      <c r="Q34" s="218"/>
      <c r="R34" s="396"/>
      <c r="S34" s="396"/>
      <c r="T34" s="362"/>
      <c r="U34" s="362"/>
      <c r="V34" s="366"/>
      <c r="W34" s="363"/>
      <c r="X34" s="363"/>
      <c r="Y34" s="367"/>
      <c r="Z34" s="219"/>
      <c r="AA34" s="346"/>
      <c r="AB34" s="220"/>
      <c r="AC34" s="220"/>
    </row>
    <row r="35" spans="1:29" ht="15.95" customHeight="1">
      <c r="A35" s="102"/>
      <c r="B35" s="364"/>
      <c r="C35" s="213"/>
      <c r="D35" s="214"/>
      <c r="E35" s="215"/>
      <c r="F35" s="216"/>
      <c r="G35" s="357"/>
      <c r="H35" s="217"/>
      <c r="I35" s="217"/>
      <c r="J35" s="216"/>
      <c r="K35" s="358"/>
      <c r="L35" s="359"/>
      <c r="M35" s="360"/>
      <c r="N35" s="218"/>
      <c r="O35" s="361"/>
      <c r="P35" s="361"/>
      <c r="Q35" s="218"/>
      <c r="R35" s="396"/>
      <c r="S35" s="396"/>
      <c r="T35" s="362"/>
      <c r="U35" s="362"/>
      <c r="V35" s="363"/>
      <c r="W35" s="363"/>
      <c r="X35" s="363"/>
      <c r="Y35" s="346"/>
      <c r="Z35" s="219"/>
      <c r="AA35" s="346"/>
      <c r="AB35" s="220"/>
      <c r="AC35" s="220"/>
    </row>
    <row r="36" spans="1:29" ht="15.95" customHeight="1">
      <c r="A36" s="102"/>
      <c r="B36" s="364"/>
      <c r="C36" s="213"/>
      <c r="D36" s="214"/>
      <c r="E36" s="215"/>
      <c r="F36" s="216"/>
      <c r="G36" s="357"/>
      <c r="H36" s="217"/>
      <c r="I36" s="217"/>
      <c r="J36" s="216"/>
      <c r="K36" s="358"/>
      <c r="L36" s="358"/>
      <c r="M36" s="360"/>
      <c r="N36" s="218"/>
      <c r="O36" s="361"/>
      <c r="P36" s="361"/>
      <c r="Q36" s="218"/>
      <c r="R36" s="396"/>
      <c r="S36" s="396"/>
      <c r="T36" s="362"/>
      <c r="U36" s="362"/>
      <c r="V36" s="366"/>
      <c r="W36" s="363"/>
      <c r="X36" s="363"/>
      <c r="Y36" s="367"/>
      <c r="Z36" s="219"/>
      <c r="AA36" s="346"/>
      <c r="AB36" s="220"/>
      <c r="AC36" s="220"/>
    </row>
    <row r="37" spans="1:29" ht="15.95" customHeight="1">
      <c r="A37" s="102"/>
      <c r="B37" s="364"/>
      <c r="C37" s="213"/>
      <c r="D37" s="214"/>
      <c r="E37" s="215"/>
      <c r="F37" s="216"/>
      <c r="G37" s="357"/>
      <c r="H37" s="217"/>
      <c r="I37" s="217"/>
      <c r="J37" s="216"/>
      <c r="K37" s="358"/>
      <c r="L37" s="359"/>
      <c r="M37" s="360"/>
      <c r="N37" s="218"/>
      <c r="O37" s="361"/>
      <c r="P37" s="361"/>
      <c r="Q37" s="218"/>
      <c r="R37" s="396"/>
      <c r="S37" s="396"/>
      <c r="T37" s="362"/>
      <c r="U37" s="362"/>
      <c r="V37" s="366"/>
      <c r="W37" s="363"/>
      <c r="X37" s="363"/>
      <c r="Y37" s="367"/>
      <c r="Z37" s="219"/>
      <c r="AA37" s="346"/>
      <c r="AB37" s="220"/>
      <c r="AC37" s="220"/>
    </row>
    <row r="38" spans="1:29" ht="15.95" customHeight="1">
      <c r="A38" s="102"/>
      <c r="B38" s="364"/>
      <c r="C38" s="213"/>
      <c r="D38" s="214"/>
      <c r="E38" s="215"/>
      <c r="F38" s="216"/>
      <c r="G38" s="357"/>
      <c r="H38" s="411"/>
      <c r="I38" s="217"/>
      <c r="J38" s="216"/>
      <c r="K38" s="358"/>
      <c r="L38" s="359"/>
      <c r="M38" s="360"/>
      <c r="N38" s="218"/>
      <c r="O38" s="361"/>
      <c r="P38" s="361"/>
      <c r="Q38" s="218"/>
      <c r="R38" s="396"/>
      <c r="S38" s="396"/>
      <c r="T38" s="362"/>
      <c r="U38" s="362"/>
      <c r="V38" s="366"/>
      <c r="W38" s="363"/>
      <c r="X38" s="363"/>
      <c r="Y38" s="367"/>
      <c r="Z38" s="219"/>
      <c r="AA38" s="346"/>
      <c r="AB38" s="220"/>
      <c r="AC38" s="220"/>
    </row>
    <row r="39" spans="1:29" ht="15.95" customHeight="1">
      <c r="A39" s="102"/>
      <c r="B39" s="364"/>
      <c r="C39" s="213"/>
      <c r="D39" s="214"/>
      <c r="E39" s="215"/>
      <c r="F39" s="216"/>
      <c r="G39" s="357"/>
      <c r="H39" s="217"/>
      <c r="I39" s="217"/>
      <c r="J39" s="216"/>
      <c r="K39" s="358"/>
      <c r="L39" s="359"/>
      <c r="M39" s="360"/>
      <c r="N39" s="218"/>
      <c r="O39" s="361"/>
      <c r="P39" s="361"/>
      <c r="Q39" s="218"/>
      <c r="R39" s="396"/>
      <c r="S39" s="396"/>
      <c r="T39" s="362"/>
      <c r="U39" s="362"/>
      <c r="V39" s="366"/>
      <c r="W39" s="363"/>
      <c r="X39" s="363"/>
      <c r="Y39" s="367"/>
      <c r="Z39" s="219"/>
      <c r="AA39" s="346"/>
      <c r="AB39" s="220"/>
      <c r="AC39" s="220"/>
    </row>
    <row r="40" spans="1:29" ht="15.95" customHeight="1">
      <c r="A40" s="102"/>
      <c r="B40" s="364"/>
      <c r="C40" s="213"/>
      <c r="D40" s="214"/>
      <c r="E40" s="215"/>
      <c r="F40" s="216"/>
      <c r="G40" s="357"/>
      <c r="H40" s="217"/>
      <c r="I40" s="217"/>
      <c r="J40" s="216"/>
      <c r="K40" s="358"/>
      <c r="L40" s="359"/>
      <c r="M40" s="360"/>
      <c r="N40" s="218"/>
      <c r="O40" s="361"/>
      <c r="P40" s="361"/>
      <c r="Q40" s="218"/>
      <c r="R40" s="396"/>
      <c r="S40" s="396"/>
      <c r="T40" s="362"/>
      <c r="U40" s="362"/>
      <c r="V40" s="366"/>
      <c r="W40" s="363"/>
      <c r="X40" s="363"/>
      <c r="Y40" s="367"/>
      <c r="Z40" s="219"/>
      <c r="AA40" s="346"/>
      <c r="AB40" s="220"/>
      <c r="AC40" s="220"/>
    </row>
    <row r="41" spans="1:29" ht="15.95" customHeight="1">
      <c r="A41" s="102"/>
      <c r="B41" s="364"/>
      <c r="C41" s="213"/>
      <c r="D41" s="214"/>
      <c r="E41" s="215"/>
      <c r="F41" s="216"/>
      <c r="G41" s="357"/>
      <c r="H41" s="217"/>
      <c r="I41" s="217"/>
      <c r="J41" s="216"/>
      <c r="K41" s="358"/>
      <c r="L41" s="359"/>
      <c r="M41" s="360"/>
      <c r="N41" s="218"/>
      <c r="O41" s="361"/>
      <c r="P41" s="361"/>
      <c r="Q41" s="218"/>
      <c r="R41" s="396"/>
      <c r="S41" s="396"/>
      <c r="T41" s="362"/>
      <c r="U41" s="362"/>
      <c r="V41" s="366"/>
      <c r="W41" s="363"/>
      <c r="X41" s="363"/>
      <c r="Y41" s="367"/>
      <c r="Z41" s="219"/>
      <c r="AA41" s="346"/>
      <c r="AB41" s="220"/>
      <c r="AC41" s="220"/>
    </row>
    <row r="42" spans="1:29" ht="15.95" customHeight="1">
      <c r="A42" s="102"/>
      <c r="B42" s="364"/>
      <c r="C42" s="213"/>
      <c r="D42" s="214"/>
      <c r="E42" s="215"/>
      <c r="F42" s="216"/>
      <c r="G42" s="357"/>
      <c r="H42" s="217"/>
      <c r="I42" s="217"/>
      <c r="J42" s="216"/>
      <c r="K42" s="358"/>
      <c r="L42" s="359"/>
      <c r="M42" s="360"/>
      <c r="N42" s="218"/>
      <c r="O42" s="361"/>
      <c r="P42" s="361"/>
      <c r="Q42" s="218"/>
      <c r="R42" s="396"/>
      <c r="S42" s="396"/>
      <c r="T42" s="362"/>
      <c r="U42" s="362"/>
      <c r="V42" s="366"/>
      <c r="W42" s="363"/>
      <c r="X42" s="363"/>
      <c r="Y42" s="367"/>
      <c r="Z42" s="219"/>
      <c r="AA42" s="346"/>
      <c r="AB42" s="220"/>
      <c r="AC42" s="220"/>
    </row>
    <row r="43" spans="1:29" ht="15.95" customHeight="1">
      <c r="A43" s="102"/>
      <c r="B43" s="364"/>
      <c r="C43" s="213"/>
      <c r="D43" s="214"/>
      <c r="E43" s="215"/>
      <c r="F43" s="216"/>
      <c r="G43" s="357"/>
      <c r="H43" s="217"/>
      <c r="I43" s="217"/>
      <c r="J43" s="216"/>
      <c r="K43" s="358"/>
      <c r="L43" s="359"/>
      <c r="M43" s="360"/>
      <c r="N43" s="218"/>
      <c r="O43" s="361"/>
      <c r="P43" s="361"/>
      <c r="Q43" s="218"/>
      <c r="R43" s="396"/>
      <c r="S43" s="396"/>
      <c r="T43" s="362"/>
      <c r="U43" s="362"/>
      <c r="V43" s="366"/>
      <c r="W43" s="363"/>
      <c r="X43" s="363"/>
      <c r="Y43" s="367"/>
      <c r="Z43" s="219"/>
      <c r="AA43" s="346"/>
      <c r="AB43" s="220"/>
      <c r="AC43" s="220"/>
    </row>
    <row r="44" spans="1:29" ht="15.95" customHeight="1">
      <c r="A44" s="102"/>
      <c r="B44" s="364"/>
      <c r="C44" s="213"/>
      <c r="D44" s="214"/>
      <c r="E44" s="215"/>
      <c r="F44" s="216"/>
      <c r="G44" s="357"/>
      <c r="H44" s="217"/>
      <c r="I44" s="217"/>
      <c r="J44" s="216"/>
      <c r="K44" s="358"/>
      <c r="L44" s="359"/>
      <c r="M44" s="360"/>
      <c r="N44" s="218"/>
      <c r="O44" s="361"/>
      <c r="P44" s="361"/>
      <c r="Q44" s="218"/>
      <c r="R44" s="396"/>
      <c r="S44" s="396"/>
      <c r="T44" s="362"/>
      <c r="U44" s="362"/>
      <c r="V44" s="366"/>
      <c r="W44" s="363"/>
      <c r="X44" s="363"/>
      <c r="Y44" s="367"/>
      <c r="Z44" s="219"/>
      <c r="AA44" s="346"/>
      <c r="AB44" s="220"/>
      <c r="AC44" s="220"/>
    </row>
    <row r="45" spans="1:29" ht="15.95" customHeight="1">
      <c r="A45" s="102"/>
      <c r="B45" s="364"/>
      <c r="C45" s="213"/>
      <c r="D45" s="214"/>
      <c r="E45" s="215"/>
      <c r="F45" s="216"/>
      <c r="G45" s="357"/>
      <c r="H45" s="217"/>
      <c r="I45" s="217"/>
      <c r="J45" s="216"/>
      <c r="K45" s="358"/>
      <c r="L45" s="359"/>
      <c r="M45" s="360"/>
      <c r="N45" s="218"/>
      <c r="O45" s="361"/>
      <c r="P45" s="361"/>
      <c r="Q45" s="218"/>
      <c r="R45" s="396"/>
      <c r="S45" s="396"/>
      <c r="T45" s="362"/>
      <c r="U45" s="362"/>
      <c r="V45" s="366"/>
      <c r="W45" s="363"/>
      <c r="X45" s="363"/>
      <c r="Y45" s="367"/>
      <c r="Z45" s="219"/>
      <c r="AA45" s="346"/>
      <c r="AB45" s="220"/>
      <c r="AC45" s="220"/>
    </row>
    <row r="46" spans="1:29" ht="15.95" customHeight="1">
      <c r="A46" s="102"/>
      <c r="B46" s="364"/>
      <c r="C46" s="213"/>
      <c r="D46" s="214"/>
      <c r="E46" s="215"/>
      <c r="F46" s="216"/>
      <c r="G46" s="357"/>
      <c r="H46" s="217"/>
      <c r="I46" s="217"/>
      <c r="J46" s="216"/>
      <c r="K46" s="358"/>
      <c r="L46" s="359"/>
      <c r="M46" s="360"/>
      <c r="N46" s="218"/>
      <c r="O46" s="361"/>
      <c r="P46" s="361"/>
      <c r="Q46" s="218"/>
      <c r="R46" s="396"/>
      <c r="S46" s="396"/>
      <c r="T46" s="362"/>
      <c r="U46" s="362"/>
      <c r="V46" s="366"/>
      <c r="W46" s="363"/>
      <c r="X46" s="363"/>
      <c r="Y46" s="367"/>
      <c r="Z46" s="219"/>
      <c r="AA46" s="346"/>
      <c r="AB46" s="220"/>
      <c r="AC46" s="220"/>
    </row>
    <row r="47" spans="1:29" ht="15.95" customHeight="1">
      <c r="A47" s="102"/>
      <c r="B47" s="364"/>
      <c r="C47" s="213"/>
      <c r="D47" s="214"/>
      <c r="E47" s="215"/>
      <c r="F47" s="216"/>
      <c r="G47" s="357"/>
      <c r="H47" s="217"/>
      <c r="I47" s="217"/>
      <c r="J47" s="216"/>
      <c r="K47" s="358"/>
      <c r="L47" s="359"/>
      <c r="M47" s="360"/>
      <c r="N47" s="218"/>
      <c r="O47" s="361"/>
      <c r="P47" s="361"/>
      <c r="Q47" s="218"/>
      <c r="R47" s="396"/>
      <c r="S47" s="396"/>
      <c r="T47" s="362"/>
      <c r="U47" s="362"/>
      <c r="V47" s="366"/>
      <c r="W47" s="363"/>
      <c r="X47" s="363"/>
      <c r="Y47" s="367"/>
      <c r="Z47" s="219"/>
      <c r="AA47" s="346"/>
      <c r="AB47" s="220"/>
      <c r="AC47" s="220"/>
    </row>
    <row r="48" spans="1:29" ht="15.95" customHeight="1">
      <c r="A48" s="102"/>
      <c r="B48" s="364"/>
      <c r="C48" s="213"/>
      <c r="D48" s="214"/>
      <c r="E48" s="215"/>
      <c r="F48" s="216"/>
      <c r="G48" s="357"/>
      <c r="H48" s="217"/>
      <c r="I48" s="217"/>
      <c r="J48" s="216"/>
      <c r="K48" s="358"/>
      <c r="L48" s="359"/>
      <c r="M48" s="360"/>
      <c r="N48" s="218"/>
      <c r="O48" s="361"/>
      <c r="P48" s="361"/>
      <c r="Q48" s="218"/>
      <c r="R48" s="396"/>
      <c r="S48" s="396"/>
      <c r="T48" s="362"/>
      <c r="U48" s="362"/>
      <c r="V48" s="366"/>
      <c r="W48" s="363"/>
      <c r="X48" s="363"/>
      <c r="Y48" s="367"/>
      <c r="Z48" s="219"/>
      <c r="AA48" s="346"/>
      <c r="AB48" s="220"/>
      <c r="AC48" s="220"/>
    </row>
    <row r="49" spans="1:29" ht="15.95" customHeight="1">
      <c r="A49" s="102"/>
      <c r="B49" s="364"/>
      <c r="C49" s="213"/>
      <c r="D49" s="214"/>
      <c r="E49" s="215"/>
      <c r="F49" s="216"/>
      <c r="G49" s="357"/>
      <c r="H49" s="217"/>
      <c r="I49" s="217"/>
      <c r="J49" s="216"/>
      <c r="K49" s="358"/>
      <c r="L49" s="359"/>
      <c r="M49" s="360"/>
      <c r="N49" s="218"/>
      <c r="O49" s="361"/>
      <c r="P49" s="361"/>
      <c r="Q49" s="218"/>
      <c r="R49" s="396"/>
      <c r="S49" s="396"/>
      <c r="T49" s="362"/>
      <c r="U49" s="362"/>
      <c r="V49" s="366"/>
      <c r="W49" s="363"/>
      <c r="X49" s="363"/>
      <c r="Y49" s="367"/>
      <c r="Z49" s="219"/>
      <c r="AA49" s="346"/>
      <c r="AB49" s="220"/>
      <c r="AC49" s="220"/>
    </row>
    <row r="50" spans="1:29" ht="15.95" customHeight="1">
      <c r="A50" s="102"/>
      <c r="B50" s="364"/>
      <c r="C50" s="213"/>
      <c r="D50" s="214"/>
      <c r="E50" s="215"/>
      <c r="F50" s="216"/>
      <c r="G50" s="357"/>
      <c r="H50" s="217"/>
      <c r="I50" s="217"/>
      <c r="J50" s="216"/>
      <c r="K50" s="358"/>
      <c r="L50" s="359"/>
      <c r="M50" s="360"/>
      <c r="N50" s="218"/>
      <c r="O50" s="361"/>
      <c r="P50" s="361"/>
      <c r="Q50" s="218"/>
      <c r="R50" s="396"/>
      <c r="S50" s="396"/>
      <c r="T50" s="362"/>
      <c r="U50" s="362"/>
      <c r="V50" s="366"/>
      <c r="W50" s="363"/>
      <c r="X50" s="363"/>
      <c r="Y50" s="367"/>
      <c r="Z50" s="219"/>
      <c r="AA50" s="346"/>
      <c r="AB50" s="220"/>
      <c r="AC50" s="220"/>
    </row>
    <row r="51" spans="1:29" ht="15.95" customHeight="1">
      <c r="A51" s="102"/>
      <c r="B51" s="364"/>
      <c r="C51" s="213"/>
      <c r="D51" s="214"/>
      <c r="E51" s="215"/>
      <c r="F51" s="216"/>
      <c r="G51" s="357"/>
      <c r="H51" s="217"/>
      <c r="I51" s="217"/>
      <c r="J51" s="216"/>
      <c r="K51" s="358"/>
      <c r="L51" s="359"/>
      <c r="M51" s="360"/>
      <c r="N51" s="218"/>
      <c r="O51" s="361"/>
      <c r="P51" s="361"/>
      <c r="Q51" s="218"/>
      <c r="R51" s="396"/>
      <c r="S51" s="396"/>
      <c r="T51" s="362"/>
      <c r="U51" s="362"/>
      <c r="V51" s="366"/>
      <c r="W51" s="363"/>
      <c r="X51" s="363"/>
      <c r="Y51" s="367"/>
      <c r="Z51" s="219"/>
      <c r="AA51" s="346"/>
      <c r="AB51" s="220"/>
      <c r="AC51" s="220"/>
    </row>
    <row r="52" spans="1:29" ht="15.95" customHeight="1">
      <c r="A52" s="102"/>
      <c r="B52" s="364"/>
      <c r="C52" s="213"/>
      <c r="D52" s="214"/>
      <c r="E52" s="215"/>
      <c r="F52" s="216"/>
      <c r="G52" s="357"/>
      <c r="H52" s="217"/>
      <c r="I52" s="217"/>
      <c r="J52" s="216"/>
      <c r="K52" s="358"/>
      <c r="L52" s="359"/>
      <c r="M52" s="360"/>
      <c r="N52" s="218"/>
      <c r="O52" s="361"/>
      <c r="P52" s="361"/>
      <c r="Q52" s="218"/>
      <c r="R52" s="396"/>
      <c r="S52" s="396"/>
      <c r="T52" s="362"/>
      <c r="U52" s="362"/>
      <c r="V52" s="366"/>
      <c r="W52" s="363"/>
      <c r="X52" s="363"/>
      <c r="Y52" s="367"/>
      <c r="Z52" s="219"/>
      <c r="AA52" s="346"/>
      <c r="AB52" s="220"/>
      <c r="AC52" s="220"/>
    </row>
    <row r="53" spans="1:29" ht="15.95" customHeight="1">
      <c r="A53" s="102"/>
      <c r="B53" s="364"/>
      <c r="C53" s="213"/>
      <c r="D53" s="214"/>
      <c r="E53" s="215"/>
      <c r="F53" s="216"/>
      <c r="G53" s="357"/>
      <c r="H53" s="217"/>
      <c r="I53" s="217"/>
      <c r="J53" s="216"/>
      <c r="K53" s="358"/>
      <c r="L53" s="359"/>
      <c r="M53" s="360"/>
      <c r="N53" s="218"/>
      <c r="O53" s="361"/>
      <c r="P53" s="361"/>
      <c r="Q53" s="218"/>
      <c r="R53" s="396"/>
      <c r="S53" s="396"/>
      <c r="T53" s="362"/>
      <c r="U53" s="362"/>
      <c r="V53" s="366"/>
      <c r="W53" s="363"/>
      <c r="X53" s="363"/>
      <c r="Y53" s="367"/>
      <c r="Z53" s="219"/>
      <c r="AA53" s="346"/>
      <c r="AB53" s="220"/>
      <c r="AC53" s="220"/>
    </row>
  </sheetData>
  <autoFilter ref="B12:AC53" xr:uid="{00000000-0009-0000-0000-000006000000}"/>
  <mergeCells count="3">
    <mergeCell ref="G8:H8"/>
    <mergeCell ref="Q6:Y6"/>
    <mergeCell ref="Q7:R7"/>
  </mergeCells>
  <conditionalFormatting sqref="V36:V53 Y36:Y53 AB36:AC53 AC35 V32:V34 W32:X53 Y13:Y34 V13:X31 AB13:AC34 T13:U53">
    <cfRule type="cellIs" dxfId="278" priority="12" operator="greaterThan">
      <formula>0</formula>
    </cfRule>
  </conditionalFormatting>
  <conditionalFormatting sqref="J4">
    <cfRule type="cellIs" dxfId="277" priority="11" operator="greaterThan">
      <formula>0</formula>
    </cfRule>
  </conditionalFormatting>
  <conditionalFormatting sqref="J5">
    <cfRule type="cellIs" dxfId="276" priority="10" operator="greaterThan">
      <formula>0</formula>
    </cfRule>
  </conditionalFormatting>
  <conditionalFormatting sqref="V35">
    <cfRule type="cellIs" dxfId="275" priority="2" operator="greaterThan">
      <formula>0</formula>
    </cfRule>
  </conditionalFormatting>
  <conditionalFormatting sqref="AB35">
    <cfRule type="cellIs" dxfId="274" priority="1" operator="greaterThan">
      <formula>0</formula>
    </cfRule>
  </conditionalFormatting>
  <dataValidations count="1">
    <dataValidation allowBlank="1" showInputMessage="1" showErrorMessage="1" promptTitle="Toelichting" prompt="Pas, indien gewenst, op regelniveau het getal in de kolom factor aan._x000d_Het kengetal blijft gelijk, de uren worden echter aangepast (lager of hoger)._x000d_" sqref="J4" xr:uid="{00000000-0002-0000-0600-000000000000}"/>
  </dataValidations>
  <printOptions gridLinesSet="0"/>
  <pageMargins left="0" right="0" top="0.59" bottom="0.79" header="0.39" footer="0.2"/>
  <pageSetup paperSize="9" scale="34" pageOrder="overThenDown" orientation="portrait" r:id="rId1"/>
  <headerFooter>
    <oddHeader>&amp;L&amp;C&amp;R</oddHeader>
    <oddFooter>&amp;L&amp;"Verdana,Standaard"&amp;K000000&amp;F-&amp;A
&amp;R&amp;"Verdana,Standaard"&amp;K000000printversie &amp;D</oddFooter>
  </headerFooter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C7:J17"/>
  <sheetViews>
    <sheetView showGridLines="0" workbookViewId="0">
      <selection activeCell="B75" sqref="B75"/>
    </sheetView>
  </sheetViews>
  <sheetFormatPr defaultColWidth="10.85546875" defaultRowHeight="12.75"/>
  <cols>
    <col min="1" max="2" width="10.85546875" style="1"/>
    <col min="3" max="4" width="11.140625" style="1" customWidth="1"/>
    <col min="5" max="5" width="8.140625" style="1" customWidth="1"/>
    <col min="6" max="6" width="16.85546875" style="1" customWidth="1"/>
    <col min="7" max="7" width="12.140625" style="1" customWidth="1"/>
    <col min="8" max="8" width="13" style="136" bestFit="1" customWidth="1"/>
    <col min="9" max="9" width="14" style="1" bestFit="1" customWidth="1"/>
    <col min="10" max="10" width="15.140625" style="1" bestFit="1" customWidth="1"/>
    <col min="11" max="16384" width="10.85546875" style="1"/>
  </cols>
  <sheetData>
    <row r="7" spans="3:10" ht="48" customHeight="1">
      <c r="C7" s="127" t="s">
        <v>292</v>
      </c>
      <c r="D7" s="127" t="s">
        <v>864</v>
      </c>
      <c r="E7" s="127" t="s">
        <v>875</v>
      </c>
      <c r="F7" s="127" t="s">
        <v>80</v>
      </c>
      <c r="G7" s="127" t="s">
        <v>876</v>
      </c>
      <c r="H7" s="127" t="s">
        <v>877</v>
      </c>
      <c r="I7" s="127" t="s">
        <v>878</v>
      </c>
      <c r="J7" s="134" t="s">
        <v>879</v>
      </c>
    </row>
    <row r="8" spans="3:10" s="2" customFormat="1" ht="24" customHeight="1">
      <c r="C8" s="128"/>
      <c r="D8" s="129"/>
      <c r="E8" s="130"/>
      <c r="F8" s="121"/>
      <c r="G8" s="131"/>
      <c r="H8" s="135">
        <f>D8-G8</f>
        <v>0</v>
      </c>
      <c r="I8" s="132"/>
      <c r="J8" s="133"/>
    </row>
    <row r="9" spans="3:10" s="2" customFormat="1" ht="24" customHeight="1">
      <c r="C9" s="128"/>
      <c r="D9" s="129"/>
      <c r="E9" s="130"/>
      <c r="F9" s="121"/>
      <c r="G9" s="131"/>
      <c r="H9" s="135">
        <f>G9-D9</f>
        <v>0</v>
      </c>
      <c r="I9" s="132"/>
      <c r="J9" s="133"/>
    </row>
    <row r="10" spans="3:10" s="2" customFormat="1" ht="24" customHeight="1">
      <c r="C10" s="128"/>
      <c r="D10" s="129"/>
      <c r="E10" s="130"/>
      <c r="F10" s="121"/>
      <c r="G10" s="131"/>
      <c r="H10" s="135">
        <f>G10-D10</f>
        <v>0</v>
      </c>
      <c r="I10" s="132"/>
      <c r="J10" s="133"/>
    </row>
    <row r="16" spans="3:10">
      <c r="J16" s="137"/>
    </row>
    <row r="17" spans="10:10">
      <c r="J17" s="137"/>
    </row>
  </sheetData>
  <pageMargins left="0.75" right="0.75" top="1" bottom="1" header="0.5" footer="0.5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6"/>
  <sheetViews>
    <sheetView showGridLines="0" showRowColHeaders="0" showZeros="0" showOutlineSymbols="0" topLeftCell="I1" zoomScaleNormal="100" zoomScaleSheetLayoutView="75" workbookViewId="0">
      <pane ySplit="11" topLeftCell="A12" activePane="bottomLeft" state="frozenSplit"/>
      <selection pane="bottomLeft" activeCell="X17" sqref="X17"/>
    </sheetView>
  </sheetViews>
  <sheetFormatPr defaultColWidth="0" defaultRowHeight="0" customHeight="1" zeroHeight="1"/>
  <cols>
    <col min="1" max="1" width="2.5703125" style="539" customWidth="1"/>
    <col min="2" max="2" width="48.42578125" style="539" customWidth="1"/>
    <col min="3" max="3" width="13.5703125" style="539" customWidth="1"/>
    <col min="4" max="4" width="14" style="539" customWidth="1"/>
    <col min="5" max="5" width="3.5703125" style="539" customWidth="1"/>
    <col min="6" max="6" width="13.5703125" style="539" customWidth="1"/>
    <col min="7" max="7" width="14.42578125" style="539" customWidth="1"/>
    <col min="8" max="8" width="48.5703125" style="539" customWidth="1"/>
    <col min="9" max="9" width="4.5703125" style="539" customWidth="1"/>
    <col min="10" max="10" width="13.42578125" style="539" customWidth="1"/>
    <col min="11" max="15" width="14.85546875" style="539" customWidth="1"/>
    <col min="16" max="16" width="0.5703125" style="539" customWidth="1"/>
    <col min="17" max="21" width="14.5703125" style="539" customWidth="1"/>
    <col min="22" max="22" width="0.5703125" style="539" customWidth="1"/>
    <col min="23" max="26" width="16" style="539" customWidth="1"/>
    <col min="27" max="27" width="31.42578125" style="539" hidden="1" customWidth="1"/>
    <col min="28" max="29" width="0" style="539" hidden="1" customWidth="1"/>
    <col min="30" max="16384" width="10.5703125" style="539" hidden="1"/>
  </cols>
  <sheetData>
    <row r="1" spans="2:29" ht="7.35" customHeight="1">
      <c r="H1" s="540"/>
      <c r="I1" s="541"/>
    </row>
    <row r="2" spans="2:29" ht="20.100000000000001" customHeight="1">
      <c r="B2" s="251" t="s">
        <v>40</v>
      </c>
      <c r="C2" s="60" t="s">
        <v>880</v>
      </c>
      <c r="D2" s="161"/>
      <c r="E2" s="542"/>
      <c r="F2" s="542"/>
      <c r="G2" s="542"/>
      <c r="H2" s="542"/>
      <c r="I2" s="541"/>
      <c r="K2" s="543"/>
      <c r="L2" s="544"/>
      <c r="M2" s="544"/>
      <c r="N2" s="544"/>
      <c r="O2" s="544"/>
      <c r="P2" s="545"/>
    </row>
    <row r="3" spans="2:29" ht="15">
      <c r="B3" s="177" t="s">
        <v>42</v>
      </c>
      <c r="C3" s="178" t="str">
        <f>Voorblad!$E$16</f>
        <v>HHNK bedrijfsgebouwen van werven en RWZI's</v>
      </c>
      <c r="D3" s="162"/>
      <c r="E3" s="534"/>
      <c r="F3" s="542"/>
      <c r="G3" s="542"/>
      <c r="H3" s="542"/>
      <c r="I3" s="541"/>
      <c r="K3" s="543"/>
      <c r="L3" s="544"/>
      <c r="M3" s="544"/>
      <c r="N3" s="544"/>
      <c r="O3" s="544"/>
      <c r="P3" s="545"/>
    </row>
    <row r="4" spans="2:29" ht="15">
      <c r="B4" s="177" t="s">
        <v>43</v>
      </c>
      <c r="C4" s="178" t="str">
        <f>'1.0-Contractblad'!$D$4</f>
        <v>Heerhugowaard</v>
      </c>
      <c r="D4" s="60"/>
      <c r="E4" s="546"/>
      <c r="F4" s="66"/>
      <c r="G4" s="547"/>
      <c r="H4" s="548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</row>
    <row r="5" spans="2:29" ht="20.100000000000001" customHeight="1">
      <c r="B5" s="177" t="s">
        <v>37</v>
      </c>
      <c r="C5" s="322" t="str">
        <f>Voorblad!$E$25</f>
        <v>V1 15-06-2023</v>
      </c>
      <c r="D5" s="163"/>
      <c r="E5" s="550"/>
      <c r="F5" s="66"/>
      <c r="G5" s="547"/>
      <c r="H5" s="548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</row>
    <row r="6" spans="2:29" ht="20.100000000000001" customHeight="1">
      <c r="B6" s="177" t="s">
        <v>45</v>
      </c>
      <c r="C6" s="178" t="str">
        <f>Voorblad!$E$19</f>
        <v>Naam inschrijver</v>
      </c>
      <c r="D6" s="66"/>
      <c r="E6" s="550"/>
      <c r="F6" s="66"/>
      <c r="G6" s="547"/>
      <c r="H6" s="548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</row>
    <row r="7" spans="2:29" ht="20.100000000000001" customHeight="1">
      <c r="B7" s="177" t="s">
        <v>36</v>
      </c>
      <c r="C7" s="751">
        <f>Voorblad!$E$22</f>
        <v>45261</v>
      </c>
      <c r="D7" s="751"/>
      <c r="E7" s="550"/>
      <c r="F7" s="66"/>
      <c r="G7" s="547"/>
      <c r="H7" s="548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</row>
    <row r="8" spans="2:29" ht="20.100000000000001" customHeight="1">
      <c r="B8" s="251"/>
      <c r="C8" s="749"/>
      <c r="D8" s="749"/>
      <c r="E8" s="550"/>
      <c r="F8" s="66"/>
      <c r="G8" s="547"/>
      <c r="H8" s="548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1"/>
      <c r="V8" s="541"/>
      <c r="W8" s="541"/>
      <c r="X8" s="541"/>
      <c r="Y8" s="541"/>
    </row>
    <row r="9" spans="2:29" ht="20.100000000000001" customHeight="1">
      <c r="B9" s="251"/>
      <c r="C9" s="552"/>
      <c r="D9" s="550"/>
      <c r="E9" s="550"/>
      <c r="F9" s="66"/>
      <c r="G9" s="547"/>
      <c r="H9" s="548"/>
      <c r="I9" s="541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41"/>
      <c r="U9" s="541"/>
      <c r="V9" s="541"/>
      <c r="W9" s="541"/>
      <c r="X9" s="541"/>
      <c r="Y9" s="541"/>
    </row>
    <row r="10" spans="2:29" ht="15">
      <c r="B10" s="251"/>
      <c r="C10" s="252"/>
      <c r="D10" s="66"/>
      <c r="E10" s="66"/>
      <c r="G10" s="551" t="s">
        <v>15</v>
      </c>
      <c r="H10" s="97"/>
      <c r="J10" s="2"/>
      <c r="K10" s="2"/>
      <c r="L10" s="2"/>
      <c r="M10" s="2"/>
      <c r="N10" s="2"/>
      <c r="O10" s="2"/>
      <c r="P10" s="549"/>
      <c r="Q10" s="2"/>
      <c r="R10" s="2"/>
      <c r="S10" s="2"/>
      <c r="T10" s="2"/>
      <c r="U10" s="2"/>
      <c r="V10" s="97"/>
      <c r="W10" s="2"/>
      <c r="X10" s="2"/>
      <c r="Y10" s="2"/>
    </row>
    <row r="11" spans="2:29" ht="30.95" customHeight="1">
      <c r="B11" s="251"/>
      <c r="C11" s="554"/>
      <c r="D11" s="66"/>
      <c r="E11" s="66"/>
      <c r="G11" s="551">
        <v>0</v>
      </c>
      <c r="H11" s="125" t="s">
        <v>16</v>
      </c>
      <c r="J11" s="2"/>
      <c r="K11" s="750" t="s">
        <v>881</v>
      </c>
      <c r="L11" s="750"/>
      <c r="M11" s="750"/>
      <c r="N11" s="750"/>
      <c r="O11" s="750"/>
      <c r="P11" s="549"/>
      <c r="Q11" s="750" t="s">
        <v>882</v>
      </c>
      <c r="R11" s="750"/>
      <c r="S11" s="750"/>
      <c r="T11" s="750"/>
      <c r="U11" s="750"/>
      <c r="V11" s="97"/>
      <c r="W11" s="750" t="s">
        <v>883</v>
      </c>
      <c r="X11" s="750"/>
      <c r="Y11" s="750"/>
    </row>
    <row r="12" spans="2:29" ht="15">
      <c r="B12" s="251"/>
      <c r="C12" s="264"/>
      <c r="D12" s="66"/>
      <c r="E12" s="66"/>
      <c r="F12" s="66"/>
      <c r="G12" s="547"/>
      <c r="H12" s="2"/>
      <c r="I12" s="2"/>
      <c r="J12" s="2"/>
      <c r="K12" s="2"/>
      <c r="L12" s="2"/>
      <c r="M12" s="2"/>
      <c r="N12" s="2"/>
      <c r="O12" s="2"/>
      <c r="P12" s="549"/>
      <c r="Q12" s="2"/>
      <c r="R12" s="2"/>
      <c r="S12" s="2"/>
      <c r="T12" s="2"/>
      <c r="U12" s="97"/>
      <c r="V12" s="97"/>
      <c r="W12" s="97"/>
      <c r="X12" s="97"/>
      <c r="Y12" s="2"/>
    </row>
    <row r="13" spans="2:29" ht="49.35" customHeight="1">
      <c r="E13" s="555"/>
      <c r="F13" s="555"/>
      <c r="G13" s="547"/>
      <c r="H13" s="120"/>
      <c r="I13" s="84"/>
      <c r="J13" s="544"/>
      <c r="K13" s="160" t="s">
        <v>884</v>
      </c>
      <c r="L13" s="160" t="s">
        <v>884</v>
      </c>
      <c r="M13" s="160" t="s">
        <v>884</v>
      </c>
      <c r="N13" s="160" t="s">
        <v>884</v>
      </c>
      <c r="O13" s="160" t="s">
        <v>884</v>
      </c>
      <c r="P13" s="549"/>
      <c r="Q13" s="160" t="s">
        <v>884</v>
      </c>
      <c r="R13" s="160" t="s">
        <v>884</v>
      </c>
      <c r="S13" s="160" t="s">
        <v>884</v>
      </c>
      <c r="T13" s="160" t="s">
        <v>884</v>
      </c>
      <c r="U13" s="160" t="s">
        <v>884</v>
      </c>
      <c r="V13" s="97"/>
      <c r="W13" s="160" t="s">
        <v>884</v>
      </c>
      <c r="X13" s="160" t="s">
        <v>884</v>
      </c>
      <c r="Y13" s="160" t="s">
        <v>884</v>
      </c>
    </row>
    <row r="14" spans="2:29" ht="8.1" customHeight="1">
      <c r="E14" s="555"/>
      <c r="F14" s="555"/>
      <c r="G14" s="547"/>
      <c r="H14" s="120"/>
      <c r="I14" s="84"/>
      <c r="J14" s="84"/>
      <c r="K14" s="84"/>
      <c r="L14" s="84"/>
      <c r="M14" s="84"/>
      <c r="N14" s="84"/>
      <c r="O14" s="84"/>
      <c r="P14" s="549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spans="2:29" s="544" customFormat="1" ht="44.1" customHeight="1">
      <c r="B15" s="539"/>
      <c r="E15" s="556"/>
      <c r="F15" s="556"/>
      <c r="G15" s="557"/>
      <c r="H15" s="558"/>
      <c r="I15" s="253"/>
      <c r="J15" s="558"/>
      <c r="K15" s="559" t="s">
        <v>885</v>
      </c>
      <c r="L15" s="559" t="s">
        <v>885</v>
      </c>
      <c r="M15" s="559" t="s">
        <v>885</v>
      </c>
      <c r="N15" s="559" t="s">
        <v>885</v>
      </c>
      <c r="O15" s="559" t="s">
        <v>885</v>
      </c>
      <c r="P15" s="549"/>
      <c r="Q15" s="559" t="s">
        <v>885</v>
      </c>
      <c r="R15" s="559" t="s">
        <v>885</v>
      </c>
      <c r="S15" s="559" t="s">
        <v>885</v>
      </c>
      <c r="T15" s="559" t="s">
        <v>885</v>
      </c>
      <c r="U15" s="559" t="s">
        <v>885</v>
      </c>
      <c r="V15" s="253"/>
      <c r="W15" s="559" t="s">
        <v>885</v>
      </c>
      <c r="X15" s="559" t="s">
        <v>885</v>
      </c>
      <c r="Y15" s="559" t="s">
        <v>885</v>
      </c>
      <c r="Z15" s="253"/>
      <c r="AB15" s="560"/>
      <c r="AC15" s="560"/>
    </row>
    <row r="16" spans="2:29" ht="7.35" customHeight="1">
      <c r="C16" s="561"/>
      <c r="D16" s="561"/>
      <c r="E16" s="561"/>
      <c r="F16" s="561"/>
      <c r="G16" s="561"/>
      <c r="H16" s="562"/>
      <c r="I16" s="563"/>
      <c r="J16" s="564" t="s">
        <v>55</v>
      </c>
      <c r="K16" s="565" t="str">
        <f>IF(K17=0,"Selecteer cel",CONCATENATE(K13," Dienstjaar ",K15))</f>
        <v>Selecteer cel</v>
      </c>
      <c r="L16" s="565" t="str">
        <f>IF(L17=0,"Selecteer cel",CONCATENATE(L13," Dienstjaar ",L15))</f>
        <v>Selecteer cel</v>
      </c>
      <c r="M16" s="565" t="str">
        <f>IF(M17=0,"Selecteer cel",CONCATENATE(M13," Dienstjaar ",M15))</f>
        <v>Selecteer cel</v>
      </c>
      <c r="N16" s="565" t="str">
        <f>IF(N17=0,"Selecteer cel",CONCATENATE(N13,"tz"," Dienstjaar ",N15))</f>
        <v>Selecteer cel</v>
      </c>
      <c r="O16" s="565" t="str">
        <f>IF(O17=0,"Selecteer cel",CONCATENATE(O13," Dienstjaar ",O15))</f>
        <v>Selecteer cel</v>
      </c>
      <c r="P16" s="564" t="s">
        <v>57</v>
      </c>
      <c r="Q16" s="565" t="str">
        <f>IF(Q17=0,"Selecteer cel",CONCATENATE(Q13," Dienstjaar ",Q15))</f>
        <v>Selecteer cel</v>
      </c>
      <c r="R16" s="565" t="str">
        <f>IF(R17=0,"Selecteer cel",CONCATENATE(R13," Dienstjaar ",R15))</f>
        <v>Selecteer cel</v>
      </c>
      <c r="S16" s="565" t="str">
        <f>IF(S17=0,"Selecteer cel",CONCATENATE(S13," Dienstjaar ",S15))</f>
        <v>Selecteer cel</v>
      </c>
      <c r="T16" s="565" t="str">
        <f>IF(T17=0,"Selecteer cel",CONCATENATE(T13," Dienstjaar ",T15))</f>
        <v>Selecteer cel</v>
      </c>
      <c r="U16" s="565" t="str">
        <f>IF(U17=0,"Selecteer cel",CONCATENATE(U13," Dienstjaar ",U15))</f>
        <v>Selecteer cel</v>
      </c>
      <c r="V16" s="565" t="s">
        <v>72</v>
      </c>
      <c r="W16" s="565" t="str">
        <f>IF(W17=0,"Selecteer cel",CONCATENATE(W13," Dienstjaar ",W15))</f>
        <v>Selecteer cel</v>
      </c>
      <c r="X16" s="565" t="str">
        <f>IF(X17=0,"Selecteer cel",CONCATENATE(X13," Dienstjaar ",X15))</f>
        <v>Selecteer cel</v>
      </c>
      <c r="Y16" s="565" t="str">
        <f>IF(Y17=0,"Selecteer cel",CONCATENATE(Y13," Dienstjaar ",Y15))</f>
        <v>Selecteer cel</v>
      </c>
      <c r="AB16" s="566"/>
      <c r="AC16" s="566"/>
    </row>
    <row r="17" spans="2:29" ht="19.350000000000001" customHeight="1" thickBot="1">
      <c r="C17" s="534"/>
      <c r="E17" s="567"/>
      <c r="F17" s="567"/>
      <c r="G17" s="547"/>
      <c r="H17" s="253"/>
      <c r="I17" s="568" t="s">
        <v>886</v>
      </c>
      <c r="J17" s="84"/>
      <c r="K17" s="254"/>
      <c r="L17" s="254"/>
      <c r="M17" s="254"/>
      <c r="N17" s="254">
        <v>0</v>
      </c>
      <c r="O17" s="254">
        <v>0</v>
      </c>
      <c r="P17" s="549"/>
      <c r="Q17" s="254"/>
      <c r="R17" s="254">
        <v>0</v>
      </c>
      <c r="S17" s="254">
        <v>0</v>
      </c>
      <c r="T17" s="254">
        <v>0</v>
      </c>
      <c r="U17" s="254">
        <v>0</v>
      </c>
      <c r="V17" s="253"/>
      <c r="W17" s="254"/>
      <c r="X17" s="254"/>
      <c r="Y17" s="254">
        <v>0</v>
      </c>
      <c r="AB17" s="566"/>
      <c r="AC17" s="566"/>
    </row>
    <row r="18" spans="2:29" ht="15" thickTop="1">
      <c r="C18" s="534"/>
      <c r="E18" s="567"/>
      <c r="F18" s="567"/>
      <c r="G18" s="547"/>
      <c r="H18" s="253"/>
      <c r="I18" s="569"/>
      <c r="J18" s="84"/>
      <c r="K18" s="84"/>
      <c r="L18" s="84"/>
      <c r="M18" s="84"/>
      <c r="N18" s="84"/>
      <c r="O18" s="84"/>
      <c r="P18" s="549"/>
      <c r="Q18" s="84"/>
      <c r="R18" s="84"/>
      <c r="S18" s="84"/>
      <c r="T18" s="84"/>
      <c r="U18" s="84"/>
      <c r="V18" s="84"/>
      <c r="W18" s="84"/>
      <c r="X18" s="84"/>
      <c r="Y18" s="84"/>
      <c r="Z18" s="84"/>
      <c r="AB18" s="566"/>
      <c r="AC18" s="566"/>
    </row>
    <row r="19" spans="2:29" ht="14.25" hidden="1">
      <c r="C19" s="534"/>
      <c r="E19" s="567"/>
      <c r="F19" s="567"/>
      <c r="G19" s="547"/>
      <c r="H19" s="253"/>
      <c r="I19" s="569"/>
      <c r="J19" s="84"/>
      <c r="K19" s="551"/>
      <c r="L19" s="551">
        <v>0</v>
      </c>
      <c r="M19" s="551">
        <v>0</v>
      </c>
      <c r="N19" s="551"/>
      <c r="O19" s="551"/>
      <c r="P19" s="549"/>
      <c r="Q19" s="551"/>
      <c r="R19" s="551"/>
      <c r="S19" s="551"/>
      <c r="T19" s="551"/>
      <c r="U19" s="551"/>
      <c r="V19" s="97"/>
      <c r="W19" s="551"/>
      <c r="X19" s="551"/>
      <c r="Y19" s="551"/>
    </row>
    <row r="20" spans="2:29" ht="15">
      <c r="B20" s="570" t="s">
        <v>887</v>
      </c>
      <c r="D20" s="571" t="s">
        <v>888</v>
      </c>
      <c r="E20" s="567"/>
      <c r="F20" s="547"/>
      <c r="G20" s="548"/>
      <c r="H20" s="253"/>
      <c r="I20" s="569"/>
      <c r="J20" s="84"/>
      <c r="K20" s="84"/>
      <c r="L20" s="84"/>
      <c r="M20" s="84"/>
      <c r="N20" s="84"/>
      <c r="O20" s="84"/>
      <c r="P20" s="549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spans="2:29" ht="14.25" hidden="1">
      <c r="D21" s="572">
        <f>IF(C21="x",C86,0)</f>
        <v>0</v>
      </c>
      <c r="E21" s="567"/>
      <c r="F21" s="547"/>
      <c r="G21" s="548"/>
      <c r="H21" s="253"/>
      <c r="I21" s="568"/>
      <c r="J21" s="84"/>
      <c r="K21" s="573">
        <f>K19+K17</f>
        <v>0</v>
      </c>
      <c r="L21" s="573">
        <f>L19+L17</f>
        <v>0</v>
      </c>
      <c r="M21" s="573">
        <f>M19+M17</f>
        <v>0</v>
      </c>
      <c r="N21" s="573">
        <f>N19+N17</f>
        <v>0</v>
      </c>
      <c r="O21" s="573">
        <f>O19+O17</f>
        <v>0</v>
      </c>
      <c r="P21" s="549"/>
      <c r="Q21" s="573">
        <f>Q19+Q17</f>
        <v>0</v>
      </c>
      <c r="R21" s="573">
        <f>R19+R17</f>
        <v>0</v>
      </c>
      <c r="S21" s="573">
        <f>S19+S17</f>
        <v>0</v>
      </c>
      <c r="T21" s="573">
        <f>T19+T17</f>
        <v>0</v>
      </c>
      <c r="U21" s="573">
        <f>U19+U17</f>
        <v>0</v>
      </c>
      <c r="V21" s="97"/>
      <c r="W21" s="573">
        <f>W19+W17</f>
        <v>0</v>
      </c>
      <c r="X21" s="573">
        <f>X19+X17</f>
        <v>0</v>
      </c>
      <c r="Y21" s="573">
        <f>Y19+Y17</f>
        <v>0</v>
      </c>
    </row>
    <row r="22" spans="2:29" ht="14.25">
      <c r="B22" s="2" t="s">
        <v>889</v>
      </c>
      <c r="C22" s="534"/>
      <c r="D22" s="535"/>
      <c r="E22" s="574"/>
      <c r="F22" s="547"/>
      <c r="G22" s="548"/>
      <c r="H22" s="253"/>
      <c r="I22" s="569"/>
      <c r="J22" s="84"/>
      <c r="K22" s="575">
        <f>K12*$J$27</f>
        <v>0</v>
      </c>
      <c r="L22" s="575">
        <f>L12*$J$27</f>
        <v>0</v>
      </c>
      <c r="M22" s="575">
        <f>M12*$J$27</f>
        <v>0</v>
      </c>
      <c r="N22" s="575">
        <f>N12*$J$27</f>
        <v>0</v>
      </c>
      <c r="O22" s="575">
        <f>O12*$J$27</f>
        <v>0</v>
      </c>
      <c r="P22" s="549"/>
      <c r="Q22" s="575">
        <f>Q12*$J$27</f>
        <v>0</v>
      </c>
      <c r="R22" s="575">
        <f>R12*$J$27</f>
        <v>0</v>
      </c>
      <c r="S22" s="575">
        <f>S12*$J$27</f>
        <v>0</v>
      </c>
      <c r="T22" s="575">
        <f>T12*$J$27</f>
        <v>0</v>
      </c>
      <c r="U22" s="575">
        <f>U12*$J$27</f>
        <v>0</v>
      </c>
      <c r="V22" s="97"/>
      <c r="W22" s="575">
        <f>W12*$J$27</f>
        <v>0</v>
      </c>
      <c r="X22" s="575">
        <f>X12*$J$27</f>
        <v>0</v>
      </c>
      <c r="Y22" s="575">
        <f>Y12*$J$27</f>
        <v>0</v>
      </c>
    </row>
    <row r="23" spans="2:29" ht="14.25">
      <c r="B23" s="536" t="s">
        <v>890</v>
      </c>
      <c r="C23" s="534"/>
      <c r="D23" s="537"/>
      <c r="E23" s="567"/>
      <c r="F23" s="547"/>
      <c r="G23" s="548"/>
      <c r="H23" s="120"/>
      <c r="I23" s="120"/>
      <c r="J23" s="256" t="s">
        <v>891</v>
      </c>
      <c r="K23" s="120"/>
      <c r="L23" s="120"/>
      <c r="M23" s="120"/>
      <c r="N23" s="120"/>
      <c r="O23" s="120"/>
      <c r="P23" s="549"/>
      <c r="Q23" s="528"/>
      <c r="R23" s="120"/>
      <c r="S23" s="120"/>
      <c r="T23" s="120"/>
      <c r="U23" s="120"/>
      <c r="V23" s="97"/>
      <c r="W23" s="120"/>
      <c r="X23" s="120"/>
      <c r="Y23" s="120"/>
    </row>
    <row r="24" spans="2:29" ht="14.25">
      <c r="B24" s="2" t="s">
        <v>892</v>
      </c>
      <c r="C24" s="534"/>
      <c r="D24" s="537"/>
      <c r="E24" s="567"/>
      <c r="F24" s="547"/>
      <c r="G24" s="548"/>
      <c r="H24" s="84"/>
      <c r="I24" s="576" t="s">
        <v>893</v>
      </c>
      <c r="J24" s="84"/>
      <c r="K24" s="551">
        <v>0</v>
      </c>
      <c r="L24" s="551">
        <v>0</v>
      </c>
      <c r="M24" s="551">
        <v>0</v>
      </c>
      <c r="N24" s="551">
        <v>0</v>
      </c>
      <c r="O24" s="551">
        <v>0</v>
      </c>
      <c r="P24" s="549"/>
      <c r="Q24" s="551">
        <v>0</v>
      </c>
      <c r="R24" s="551">
        <v>0</v>
      </c>
      <c r="S24" s="551">
        <v>0</v>
      </c>
      <c r="T24" s="551">
        <v>0</v>
      </c>
      <c r="U24" s="551">
        <v>0</v>
      </c>
      <c r="V24" s="97"/>
      <c r="W24" s="551"/>
      <c r="X24" s="551"/>
      <c r="Y24" s="551">
        <v>0</v>
      </c>
    </row>
    <row r="25" spans="2:29" ht="14.25">
      <c r="B25" s="538" t="s">
        <v>894</v>
      </c>
      <c r="C25" s="534"/>
      <c r="D25" s="255">
        <f>SUM(D21:D24)</f>
        <v>0</v>
      </c>
      <c r="E25" s="567"/>
      <c r="F25" s="547"/>
      <c r="G25" s="548"/>
      <c r="H25" s="120"/>
      <c r="I25" s="577" t="s">
        <v>895</v>
      </c>
      <c r="J25" s="84"/>
      <c r="K25" s="551">
        <v>0</v>
      </c>
      <c r="L25" s="551">
        <v>0</v>
      </c>
      <c r="M25" s="551"/>
      <c r="N25" s="551">
        <v>0</v>
      </c>
      <c r="O25" s="551">
        <v>0</v>
      </c>
      <c r="P25" s="549"/>
      <c r="Q25" s="551"/>
      <c r="R25" s="551">
        <v>0</v>
      </c>
      <c r="S25" s="551">
        <v>0</v>
      </c>
      <c r="T25" s="551">
        <v>0</v>
      </c>
      <c r="U25" s="551">
        <v>0</v>
      </c>
      <c r="V25" s="97"/>
      <c r="W25" s="551"/>
      <c r="X25" s="551">
        <v>0</v>
      </c>
      <c r="Y25" s="551">
        <v>0</v>
      </c>
    </row>
    <row r="26" spans="2:29" ht="14.25">
      <c r="B26" s="578"/>
      <c r="C26" s="534"/>
      <c r="D26" s="237"/>
      <c r="E26" s="574"/>
      <c r="F26" s="237"/>
      <c r="G26" s="548"/>
      <c r="H26" s="120"/>
      <c r="I26" s="569" t="s">
        <v>896</v>
      </c>
      <c r="J26" s="84"/>
      <c r="K26" s="551">
        <v>0</v>
      </c>
      <c r="L26" s="551"/>
      <c r="M26" s="551">
        <v>0</v>
      </c>
      <c r="N26" s="551">
        <v>0</v>
      </c>
      <c r="O26" s="551">
        <v>0</v>
      </c>
      <c r="P26" s="549"/>
      <c r="Q26" s="551">
        <v>0</v>
      </c>
      <c r="R26" s="551">
        <v>0</v>
      </c>
      <c r="S26" s="551">
        <v>0</v>
      </c>
      <c r="T26" s="551">
        <v>0</v>
      </c>
      <c r="U26" s="551">
        <v>0</v>
      </c>
      <c r="V26" s="97"/>
      <c r="W26" s="551">
        <v>0</v>
      </c>
      <c r="X26" s="551">
        <v>0</v>
      </c>
      <c r="Y26" s="551">
        <v>0</v>
      </c>
    </row>
    <row r="27" spans="2:29" ht="14.25">
      <c r="B27" s="534"/>
      <c r="C27" s="579"/>
      <c r="D27" s="579"/>
      <c r="E27" s="534"/>
      <c r="F27" s="547"/>
      <c r="G27" s="548"/>
      <c r="H27" s="120"/>
      <c r="I27" s="577" t="s">
        <v>897</v>
      </c>
      <c r="J27" s="580"/>
      <c r="K27" s="575">
        <f>K21*$J$27</f>
        <v>0</v>
      </c>
      <c r="L27" s="575">
        <f>L21*$J$27</f>
        <v>0</v>
      </c>
      <c r="M27" s="575">
        <f>M21*$J$27</f>
        <v>0</v>
      </c>
      <c r="N27" s="575">
        <f>N21*$J$27</f>
        <v>0</v>
      </c>
      <c r="O27" s="575">
        <f>O21*$J$27</f>
        <v>0</v>
      </c>
      <c r="P27" s="549"/>
      <c r="Q27" s="575">
        <f>Q17*$J$27</f>
        <v>0</v>
      </c>
      <c r="R27" s="575">
        <f>R17*$J$27</f>
        <v>0</v>
      </c>
      <c r="S27" s="575">
        <f>S17*$J$27</f>
        <v>0</v>
      </c>
      <c r="T27" s="575">
        <f>T17*$J$27</f>
        <v>0</v>
      </c>
      <c r="U27" s="575">
        <f>U17*$J$27</f>
        <v>0</v>
      </c>
      <c r="V27" s="97"/>
      <c r="W27" s="575">
        <f>W21*$J$27</f>
        <v>0</v>
      </c>
      <c r="X27" s="575">
        <f>X21*$J$27</f>
        <v>0</v>
      </c>
      <c r="Y27" s="575">
        <f>Y21*$J$27</f>
        <v>0</v>
      </c>
    </row>
    <row r="28" spans="2:29" ht="12.75">
      <c r="B28" s="534" t="s">
        <v>898</v>
      </c>
      <c r="D28" s="537"/>
      <c r="E28" s="567"/>
      <c r="F28" s="547"/>
      <c r="G28" s="548"/>
      <c r="H28" s="120"/>
      <c r="I28" s="577"/>
      <c r="J28" s="577"/>
      <c r="K28" s="581"/>
      <c r="L28" s="581"/>
      <c r="M28" s="581"/>
      <c r="N28" s="120"/>
      <c r="O28" s="120"/>
      <c r="P28" s="120"/>
      <c r="Q28" s="120"/>
      <c r="R28" s="120"/>
      <c r="S28" s="120"/>
      <c r="T28" s="120"/>
      <c r="U28" s="120"/>
      <c r="V28" s="84"/>
      <c r="W28" s="120"/>
      <c r="X28" s="120"/>
      <c r="Y28" s="120"/>
    </row>
    <row r="29" spans="2:29" ht="12.75">
      <c r="B29" s="2" t="s">
        <v>899</v>
      </c>
      <c r="C29" s="534"/>
      <c r="D29" s="537"/>
      <c r="E29" s="567"/>
      <c r="F29" s="547"/>
      <c r="G29" s="548"/>
      <c r="H29" s="548"/>
      <c r="I29" s="577"/>
      <c r="J29" s="577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84"/>
      <c r="W29" s="120"/>
      <c r="X29" s="120"/>
      <c r="Y29" s="120"/>
    </row>
    <row r="30" spans="2:29" ht="12.75">
      <c r="B30" s="536" t="s">
        <v>900</v>
      </c>
      <c r="C30" s="534"/>
      <c r="D30" s="255">
        <f>D46</f>
        <v>0</v>
      </c>
      <c r="E30" s="567"/>
      <c r="F30" s="547"/>
      <c r="G30" s="548"/>
      <c r="H30" s="120"/>
      <c r="I30" s="548" t="s">
        <v>901</v>
      </c>
      <c r="J30" s="84"/>
      <c r="K30" s="553">
        <f>SUM(K21:K28)</f>
        <v>0</v>
      </c>
      <c r="L30" s="553">
        <f>SUM(L21:L28)</f>
        <v>0</v>
      </c>
      <c r="M30" s="553">
        <f>SUM(M21:M28)</f>
        <v>0</v>
      </c>
      <c r="N30" s="553">
        <f>SUM(N21:N28)</f>
        <v>0</v>
      </c>
      <c r="O30" s="553">
        <f>SUM(O21:O28)</f>
        <v>0</v>
      </c>
      <c r="P30" s="553"/>
      <c r="Q30" s="553">
        <f>SUM(Q21:Q28)</f>
        <v>0</v>
      </c>
      <c r="R30" s="553">
        <f>SUM(R21:R28)</f>
        <v>0</v>
      </c>
      <c r="S30" s="553">
        <f>SUM(S21:S28)</f>
        <v>0</v>
      </c>
      <c r="T30" s="553">
        <f>SUM(T21:T28)</f>
        <v>0</v>
      </c>
      <c r="U30" s="553">
        <f>SUM(U21:U28)</f>
        <v>0</v>
      </c>
      <c r="V30" s="582"/>
      <c r="W30" s="553">
        <f>SUM(W21:W28)</f>
        <v>0</v>
      </c>
      <c r="X30" s="553">
        <f>SUM(X21:X28)</f>
        <v>0</v>
      </c>
      <c r="Y30" s="553">
        <f>SUM(Y21:Y28)</f>
        <v>0</v>
      </c>
    </row>
    <row r="31" spans="2:29" ht="12.75">
      <c r="B31" s="536" t="s">
        <v>902</v>
      </c>
      <c r="C31" s="534"/>
      <c r="D31" s="537"/>
      <c r="E31" s="567"/>
      <c r="F31" s="547"/>
      <c r="G31" s="548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84"/>
      <c r="W31" s="120"/>
      <c r="X31" s="120"/>
      <c r="Y31" s="120"/>
    </row>
    <row r="32" spans="2:29" ht="12.75">
      <c r="B32" s="536" t="s">
        <v>77</v>
      </c>
      <c r="C32" s="534"/>
      <c r="D32" s="534"/>
      <c r="E32" s="567"/>
      <c r="F32" s="547"/>
      <c r="G32" s="548"/>
      <c r="H32" s="120"/>
      <c r="I32" s="577" t="s">
        <v>903</v>
      </c>
      <c r="J32" s="580"/>
      <c r="K32" s="575">
        <f>K30*$J$32</f>
        <v>0</v>
      </c>
      <c r="L32" s="575">
        <f>L30*$J$32</f>
        <v>0</v>
      </c>
      <c r="M32" s="575">
        <f>M30*$J$32</f>
        <v>0</v>
      </c>
      <c r="N32" s="575">
        <f>N30*$J$32</f>
        <v>0</v>
      </c>
      <c r="O32" s="575">
        <f>O30*$J$32</f>
        <v>0</v>
      </c>
      <c r="P32" s="575"/>
      <c r="Q32" s="575">
        <f>Q30*$J$32</f>
        <v>0</v>
      </c>
      <c r="R32" s="575">
        <f>R30*$J$32</f>
        <v>0</v>
      </c>
      <c r="S32" s="575">
        <f>S30*$J$32</f>
        <v>0</v>
      </c>
      <c r="T32" s="575">
        <f>T30*$J$32</f>
        <v>0</v>
      </c>
      <c r="U32" s="575">
        <f>U30*$J$32</f>
        <v>0</v>
      </c>
      <c r="V32" s="84"/>
      <c r="W32" s="575">
        <f>W30*$J$32</f>
        <v>0</v>
      </c>
      <c r="X32" s="575">
        <f>X30*$J$32</f>
        <v>0</v>
      </c>
      <c r="Y32" s="575">
        <f>Y30*$J$32</f>
        <v>0</v>
      </c>
    </row>
    <row r="33" spans="2:25" ht="18" customHeight="1">
      <c r="B33" s="536" t="s">
        <v>904</v>
      </c>
      <c r="C33" s="534"/>
      <c r="D33" s="537"/>
      <c r="E33" s="567"/>
      <c r="F33" s="547"/>
      <c r="G33" s="548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84"/>
      <c r="W33" s="120"/>
      <c r="X33" s="120"/>
      <c r="Y33" s="120"/>
    </row>
    <row r="34" spans="2:25" ht="12.75">
      <c r="B34" s="536" t="s">
        <v>905</v>
      </c>
      <c r="C34" s="534"/>
      <c r="D34" s="537"/>
      <c r="E34" s="567"/>
      <c r="F34" s="547"/>
      <c r="G34" s="548"/>
      <c r="H34" s="120"/>
      <c r="I34" s="548" t="s">
        <v>906</v>
      </c>
      <c r="J34" s="84"/>
      <c r="K34" s="553">
        <f>SUM(K30:K32)</f>
        <v>0</v>
      </c>
      <c r="L34" s="553">
        <f>SUM(L30:L32)</f>
        <v>0</v>
      </c>
      <c r="M34" s="553">
        <f>SUM(M30:M32)</f>
        <v>0</v>
      </c>
      <c r="N34" s="553">
        <f>SUM(N30:N32)</f>
        <v>0</v>
      </c>
      <c r="O34" s="553">
        <f>SUM(O30:O32)</f>
        <v>0</v>
      </c>
      <c r="P34" s="553"/>
      <c r="Q34" s="553">
        <f>SUM(Q30:Q32)</f>
        <v>0</v>
      </c>
      <c r="R34" s="553">
        <f>SUM(R30:R32)</f>
        <v>0</v>
      </c>
      <c r="S34" s="553">
        <f>SUM(S30:S32)</f>
        <v>0</v>
      </c>
      <c r="T34" s="553">
        <f>SUM(T30:T32)</f>
        <v>0</v>
      </c>
      <c r="U34" s="553">
        <f>SUM(U30:U32)</f>
        <v>0</v>
      </c>
      <c r="V34" s="84"/>
      <c r="W34" s="553">
        <f>SUM(W30:W32)</f>
        <v>0</v>
      </c>
      <c r="X34" s="553">
        <f>SUM(X30:X32)</f>
        <v>0</v>
      </c>
      <c r="Y34" s="553">
        <f>SUM(Y30:Y32)</f>
        <v>0</v>
      </c>
    </row>
    <row r="35" spans="2:25" ht="12.75">
      <c r="B35" s="536"/>
      <c r="D35" s="583"/>
      <c r="E35" s="567"/>
      <c r="F35" s="547"/>
      <c r="G35" s="548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84"/>
      <c r="W35" s="120"/>
      <c r="X35" s="120"/>
      <c r="Y35" s="120"/>
    </row>
    <row r="36" spans="2:25" ht="12.75">
      <c r="B36" s="548"/>
      <c r="C36" s="548" t="s">
        <v>907</v>
      </c>
      <c r="D36" s="584">
        <f>SUM(D25:D35)</f>
        <v>0</v>
      </c>
      <c r="E36" s="567"/>
      <c r="F36" s="547"/>
      <c r="G36" s="548"/>
      <c r="H36" s="120"/>
      <c r="I36" s="585" t="s">
        <v>908</v>
      </c>
      <c r="J36" s="84"/>
      <c r="K36" s="586">
        <f>K34*0.995</f>
        <v>0</v>
      </c>
      <c r="L36" s="586">
        <f>L34*0.995</f>
        <v>0</v>
      </c>
      <c r="M36" s="586">
        <f>M34*0.995</f>
        <v>0</v>
      </c>
      <c r="N36" s="586">
        <f>N34*0.995</f>
        <v>0</v>
      </c>
      <c r="O36" s="586">
        <f>O34*0.995</f>
        <v>0</v>
      </c>
      <c r="P36" s="586"/>
      <c r="Q36" s="586">
        <f>Q34*0.995</f>
        <v>0</v>
      </c>
      <c r="R36" s="586">
        <f>R34*0.995</f>
        <v>0</v>
      </c>
      <c r="S36" s="586">
        <f>S34*0.995</f>
        <v>0</v>
      </c>
      <c r="T36" s="586">
        <f>T34*0.995</f>
        <v>0</v>
      </c>
      <c r="U36" s="586">
        <f>U34*0.995</f>
        <v>0</v>
      </c>
      <c r="V36" s="84"/>
      <c r="W36" s="586">
        <f>W34*0.995</f>
        <v>0</v>
      </c>
      <c r="X36" s="586">
        <f>X34*0.995</f>
        <v>0</v>
      </c>
      <c r="Y36" s="586">
        <f>Y34*0.995</f>
        <v>0</v>
      </c>
    </row>
    <row r="37" spans="2:25" ht="12.75">
      <c r="E37" s="574"/>
      <c r="F37" s="547"/>
      <c r="G37" s="548"/>
      <c r="H37" s="120"/>
      <c r="I37" s="577" t="s">
        <v>909</v>
      </c>
      <c r="J37" s="587">
        <f>'1.4-Opbouw uurtarieven'!D36</f>
        <v>0</v>
      </c>
      <c r="K37" s="575">
        <f>IF(K36=0,0,K36*'1.4-Opbouw uurtarieven'!$D$36)</f>
        <v>0</v>
      </c>
      <c r="L37" s="575">
        <f>IF(L36=0,0,L36*'1.4-Opbouw uurtarieven'!$D$36)</f>
        <v>0</v>
      </c>
      <c r="M37" s="575">
        <f>IF(M36=0,0,M36*'1.4-Opbouw uurtarieven'!$D$36)</f>
        <v>0</v>
      </c>
      <c r="N37" s="575">
        <f>IF(N36=0,0,N36*'1.4-Opbouw uurtarieven'!$D$36)</f>
        <v>0</v>
      </c>
      <c r="O37" s="575">
        <f>IF(O36=0,0,O36*'1.4-Opbouw uurtarieven'!$D$36)</f>
        <v>0</v>
      </c>
      <c r="P37" s="575"/>
      <c r="Q37" s="575">
        <f>IF(Q36=0,0,Q36*'1.4-Opbouw uurtarieven'!$D$36)</f>
        <v>0</v>
      </c>
      <c r="R37" s="575">
        <f>IF(R36=0,0,R36*'1.4-Opbouw uurtarieven'!$D$36)</f>
        <v>0</v>
      </c>
      <c r="S37" s="575">
        <f>IF(S36=0,0,S36*'1.4-Opbouw uurtarieven'!$D$36)</f>
        <v>0</v>
      </c>
      <c r="T37" s="575">
        <f>IF(T36=0,0,T36*'1.4-Opbouw uurtarieven'!$D$36)</f>
        <v>0</v>
      </c>
      <c r="U37" s="575">
        <f>IF(U36=0,0,U36*'1.4-Opbouw uurtarieven'!$D$36)</f>
        <v>0</v>
      </c>
      <c r="V37" s="84"/>
      <c r="W37" s="575">
        <f>IF(W36=0,0,W36*'1.4-Opbouw uurtarieven'!$D$36)</f>
        <v>0</v>
      </c>
      <c r="X37" s="575">
        <f>IF(X36=0,0,X36*'1.4-Opbouw uurtarieven'!$D$36)</f>
        <v>0</v>
      </c>
      <c r="Y37" s="575">
        <f>IF(Y36=0,0,Y36*'1.4-Opbouw uurtarieven'!$D$36)</f>
        <v>0</v>
      </c>
    </row>
    <row r="38" spans="2:25" ht="15">
      <c r="B38" s="570" t="s">
        <v>910</v>
      </c>
      <c r="C38" s="555"/>
      <c r="D38" s="588"/>
      <c r="E38" s="567"/>
      <c r="F38" s="547"/>
      <c r="G38" s="548"/>
      <c r="H38" s="120"/>
      <c r="I38" s="120"/>
      <c r="J38" s="236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84"/>
      <c r="W38" s="120"/>
      <c r="X38" s="120"/>
      <c r="Y38" s="120"/>
    </row>
    <row r="39" spans="2:25" ht="12.75">
      <c r="B39" s="567"/>
      <c r="C39" s="567"/>
      <c r="D39" s="589"/>
      <c r="E39" s="567"/>
      <c r="F39" s="547"/>
      <c r="G39" s="548"/>
      <c r="H39" s="120"/>
      <c r="I39" s="548" t="s">
        <v>911</v>
      </c>
      <c r="J39" s="237"/>
      <c r="K39" s="553">
        <f>K37+K34</f>
        <v>0</v>
      </c>
      <c r="L39" s="553">
        <f>L37+L34</f>
        <v>0</v>
      </c>
      <c r="M39" s="553">
        <f>M37+M34</f>
        <v>0</v>
      </c>
      <c r="N39" s="553">
        <f>N37+N34</f>
        <v>0</v>
      </c>
      <c r="O39" s="553">
        <f>O37+O34</f>
        <v>0</v>
      </c>
      <c r="P39" s="553"/>
      <c r="Q39" s="553">
        <f>Q37+Q34</f>
        <v>0</v>
      </c>
      <c r="R39" s="553">
        <f>R37+R34</f>
        <v>0</v>
      </c>
      <c r="S39" s="553">
        <f>S37+S34</f>
        <v>0</v>
      </c>
      <c r="T39" s="553">
        <f>T37+T34</f>
        <v>0</v>
      </c>
      <c r="U39" s="553">
        <f>U37+U34</f>
        <v>0</v>
      </c>
      <c r="V39" s="84"/>
      <c r="W39" s="553">
        <f>W37+W34</f>
        <v>0</v>
      </c>
      <c r="X39" s="553">
        <f>X37+X34</f>
        <v>0</v>
      </c>
      <c r="Y39" s="553">
        <f>Y37+Y34</f>
        <v>0</v>
      </c>
    </row>
    <row r="40" spans="2:25" ht="12.75">
      <c r="B40" s="567"/>
      <c r="C40" s="567"/>
      <c r="D40" s="571" t="s">
        <v>912</v>
      </c>
      <c r="E40" s="567"/>
      <c r="F40" s="547"/>
      <c r="G40" s="548"/>
      <c r="H40" s="120"/>
      <c r="I40" s="120"/>
      <c r="J40" s="236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84"/>
      <c r="W40" s="120"/>
      <c r="X40" s="120"/>
      <c r="Y40" s="120"/>
    </row>
    <row r="41" spans="2:25" ht="12.75">
      <c r="B41" s="534" t="s">
        <v>913</v>
      </c>
      <c r="D41" s="590">
        <f>K80</f>
        <v>0</v>
      </c>
      <c r="E41" s="567"/>
      <c r="F41" s="547"/>
      <c r="G41" s="548"/>
      <c r="H41" s="120"/>
      <c r="I41" s="577" t="s">
        <v>914</v>
      </c>
      <c r="J41" s="587">
        <f>'1.4-Opbouw uurtarieven'!D66</f>
        <v>0</v>
      </c>
      <c r="K41" s="575">
        <f>K39*'1.4-Opbouw uurtarieven'!$D$66</f>
        <v>0</v>
      </c>
      <c r="L41" s="575">
        <f>L39*'1.4-Opbouw uurtarieven'!$D$66</f>
        <v>0</v>
      </c>
      <c r="M41" s="575">
        <f>M39*'1.4-Opbouw uurtarieven'!$D$66</f>
        <v>0</v>
      </c>
      <c r="N41" s="575">
        <f>N39*'1.4-Opbouw uurtarieven'!$D$66</f>
        <v>0</v>
      </c>
      <c r="O41" s="575">
        <f>O39*'1.4-Opbouw uurtarieven'!$D$66</f>
        <v>0</v>
      </c>
      <c r="P41" s="575"/>
      <c r="Q41" s="575">
        <f>Q39*'1.4-Opbouw uurtarieven'!$D$66</f>
        <v>0</v>
      </c>
      <c r="R41" s="575">
        <f>R39*'1.4-Opbouw uurtarieven'!$D$66</f>
        <v>0</v>
      </c>
      <c r="S41" s="575">
        <f>S39*'1.4-Opbouw uurtarieven'!$D$66</f>
        <v>0</v>
      </c>
      <c r="T41" s="575">
        <f>T39*'1.4-Opbouw uurtarieven'!$D$66</f>
        <v>0</v>
      </c>
      <c r="U41" s="575">
        <f>U39*'1.4-Opbouw uurtarieven'!$D$66</f>
        <v>0</v>
      </c>
      <c r="V41" s="84"/>
      <c r="W41" s="575">
        <f>W39*'1.4-Opbouw uurtarieven'!$G$66</f>
        <v>0</v>
      </c>
      <c r="X41" s="575">
        <f>X39*'1.4-Opbouw uurtarieven'!$G$66</f>
        <v>0</v>
      </c>
      <c r="Y41" s="575">
        <f>Y39*'1.4-Opbouw uurtarieven'!$G$66</f>
        <v>0</v>
      </c>
    </row>
    <row r="42" spans="2:25" ht="12.75">
      <c r="B42" s="534" t="s">
        <v>915</v>
      </c>
      <c r="C42" s="591"/>
      <c r="D42" s="592"/>
      <c r="E42" s="593"/>
      <c r="F42" s="593"/>
      <c r="G42" s="548"/>
      <c r="H42" s="120"/>
      <c r="I42" s="548" t="s">
        <v>916</v>
      </c>
      <c r="J42" s="84"/>
      <c r="K42" s="553">
        <f>SUM(K39:K41)</f>
        <v>0</v>
      </c>
      <c r="L42" s="553">
        <f>SUM(L39:L41)</f>
        <v>0</v>
      </c>
      <c r="M42" s="553">
        <f>SUM(M39:M41)</f>
        <v>0</v>
      </c>
      <c r="N42" s="553">
        <f>SUM(N39:N41)</f>
        <v>0</v>
      </c>
      <c r="O42" s="553">
        <f>SUM(O39:O41)</f>
        <v>0</v>
      </c>
      <c r="P42" s="553"/>
      <c r="Q42" s="553">
        <f>SUM(Q39:Q41)</f>
        <v>0</v>
      </c>
      <c r="R42" s="553">
        <f>SUM(R39:R41)</f>
        <v>0</v>
      </c>
      <c r="S42" s="553">
        <f>SUM(S39:S41)</f>
        <v>0</v>
      </c>
      <c r="T42" s="553">
        <f>SUM(T39:T41)</f>
        <v>0</v>
      </c>
      <c r="U42" s="553">
        <f>SUM(U39:U41)</f>
        <v>0</v>
      </c>
      <c r="V42" s="84"/>
      <c r="W42" s="553">
        <f>SUM(W39:W41)</f>
        <v>0</v>
      </c>
      <c r="X42" s="553">
        <f>SUM(X39:X41)</f>
        <v>0</v>
      </c>
      <c r="Y42" s="553">
        <f>SUM(Y39:Y41)</f>
        <v>0</v>
      </c>
    </row>
    <row r="43" spans="2:25" ht="12.75">
      <c r="B43" s="534" t="s">
        <v>917</v>
      </c>
      <c r="D43" s="590">
        <f>D41-D42</f>
        <v>0</v>
      </c>
      <c r="E43" s="567"/>
      <c r="F43" s="547"/>
      <c r="G43" s="594"/>
      <c r="H43" s="120"/>
      <c r="I43" s="120"/>
      <c r="J43" s="120"/>
      <c r="K43" s="120"/>
      <c r="L43" s="120"/>
      <c r="M43" s="120"/>
      <c r="N43" s="120"/>
      <c r="O43" s="120"/>
      <c r="P43" s="553"/>
      <c r="Q43" s="120"/>
      <c r="R43" s="120"/>
      <c r="S43" s="120"/>
      <c r="T43" s="120"/>
      <c r="U43" s="120"/>
      <c r="V43" s="84"/>
      <c r="W43" s="120"/>
      <c r="X43" s="120"/>
      <c r="Y43" s="120"/>
    </row>
    <row r="44" spans="2:25" ht="21.75" customHeight="1">
      <c r="B44" s="536" t="s">
        <v>918</v>
      </c>
      <c r="D44" s="537"/>
      <c r="E44" s="66"/>
      <c r="F44" s="66"/>
      <c r="G44" s="548"/>
      <c r="H44" s="120"/>
      <c r="I44" s="577" t="s">
        <v>919</v>
      </c>
      <c r="J44" s="84"/>
      <c r="K44" s="158"/>
      <c r="L44" s="158"/>
      <c r="M44" s="158"/>
      <c r="N44" s="551"/>
      <c r="O44" s="551"/>
      <c r="P44" s="553"/>
      <c r="Q44" s="120"/>
      <c r="R44" s="120"/>
      <c r="S44" s="120"/>
      <c r="T44" s="120"/>
      <c r="U44" s="120"/>
      <c r="V44" s="84"/>
      <c r="W44" s="551"/>
      <c r="X44" s="551"/>
      <c r="Y44" s="551">
        <v>0</v>
      </c>
    </row>
    <row r="45" spans="2:25" ht="12.75">
      <c r="B45" s="567"/>
      <c r="D45" s="589"/>
      <c r="E45" s="66"/>
      <c r="F45" s="66"/>
      <c r="G45" s="548"/>
      <c r="H45" s="120"/>
      <c r="I45" s="577" t="s">
        <v>920</v>
      </c>
      <c r="J45" s="84"/>
      <c r="K45" s="158"/>
      <c r="L45" s="158"/>
      <c r="M45" s="158"/>
      <c r="N45" s="551"/>
      <c r="O45" s="551"/>
      <c r="P45" s="553"/>
      <c r="Q45" s="158"/>
      <c r="R45" s="551"/>
      <c r="S45" s="551"/>
      <c r="T45" s="551"/>
      <c r="U45" s="551"/>
      <c r="V45" s="84"/>
      <c r="W45" s="551"/>
      <c r="X45" s="551"/>
      <c r="Y45" s="551">
        <v>0</v>
      </c>
    </row>
    <row r="46" spans="2:25" ht="12.75">
      <c r="B46" s="548"/>
      <c r="C46" s="548" t="s">
        <v>921</v>
      </c>
      <c r="D46" s="654">
        <f>IF(D41=0,0,(D43/D41)*D44)</f>
        <v>0</v>
      </c>
      <c r="E46" s="66"/>
      <c r="F46" s="595">
        <f>IF(F41=0,0,(F43/F41)*F44)</f>
        <v>0</v>
      </c>
      <c r="G46" s="548"/>
      <c r="H46" s="120"/>
      <c r="I46" s="120"/>
      <c r="J46" s="120"/>
      <c r="K46" s="120"/>
      <c r="L46" s="120"/>
      <c r="M46" s="120"/>
      <c r="N46" s="120"/>
      <c r="O46" s="120"/>
      <c r="P46" s="553"/>
      <c r="Q46" s="120"/>
      <c r="R46" s="120"/>
      <c r="S46" s="120"/>
      <c r="T46" s="120"/>
      <c r="U46" s="120"/>
      <c r="V46" s="84"/>
      <c r="W46" s="120"/>
      <c r="X46" s="120"/>
      <c r="Y46" s="120"/>
    </row>
    <row r="47" spans="2:25" ht="12.75">
      <c r="B47" s="596"/>
      <c r="D47" s="597"/>
      <c r="E47" s="66"/>
      <c r="F47" s="66"/>
      <c r="G47" s="547"/>
      <c r="H47" s="120"/>
      <c r="I47" s="548" t="s">
        <v>922</v>
      </c>
      <c r="J47" s="84"/>
      <c r="K47" s="553">
        <f>SUM(K42:K45)</f>
        <v>0</v>
      </c>
      <c r="L47" s="553">
        <f>SUM(L42:L45)</f>
        <v>0</v>
      </c>
      <c r="M47" s="553">
        <f>SUM(M42:M45)</f>
        <v>0</v>
      </c>
      <c r="N47" s="553">
        <f>SUM(N42:N45)</f>
        <v>0</v>
      </c>
      <c r="O47" s="553">
        <f>SUM(O42:O45)</f>
        <v>0</v>
      </c>
      <c r="P47" s="553"/>
      <c r="Q47" s="553">
        <f>SUM(Q42:Q45)</f>
        <v>0</v>
      </c>
      <c r="R47" s="553">
        <f>SUM(R42:R45)</f>
        <v>0</v>
      </c>
      <c r="S47" s="553">
        <f>SUM(S42:S45)</f>
        <v>0</v>
      </c>
      <c r="T47" s="553">
        <f>SUM(T42:T45)</f>
        <v>0</v>
      </c>
      <c r="U47" s="553">
        <f>SUM(U42:U45)</f>
        <v>0</v>
      </c>
      <c r="V47" s="84"/>
      <c r="W47" s="553">
        <f>SUM(W42:W45)</f>
        <v>0</v>
      </c>
      <c r="X47" s="553">
        <f>SUM(X42:X45)</f>
        <v>0</v>
      </c>
      <c r="Y47" s="553">
        <f>SUM(Y42:Y45)</f>
        <v>0</v>
      </c>
    </row>
    <row r="48" spans="2:25" ht="12.75">
      <c r="G48" s="542"/>
      <c r="H48" s="120"/>
      <c r="I48" s="120"/>
      <c r="J48" s="120"/>
      <c r="K48" s="120"/>
      <c r="L48" s="120"/>
      <c r="M48" s="120"/>
      <c r="N48" s="120"/>
      <c r="O48" s="120"/>
      <c r="P48" s="553"/>
      <c r="Q48" s="120"/>
      <c r="R48" s="120"/>
      <c r="S48" s="120"/>
      <c r="T48" s="120"/>
      <c r="U48" s="120"/>
      <c r="V48" s="84"/>
      <c r="W48" s="120"/>
      <c r="X48" s="120"/>
      <c r="Y48" s="120"/>
    </row>
    <row r="49" spans="2:25" ht="15">
      <c r="C49" s="598" t="s">
        <v>923</v>
      </c>
      <c r="D49" s="599"/>
      <c r="E49" s="66"/>
      <c r="F49" s="600" t="s">
        <v>33</v>
      </c>
      <c r="G49" s="542"/>
      <c r="H49" s="120"/>
      <c r="I49" s="577" t="s">
        <v>924</v>
      </c>
      <c r="J49" s="601"/>
      <c r="K49" s="158"/>
      <c r="L49" s="158"/>
      <c r="M49" s="158"/>
      <c r="N49" s="551"/>
      <c r="O49" s="551"/>
      <c r="P49" s="553"/>
      <c r="Q49" s="158"/>
      <c r="R49" s="551"/>
      <c r="S49" s="551"/>
      <c r="T49" s="551"/>
      <c r="U49" s="551"/>
      <c r="V49" s="84"/>
      <c r="W49" s="551"/>
      <c r="X49" s="551"/>
      <c r="Y49" s="551">
        <v>0</v>
      </c>
    </row>
    <row r="50" spans="2:25" ht="15">
      <c r="B50" s="602" t="s">
        <v>925</v>
      </c>
      <c r="C50" s="534"/>
      <c r="D50" s="603"/>
      <c r="E50" s="66"/>
      <c r="F50" s="66"/>
      <c r="G50" s="542"/>
      <c r="H50" s="120"/>
      <c r="I50" s="577" t="s">
        <v>926</v>
      </c>
      <c r="J50" s="601"/>
      <c r="K50" s="158"/>
      <c r="L50" s="158"/>
      <c r="M50" s="158"/>
      <c r="N50" s="551"/>
      <c r="O50" s="551"/>
      <c r="P50" s="553"/>
      <c r="Q50" s="158"/>
      <c r="R50" s="551"/>
      <c r="S50" s="551"/>
      <c r="T50" s="551"/>
      <c r="U50" s="551"/>
      <c r="V50" s="84"/>
      <c r="W50" s="551"/>
      <c r="X50" s="551"/>
      <c r="Y50" s="551">
        <v>0</v>
      </c>
    </row>
    <row r="51" spans="2:25" ht="12.75">
      <c r="B51" s="603"/>
      <c r="C51" s="547" t="s">
        <v>927</v>
      </c>
      <c r="D51" s="603"/>
      <c r="E51" s="66"/>
      <c r="F51" s="547" t="s">
        <v>927</v>
      </c>
      <c r="G51" s="603"/>
      <c r="H51" s="120"/>
      <c r="I51" s="577" t="s">
        <v>928</v>
      </c>
      <c r="J51" s="601"/>
      <c r="K51" s="158"/>
      <c r="L51" s="158"/>
      <c r="M51" s="158"/>
      <c r="N51" s="551"/>
      <c r="O51" s="551"/>
      <c r="P51" s="553"/>
      <c r="Q51" s="158"/>
      <c r="R51" s="551"/>
      <c r="S51" s="551"/>
      <c r="T51" s="551"/>
      <c r="U51" s="551"/>
      <c r="V51" s="84"/>
      <c r="W51" s="551"/>
      <c r="X51" s="551"/>
      <c r="Y51" s="551">
        <v>0</v>
      </c>
    </row>
    <row r="52" spans="2:25" ht="12.75">
      <c r="B52" s="604" t="s">
        <v>929</v>
      </c>
      <c r="C52" s="158"/>
      <c r="D52" s="605"/>
      <c r="E52" s="606"/>
      <c r="F52" s="158"/>
      <c r="G52" s="603"/>
      <c r="H52" s="120"/>
      <c r="I52" s="577" t="s">
        <v>930</v>
      </c>
      <c r="J52" s="601"/>
      <c r="K52" s="158"/>
      <c r="L52" s="158"/>
      <c r="M52" s="158"/>
      <c r="N52" s="551"/>
      <c r="O52" s="551"/>
      <c r="P52" s="553"/>
      <c r="Q52" s="158"/>
      <c r="R52" s="551"/>
      <c r="S52" s="551"/>
      <c r="T52" s="551"/>
      <c r="U52" s="551"/>
      <c r="V52" s="84"/>
      <c r="W52" s="551"/>
      <c r="X52" s="551"/>
      <c r="Y52" s="551">
        <v>0</v>
      </c>
    </row>
    <row r="53" spans="2:25" ht="12.75">
      <c r="B53" s="604" t="s">
        <v>931</v>
      </c>
      <c r="C53" s="158"/>
      <c r="D53" s="607"/>
      <c r="E53" s="608"/>
      <c r="F53" s="158"/>
      <c r="G53" s="607"/>
      <c r="H53" s="120"/>
      <c r="I53" s="577" t="s">
        <v>932</v>
      </c>
      <c r="J53" s="601"/>
      <c r="K53" s="158"/>
      <c r="L53" s="158"/>
      <c r="M53" s="158"/>
      <c r="N53" s="551"/>
      <c r="O53" s="551"/>
      <c r="P53" s="553"/>
      <c r="Q53" s="158"/>
      <c r="R53" s="551"/>
      <c r="S53" s="551"/>
      <c r="T53" s="551"/>
      <c r="U53" s="551"/>
      <c r="V53" s="84"/>
      <c r="W53" s="551"/>
      <c r="X53" s="551"/>
      <c r="Y53" s="551">
        <v>0</v>
      </c>
    </row>
    <row r="54" spans="2:25" ht="21.75" customHeight="1">
      <c r="B54" s="596" t="s">
        <v>933</v>
      </c>
      <c r="C54" s="609"/>
      <c r="D54" s="553">
        <f>C52-C53</f>
        <v>0</v>
      </c>
      <c r="E54" s="608"/>
      <c r="F54" s="609"/>
      <c r="G54" s="553">
        <f>F52-F53</f>
        <v>0</v>
      </c>
      <c r="H54" s="120"/>
      <c r="I54" s="577" t="s">
        <v>934</v>
      </c>
      <c r="J54" s="601"/>
      <c r="K54" s="158"/>
      <c r="L54" s="158"/>
      <c r="M54" s="158"/>
      <c r="N54" s="551"/>
      <c r="O54" s="551"/>
      <c r="P54" s="553"/>
      <c r="Q54" s="158"/>
      <c r="R54" s="551"/>
      <c r="S54" s="551"/>
      <c r="T54" s="551"/>
      <c r="U54" s="551"/>
      <c r="V54" s="84"/>
      <c r="W54" s="551"/>
      <c r="X54" s="551"/>
      <c r="Y54" s="551">
        <v>0</v>
      </c>
    </row>
    <row r="55" spans="2:25" ht="12.75">
      <c r="B55" s="596"/>
      <c r="C55" s="609"/>
      <c r="D55" s="610"/>
      <c r="E55" s="608"/>
      <c r="F55" s="609"/>
      <c r="G55" s="610"/>
      <c r="H55" s="120"/>
      <c r="I55" s="577" t="s">
        <v>935</v>
      </c>
      <c r="J55" s="601"/>
      <c r="K55" s="158"/>
      <c r="L55" s="158"/>
      <c r="M55" s="158"/>
      <c r="N55" s="551"/>
      <c r="O55" s="551"/>
      <c r="P55" s="553"/>
      <c r="Q55" s="158"/>
      <c r="R55" s="551"/>
      <c r="S55" s="551"/>
      <c r="T55" s="551"/>
      <c r="U55" s="551"/>
      <c r="V55" s="84"/>
      <c r="W55" s="551"/>
      <c r="X55" s="551"/>
      <c r="Y55" s="551">
        <v>0</v>
      </c>
    </row>
    <row r="56" spans="2:25" ht="12.75">
      <c r="B56" s="604" t="s">
        <v>936</v>
      </c>
      <c r="C56" s="158"/>
      <c r="D56" s="611"/>
      <c r="E56" s="608"/>
      <c r="F56" s="158"/>
      <c r="G56" s="611"/>
      <c r="H56" s="612"/>
      <c r="I56" s="577" t="s">
        <v>937</v>
      </c>
      <c r="J56" s="601"/>
      <c r="K56" s="551"/>
      <c r="L56" s="551"/>
      <c r="M56" s="551"/>
      <c r="N56" s="551"/>
      <c r="O56" s="551"/>
      <c r="P56" s="553"/>
      <c r="Q56" s="551"/>
      <c r="R56" s="551"/>
      <c r="S56" s="551"/>
      <c r="T56" s="551"/>
      <c r="U56" s="551"/>
      <c r="V56" s="84"/>
      <c r="W56" s="551"/>
      <c r="X56" s="551">
        <v>0</v>
      </c>
      <c r="Y56" s="551">
        <v>0</v>
      </c>
    </row>
    <row r="57" spans="2:25" ht="12.75">
      <c r="B57" s="604" t="s">
        <v>938</v>
      </c>
      <c r="C57" s="158"/>
      <c r="D57" s="611"/>
      <c r="E57" s="608"/>
      <c r="F57" s="158"/>
      <c r="G57" s="611"/>
      <c r="H57" s="120"/>
      <c r="I57" s="120"/>
      <c r="J57" s="120"/>
      <c r="K57" s="120"/>
      <c r="L57" s="120"/>
      <c r="M57" s="120"/>
      <c r="N57" s="120"/>
      <c r="O57" s="120"/>
      <c r="P57" s="553"/>
      <c r="Q57" s="120"/>
      <c r="R57" s="120"/>
      <c r="S57" s="120"/>
      <c r="T57" s="120"/>
      <c r="U57" s="120"/>
      <c r="V57" s="84"/>
      <c r="W57" s="120"/>
      <c r="X57" s="120"/>
      <c r="Y57" s="120"/>
    </row>
    <row r="58" spans="2:25" ht="12.75">
      <c r="B58" s="604" t="s">
        <v>939</v>
      </c>
      <c r="C58" s="158"/>
      <c r="D58" s="613"/>
      <c r="E58" s="608"/>
      <c r="F58" s="158"/>
      <c r="G58" s="611"/>
      <c r="H58" s="120"/>
      <c r="I58" s="548" t="s">
        <v>940</v>
      </c>
      <c r="J58" s="84"/>
      <c r="K58" s="553">
        <f>SUM(K47:K57)</f>
        <v>0</v>
      </c>
      <c r="L58" s="553">
        <f>SUM(L47:L57)</f>
        <v>0</v>
      </c>
      <c r="M58" s="553">
        <f>SUM(M47:M57)</f>
        <v>0</v>
      </c>
      <c r="N58" s="553">
        <f>SUM(N47:N57)</f>
        <v>0</v>
      </c>
      <c r="O58" s="553">
        <f>SUM(O47:O57)</f>
        <v>0</v>
      </c>
      <c r="P58" s="553"/>
      <c r="Q58" s="553">
        <f>SUM(Q47:Q57)</f>
        <v>0</v>
      </c>
      <c r="R58" s="553">
        <f>SUM(R47:R57)</f>
        <v>0</v>
      </c>
      <c r="S58" s="553">
        <f>SUM(S47:S57)</f>
        <v>0</v>
      </c>
      <c r="T58" s="553">
        <f>SUM(T47:T57)</f>
        <v>0</v>
      </c>
      <c r="U58" s="553">
        <f>SUM(U47:U57)</f>
        <v>0</v>
      </c>
      <c r="V58" s="84"/>
      <c r="W58" s="553">
        <f>SUM(W47:W57)</f>
        <v>0</v>
      </c>
      <c r="X58" s="553">
        <f>SUM(X47:X57)</f>
        <v>0</v>
      </c>
      <c r="Y58" s="553">
        <f>SUM(Y47:Y57)</f>
        <v>0</v>
      </c>
    </row>
    <row r="59" spans="2:25" ht="12.75">
      <c r="B59" s="604" t="s">
        <v>941</v>
      </c>
      <c r="C59" s="614"/>
      <c r="D59" s="611"/>
      <c r="E59" s="608"/>
      <c r="F59" s="158"/>
      <c r="G59" s="611"/>
      <c r="H59" s="120"/>
      <c r="I59" s="120"/>
      <c r="J59" s="120"/>
      <c r="K59" s="120"/>
      <c r="L59" s="120"/>
      <c r="M59" s="120"/>
      <c r="N59" s="120"/>
      <c r="O59" s="120"/>
      <c r="P59" s="553"/>
      <c r="Q59" s="120"/>
      <c r="R59" s="120"/>
      <c r="S59" s="120"/>
      <c r="T59" s="120"/>
      <c r="U59" s="120"/>
      <c r="V59" s="84"/>
      <c r="W59" s="120"/>
      <c r="X59" s="120"/>
      <c r="Y59" s="120"/>
    </row>
    <row r="60" spans="2:25" ht="12.75">
      <c r="B60" s="596" t="s">
        <v>942</v>
      </c>
      <c r="C60" s="609"/>
      <c r="D60" s="553">
        <f>D54-C56-C57-C58</f>
        <v>0</v>
      </c>
      <c r="E60" s="608"/>
      <c r="F60" s="609"/>
      <c r="G60" s="553">
        <f>G54-F56-F57-F58-F59</f>
        <v>0</v>
      </c>
      <c r="H60" s="120"/>
      <c r="I60" s="577" t="s">
        <v>943</v>
      </c>
      <c r="J60" s="580"/>
      <c r="K60" s="615">
        <f>K58*$J$60</f>
        <v>0</v>
      </c>
      <c r="L60" s="615">
        <f>L58*$J$60</f>
        <v>0</v>
      </c>
      <c r="M60" s="615">
        <f>M58*$J$60</f>
        <v>0</v>
      </c>
      <c r="N60" s="615">
        <f>N58*$J$60</f>
        <v>0</v>
      </c>
      <c r="O60" s="615">
        <f>O58*$J$60</f>
        <v>0</v>
      </c>
      <c r="P60" s="553"/>
      <c r="Q60" s="615">
        <f>Q58*$J$60</f>
        <v>0</v>
      </c>
      <c r="R60" s="615">
        <f>R58*$J$60</f>
        <v>0</v>
      </c>
      <c r="S60" s="615">
        <f>S58*$J$60</f>
        <v>0</v>
      </c>
      <c r="T60" s="615">
        <f>T58*$J$60</f>
        <v>0</v>
      </c>
      <c r="U60" s="615">
        <f>U58*$J$60</f>
        <v>0</v>
      </c>
      <c r="V60" s="84"/>
      <c r="W60" s="615">
        <f>W58*$J$60</f>
        <v>0</v>
      </c>
      <c r="X60" s="615">
        <f>X58*$J$60</f>
        <v>0</v>
      </c>
      <c r="Y60" s="615">
        <f>Y58*$J$60</f>
        <v>0</v>
      </c>
    </row>
    <row r="61" spans="2:25" ht="12.75">
      <c r="B61" s="596"/>
      <c r="C61" s="616"/>
      <c r="D61" s="603"/>
      <c r="E61" s="66"/>
      <c r="F61" s="616"/>
      <c r="G61" s="603"/>
      <c r="H61" s="120"/>
      <c r="I61" s="120"/>
      <c r="J61" s="120"/>
      <c r="K61" s="120"/>
      <c r="L61" s="120"/>
      <c r="M61" s="120"/>
      <c r="N61" s="120"/>
      <c r="O61" s="120"/>
      <c r="P61" s="553"/>
      <c r="Q61" s="120"/>
      <c r="R61" s="120"/>
      <c r="S61" s="120"/>
      <c r="T61" s="120"/>
      <c r="U61" s="120"/>
      <c r="V61" s="84"/>
      <c r="W61" s="120"/>
      <c r="X61" s="120"/>
      <c r="Y61" s="120"/>
    </row>
    <row r="62" spans="2:25" ht="12.75">
      <c r="B62" s="542" t="s">
        <v>944</v>
      </c>
      <c r="C62" s="617">
        <f>IF(C56=0,0,C56/$D$60)</f>
        <v>0</v>
      </c>
      <c r="D62" s="618"/>
      <c r="E62" s="66"/>
      <c r="F62" s="617">
        <f>IF(F56=0,0,F56/$G$60)</f>
        <v>0</v>
      </c>
      <c r="G62" s="618"/>
      <c r="H62" s="120"/>
      <c r="I62" s="577" t="s">
        <v>945</v>
      </c>
      <c r="J62" s="84"/>
      <c r="K62" s="619">
        <f>K60+K58</f>
        <v>0</v>
      </c>
      <c r="L62" s="619">
        <f>L60+L58</f>
        <v>0</v>
      </c>
      <c r="M62" s="619">
        <f>M60+M58</f>
        <v>0</v>
      </c>
      <c r="N62" s="619">
        <f>N60+N58</f>
        <v>0</v>
      </c>
      <c r="O62" s="619">
        <f>O60+O58</f>
        <v>0</v>
      </c>
      <c r="P62" s="553"/>
      <c r="Q62" s="619">
        <f>Q60+Q58</f>
        <v>0</v>
      </c>
      <c r="R62" s="619">
        <f>R60+R58</f>
        <v>0</v>
      </c>
      <c r="S62" s="619">
        <f>S60+S58</f>
        <v>0</v>
      </c>
      <c r="T62" s="619">
        <f>T60+T58</f>
        <v>0</v>
      </c>
      <c r="U62" s="619">
        <f>U60+U58</f>
        <v>0</v>
      </c>
      <c r="V62" s="84"/>
      <c r="W62" s="619">
        <f>W60+W58</f>
        <v>0</v>
      </c>
      <c r="X62" s="619">
        <f>X60+X58</f>
        <v>0</v>
      </c>
      <c r="Y62" s="619">
        <f>Y60+Y58</f>
        <v>0</v>
      </c>
    </row>
    <row r="63" spans="2:25" ht="12.75">
      <c r="B63" s="542" t="s">
        <v>938</v>
      </c>
      <c r="C63" s="617">
        <f>IF(C57=0,0,C57/$D$60)</f>
        <v>0</v>
      </c>
      <c r="D63" s="618"/>
      <c r="E63" s="66"/>
      <c r="F63" s="617">
        <f>IF(F57=0,0,F57/$G$60)</f>
        <v>0</v>
      </c>
      <c r="G63" s="618"/>
      <c r="H63" s="120"/>
      <c r="I63" s="235"/>
      <c r="J63" s="84"/>
      <c r="K63" s="84"/>
      <c r="L63" s="84"/>
      <c r="M63" s="84"/>
      <c r="N63" s="84"/>
      <c r="O63" s="84"/>
      <c r="P63" s="553"/>
      <c r="Q63" s="84"/>
      <c r="R63" s="84"/>
      <c r="S63" s="84"/>
      <c r="T63" s="84"/>
      <c r="U63" s="84"/>
      <c r="V63" s="84"/>
      <c r="W63" s="84"/>
      <c r="X63" s="84"/>
      <c r="Y63" s="84"/>
    </row>
    <row r="64" spans="2:25" ht="12.75">
      <c r="B64" s="542" t="s">
        <v>946</v>
      </c>
      <c r="C64" s="617">
        <f>IF(C58=0,0,C58/$D$60)</f>
        <v>0</v>
      </c>
      <c r="D64" s="618"/>
      <c r="E64" s="66"/>
      <c r="F64" s="617">
        <f>IF(F58=0,0,F58/$G$60)</f>
        <v>0</v>
      </c>
      <c r="G64" s="618"/>
      <c r="H64" s="120"/>
      <c r="I64" s="577" t="s">
        <v>947</v>
      </c>
      <c r="J64" s="84"/>
      <c r="K64" s="619">
        <f>K$42*30%+K62</f>
        <v>0</v>
      </c>
      <c r="L64" s="619">
        <f>L$42*30%+L62</f>
        <v>0</v>
      </c>
      <c r="M64" s="619">
        <f>M$42*30%+M62</f>
        <v>0</v>
      </c>
      <c r="N64" s="619">
        <f>N$42*30%+N62</f>
        <v>0</v>
      </c>
      <c r="O64" s="619">
        <f>O$42*30%+O62</f>
        <v>0</v>
      </c>
      <c r="P64" s="553"/>
      <c r="Q64" s="619">
        <f>Q$42*30%+Q62</f>
        <v>0</v>
      </c>
      <c r="R64" s="619">
        <f>R$42*30%+R62</f>
        <v>0</v>
      </c>
      <c r="S64" s="619">
        <f>S$42*30%+S62</f>
        <v>0</v>
      </c>
      <c r="T64" s="619">
        <f>T$42*30%+T62</f>
        <v>0</v>
      </c>
      <c r="U64" s="619">
        <f>U$42*30%+U62</f>
        <v>0</v>
      </c>
      <c r="V64" s="84"/>
      <c r="W64" s="619">
        <f>W$42*30%+W62</f>
        <v>0</v>
      </c>
      <c r="X64" s="619">
        <f>X$42*30%+X62</f>
        <v>0</v>
      </c>
      <c r="Y64" s="619">
        <f>Y$42*30%+Y62</f>
        <v>0</v>
      </c>
    </row>
    <row r="65" spans="2:25" ht="12.75">
      <c r="B65" s="542" t="s">
        <v>941</v>
      </c>
      <c r="C65" s="620">
        <f>IF(C59=0,0,C59/$D$60)</f>
        <v>0</v>
      </c>
      <c r="D65" s="618"/>
      <c r="E65" s="66"/>
      <c r="F65" s="617">
        <f>IF(F59=0,0,F59/$G$60)</f>
        <v>0</v>
      </c>
      <c r="G65" s="618"/>
      <c r="H65" s="120"/>
      <c r="I65" s="235"/>
      <c r="J65" s="84"/>
      <c r="K65" s="84"/>
      <c r="L65" s="84"/>
      <c r="M65" s="84"/>
      <c r="N65" s="84"/>
      <c r="O65" s="84"/>
      <c r="P65" s="553"/>
      <c r="Q65" s="84"/>
      <c r="R65" s="84"/>
      <c r="S65" s="84"/>
      <c r="T65" s="84"/>
      <c r="U65" s="84"/>
      <c r="V65" s="84"/>
      <c r="W65" s="84"/>
      <c r="X65" s="84"/>
      <c r="Y65" s="84"/>
    </row>
    <row r="66" spans="2:25" ht="12.75">
      <c r="B66" s="548"/>
      <c r="C66" s="548" t="s">
        <v>948</v>
      </c>
      <c r="D66" s="584">
        <f>SUM(C62:C64)</f>
        <v>0</v>
      </c>
      <c r="E66" s="567"/>
      <c r="F66" s="548"/>
      <c r="G66" s="584">
        <f>SUM(F62:F64)</f>
        <v>0</v>
      </c>
      <c r="H66" s="120"/>
      <c r="I66" s="577" t="s">
        <v>949</v>
      </c>
      <c r="J66" s="84"/>
      <c r="K66" s="619">
        <f>K$42*50%+K62</f>
        <v>0</v>
      </c>
      <c r="L66" s="619">
        <f>L$42*50%+L62</f>
        <v>0</v>
      </c>
      <c r="M66" s="619">
        <f>M$42*50%+M62</f>
        <v>0</v>
      </c>
      <c r="N66" s="619">
        <f>N$42*50%+N62</f>
        <v>0</v>
      </c>
      <c r="O66" s="619">
        <f>O$42*50%+O62</f>
        <v>0</v>
      </c>
      <c r="P66" s="553"/>
      <c r="Q66" s="619">
        <f>Q$42*50%+Q62</f>
        <v>0</v>
      </c>
      <c r="R66" s="619">
        <f>R$42*50%+R62</f>
        <v>0</v>
      </c>
      <c r="S66" s="619">
        <f>S$42*50%+S62</f>
        <v>0</v>
      </c>
      <c r="T66" s="619">
        <f>T$42*50%+T62</f>
        <v>0</v>
      </c>
      <c r="U66" s="619">
        <f>U$42*50%+U62</f>
        <v>0</v>
      </c>
      <c r="V66" s="84"/>
      <c r="W66" s="619">
        <f>W$42*50%+W62</f>
        <v>0</v>
      </c>
      <c r="X66" s="619">
        <f>X$42*50%+X62</f>
        <v>0</v>
      </c>
      <c r="Y66" s="619">
        <f>Y$42*50%+Y62</f>
        <v>0</v>
      </c>
    </row>
    <row r="67" spans="2:25" ht="12.75">
      <c r="H67" s="120"/>
      <c r="I67" s="235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</row>
    <row r="68" spans="2:25" ht="12.75">
      <c r="H68" s="120"/>
      <c r="I68" s="577" t="s">
        <v>950</v>
      </c>
      <c r="J68" s="84"/>
      <c r="K68" s="619">
        <f>K$42*150%+K62</f>
        <v>0</v>
      </c>
      <c r="L68" s="619">
        <f>L$42*150%+L62</f>
        <v>0</v>
      </c>
      <c r="M68" s="619">
        <f>M$42*150%+M62</f>
        <v>0</v>
      </c>
      <c r="N68" s="619">
        <f>N$42*150%+N62</f>
        <v>0</v>
      </c>
      <c r="O68" s="619">
        <f>O$42*150%+O62</f>
        <v>0</v>
      </c>
      <c r="P68" s="619"/>
      <c r="Q68" s="619">
        <f>Q$42*150%+Q62</f>
        <v>0</v>
      </c>
      <c r="R68" s="619">
        <f>R$42*150%+R62</f>
        <v>0</v>
      </c>
      <c r="S68" s="619">
        <f>S$42*150%+S62</f>
        <v>0</v>
      </c>
      <c r="T68" s="619">
        <f>T$42*150%+T62</f>
        <v>0</v>
      </c>
      <c r="U68" s="619">
        <f>U$42*150%+U62</f>
        <v>0</v>
      </c>
      <c r="V68" s="84"/>
      <c r="W68" s="619">
        <f>W$42*150%+W62</f>
        <v>0</v>
      </c>
      <c r="X68" s="619">
        <f>X$42*150%+X62</f>
        <v>0</v>
      </c>
      <c r="Y68" s="619">
        <f>Y$42*150%+Y62</f>
        <v>0</v>
      </c>
    </row>
    <row r="69" spans="2:25" ht="12.75">
      <c r="H69" s="120"/>
      <c r="I69" s="120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</row>
    <row r="70" spans="2:25" ht="12.75">
      <c r="H70" s="621"/>
      <c r="I70" s="120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</row>
    <row r="71" spans="2:25" ht="12.75"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</row>
    <row r="72" spans="2:25" ht="12.75"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</row>
    <row r="73" spans="2:25" ht="12.75">
      <c r="H73" s="84"/>
      <c r="I73" s="84"/>
      <c r="J73" s="84"/>
      <c r="K73" s="622"/>
      <c r="L73" s="601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</row>
    <row r="74" spans="2:25" ht="12.75">
      <c r="H74" s="84"/>
      <c r="I74" s="84"/>
      <c r="J74" s="84"/>
      <c r="K74" s="623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</row>
    <row r="75" spans="2:25" ht="21.75" customHeight="1">
      <c r="H75" s="84"/>
      <c r="I75" s="84"/>
      <c r="J75" s="84"/>
      <c r="K75" s="62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</row>
    <row r="76" spans="2:25" ht="12.75" hidden="1">
      <c r="B76" s="596"/>
      <c r="C76" s="596"/>
      <c r="D76" s="567"/>
      <c r="E76" s="567"/>
      <c r="F76" s="567"/>
      <c r="G76" s="567"/>
      <c r="H76" s="84"/>
      <c r="I76" s="84"/>
      <c r="J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</row>
    <row r="77" spans="2:25" ht="11.1" hidden="1" customHeight="1">
      <c r="B77" s="542"/>
      <c r="C77" s="542"/>
      <c r="D77" s="542"/>
      <c r="E77" s="66"/>
      <c r="F77" s="66"/>
      <c r="G77" s="542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</row>
    <row r="78" spans="2:25" ht="12.75" hidden="1">
      <c r="B78" s="542"/>
      <c r="C78" s="542"/>
      <c r="D78" s="542"/>
      <c r="E78" s="66"/>
      <c r="F78" s="66"/>
      <c r="G78" s="542"/>
      <c r="H78" s="84"/>
      <c r="I78" s="84"/>
      <c r="J78" s="84"/>
      <c r="K78" s="153">
        <f>SUM(K36:U36)</f>
        <v>0</v>
      </c>
      <c r="L78" s="153">
        <f>SUM(W36:Y36)</f>
        <v>0</v>
      </c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</row>
    <row r="79" spans="2:25" ht="12.75" hidden="1">
      <c r="B79" s="542"/>
      <c r="C79" s="542"/>
      <c r="D79" s="542"/>
      <c r="E79" s="66"/>
      <c r="F79" s="66"/>
      <c r="G79" s="542"/>
      <c r="H79" s="84"/>
      <c r="I79" s="84"/>
      <c r="J79" s="84"/>
      <c r="K79" s="153">
        <f>COUNT(K36:U36)-COUNTIF(K36:U36,0)</f>
        <v>0</v>
      </c>
      <c r="L79" s="153">
        <f>COUNT(W36:Y36)-COUNTIF(W36:Y36,0)</f>
        <v>0</v>
      </c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</row>
    <row r="80" spans="2:25" ht="12.75" hidden="1">
      <c r="B80" s="542"/>
      <c r="C80" s="542"/>
      <c r="D80" s="542"/>
      <c r="E80" s="66"/>
      <c r="F80" s="66"/>
      <c r="G80" s="542"/>
      <c r="H80" s="84"/>
      <c r="I80" s="84"/>
      <c r="J80" s="84"/>
      <c r="K80" s="84">
        <f>IF(K78=0,0,K78/K79)</f>
        <v>0</v>
      </c>
      <c r="L80" s="84">
        <f>IF(L78=0,0,L78/L79)</f>
        <v>0</v>
      </c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</row>
    <row r="81" spans="2:25" ht="12.75" hidden="1">
      <c r="B81" s="542"/>
      <c r="C81" s="542"/>
      <c r="D81" s="542"/>
      <c r="E81" s="66"/>
      <c r="F81" s="66"/>
      <c r="G81" s="542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</row>
    <row r="82" spans="2:25" ht="12.75" hidden="1">
      <c r="B82" s="542"/>
      <c r="C82" s="542"/>
      <c r="D82" s="542"/>
      <c r="E82" s="66"/>
      <c r="F82" s="66"/>
      <c r="G82" s="542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</row>
    <row r="83" spans="2:25" ht="12.75" hidden="1">
      <c r="B83" s="534"/>
      <c r="C83" s="534" t="s">
        <v>951</v>
      </c>
      <c r="D83" s="534"/>
      <c r="E83" s="542"/>
      <c r="F83" s="542"/>
      <c r="G83" s="542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</row>
    <row r="84" spans="2:25" ht="12.75" hidden="1">
      <c r="C84" s="625" t="s">
        <v>952</v>
      </c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</row>
    <row r="85" spans="2:25" ht="12.75" hidden="1">
      <c r="C85" s="625" t="s">
        <v>953</v>
      </c>
      <c r="H85" s="159" t="s">
        <v>884</v>
      </c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</row>
    <row r="86" spans="2:25" ht="12.75" hidden="1">
      <c r="C86" s="625" t="s">
        <v>954</v>
      </c>
      <c r="H86" s="541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</row>
    <row r="87" spans="2:25" ht="12.75" hidden="1">
      <c r="C87" s="625"/>
      <c r="H87" s="159" t="s">
        <v>955</v>
      </c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</row>
    <row r="88" spans="2:25" ht="12.75" hidden="1">
      <c r="C88" s="625"/>
      <c r="H88" s="159" t="s">
        <v>956</v>
      </c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</row>
    <row r="89" spans="2:25" ht="12.75" hidden="1">
      <c r="C89" s="625"/>
      <c r="H89" s="159" t="s">
        <v>957</v>
      </c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</row>
    <row r="90" spans="2:25" ht="12.75" hidden="1">
      <c r="C90" s="625"/>
      <c r="H90" s="159" t="s">
        <v>958</v>
      </c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</row>
    <row r="91" spans="2:25" ht="12.75" hidden="1">
      <c r="C91" s="625"/>
      <c r="H91" s="159" t="s">
        <v>959</v>
      </c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</row>
    <row r="92" spans="2:25" ht="12.75" hidden="1">
      <c r="C92" s="625"/>
      <c r="H92" s="159" t="s">
        <v>960</v>
      </c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</row>
    <row r="93" spans="2:25" ht="12.75" hidden="1">
      <c r="H93" s="159" t="s">
        <v>961</v>
      </c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</row>
    <row r="94" spans="2:25" ht="12.75" hidden="1">
      <c r="H94" s="159" t="s">
        <v>962</v>
      </c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</row>
    <row r="95" spans="2:25" ht="12.75" hidden="1">
      <c r="H95" s="159" t="s">
        <v>963</v>
      </c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</row>
    <row r="96" spans="2:25" ht="12.75" hidden="1">
      <c r="H96" s="159" t="s">
        <v>964</v>
      </c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</row>
    <row r="97" spans="8:25" ht="12.75" hidden="1">
      <c r="H97" s="159" t="s">
        <v>965</v>
      </c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</row>
    <row r="98" spans="8:25" ht="12.75" hidden="1">
      <c r="H98" s="159" t="s">
        <v>966</v>
      </c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</row>
    <row r="99" spans="8:25" ht="12.75" hidden="1">
      <c r="H99" s="159" t="s">
        <v>967</v>
      </c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</row>
    <row r="100" spans="8:25" ht="12.75" hidden="1">
      <c r="H100" s="159" t="s">
        <v>968</v>
      </c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</row>
    <row r="101" spans="8:25" ht="12.75" hidden="1">
      <c r="H101" s="159" t="s">
        <v>969</v>
      </c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</row>
    <row r="102" spans="8:25" ht="12.75" hidden="1">
      <c r="H102" s="159" t="s">
        <v>970</v>
      </c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</row>
    <row r="103" spans="8:25" ht="12.75" hidden="1">
      <c r="H103" s="159" t="s">
        <v>971</v>
      </c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</row>
    <row r="104" spans="8:25" ht="12.75" hidden="1">
      <c r="H104" s="159" t="s">
        <v>972</v>
      </c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</row>
    <row r="105" spans="8:25" ht="12.75" hidden="1">
      <c r="H105" s="159" t="s">
        <v>973</v>
      </c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</row>
    <row r="106" spans="8:25" ht="12.75" hidden="1">
      <c r="H106" s="159" t="s">
        <v>974</v>
      </c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</row>
    <row r="107" spans="8:25" ht="13.35" hidden="1" customHeight="1">
      <c r="H107" s="159" t="s">
        <v>975</v>
      </c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</row>
    <row r="108" spans="8:25" ht="13.35" hidden="1" customHeight="1">
      <c r="H108" s="159" t="s">
        <v>976</v>
      </c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</row>
    <row r="109" spans="8:25" ht="13.35" hidden="1" customHeight="1">
      <c r="H109" s="159" t="s">
        <v>977</v>
      </c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</row>
    <row r="110" spans="8:25" ht="13.35" hidden="1" customHeight="1">
      <c r="H110" s="159" t="s">
        <v>978</v>
      </c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</row>
    <row r="111" spans="8:25" ht="13.35" hidden="1" customHeight="1">
      <c r="H111" s="159" t="s">
        <v>979</v>
      </c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</row>
    <row r="112" spans="8:25" ht="13.35" hidden="1" customHeight="1">
      <c r="H112" s="159" t="s">
        <v>980</v>
      </c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</row>
    <row r="113" spans="8:25" ht="13.35" hidden="1" customHeight="1">
      <c r="H113" s="159" t="s">
        <v>981</v>
      </c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</row>
    <row r="114" spans="8:25" ht="13.35" hidden="1" customHeight="1">
      <c r="H114" s="159" t="s">
        <v>982</v>
      </c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</row>
    <row r="115" spans="8:25" ht="13.35" hidden="1" customHeight="1">
      <c r="H115" s="159" t="s">
        <v>983</v>
      </c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</row>
    <row r="116" spans="8:25" ht="13.35" hidden="1" customHeight="1">
      <c r="H116" s="159" t="s">
        <v>984</v>
      </c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</row>
    <row r="117" spans="8:25" ht="13.35" hidden="1" customHeight="1">
      <c r="H117" s="159" t="s">
        <v>985</v>
      </c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</row>
    <row r="118" spans="8:25" ht="13.35" hidden="1" customHeight="1">
      <c r="H118" s="159" t="s">
        <v>986</v>
      </c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</row>
    <row r="119" spans="8:25" ht="13.35" hidden="1" customHeight="1">
      <c r="H119" s="159" t="s">
        <v>987</v>
      </c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</row>
    <row r="120" spans="8:25" ht="13.35" hidden="1" customHeight="1">
      <c r="H120" s="159" t="s">
        <v>988</v>
      </c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</row>
    <row r="121" spans="8:25" ht="13.35" hidden="1" customHeight="1">
      <c r="H121" s="159" t="s">
        <v>989</v>
      </c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</row>
    <row r="122" spans="8:25" ht="13.35" hidden="1" customHeight="1">
      <c r="H122" s="159" t="s">
        <v>990</v>
      </c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</row>
    <row r="123" spans="8:25" ht="13.35" hidden="1" customHeight="1">
      <c r="H123" s="159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</row>
    <row r="124" spans="8:25" ht="13.35" hidden="1" customHeight="1">
      <c r="H124" s="159" t="s">
        <v>885</v>
      </c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</row>
    <row r="125" spans="8:25" ht="13.35" hidden="1" customHeight="1">
      <c r="H125" s="626">
        <v>1</v>
      </c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</row>
    <row r="126" spans="8:25" ht="13.35" hidden="1" customHeight="1">
      <c r="H126" s="159">
        <v>2</v>
      </c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</row>
    <row r="127" spans="8:25" ht="13.35" hidden="1" customHeight="1">
      <c r="H127" s="159">
        <v>3</v>
      </c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</row>
    <row r="128" spans="8:25" ht="13.35" hidden="1" customHeight="1">
      <c r="H128" s="159">
        <v>4</v>
      </c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</row>
    <row r="129" spans="8:25" ht="13.35" hidden="1" customHeight="1">
      <c r="H129" s="159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</row>
    <row r="130" spans="8:25" ht="13.35" hidden="1" customHeight="1">
      <c r="H130" s="159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</row>
    <row r="131" spans="8:25" ht="13.35" hidden="1" customHeight="1">
      <c r="H131" s="159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</row>
    <row r="132" spans="8:25" ht="13.35" hidden="1" customHeight="1">
      <c r="H132" s="159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</row>
    <row r="133" spans="8:25" ht="13.35" hidden="1" customHeight="1">
      <c r="H133" s="159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</row>
    <row r="134" spans="8:25" ht="13.35" hidden="1" customHeight="1">
      <c r="H134" s="159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</row>
    <row r="135" spans="8:25" ht="13.35" hidden="1" customHeight="1">
      <c r="H135" s="159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</row>
    <row r="136" spans="8:25" ht="13.35" hidden="1" customHeight="1">
      <c r="H136" s="159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</row>
    <row r="137" spans="8:25" ht="13.35" hidden="1" customHeight="1">
      <c r="H137" s="159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</row>
    <row r="138" spans="8:25" ht="13.35" hidden="1" customHeight="1">
      <c r="H138" s="159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</row>
    <row r="139" spans="8:25" ht="13.35" hidden="1" customHeight="1">
      <c r="H139" s="159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</row>
    <row r="140" spans="8:25" ht="13.35" hidden="1" customHeight="1">
      <c r="H140" s="159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</row>
    <row r="141" spans="8:25" ht="13.35" hidden="1" customHeight="1">
      <c r="H141" s="159"/>
      <c r="I141" s="627"/>
      <c r="J141" s="84"/>
      <c r="K141" s="84"/>
      <c r="L141" s="84"/>
      <c r="M141" s="84"/>
    </row>
    <row r="142" spans="8:25" ht="13.35" hidden="1" customHeight="1">
      <c r="H142" s="159"/>
      <c r="I142" s="627"/>
      <c r="J142" s="84"/>
      <c r="K142" s="84"/>
      <c r="L142" s="84"/>
      <c r="M142" s="84"/>
    </row>
    <row r="143" spans="8:25" ht="13.35" customHeight="1">
      <c r="H143" s="159"/>
      <c r="I143" s="627"/>
      <c r="J143" s="84"/>
      <c r="K143" s="84"/>
      <c r="L143" s="84"/>
      <c r="M143" s="84"/>
    </row>
    <row r="144" spans="8:25" ht="13.35" customHeight="1">
      <c r="H144" s="159"/>
      <c r="I144" s="627"/>
      <c r="J144" s="84"/>
      <c r="K144" s="84"/>
      <c r="L144" s="84"/>
      <c r="M144" s="84"/>
    </row>
    <row r="145" spans="8:13" ht="13.35" customHeight="1">
      <c r="H145" s="159"/>
      <c r="I145" s="627"/>
      <c r="J145" s="84"/>
      <c r="K145" s="84"/>
      <c r="L145" s="84"/>
      <c r="M145" s="84"/>
    </row>
    <row r="146" spans="8:13" ht="13.35" customHeight="1">
      <c r="H146" s="159"/>
      <c r="I146" s="627"/>
      <c r="J146" s="84"/>
      <c r="K146" s="84"/>
      <c r="L146" s="84"/>
      <c r="M146" s="84"/>
    </row>
    <row r="147" spans="8:13" ht="13.35" customHeight="1">
      <c r="H147" s="159"/>
      <c r="I147" s="627"/>
      <c r="J147" s="84"/>
      <c r="K147" s="84"/>
      <c r="L147" s="84"/>
      <c r="M147" s="84"/>
    </row>
    <row r="148" spans="8:13" ht="13.35" customHeight="1">
      <c r="H148" s="159"/>
      <c r="I148" s="627"/>
      <c r="J148" s="84"/>
      <c r="K148" s="84"/>
      <c r="L148" s="84"/>
      <c r="M148" s="84"/>
    </row>
    <row r="149" spans="8:13" ht="13.35" customHeight="1">
      <c r="H149" s="159"/>
      <c r="I149" s="627"/>
      <c r="J149" s="84"/>
      <c r="K149" s="84"/>
      <c r="L149" s="84"/>
      <c r="M149" s="84"/>
    </row>
    <row r="150" spans="8:13" ht="13.35" customHeight="1">
      <c r="H150" s="159"/>
      <c r="I150" s="627"/>
      <c r="J150" s="84"/>
      <c r="K150" s="84"/>
      <c r="L150" s="84"/>
      <c r="M150" s="84"/>
    </row>
    <row r="151" spans="8:13" ht="13.35" customHeight="1">
      <c r="H151" s="159"/>
      <c r="I151" s="627"/>
      <c r="J151" s="84"/>
      <c r="K151" s="84"/>
      <c r="L151" s="84"/>
      <c r="M151" s="84"/>
    </row>
    <row r="152" spans="8:13" ht="13.35" customHeight="1">
      <c r="H152" s="159"/>
      <c r="I152" s="627"/>
      <c r="J152" s="84"/>
      <c r="K152" s="84"/>
      <c r="L152" s="84"/>
      <c r="M152" s="84"/>
    </row>
    <row r="153" spans="8:13" ht="13.35" customHeight="1">
      <c r="H153" s="159"/>
      <c r="I153" s="627"/>
      <c r="J153" s="84"/>
      <c r="K153" s="84"/>
      <c r="L153" s="84"/>
      <c r="M153" s="84"/>
    </row>
    <row r="154" spans="8:13" ht="13.35" customHeight="1">
      <c r="H154" s="159"/>
      <c r="I154" s="627"/>
      <c r="J154" s="84"/>
      <c r="K154" s="84"/>
      <c r="L154" s="84"/>
      <c r="M154" s="84"/>
    </row>
    <row r="155" spans="8:13" ht="13.35" customHeight="1">
      <c r="H155" s="159"/>
      <c r="I155" s="627"/>
      <c r="J155" s="84"/>
      <c r="K155" s="84"/>
      <c r="L155" s="84"/>
      <c r="M155" s="84"/>
    </row>
    <row r="156" spans="8:13" ht="13.35" customHeight="1">
      <c r="K156" s="159"/>
    </row>
  </sheetData>
  <dataConsolidate link="1"/>
  <mergeCells count="5">
    <mergeCell ref="C8:D8"/>
    <mergeCell ref="K11:O11"/>
    <mergeCell ref="Q11:U11"/>
    <mergeCell ref="W11:Y11"/>
    <mergeCell ref="C7:D7"/>
  </mergeCells>
  <conditionalFormatting sqref="C42">
    <cfRule type="expression" dxfId="273" priority="246">
      <formula>"D40=&gt;0"</formula>
    </cfRule>
  </conditionalFormatting>
  <conditionalFormatting sqref="G54">
    <cfRule type="cellIs" dxfId="272" priority="244" operator="greaterThan">
      <formula>0</formula>
    </cfRule>
  </conditionalFormatting>
  <conditionalFormatting sqref="G60">
    <cfRule type="cellIs" dxfId="271" priority="243" operator="greaterThan">
      <formula>0</formula>
    </cfRule>
  </conditionalFormatting>
  <conditionalFormatting sqref="G10">
    <cfRule type="cellIs" dxfId="270" priority="242" operator="greaterThan">
      <formula>0</formula>
    </cfRule>
  </conditionalFormatting>
  <conditionalFormatting sqref="G11">
    <cfRule type="cellIs" dxfId="269" priority="241" operator="greaterThan">
      <formula>0</formula>
    </cfRule>
  </conditionalFormatting>
  <conditionalFormatting sqref="D66">
    <cfRule type="cellIs" dxfId="268" priority="240" operator="greaterThan">
      <formula>0</formula>
    </cfRule>
  </conditionalFormatting>
  <conditionalFormatting sqref="G66">
    <cfRule type="cellIs" dxfId="267" priority="239" operator="greaterThan">
      <formula>0</formula>
    </cfRule>
  </conditionalFormatting>
  <conditionalFormatting sqref="D54">
    <cfRule type="cellIs" dxfId="266" priority="238" operator="greaterThan">
      <formula>0</formula>
    </cfRule>
  </conditionalFormatting>
  <conditionalFormatting sqref="D60">
    <cfRule type="cellIs" dxfId="265" priority="237" operator="greaterThan">
      <formula>0</formula>
    </cfRule>
  </conditionalFormatting>
  <conditionalFormatting sqref="C62">
    <cfRule type="cellIs" dxfId="264" priority="236" operator="greaterThan">
      <formula>0</formula>
    </cfRule>
  </conditionalFormatting>
  <conditionalFormatting sqref="F62">
    <cfRule type="cellIs" dxfId="263" priority="235" operator="greaterThan">
      <formula>0</formula>
    </cfRule>
  </conditionalFormatting>
  <conditionalFormatting sqref="C63">
    <cfRule type="cellIs" dxfId="262" priority="234" operator="greaterThan">
      <formula>0</formula>
    </cfRule>
  </conditionalFormatting>
  <conditionalFormatting sqref="C64">
    <cfRule type="cellIs" dxfId="261" priority="233" operator="greaterThan">
      <formula>0</formula>
    </cfRule>
  </conditionalFormatting>
  <conditionalFormatting sqref="F63">
    <cfRule type="cellIs" dxfId="260" priority="232" operator="greaterThan">
      <formula>0</formula>
    </cfRule>
  </conditionalFormatting>
  <conditionalFormatting sqref="F64">
    <cfRule type="cellIs" dxfId="259" priority="231" operator="greaterThan">
      <formula>0</formula>
    </cfRule>
  </conditionalFormatting>
  <conditionalFormatting sqref="F65">
    <cfRule type="cellIs" dxfId="258" priority="230" operator="greaterThan">
      <formula>0</formula>
    </cfRule>
  </conditionalFormatting>
  <conditionalFormatting sqref="D44">
    <cfRule type="cellIs" dxfId="257" priority="229" operator="greaterThan">
      <formula>0</formula>
    </cfRule>
  </conditionalFormatting>
  <conditionalFormatting sqref="K30 K32 J36 K37">
    <cfRule type="cellIs" dxfId="256" priority="228" operator="greaterThan">
      <formula>0</formula>
    </cfRule>
  </conditionalFormatting>
  <conditionalFormatting sqref="L32 L37 L41:L42 L60 L39 L47 L62:L68 L34">
    <cfRule type="cellIs" dxfId="255" priority="227" operator="greaterThan">
      <formula>0</formula>
    </cfRule>
  </conditionalFormatting>
  <conditionalFormatting sqref="K42">
    <cfRule type="cellIs" dxfId="254" priority="222" operator="greaterThan">
      <formula>0</formula>
    </cfRule>
  </conditionalFormatting>
  <conditionalFormatting sqref="K60">
    <cfRule type="cellIs" dxfId="253" priority="220" operator="greaterThan">
      <formula>0</formula>
    </cfRule>
  </conditionalFormatting>
  <conditionalFormatting sqref="K62:K68">
    <cfRule type="cellIs" dxfId="252" priority="218" operator="greaterThan">
      <formula>0</formula>
    </cfRule>
  </conditionalFormatting>
  <conditionalFormatting sqref="J37">
    <cfRule type="cellIs" dxfId="251" priority="226" stopIfTrue="1" operator="lessThanOrEqual">
      <formula>0</formula>
    </cfRule>
  </conditionalFormatting>
  <conditionalFormatting sqref="J41">
    <cfRule type="cellIs" dxfId="250" priority="225" stopIfTrue="1" operator="lessThanOrEqual">
      <formula>0</formula>
    </cfRule>
  </conditionalFormatting>
  <conditionalFormatting sqref="K24">
    <cfRule type="cellIs" dxfId="249" priority="224" operator="greaterThan">
      <formula>0</formula>
    </cfRule>
  </conditionalFormatting>
  <conditionalFormatting sqref="K39">
    <cfRule type="cellIs" dxfId="248" priority="223" operator="greaterThan">
      <formula>0</formula>
    </cfRule>
  </conditionalFormatting>
  <conditionalFormatting sqref="K47">
    <cfRule type="cellIs" dxfId="247" priority="221" operator="greaterThan">
      <formula>0</formula>
    </cfRule>
  </conditionalFormatting>
  <conditionalFormatting sqref="K27">
    <cfRule type="cellIs" dxfId="246" priority="215" operator="greaterThan">
      <formula>0</formula>
    </cfRule>
  </conditionalFormatting>
  <conditionalFormatting sqref="K58">
    <cfRule type="cellIs" dxfId="245" priority="219" operator="greaterThan">
      <formula>0</formula>
    </cfRule>
  </conditionalFormatting>
  <conditionalFormatting sqref="K41">
    <cfRule type="cellIs" dxfId="244" priority="217" operator="greaterThan">
      <formula>0</formula>
    </cfRule>
  </conditionalFormatting>
  <conditionalFormatting sqref="K34">
    <cfRule type="cellIs" dxfId="243" priority="216" operator="greaterThan">
      <formula>0</formula>
    </cfRule>
  </conditionalFormatting>
  <conditionalFormatting sqref="K25">
    <cfRule type="cellIs" dxfId="242" priority="214" operator="greaterThan">
      <formula>0</formula>
    </cfRule>
  </conditionalFormatting>
  <conditionalFormatting sqref="K26">
    <cfRule type="cellIs" dxfId="241" priority="213" operator="greaterThan">
      <formula>0</formula>
    </cfRule>
  </conditionalFormatting>
  <conditionalFormatting sqref="M32 M37 M41:M42 M60 M39 M47 M62:M68 M34">
    <cfRule type="cellIs" dxfId="240" priority="212" operator="greaterThan">
      <formula>0</formula>
    </cfRule>
  </conditionalFormatting>
  <conditionalFormatting sqref="N32 N37 N41:N42 N60 N39 N47 N62:N68 N34">
    <cfRule type="cellIs" dxfId="239" priority="211" operator="greaterThan">
      <formula>0</formula>
    </cfRule>
  </conditionalFormatting>
  <conditionalFormatting sqref="O32:P32 O37:P37 O41:P42 O60 O39:P39 O47 O67:P68 O34:P34 O62:O66 P43 P46:P48 P56:P66">
    <cfRule type="cellIs" dxfId="238" priority="210" operator="greaterThan">
      <formula>0</formula>
    </cfRule>
  </conditionalFormatting>
  <conditionalFormatting sqref="W56">
    <cfRule type="cellIs" dxfId="237" priority="198" operator="greaterThan">
      <formula>0</formula>
    </cfRule>
  </conditionalFormatting>
  <conditionalFormatting sqref="Q32 Q37 Q41:Q42 Q60 Q39 Q62:Q68 Q34 Q27">
    <cfRule type="cellIs" dxfId="236" priority="209" operator="greaterThan">
      <formula>0</formula>
    </cfRule>
  </conditionalFormatting>
  <conditionalFormatting sqref="Q24:Q26">
    <cfRule type="cellIs" dxfId="235" priority="208" operator="greaterThan">
      <formula>0</formula>
    </cfRule>
  </conditionalFormatting>
  <conditionalFormatting sqref="Y49:Y56">
    <cfRule type="cellIs" dxfId="234" priority="193" operator="greaterThan">
      <formula>0</formula>
    </cfRule>
  </conditionalFormatting>
  <conditionalFormatting sqref="X56">
    <cfRule type="cellIs" dxfId="233" priority="196" operator="greaterThan">
      <formula>0</formula>
    </cfRule>
  </conditionalFormatting>
  <conditionalFormatting sqref="R32 R37 R41:R42 R60 R39 R47 R62:R68 R34 R27">
    <cfRule type="cellIs" dxfId="232" priority="207" operator="greaterThan">
      <formula>0</formula>
    </cfRule>
  </conditionalFormatting>
  <conditionalFormatting sqref="R24:R26">
    <cfRule type="cellIs" dxfId="231" priority="206" operator="greaterThan">
      <formula>0</formula>
    </cfRule>
  </conditionalFormatting>
  <conditionalFormatting sqref="S32 S37 S41:S42 S60 S39 S47 S62:S68 S34 S27">
    <cfRule type="cellIs" dxfId="230" priority="205" operator="greaterThan">
      <formula>0</formula>
    </cfRule>
  </conditionalFormatting>
  <conditionalFormatting sqref="S24:S26">
    <cfRule type="cellIs" dxfId="229" priority="204" operator="greaterThan">
      <formula>0</formula>
    </cfRule>
  </conditionalFormatting>
  <conditionalFormatting sqref="T32 T37 T41:T42 T60 T39 T47 T62:T68 T34 T27">
    <cfRule type="cellIs" dxfId="228" priority="203" operator="greaterThan">
      <formula>0</formula>
    </cfRule>
  </conditionalFormatting>
  <conditionalFormatting sqref="T24:T26">
    <cfRule type="cellIs" dxfId="227" priority="202" operator="greaterThan">
      <formula>0</formula>
    </cfRule>
  </conditionalFormatting>
  <conditionalFormatting sqref="U32 U37 U41:U42 U60 U39 U47 U62:U68 U34 U27">
    <cfRule type="cellIs" dxfId="226" priority="201" operator="greaterThan">
      <formula>0</formula>
    </cfRule>
  </conditionalFormatting>
  <conditionalFormatting sqref="U24:U26">
    <cfRule type="cellIs" dxfId="225" priority="200" operator="greaterThan">
      <formula>0</formula>
    </cfRule>
  </conditionalFormatting>
  <conditionalFormatting sqref="W32 W37 W41:W42 W60 W39 W62:W68 W34">
    <cfRule type="cellIs" dxfId="224" priority="199" operator="greaterThan">
      <formula>0</formula>
    </cfRule>
  </conditionalFormatting>
  <conditionalFormatting sqref="X32 X37 X42 X60 X39 X62:X68 X34">
    <cfRule type="cellIs" dxfId="223" priority="197" operator="greaterThan">
      <formula>0</formula>
    </cfRule>
  </conditionalFormatting>
  <conditionalFormatting sqref="Y32 Y37 Y42 Y60 Y39 Y47 Y62:Y68 Y34">
    <cfRule type="cellIs" dxfId="222" priority="195" operator="greaterThan">
      <formula>0</formula>
    </cfRule>
  </conditionalFormatting>
  <conditionalFormatting sqref="Y44:Y45">
    <cfRule type="cellIs" dxfId="221" priority="194" operator="greaterThan">
      <formula>0</formula>
    </cfRule>
  </conditionalFormatting>
  <conditionalFormatting sqref="K36">
    <cfRule type="cellIs" dxfId="220" priority="192" operator="greaterThan">
      <formula>0</formula>
    </cfRule>
  </conditionalFormatting>
  <conditionalFormatting sqref="J60">
    <cfRule type="cellIs" dxfId="219" priority="191" stopIfTrue="1" operator="lessThanOrEqual">
      <formula>0</formula>
    </cfRule>
  </conditionalFormatting>
  <conditionalFormatting sqref="K22 Q22:U22">
    <cfRule type="cellIs" dxfId="218" priority="190" operator="greaterThan">
      <formula>0</formula>
    </cfRule>
  </conditionalFormatting>
  <conditionalFormatting sqref="Q19:U19">
    <cfRule type="cellIs" dxfId="217" priority="189" operator="greaterThan">
      <formula>0</formula>
    </cfRule>
  </conditionalFormatting>
  <conditionalFormatting sqref="U21">
    <cfRule type="cellIs" dxfId="216" priority="184" operator="greaterThan">
      <formula>0</formula>
    </cfRule>
  </conditionalFormatting>
  <conditionalFormatting sqref="Q21">
    <cfRule type="cellIs" dxfId="215" priority="188" operator="greaterThan">
      <formula>0</formula>
    </cfRule>
  </conditionalFormatting>
  <conditionalFormatting sqref="R21">
    <cfRule type="cellIs" dxfId="214" priority="187" operator="greaterThan">
      <formula>0</formula>
    </cfRule>
  </conditionalFormatting>
  <conditionalFormatting sqref="S21">
    <cfRule type="cellIs" dxfId="213" priority="186" operator="greaterThan">
      <formula>0</formula>
    </cfRule>
  </conditionalFormatting>
  <conditionalFormatting sqref="T21">
    <cfRule type="cellIs" dxfId="212" priority="185" operator="greaterThan">
      <formula>0</formula>
    </cfRule>
  </conditionalFormatting>
  <conditionalFormatting sqref="L30">
    <cfRule type="cellIs" dxfId="211" priority="183" operator="greaterThan">
      <formula>0</formula>
    </cfRule>
  </conditionalFormatting>
  <conditionalFormatting sqref="M30">
    <cfRule type="cellIs" dxfId="210" priority="182" operator="greaterThan">
      <formula>0</formula>
    </cfRule>
  </conditionalFormatting>
  <conditionalFormatting sqref="N30">
    <cfRule type="cellIs" dxfId="209" priority="181" operator="greaterThan">
      <formula>0</formula>
    </cfRule>
  </conditionalFormatting>
  <conditionalFormatting sqref="O30:P30">
    <cfRule type="cellIs" dxfId="208" priority="180" operator="greaterThan">
      <formula>0</formula>
    </cfRule>
  </conditionalFormatting>
  <conditionalFormatting sqref="Q30">
    <cfRule type="cellIs" dxfId="207" priority="179" operator="greaterThan">
      <formula>0</formula>
    </cfRule>
  </conditionalFormatting>
  <conditionalFormatting sqref="R30">
    <cfRule type="cellIs" dxfId="206" priority="178" operator="greaterThan">
      <formula>0</formula>
    </cfRule>
  </conditionalFormatting>
  <conditionalFormatting sqref="S30">
    <cfRule type="cellIs" dxfId="205" priority="177" operator="greaterThan">
      <formula>0</formula>
    </cfRule>
  </conditionalFormatting>
  <conditionalFormatting sqref="T30">
    <cfRule type="cellIs" dxfId="204" priority="176" operator="greaterThan">
      <formula>0</formula>
    </cfRule>
  </conditionalFormatting>
  <conditionalFormatting sqref="W30">
    <cfRule type="cellIs" dxfId="203" priority="175" operator="greaterThan">
      <formula>0</formula>
    </cfRule>
  </conditionalFormatting>
  <conditionalFormatting sqref="X30">
    <cfRule type="cellIs" dxfId="202" priority="174" operator="greaterThan">
      <formula>0</formula>
    </cfRule>
  </conditionalFormatting>
  <conditionalFormatting sqref="Y30">
    <cfRule type="cellIs" dxfId="201" priority="173" operator="greaterThan">
      <formula>0</formula>
    </cfRule>
  </conditionalFormatting>
  <conditionalFormatting sqref="U30">
    <cfRule type="cellIs" dxfId="200" priority="172" operator="greaterThan">
      <formula>0</formula>
    </cfRule>
  </conditionalFormatting>
  <conditionalFormatting sqref="L58">
    <cfRule type="cellIs" dxfId="199" priority="171" operator="greaterThan">
      <formula>0</formula>
    </cfRule>
  </conditionalFormatting>
  <conditionalFormatting sqref="M58">
    <cfRule type="cellIs" dxfId="198" priority="170" operator="greaterThan">
      <formula>0</formula>
    </cfRule>
  </conditionalFormatting>
  <conditionalFormatting sqref="N58">
    <cfRule type="cellIs" dxfId="197" priority="169" operator="greaterThan">
      <formula>0</formula>
    </cfRule>
  </conditionalFormatting>
  <conditionalFormatting sqref="O58">
    <cfRule type="cellIs" dxfId="196" priority="168" operator="greaterThan">
      <formula>0</formula>
    </cfRule>
  </conditionalFormatting>
  <conditionalFormatting sqref="Q58">
    <cfRule type="cellIs" dxfId="195" priority="167" operator="greaterThan">
      <formula>0</formula>
    </cfRule>
  </conditionalFormatting>
  <conditionalFormatting sqref="R58">
    <cfRule type="cellIs" dxfId="194" priority="166" operator="greaterThan">
      <formula>0</formula>
    </cfRule>
  </conditionalFormatting>
  <conditionalFormatting sqref="S58">
    <cfRule type="cellIs" dxfId="193" priority="165" operator="greaterThan">
      <formula>0</formula>
    </cfRule>
  </conditionalFormatting>
  <conditionalFormatting sqref="T58">
    <cfRule type="cellIs" dxfId="192" priority="164" operator="greaterThan">
      <formula>0</formula>
    </cfRule>
  </conditionalFormatting>
  <conditionalFormatting sqref="U58">
    <cfRule type="cellIs" dxfId="191" priority="163" operator="greaterThan">
      <formula>0</formula>
    </cfRule>
  </conditionalFormatting>
  <conditionalFormatting sqref="W58">
    <cfRule type="cellIs" dxfId="190" priority="162" operator="greaterThan">
      <formula>0</formula>
    </cfRule>
  </conditionalFormatting>
  <conditionalFormatting sqref="X58">
    <cfRule type="cellIs" dxfId="189" priority="161" operator="greaterThan">
      <formula>0</formula>
    </cfRule>
  </conditionalFormatting>
  <conditionalFormatting sqref="Y58">
    <cfRule type="cellIs" dxfId="188" priority="160" operator="greaterThan">
      <formula>0</formula>
    </cfRule>
  </conditionalFormatting>
  <conditionalFormatting sqref="L36">
    <cfRule type="cellIs" dxfId="187" priority="159" operator="greaterThan">
      <formula>0</formula>
    </cfRule>
  </conditionalFormatting>
  <conditionalFormatting sqref="M36">
    <cfRule type="cellIs" dxfId="186" priority="158" operator="greaterThan">
      <formula>0</formula>
    </cfRule>
  </conditionalFormatting>
  <conditionalFormatting sqref="N36">
    <cfRule type="cellIs" dxfId="185" priority="157" operator="greaterThan">
      <formula>0</formula>
    </cfRule>
  </conditionalFormatting>
  <conditionalFormatting sqref="O36:P36">
    <cfRule type="cellIs" dxfId="184" priority="156" operator="greaterThan">
      <formula>0</formula>
    </cfRule>
  </conditionalFormatting>
  <conditionalFormatting sqref="Q36">
    <cfRule type="cellIs" dxfId="183" priority="155" operator="greaterThan">
      <formula>0</formula>
    </cfRule>
  </conditionalFormatting>
  <conditionalFormatting sqref="R36">
    <cfRule type="cellIs" dxfId="182" priority="154" operator="greaterThan">
      <formula>0</formula>
    </cfRule>
  </conditionalFormatting>
  <conditionalFormatting sqref="S36">
    <cfRule type="cellIs" dxfId="181" priority="153" operator="greaterThan">
      <formula>0</formula>
    </cfRule>
  </conditionalFormatting>
  <conditionalFormatting sqref="T36">
    <cfRule type="cellIs" dxfId="180" priority="152" operator="greaterThan">
      <formula>0</formula>
    </cfRule>
  </conditionalFormatting>
  <conditionalFormatting sqref="U36">
    <cfRule type="cellIs" dxfId="179" priority="151" operator="greaterThan">
      <formula>0</formula>
    </cfRule>
  </conditionalFormatting>
  <conditionalFormatting sqref="W36">
    <cfRule type="cellIs" dxfId="178" priority="150" operator="greaterThan">
      <formula>0</formula>
    </cfRule>
  </conditionalFormatting>
  <conditionalFormatting sqref="X36">
    <cfRule type="cellIs" dxfId="177" priority="149" operator="greaterThan">
      <formula>0</formula>
    </cfRule>
  </conditionalFormatting>
  <conditionalFormatting sqref="Y36">
    <cfRule type="cellIs" dxfId="176" priority="148" operator="greaterThan">
      <formula>0</formula>
    </cfRule>
  </conditionalFormatting>
  <conditionalFormatting sqref="X41">
    <cfRule type="cellIs" dxfId="175" priority="147" operator="greaterThan">
      <formula>0</formula>
    </cfRule>
  </conditionalFormatting>
  <conditionalFormatting sqref="Y41">
    <cfRule type="cellIs" dxfId="174" priority="146" operator="greaterThan">
      <formula>0</formula>
    </cfRule>
  </conditionalFormatting>
  <conditionalFormatting sqref="K19">
    <cfRule type="cellIs" dxfId="173" priority="145" operator="greaterThan">
      <formula>0</formula>
    </cfRule>
  </conditionalFormatting>
  <conditionalFormatting sqref="K21">
    <cfRule type="cellIs" dxfId="172" priority="144" operator="greaterThan">
      <formula>0</formula>
    </cfRule>
  </conditionalFormatting>
  <conditionalFormatting sqref="J27">
    <cfRule type="cellIs" dxfId="171" priority="143" stopIfTrue="1" operator="lessThanOrEqual">
      <formula>0</formula>
    </cfRule>
  </conditionalFormatting>
  <conditionalFormatting sqref="J30">
    <cfRule type="cellIs" dxfId="170" priority="142" operator="greaterThan">
      <formula>0</formula>
    </cfRule>
  </conditionalFormatting>
  <conditionalFormatting sqref="J32">
    <cfRule type="cellIs" dxfId="169" priority="141" stopIfTrue="1" operator="lessThanOrEqual">
      <formula>0</formula>
    </cfRule>
  </conditionalFormatting>
  <conditionalFormatting sqref="O26">
    <cfRule type="cellIs" dxfId="168" priority="118" operator="greaterThan">
      <formula>0</formula>
    </cfRule>
  </conditionalFormatting>
  <conditionalFormatting sqref="O24">
    <cfRule type="cellIs" dxfId="167" priority="121" operator="greaterThan">
      <formula>0</formula>
    </cfRule>
  </conditionalFormatting>
  <conditionalFormatting sqref="N21">
    <cfRule type="cellIs" dxfId="166" priority="122" operator="greaterThan">
      <formula>0</formula>
    </cfRule>
  </conditionalFormatting>
  <conditionalFormatting sqref="O25">
    <cfRule type="cellIs" dxfId="165" priority="119" operator="greaterThan">
      <formula>0</formula>
    </cfRule>
  </conditionalFormatting>
  <conditionalFormatting sqref="L19">
    <cfRule type="cellIs" dxfId="164" priority="136" operator="greaterThan">
      <formula>0</formula>
    </cfRule>
  </conditionalFormatting>
  <conditionalFormatting sqref="L21">
    <cfRule type="cellIs" dxfId="163" priority="135" operator="greaterThan">
      <formula>0</formula>
    </cfRule>
  </conditionalFormatting>
  <conditionalFormatting sqref="L24">
    <cfRule type="cellIs" dxfId="162" priority="140" operator="greaterThan">
      <formula>0</formula>
    </cfRule>
  </conditionalFormatting>
  <conditionalFormatting sqref="L27">
    <cfRule type="cellIs" dxfId="161" priority="139" operator="greaterThan">
      <formula>0</formula>
    </cfRule>
  </conditionalFormatting>
  <conditionalFormatting sqref="L25">
    <cfRule type="cellIs" dxfId="160" priority="138" operator="greaterThan">
      <formula>0</formula>
    </cfRule>
  </conditionalFormatting>
  <conditionalFormatting sqref="L22">
    <cfRule type="cellIs" dxfId="159" priority="137" operator="greaterThan">
      <formula>0</formula>
    </cfRule>
  </conditionalFormatting>
  <conditionalFormatting sqref="M27">
    <cfRule type="cellIs" dxfId="158" priority="134" operator="greaterThan">
      <formula>0</formula>
    </cfRule>
  </conditionalFormatting>
  <conditionalFormatting sqref="M25">
    <cfRule type="cellIs" dxfId="157" priority="133" operator="greaterThan">
      <formula>0</formula>
    </cfRule>
  </conditionalFormatting>
  <conditionalFormatting sqref="M26">
    <cfRule type="cellIs" dxfId="156" priority="132" operator="greaterThan">
      <formula>0</formula>
    </cfRule>
  </conditionalFormatting>
  <conditionalFormatting sqref="M22">
    <cfRule type="cellIs" dxfId="155" priority="131" operator="greaterThan">
      <formula>0</formula>
    </cfRule>
  </conditionalFormatting>
  <conditionalFormatting sqref="M19">
    <cfRule type="cellIs" dxfId="154" priority="130" operator="greaterThan">
      <formula>0</formula>
    </cfRule>
  </conditionalFormatting>
  <conditionalFormatting sqref="M21">
    <cfRule type="cellIs" dxfId="153" priority="129" operator="greaterThan">
      <formula>0</formula>
    </cfRule>
  </conditionalFormatting>
  <conditionalFormatting sqref="N24">
    <cfRule type="cellIs" dxfId="152" priority="128" operator="greaterThan">
      <formula>0</formula>
    </cfRule>
  </conditionalFormatting>
  <conditionalFormatting sqref="N27">
    <cfRule type="cellIs" dxfId="151" priority="127" operator="greaterThan">
      <formula>0</formula>
    </cfRule>
  </conditionalFormatting>
  <conditionalFormatting sqref="N25">
    <cfRule type="cellIs" dxfId="150" priority="126" operator="greaterThan">
      <formula>0</formula>
    </cfRule>
  </conditionalFormatting>
  <conditionalFormatting sqref="N26">
    <cfRule type="cellIs" dxfId="149" priority="125" operator="greaterThan">
      <formula>0</formula>
    </cfRule>
  </conditionalFormatting>
  <conditionalFormatting sqref="N22">
    <cfRule type="cellIs" dxfId="148" priority="124" operator="greaterThan">
      <formula>0</formula>
    </cfRule>
  </conditionalFormatting>
  <conditionalFormatting sqref="N19">
    <cfRule type="cellIs" dxfId="147" priority="123" operator="greaterThan">
      <formula>0</formula>
    </cfRule>
  </conditionalFormatting>
  <conditionalFormatting sqref="O27">
    <cfRule type="cellIs" dxfId="146" priority="120" operator="greaterThan">
      <formula>0</formula>
    </cfRule>
  </conditionalFormatting>
  <conditionalFormatting sqref="O22">
    <cfRule type="cellIs" dxfId="145" priority="117" operator="greaterThan">
      <formula>0</formula>
    </cfRule>
  </conditionalFormatting>
  <conditionalFormatting sqref="O19">
    <cfRule type="cellIs" dxfId="144" priority="116" operator="greaterThan">
      <formula>0</formula>
    </cfRule>
  </conditionalFormatting>
  <conditionalFormatting sqref="O21">
    <cfRule type="cellIs" dxfId="143" priority="115" operator="greaterThan">
      <formula>0</formula>
    </cfRule>
  </conditionalFormatting>
  <conditionalFormatting sqref="W24">
    <cfRule type="cellIs" dxfId="142" priority="114" operator="greaterThan">
      <formula>0</formula>
    </cfRule>
  </conditionalFormatting>
  <conditionalFormatting sqref="W27">
    <cfRule type="cellIs" dxfId="141" priority="113" operator="greaterThan">
      <formula>0</formula>
    </cfRule>
  </conditionalFormatting>
  <conditionalFormatting sqref="W25">
    <cfRule type="cellIs" dxfId="140" priority="112" operator="greaterThan">
      <formula>0</formula>
    </cfRule>
  </conditionalFormatting>
  <conditionalFormatting sqref="W26">
    <cfRule type="cellIs" dxfId="139" priority="111" operator="greaterThan">
      <formula>0</formula>
    </cfRule>
  </conditionalFormatting>
  <conditionalFormatting sqref="W22">
    <cfRule type="cellIs" dxfId="138" priority="110" operator="greaterThan">
      <formula>0</formula>
    </cfRule>
  </conditionalFormatting>
  <conditionalFormatting sqref="W19">
    <cfRule type="cellIs" dxfId="137" priority="109" operator="greaterThan">
      <formula>0</formula>
    </cfRule>
  </conditionalFormatting>
  <conditionalFormatting sqref="W21">
    <cfRule type="cellIs" dxfId="136" priority="108" operator="greaterThan">
      <formula>0</formula>
    </cfRule>
  </conditionalFormatting>
  <conditionalFormatting sqref="X24">
    <cfRule type="cellIs" dxfId="135" priority="107" operator="greaterThan">
      <formula>0</formula>
    </cfRule>
  </conditionalFormatting>
  <conditionalFormatting sqref="X27">
    <cfRule type="cellIs" dxfId="134" priority="106" operator="greaterThan">
      <formula>0</formula>
    </cfRule>
  </conditionalFormatting>
  <conditionalFormatting sqref="X25">
    <cfRule type="cellIs" dxfId="133" priority="105" operator="greaterThan">
      <formula>0</formula>
    </cfRule>
  </conditionalFormatting>
  <conditionalFormatting sqref="X26">
    <cfRule type="cellIs" dxfId="132" priority="104" operator="greaterThan">
      <formula>0</formula>
    </cfRule>
  </conditionalFormatting>
  <conditionalFormatting sqref="X22">
    <cfRule type="cellIs" dxfId="131" priority="103" operator="greaterThan">
      <formula>0</formula>
    </cfRule>
  </conditionalFormatting>
  <conditionalFormatting sqref="X19">
    <cfRule type="cellIs" dxfId="130" priority="102" operator="greaterThan">
      <formula>0</formula>
    </cfRule>
  </conditionalFormatting>
  <conditionalFormatting sqref="X21">
    <cfRule type="cellIs" dxfId="129" priority="101" operator="greaterThan">
      <formula>0</formula>
    </cfRule>
  </conditionalFormatting>
  <conditionalFormatting sqref="Y24">
    <cfRule type="cellIs" dxfId="128" priority="100" operator="greaterThan">
      <formula>0</formula>
    </cfRule>
  </conditionalFormatting>
  <conditionalFormatting sqref="Y27">
    <cfRule type="cellIs" dxfId="127" priority="99" operator="greaterThan">
      <formula>0</formula>
    </cfRule>
  </conditionalFormatting>
  <conditionalFormatting sqref="Y25">
    <cfRule type="cellIs" dxfId="126" priority="98" operator="greaterThan">
      <formula>0</formula>
    </cfRule>
  </conditionalFormatting>
  <conditionalFormatting sqref="Y26">
    <cfRule type="cellIs" dxfId="125" priority="97" operator="greaterThan">
      <formula>0</formula>
    </cfRule>
  </conditionalFormatting>
  <conditionalFormatting sqref="Y22">
    <cfRule type="cellIs" dxfId="124" priority="96" operator="greaterThan">
      <formula>0</formula>
    </cfRule>
  </conditionalFormatting>
  <conditionalFormatting sqref="Y19">
    <cfRule type="cellIs" dxfId="123" priority="95" operator="greaterThan">
      <formula>0</formula>
    </cfRule>
  </conditionalFormatting>
  <conditionalFormatting sqref="Y21">
    <cfRule type="cellIs" dxfId="122" priority="94" operator="greaterThan">
      <formula>0</formula>
    </cfRule>
  </conditionalFormatting>
  <conditionalFormatting sqref="K28">
    <cfRule type="cellIs" dxfId="121" priority="93" operator="greaterThan">
      <formula>0</formula>
    </cfRule>
  </conditionalFormatting>
  <conditionalFormatting sqref="L28">
    <cfRule type="cellIs" dxfId="120" priority="92" operator="greaterThan">
      <formula>0</formula>
    </cfRule>
  </conditionalFormatting>
  <conditionalFormatting sqref="M28">
    <cfRule type="cellIs" dxfId="119" priority="91" operator="greaterThan">
      <formula>0</formula>
    </cfRule>
  </conditionalFormatting>
  <conditionalFormatting sqref="M24">
    <cfRule type="cellIs" dxfId="118" priority="90" operator="greaterThan">
      <formula>0</formula>
    </cfRule>
  </conditionalFormatting>
  <conditionalFormatting sqref="K56:O56">
    <cfRule type="cellIs" dxfId="117" priority="74" operator="greaterThan">
      <formula>0</formula>
    </cfRule>
  </conditionalFormatting>
  <conditionalFormatting sqref="Q56:U56">
    <cfRule type="cellIs" dxfId="116" priority="73" operator="greaterThan">
      <formula>0</formula>
    </cfRule>
  </conditionalFormatting>
  <conditionalFormatting sqref="D36">
    <cfRule type="cellIs" dxfId="115" priority="60" operator="greaterThan">
      <formula>0</formula>
    </cfRule>
  </conditionalFormatting>
  <conditionalFormatting sqref="D23">
    <cfRule type="cellIs" dxfId="114" priority="38" operator="greaterThan">
      <formula>0</formula>
    </cfRule>
  </conditionalFormatting>
  <conditionalFormatting sqref="D31">
    <cfRule type="cellIs" dxfId="113" priority="59" operator="greaterThan">
      <formula>0</formula>
    </cfRule>
  </conditionalFormatting>
  <conditionalFormatting sqref="D33">
    <cfRule type="cellIs" dxfId="112" priority="58" operator="greaterThan">
      <formula>0</formula>
    </cfRule>
  </conditionalFormatting>
  <conditionalFormatting sqref="D34">
    <cfRule type="cellIs" dxfId="111" priority="57" operator="greaterThan">
      <formula>0</formula>
    </cfRule>
  </conditionalFormatting>
  <conditionalFormatting sqref="C56">
    <cfRule type="cellIs" dxfId="110" priority="31" operator="greaterThan">
      <formula>0</formula>
    </cfRule>
  </conditionalFormatting>
  <conditionalFormatting sqref="C57">
    <cfRule type="cellIs" dxfId="109" priority="30" operator="greaterThan">
      <formula>0</formula>
    </cfRule>
  </conditionalFormatting>
  <conditionalFormatting sqref="C58">
    <cfRule type="cellIs" dxfId="108" priority="29" operator="greaterThan">
      <formula>0</formula>
    </cfRule>
  </conditionalFormatting>
  <conditionalFormatting sqref="P44:P45">
    <cfRule type="cellIs" dxfId="107" priority="56" operator="greaterThan">
      <formula>0</formula>
    </cfRule>
  </conditionalFormatting>
  <conditionalFormatting sqref="R45">
    <cfRule type="cellIs" dxfId="106" priority="55" operator="greaterThan">
      <formula>0</formula>
    </cfRule>
  </conditionalFormatting>
  <conditionalFormatting sqref="S45">
    <cfRule type="cellIs" dxfId="105" priority="54" operator="greaterThan">
      <formula>0</formula>
    </cfRule>
  </conditionalFormatting>
  <conditionalFormatting sqref="T45">
    <cfRule type="cellIs" dxfId="104" priority="53" operator="greaterThan">
      <formula>0</formula>
    </cfRule>
  </conditionalFormatting>
  <conditionalFormatting sqref="U45">
    <cfRule type="cellIs" dxfId="103" priority="52" operator="greaterThan">
      <formula>0</formula>
    </cfRule>
  </conditionalFormatting>
  <conditionalFormatting sqref="N44">
    <cfRule type="cellIs" dxfId="102" priority="51" operator="greaterThan">
      <formula>0</formula>
    </cfRule>
  </conditionalFormatting>
  <conditionalFormatting sqref="O44">
    <cfRule type="cellIs" dxfId="101" priority="50" operator="greaterThan">
      <formula>0</formula>
    </cfRule>
  </conditionalFormatting>
  <conditionalFormatting sqref="D28">
    <cfRule type="cellIs" dxfId="100" priority="35" operator="greaterThan">
      <formula>0</formula>
    </cfRule>
  </conditionalFormatting>
  <conditionalFormatting sqref="D42">
    <cfRule type="cellIs" dxfId="99" priority="34" operator="greaterThan">
      <formula>0</formula>
    </cfRule>
  </conditionalFormatting>
  <conditionalFormatting sqref="N45:O45">
    <cfRule type="cellIs" dxfId="98" priority="49" operator="greaterThan">
      <formula>0</formula>
    </cfRule>
  </conditionalFormatting>
  <conditionalFormatting sqref="C52">
    <cfRule type="cellIs" dxfId="97" priority="33" operator="greaterThan">
      <formula>0</formula>
    </cfRule>
  </conditionalFormatting>
  <conditionalFormatting sqref="D22">
    <cfRule type="cellIs" dxfId="96" priority="39" operator="greaterThan">
      <formula>0</formula>
    </cfRule>
  </conditionalFormatting>
  <conditionalFormatting sqref="P49:P52">
    <cfRule type="cellIs" dxfId="95" priority="48" operator="greaterThan">
      <formula>0</formula>
    </cfRule>
  </conditionalFormatting>
  <conditionalFormatting sqref="R53:U54">
    <cfRule type="cellIs" dxfId="94" priority="42" operator="greaterThan">
      <formula>0</formula>
    </cfRule>
  </conditionalFormatting>
  <conditionalFormatting sqref="N49:O52">
    <cfRule type="cellIs" dxfId="93" priority="47" operator="greaterThan">
      <formula>0</formula>
    </cfRule>
  </conditionalFormatting>
  <conditionalFormatting sqref="R49:U52">
    <cfRule type="cellIs" dxfId="92" priority="46" operator="greaterThan">
      <formula>0</formula>
    </cfRule>
  </conditionalFormatting>
  <conditionalFormatting sqref="P53:P55">
    <cfRule type="cellIs" dxfId="91" priority="45" operator="greaterThan">
      <formula>0</formula>
    </cfRule>
  </conditionalFormatting>
  <conditionalFormatting sqref="D24">
    <cfRule type="cellIs" dxfId="90" priority="37" operator="greaterThan">
      <formula>0</formula>
    </cfRule>
  </conditionalFormatting>
  <conditionalFormatting sqref="N53:O54">
    <cfRule type="cellIs" dxfId="89" priority="44" operator="greaterThan">
      <formula>0</formula>
    </cfRule>
  </conditionalFormatting>
  <conditionalFormatting sqref="N55:O55">
    <cfRule type="cellIs" dxfId="88" priority="43" operator="greaterThan">
      <formula>0</formula>
    </cfRule>
  </conditionalFormatting>
  <conditionalFormatting sqref="R55:U55">
    <cfRule type="cellIs" dxfId="87" priority="41" operator="greaterThan">
      <formula>0</formula>
    </cfRule>
  </conditionalFormatting>
  <conditionalFormatting sqref="L26">
    <cfRule type="cellIs" dxfId="86" priority="40" operator="greaterThan">
      <formula>0</formula>
    </cfRule>
  </conditionalFormatting>
  <conditionalFormatting sqref="D29">
    <cfRule type="cellIs" dxfId="85" priority="36" operator="greaterThan">
      <formula>0</formula>
    </cfRule>
  </conditionalFormatting>
  <conditionalFormatting sqref="C53">
    <cfRule type="cellIs" dxfId="84" priority="32" operator="greaterThan">
      <formula>0</formula>
    </cfRule>
  </conditionalFormatting>
  <conditionalFormatting sqref="F57">
    <cfRule type="cellIs" dxfId="83" priority="25" operator="greaterThan">
      <formula>0</formula>
    </cfRule>
  </conditionalFormatting>
  <conditionalFormatting sqref="F58">
    <cfRule type="cellIs" dxfId="82" priority="24" operator="greaterThan">
      <formula>0</formula>
    </cfRule>
  </conditionalFormatting>
  <conditionalFormatting sqref="F52">
    <cfRule type="cellIs" dxfId="81" priority="28" operator="greaterThan">
      <formula>0</formula>
    </cfRule>
  </conditionalFormatting>
  <conditionalFormatting sqref="F53">
    <cfRule type="cellIs" dxfId="80" priority="27" operator="greaterThan">
      <formula>0</formula>
    </cfRule>
  </conditionalFormatting>
  <conditionalFormatting sqref="F56">
    <cfRule type="cellIs" dxfId="79" priority="26" operator="greaterThan">
      <formula>0</formula>
    </cfRule>
  </conditionalFormatting>
  <conditionalFormatting sqref="K44:K45">
    <cfRule type="cellIs" dxfId="78" priority="23" operator="greaterThan">
      <formula>0</formula>
    </cfRule>
  </conditionalFormatting>
  <conditionalFormatting sqref="L44:L45">
    <cfRule type="cellIs" dxfId="77" priority="22" operator="greaterThan">
      <formula>0</formula>
    </cfRule>
  </conditionalFormatting>
  <conditionalFormatting sqref="M44">
    <cfRule type="cellIs" dxfId="76" priority="21" operator="greaterThan">
      <formula>0</formula>
    </cfRule>
  </conditionalFormatting>
  <conditionalFormatting sqref="K55">
    <cfRule type="cellIs" dxfId="75" priority="20" operator="greaterThan">
      <formula>0</formula>
    </cfRule>
  </conditionalFormatting>
  <conditionalFormatting sqref="L55">
    <cfRule type="cellIs" dxfId="74" priority="19" operator="greaterThan">
      <formula>0</formula>
    </cfRule>
  </conditionalFormatting>
  <conditionalFormatting sqref="M55">
    <cfRule type="cellIs" dxfId="73" priority="18" operator="greaterThan">
      <formula>0</formula>
    </cfRule>
  </conditionalFormatting>
  <conditionalFormatting sqref="K49:K54">
    <cfRule type="cellIs" dxfId="72" priority="17" operator="greaterThan">
      <formula>0</formula>
    </cfRule>
  </conditionalFormatting>
  <conditionalFormatting sqref="L49:L54">
    <cfRule type="cellIs" dxfId="71" priority="16" operator="greaterThan">
      <formula>0</formula>
    </cfRule>
  </conditionalFormatting>
  <conditionalFormatting sqref="M49:M54">
    <cfRule type="cellIs" dxfId="70" priority="15" operator="greaterThan">
      <formula>0</formula>
    </cfRule>
  </conditionalFormatting>
  <conditionalFormatting sqref="Q45">
    <cfRule type="cellIs" dxfId="69" priority="14" operator="greaterThan">
      <formula>0</formula>
    </cfRule>
  </conditionalFormatting>
  <conditionalFormatting sqref="X49:X54">
    <cfRule type="cellIs" dxfId="68" priority="4" operator="greaterThan">
      <formula>0</formula>
    </cfRule>
  </conditionalFormatting>
  <conditionalFormatting sqref="Q47">
    <cfRule type="cellIs" dxfId="67" priority="13" operator="greaterThan">
      <formula>0</formula>
    </cfRule>
  </conditionalFormatting>
  <conditionalFormatting sqref="Q55">
    <cfRule type="cellIs" dxfId="66" priority="12" operator="greaterThan">
      <formula>0</formula>
    </cfRule>
  </conditionalFormatting>
  <conditionalFormatting sqref="Q49:Q54">
    <cfRule type="cellIs" dxfId="65" priority="11" operator="greaterThan">
      <formula>0</formula>
    </cfRule>
  </conditionalFormatting>
  <conditionalFormatting sqref="W47">
    <cfRule type="cellIs" dxfId="64" priority="10" operator="greaterThan">
      <formula>0</formula>
    </cfRule>
  </conditionalFormatting>
  <conditionalFormatting sqref="X47">
    <cfRule type="cellIs" dxfId="63" priority="9" operator="greaterThan">
      <formula>0</formula>
    </cfRule>
  </conditionalFormatting>
  <conditionalFormatting sqref="W44:W45">
    <cfRule type="cellIs" dxfId="62" priority="8" operator="greaterThan">
      <formula>0</formula>
    </cfRule>
  </conditionalFormatting>
  <conditionalFormatting sqref="X44:X45">
    <cfRule type="cellIs" dxfId="61" priority="7" operator="greaterThan">
      <formula>0</formula>
    </cfRule>
  </conditionalFormatting>
  <conditionalFormatting sqref="W49:W54">
    <cfRule type="cellIs" dxfId="60" priority="6" operator="greaterThan">
      <formula>0</formula>
    </cfRule>
  </conditionalFormatting>
  <conditionalFormatting sqref="W55">
    <cfRule type="cellIs" dxfId="59" priority="5" operator="greaterThan">
      <formula>0</formula>
    </cfRule>
  </conditionalFormatting>
  <conditionalFormatting sqref="X55">
    <cfRule type="cellIs" dxfId="58" priority="3" operator="greaterThan">
      <formula>0</formula>
    </cfRule>
  </conditionalFormatting>
  <conditionalFormatting sqref="F59">
    <cfRule type="cellIs" dxfId="57" priority="2" operator="greaterThan">
      <formula>0</formula>
    </cfRule>
  </conditionalFormatting>
  <conditionalFormatting sqref="M45">
    <cfRule type="cellIs" dxfId="56" priority="1" operator="greaterThan">
      <formula>0</formula>
    </cfRule>
  </conditionalFormatting>
  <dataValidations count="5">
    <dataValidation type="list" allowBlank="1" showInputMessage="1" showErrorMessage="1" sqref="K15:O15" xr:uid="{00000000-0002-0000-0900-000000000000}">
      <formula1>$H$123:$H$127</formula1>
    </dataValidation>
    <dataValidation type="list" allowBlank="1" showInputMessage="1" showErrorMessage="1" promptTitle="Selecteer" prompt="Selecteer uit de lijst een categorie schoonmaak _x000d_medewerker" sqref="K13:O13" xr:uid="{00000000-0002-0000-0900-000001000000}">
      <formula1>$H$84:$H$121</formula1>
    </dataValidation>
    <dataValidation allowBlank="1" showInputMessage="1" showErrorMessage="1" promptTitle="Toelichting" prompt="Vul in deze gekleurde cellen de gevraagde informatie in._x000d_" sqref="G10" xr:uid="{00000000-0002-0000-0900-000002000000}"/>
    <dataValidation type="list" allowBlank="1" showInputMessage="1" showErrorMessage="1" promptTitle="Selecteer" prompt="Selecteer uit de lijst een categorie schoonmaak _x000d_medewerker" sqref="Q13:U13 W13:Y13" xr:uid="{00000000-0002-0000-0900-000003000000}">
      <formula1>$H$85:$H$122</formula1>
    </dataValidation>
    <dataValidation type="list" allowBlank="1" showInputMessage="1" showErrorMessage="1" sqref="Q15:U15 W15:Y15" xr:uid="{00000000-0002-0000-0900-000004000000}">
      <formula1>$H$124:$H$128</formula1>
    </dataValidation>
  </dataValidations>
  <pageMargins left="0.2" right="0.2" top="0.75" bottom="0.75" header="0.3" footer="0.3"/>
  <pageSetup paperSize="9" scale="44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55</vt:i4>
      </vt:variant>
    </vt:vector>
  </HeadingPairs>
  <TitlesOfParts>
    <vt:vector size="66" baseType="lpstr">
      <vt:lpstr>Toelichting Calculatiemodel</vt:lpstr>
      <vt:lpstr>Voorblad</vt:lpstr>
      <vt:lpstr>1.0-Contractblad</vt:lpstr>
      <vt:lpstr>1.1 Jaarprijzen</vt:lpstr>
      <vt:lpstr>1.2-Kengetal</vt:lpstr>
      <vt:lpstr>1.3-Basis ruimtestaat</vt:lpstr>
      <vt:lpstr>1.3a-Mutaties</vt:lpstr>
      <vt:lpstr>1.3b Verrekening mutaties</vt:lpstr>
      <vt:lpstr>1.4-Opbouw uurtarieven</vt:lpstr>
      <vt:lpstr>1.5-Afroepprijs</vt:lpstr>
      <vt:lpstr>1.6-Glasbewassing</vt:lpstr>
      <vt:lpstr>'1.0-Contractblad'!Afdrukbereik</vt:lpstr>
      <vt:lpstr>'1.1 Jaarprijzen'!Afdrukbereik</vt:lpstr>
      <vt:lpstr>'1.2-Kengetal'!Afdrukbereik</vt:lpstr>
      <vt:lpstr>'1.3a-Mutaties'!Afdrukbereik</vt:lpstr>
      <vt:lpstr>'1.3-Basis ruimtestaat'!Afdrukbereik</vt:lpstr>
      <vt:lpstr>'1.4-Opbouw uurtarieven'!Afdrukbereik</vt:lpstr>
      <vt:lpstr>'1.5-Afroepprijs'!Afdrukbereik</vt:lpstr>
      <vt:lpstr>'1.6-Glasbewassing'!Afdrukbereik</vt:lpstr>
      <vt:lpstr>'Toelichting Calculatiemodel'!Afdrukbereik</vt:lpstr>
      <vt:lpstr>Voorblad!Afdrukbereik</vt:lpstr>
      <vt:lpstr>'1.0-Contractblad'!Afdruktitels</vt:lpstr>
      <vt:lpstr>'1.1 Jaarprijzen'!Afdruktitels</vt:lpstr>
      <vt:lpstr>'1.2-Kengetal'!Afdruktitels</vt:lpstr>
      <vt:lpstr>'1.3a-Mutaties'!Afdruktitels</vt:lpstr>
      <vt:lpstr>'1.3-Basis ruimtestaat'!Afdruktitels</vt:lpstr>
      <vt:lpstr>'1.5-Afroepprijs'!Afdruktitels</vt:lpstr>
      <vt:lpstr>'1.6-Glasbewassing'!Afdruktitels</vt:lpstr>
      <vt:lpstr>'1.3a-Mutaties'!Allelocaties</vt:lpstr>
      <vt:lpstr>Allelocaties</vt:lpstr>
      <vt:lpstr>'1.4-Opbouw uurtarieven'!BasisTarief</vt:lpstr>
      <vt:lpstr>basistariefglas</vt:lpstr>
      <vt:lpstr>basistarieftoez</vt:lpstr>
      <vt:lpstr>basistariefuit</vt:lpstr>
      <vt:lpstr>'1.4-Opbouw uurtarieven'!CatMedewschoonmaak</vt:lpstr>
      <vt:lpstr>'1.3a-Mutaties'!Database</vt:lpstr>
      <vt:lpstr>Database</vt:lpstr>
      <vt:lpstr>'1.3a-Mutaties'!database2</vt:lpstr>
      <vt:lpstr>database2</vt:lpstr>
      <vt:lpstr>Kengetal</vt:lpstr>
      <vt:lpstr>'1.3a-Mutaties'!LOCATIE</vt:lpstr>
      <vt:lpstr>LOCATIE</vt:lpstr>
      <vt:lpstr>'1.4-Opbouw uurtarieven'!Loongroepen</vt:lpstr>
      <vt:lpstr>'1.3a-Mutaties'!Meters</vt:lpstr>
      <vt:lpstr>Meters</vt:lpstr>
      <vt:lpstr>'1.3a-Mutaties'!Perceel</vt:lpstr>
      <vt:lpstr>Perceel</vt:lpstr>
      <vt:lpstr>'1.3a-Mutaties'!PERCEEL2</vt:lpstr>
      <vt:lpstr>PERCEEL2</vt:lpstr>
      <vt:lpstr>'1.4-Opbouw uurtarieven'!Tabel</vt:lpstr>
      <vt:lpstr>TariefGLAS</vt:lpstr>
      <vt:lpstr>'1.4-Opbouw uurtarieven'!tariefschoonmaak</vt:lpstr>
      <vt:lpstr>tariefSMO</vt:lpstr>
      <vt:lpstr>tariefTZ</vt:lpstr>
      <vt:lpstr>tarievenglas</vt:lpstr>
      <vt:lpstr>'1.3a-Mutaties'!Totaal</vt:lpstr>
      <vt:lpstr>Totaal</vt:lpstr>
      <vt:lpstr>'1.3a-Mutaties'!Totaal2</vt:lpstr>
      <vt:lpstr>Totaal2</vt:lpstr>
      <vt:lpstr>'1.3a-Mutaties'!UREMAVR</vt:lpstr>
      <vt:lpstr>UREMAVR</vt:lpstr>
      <vt:lpstr>'1.3a-Mutaties'!URENEWEEKEND</vt:lpstr>
      <vt:lpstr>URENEWEEKEND</vt:lpstr>
      <vt:lpstr>'1.3a-Mutaties'!URENNALOOP</vt:lpstr>
      <vt:lpstr>URENNALOOP</vt:lpstr>
      <vt:lpstr>vloerafwerking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van leijen</dc:creator>
  <cp:keywords/>
  <dc:description/>
  <cp:lastModifiedBy>Janssen, Martine</cp:lastModifiedBy>
  <cp:revision/>
  <dcterms:created xsi:type="dcterms:W3CDTF">1999-10-05T12:28:40Z</dcterms:created>
  <dcterms:modified xsi:type="dcterms:W3CDTF">2023-06-16T10:40:44Z</dcterms:modified>
  <cp:category/>
  <cp:contentStatus/>
</cp:coreProperties>
</file>