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edrijfsvoering\Inkoop\EA Aanbestedingen\Bedrijfsgezondheidszorg\Aanbesteding 2022\2. Programma van Eisen\"/>
    </mc:Choice>
  </mc:AlternateContent>
  <xr:revisionPtr revIDLastSave="0" documentId="8_{1F3E3FBC-FB04-4500-9597-FA643007EE6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Gunningsmodel" sheetId="2" r:id="rId1"/>
    <sheet name="Huidige tarieven" sheetId="3" state="hidden" r:id="rId2"/>
    <sheet name="Lijnfunctie" sheetId="8" r:id="rId3"/>
    <sheet name="Prijsmodel aanbesteding" sheetId="6" r:id="rId4"/>
  </sheets>
  <calcPr calcId="191029"/>
</workbook>
</file>

<file path=xl/calcChain.xml><?xml version="1.0" encoding="utf-8"?>
<calcChain xmlns="http://schemas.openxmlformats.org/spreadsheetml/2006/main">
  <c r="N13" i="2" l="1"/>
  <c r="K13" i="2"/>
  <c r="H13" i="2"/>
  <c r="H11" i="2"/>
  <c r="K11" i="2"/>
  <c r="N11" i="2"/>
  <c r="N9" i="2"/>
  <c r="K9" i="2"/>
  <c r="H9" i="2"/>
  <c r="A52" i="3" l="1"/>
  <c r="A44" i="3"/>
  <c r="Q24" i="3"/>
  <c r="B16" i="3"/>
  <c r="O17" i="3"/>
  <c r="H17" i="3" s="1"/>
  <c r="H16" i="3"/>
  <c r="I49" i="3"/>
  <c r="I50" i="3"/>
  <c r="E20" i="3" l="1"/>
  <c r="I28" i="3" l="1"/>
  <c r="F29" i="3" l="1"/>
  <c r="G29" i="3" s="1"/>
  <c r="A29" i="3"/>
  <c r="D9" i="8" l="1"/>
  <c r="O11" i="3"/>
  <c r="F6" i="6"/>
  <c r="K4" i="3"/>
  <c r="L4" i="3"/>
  <c r="M4" i="3" s="1"/>
  <c r="N4" i="3" s="1"/>
  <c r="N25" i="2"/>
  <c r="B6" i="3"/>
  <c r="O23" i="2"/>
  <c r="E15" i="2"/>
  <c r="K15" i="2" s="1"/>
  <c r="L23" i="2"/>
  <c r="C19" i="3"/>
  <c r="C18" i="3"/>
  <c r="C17" i="3"/>
  <c r="E17" i="2" l="1"/>
  <c r="H15" i="2"/>
  <c r="H17" i="2" s="1"/>
  <c r="H28" i="2" s="1"/>
  <c r="K17" i="2"/>
  <c r="K28" i="2" s="1"/>
  <c r="N15" i="2"/>
  <c r="N17" i="2" s="1"/>
  <c r="N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589F0E93-6E38-4159-BC8C-8A17B7CC560D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<sst xmlns="http://schemas.openxmlformats.org/spreadsheetml/2006/main" count="112" uniqueCount="73">
  <si>
    <t>Weging prijs</t>
  </si>
  <si>
    <t>Beoordeling</t>
  </si>
  <si>
    <t>Score</t>
  </si>
  <si>
    <t>Zeer goed</t>
  </si>
  <si>
    <t>Goed</t>
  </si>
  <si>
    <t>AANBIEDER A</t>
  </si>
  <si>
    <t>AANBIEDER B</t>
  </si>
  <si>
    <t>AANBIEDER C</t>
  </si>
  <si>
    <t>Voldoende</t>
  </si>
  <si>
    <t>Gunningscriterium kwaliteit</t>
  </si>
  <si>
    <t>Weging</t>
  </si>
  <si>
    <t>Gewogen score</t>
  </si>
  <si>
    <t>Onvoldoende</t>
  </si>
  <si>
    <t>Slecht</t>
  </si>
  <si>
    <t>Vraag 1:</t>
  </si>
  <si>
    <t>ntb</t>
  </si>
  <si>
    <t>Vraag 2:</t>
  </si>
  <si>
    <t>Vraag 3:</t>
  </si>
  <si>
    <t>Vraag 4:</t>
  </si>
  <si>
    <t>Gewogen score totaal</t>
  </si>
  <si>
    <t>Gunningscriterium prijs</t>
  </si>
  <si>
    <t>Aanbod</t>
  </si>
  <si>
    <t>Inschrijfprijs</t>
  </si>
  <si>
    <t>EINDSCORE</t>
  </si>
  <si>
    <t>HUIDIGE TARIEVEN</t>
  </si>
  <si>
    <t>Model: Vast bedrag per medewerker</t>
  </si>
  <si>
    <t>Gefactureerd bedrag 2017 (ex BTW)</t>
  </si>
  <si>
    <t>Aantal medewerkers</t>
  </si>
  <si>
    <t>Kosten per medewerker (ex BTW)</t>
  </si>
  <si>
    <t>Kenmerken</t>
  </si>
  <si>
    <t>Er wordt nu gewerkt met facturering per maand</t>
  </si>
  <si>
    <t>Het is op dit moment niet bekend wanneer en op welke manier Auris over een wijziging in het aantal medewerkers (en hiermee eventuele aanpassing van de prijs)</t>
  </si>
  <si>
    <t>De afdeling financiën maakt inzichtelijk welk bedrag in 2017 is gefactureerd, exclusief aanvullende diensten.</t>
  </si>
  <si>
    <t>Gefactureerd 2017 ex BTW: </t>
  </si>
  <si>
    <t>Totaal huidige prijs ex BTW</t>
  </si>
  <si>
    <t>omslagpunt</t>
  </si>
  <si>
    <t>Kosten hoger</t>
  </si>
  <si>
    <t>bovengrens/slechtste waarde</t>
  </si>
  <si>
    <t>Kostenverlaging</t>
  </si>
  <si>
    <t>ondergrens/beste waarde</t>
  </si>
  <si>
    <t>Aantal punten = 100 - (P - 1,950) / 0,25 * 30</t>
  </si>
  <si>
    <t>Aantal punten = (2,400 - P) / 0,2 * 70</t>
  </si>
  <si>
    <t xml:space="preserve">      Lijnfunctie (lineaire functie)</t>
  </si>
  <si>
    <t>Omschrijving</t>
  </si>
  <si>
    <t>Waarde</t>
  </si>
  <si>
    <t>Lijnfunctie</t>
  </si>
  <si>
    <t>Slechtste waarde / laagste score</t>
  </si>
  <si>
    <t>Eventueel omslagpunt (optioneel)</t>
  </si>
  <si>
    <t>Beste waarde / hoogste score</t>
  </si>
  <si>
    <t>Score voor waarde van inschrijver</t>
  </si>
  <si>
    <t xml:space="preserve">De velden C5 t/m D7 zijn invoervelden voor de lineaire functie. </t>
  </si>
  <si>
    <t>Het veld C9 kan worden gebruikt om scores te berekenen van leveranciers.</t>
  </si>
  <si>
    <t xml:space="preserve">Zie de bijgesloten Word file voor een beschrijving voor de gunningsleidraad. </t>
  </si>
  <si>
    <t>Tussen twee punten geldt de volgende formule:</t>
  </si>
  <si>
    <t>= max. te behalen punten - (hoogste prijs - inschrijfprijs) / (hoogste prijs - laagste prijs) * (max. te behalen punten - min. te behalen punten)</t>
  </si>
  <si>
    <t>Bijvoorbeeld tussen de slechtste waarde en het omslagpunt:</t>
  </si>
  <si>
    <t>= 18 - (400.000 - 350.000) / (400.000 - 300.000) * (18 - 0) = 9</t>
  </si>
  <si>
    <t>Inschrijver wordt gevraagd om een inschrijfprijs te bieden per jaar (ex BTW) waartegen de dienstverlening wordt geboden. Hiermee wordt bedoeld:
- invullen van alle eisen zoals vermeld in de aanbestedingsdocumenten;
- het realiseren van de aanpak en toezeggingen zoals door Deelnemer aangeboden als antwoord op de gunningscriteria G1 t/m G3.</t>
  </si>
  <si>
    <t>Aanbod inschrijver (inschrijfprijs per jaar, ex BTW) </t>
  </si>
  <si>
    <t>INSCHRIJFPRIJS DEELNEMER</t>
  </si>
  <si>
    <t>Plan activerende verzuimbegeleiding</t>
  </si>
  <si>
    <t>Plan operationele invulling</t>
  </si>
  <si>
    <t>Implementatieplan</t>
  </si>
  <si>
    <t>euro's</t>
  </si>
  <si>
    <t>medewerkers</t>
  </si>
  <si>
    <t>(versus 1386 / 210000)</t>
  </si>
  <si>
    <t>nieuwe bandbreedtes voorstel</t>
  </si>
  <si>
    <t>inzage marktconformiteit (van het internet)</t>
  </si>
  <si>
    <t>Gunningsmodel aanbesteding arbodienstverlening Auris - 2022</t>
  </si>
  <si>
    <t xml:space="preserve"> </t>
  </si>
  <si>
    <t>Weging kwaliteit</t>
  </si>
  <si>
    <t>Prijzen dienen inclusief  BTW te worden vermeld</t>
  </si>
  <si>
    <t>Weging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</si>
</sst>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-&quot;€&quot;\ * #,##0.00_-;_-&quot;€&quot;\ * #,##0.00\-;_-&quot;€&quot;\ * &quot;-&quot;??_-;_-@_-"/>
    <numFmt numFmtId="166" formatCode="_(* #,##0.00_);_(* \(#,##0.00\);_(* &quot;-&quot;??_);_(@_)"/>
    <numFmt numFmtId="167" formatCode="0.0"/>
    <numFmt numFmtId="168" formatCode="_-* #,##0.00_-;_-* #,##0.00\-;_-* &quot;-&quot;??_-;_-@_-"/>
    <numFmt numFmtId="169" formatCode="0_ ;[Red]\-0\ "/>
    <numFmt numFmtId="170" formatCode="_-* #,##0_-;_-* #,##0\-;_-* &quot;-&quot;??_-;_-@_-"/>
    <numFmt numFmtId="171" formatCode="_ &quot;€&quot;\ * #,##0_ ;_ &quot;€&quot;\ * \-#,##0_ ;_ &quot;€&quot;\ * &quot;-&quot;??_ ;_ @_ "/>
    <numFmt numFmtId="172" formatCode="_-&quot;€&quot;\ * #,##0_-;_-&quot;€&quot;\ * #,##0\-;_-&quot;€&quot;\ * &quot;-&quot;??_-;_-@_-"/>
    <numFmt numFmtId="173" formatCode="_ [$€-2]\ * #,##0.00_ ;_ [$€-2]\ * \-#,##0.00_ ;_ [$€-2]\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9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Arial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u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2" applyNumberFormat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08">
    <xf numFmtId="0" fontId="0" fillId="0" borderId="0" xfId="0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0" xfId="0" applyFont="1" applyFill="1" applyAlignment="1">
      <alignment horizontal="center"/>
    </xf>
    <xf numFmtId="9" fontId="5" fillId="3" borderId="0" xfId="1" applyFont="1" applyFill="1"/>
    <xf numFmtId="0" fontId="5" fillId="3" borderId="0" xfId="0" applyFont="1" applyFill="1" applyAlignment="1">
      <alignment horizontal="center"/>
    </xf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5" fillId="4" borderId="0" xfId="0" applyFont="1" applyFill="1"/>
    <xf numFmtId="2" fontId="5" fillId="3" borderId="0" xfId="0" applyNumberFormat="1" applyFont="1" applyFill="1" applyAlignment="1">
      <alignment horizontal="center"/>
    </xf>
    <xf numFmtId="164" fontId="5" fillId="3" borderId="0" xfId="1" applyNumberFormat="1" applyFont="1" applyFill="1"/>
    <xf numFmtId="0" fontId="5" fillId="3" borderId="0" xfId="0" applyFont="1" applyFill="1" applyAlignment="1">
      <alignment horizontal="left"/>
    </xf>
    <xf numFmtId="164" fontId="5" fillId="3" borderId="0" xfId="0" applyNumberFormat="1" applyFont="1" applyFill="1"/>
    <xf numFmtId="0" fontId="9" fillId="3" borderId="0" xfId="0" applyFont="1" applyFill="1" applyAlignment="1">
      <alignment horizontal="right"/>
    </xf>
    <xf numFmtId="9" fontId="7" fillId="3" borderId="0" xfId="0" applyNumberFormat="1" applyFont="1" applyFill="1"/>
    <xf numFmtId="0" fontId="7" fillId="3" borderId="0" xfId="0" applyFont="1" applyFill="1" applyAlignment="1">
      <alignment horizontal="right"/>
    </xf>
    <xf numFmtId="2" fontId="7" fillId="3" borderId="0" xfId="0" applyNumberFormat="1" applyFont="1" applyFill="1" applyAlignment="1">
      <alignment horizontal="center"/>
    </xf>
    <xf numFmtId="2" fontId="5" fillId="3" borderId="0" xfId="0" applyNumberFormat="1" applyFont="1" applyFill="1"/>
    <xf numFmtId="0" fontId="10" fillId="3" borderId="0" xfId="0" applyFont="1" applyFill="1" applyAlignment="1">
      <alignment horizontal="right"/>
    </xf>
    <xf numFmtId="43" fontId="10" fillId="3" borderId="0" xfId="0" applyNumberFormat="1" applyFont="1" applyFill="1" applyAlignment="1">
      <alignment horizontal="center"/>
    </xf>
    <xf numFmtId="0" fontId="11" fillId="3" borderId="0" xfId="0" applyFont="1" applyFill="1"/>
    <xf numFmtId="0" fontId="2" fillId="0" borderId="0" xfId="2"/>
    <xf numFmtId="0" fontId="13" fillId="0" borderId="0" xfId="2" applyFont="1"/>
    <xf numFmtId="0" fontId="0" fillId="11" borderId="0" xfId="0" applyFill="1"/>
    <xf numFmtId="0" fontId="19" fillId="11" borderId="0" xfId="0" applyFont="1" applyFill="1"/>
    <xf numFmtId="0" fontId="20" fillId="11" borderId="0" xfId="0" applyFont="1" applyFill="1"/>
    <xf numFmtId="0" fontId="0" fillId="3" borderId="0" xfId="0" applyFill="1"/>
    <xf numFmtId="0" fontId="19" fillId="11" borderId="0" xfId="0" applyFont="1" applyFill="1" applyAlignment="1">
      <alignment horizontal="center"/>
    </xf>
    <xf numFmtId="0" fontId="18" fillId="9" borderId="3" xfId="12" applyBorder="1" applyAlignment="1">
      <alignment horizontal="center" vertical="top"/>
    </xf>
    <xf numFmtId="0" fontId="18" fillId="9" borderId="4" xfId="12" applyBorder="1" applyAlignment="1">
      <alignment horizontal="center"/>
    </xf>
    <xf numFmtId="0" fontId="18" fillId="9" borderId="5" xfId="12" applyBorder="1" applyAlignment="1">
      <alignment horizontal="center"/>
    </xf>
    <xf numFmtId="0" fontId="0" fillId="11" borderId="0" xfId="0" applyFill="1" applyAlignment="1">
      <alignment horizontal="center"/>
    </xf>
    <xf numFmtId="0" fontId="15" fillId="7" borderId="6" xfId="10" applyBorder="1" applyAlignment="1">
      <alignment horizontal="left"/>
    </xf>
    <xf numFmtId="167" fontId="22" fillId="12" borderId="8" xfId="11" applyNumberFormat="1" applyFont="1" applyFill="1" applyBorder="1"/>
    <xf numFmtId="1" fontId="23" fillId="11" borderId="0" xfId="0" applyNumberFormat="1" applyFont="1" applyFill="1"/>
    <xf numFmtId="0" fontId="21" fillId="11" borderId="0" xfId="0" applyFont="1" applyFill="1"/>
    <xf numFmtId="164" fontId="20" fillId="11" borderId="0" xfId="0" applyNumberFormat="1" applyFont="1" applyFill="1"/>
    <xf numFmtId="168" fontId="20" fillId="11" borderId="0" xfId="0" applyNumberFormat="1" applyFont="1" applyFill="1"/>
    <xf numFmtId="169" fontId="14" fillId="6" borderId="10" xfId="9" applyNumberFormat="1" applyBorder="1" applyAlignment="1">
      <alignment horizontal="left"/>
    </xf>
    <xf numFmtId="0" fontId="0" fillId="11" borderId="11" xfId="0" applyFill="1" applyBorder="1"/>
    <xf numFmtId="167" fontId="0" fillId="10" borderId="3" xfId="13" applyNumberFormat="1" applyFont="1" applyBorder="1"/>
    <xf numFmtId="167" fontId="0" fillId="10" borderId="13" xfId="13" applyNumberFormat="1" applyFont="1" applyBorder="1"/>
    <xf numFmtId="0" fontId="23" fillId="11" borderId="0" xfId="0" applyFont="1" applyFill="1" applyAlignment="1">
      <alignment horizontal="left"/>
    </xf>
    <xf numFmtId="1" fontId="21" fillId="11" borderId="0" xfId="0" applyNumberFormat="1" applyFont="1" applyFill="1"/>
    <xf numFmtId="170" fontId="21" fillId="11" borderId="0" xfId="4" applyNumberFormat="1" applyFont="1" applyFill="1"/>
    <xf numFmtId="0" fontId="23" fillId="11" borderId="0" xfId="0" applyFont="1" applyFill="1"/>
    <xf numFmtId="167" fontId="23" fillId="11" borderId="0" xfId="0" applyNumberFormat="1" applyFont="1" applyFill="1"/>
    <xf numFmtId="0" fontId="23" fillId="11" borderId="0" xfId="0" quotePrefix="1" applyFont="1" applyFill="1" applyAlignment="1">
      <alignment horizontal="left"/>
    </xf>
    <xf numFmtId="170" fontId="0" fillId="11" borderId="0" xfId="4" applyNumberFormat="1" applyFont="1" applyFill="1"/>
    <xf numFmtId="2" fontId="0" fillId="11" borderId="0" xfId="0" applyNumberFormat="1" applyFill="1"/>
    <xf numFmtId="0" fontId="24" fillId="11" borderId="0" xfId="0" applyFont="1" applyFill="1"/>
    <xf numFmtId="0" fontId="25" fillId="11" borderId="0" xfId="0" quotePrefix="1" applyFont="1" applyFill="1" applyAlignment="1">
      <alignment horizontal="left"/>
    </xf>
    <xf numFmtId="44" fontId="25" fillId="11" borderId="0" xfId="0" applyNumberFormat="1" applyFont="1" applyFill="1" applyAlignment="1">
      <alignment horizontal="left"/>
    </xf>
    <xf numFmtId="0" fontId="17" fillId="11" borderId="0" xfId="0" applyFont="1" applyFill="1"/>
    <xf numFmtId="0" fontId="0" fillId="3" borderId="0" xfId="0" applyFill="1" applyAlignment="1">
      <alignment horizontal="center"/>
    </xf>
    <xf numFmtId="0" fontId="21" fillId="3" borderId="0" xfId="0" applyFont="1" applyFill="1"/>
    <xf numFmtId="164" fontId="20" fillId="3" borderId="0" xfId="0" applyNumberFormat="1" applyFont="1" applyFill="1"/>
    <xf numFmtId="168" fontId="20" fillId="3" borderId="0" xfId="0" applyNumberFormat="1" applyFont="1" applyFill="1"/>
    <xf numFmtId="1" fontId="21" fillId="3" borderId="0" xfId="0" applyNumberFormat="1" applyFont="1" applyFill="1"/>
    <xf numFmtId="0" fontId="18" fillId="3" borderId="0" xfId="12" applyFill="1" applyAlignment="1">
      <alignment vertical="center" textRotation="90"/>
    </xf>
    <xf numFmtId="170" fontId="0" fillId="11" borderId="0" xfId="0" applyNumberFormat="1" applyFill="1"/>
    <xf numFmtId="0" fontId="5" fillId="3" borderId="0" xfId="0" applyFont="1" applyFill="1" applyAlignment="1">
      <alignment horizontal="left" indent="1"/>
    </xf>
    <xf numFmtId="0" fontId="26" fillId="3" borderId="0" xfId="0" applyFont="1" applyFill="1" applyAlignment="1">
      <alignment horizontal="left" indent="1"/>
    </xf>
    <xf numFmtId="9" fontId="26" fillId="3" borderId="0" xfId="1" applyFont="1" applyFill="1" applyAlignment="1">
      <alignment horizontal="left" indent="1"/>
    </xf>
    <xf numFmtId="0" fontId="11" fillId="3" borderId="0" xfId="0" applyFont="1" applyFill="1" applyAlignment="1">
      <alignment horizontal="left" indent="1"/>
    </xf>
    <xf numFmtId="0" fontId="6" fillId="3" borderId="0" xfId="0" applyFont="1" applyFill="1" applyAlignment="1">
      <alignment horizontal="left" indent="1"/>
    </xf>
    <xf numFmtId="10" fontId="5" fillId="3" borderId="0" xfId="1" applyNumberFormat="1" applyFont="1" applyFill="1" applyAlignment="1">
      <alignment horizontal="left" indent="1"/>
    </xf>
    <xf numFmtId="10" fontId="5" fillId="3" borderId="0" xfId="0" applyNumberFormat="1" applyFont="1" applyFill="1"/>
    <xf numFmtId="44" fontId="2" fillId="0" borderId="0" xfId="2" applyNumberFormat="1"/>
    <xf numFmtId="44" fontId="2" fillId="13" borderId="0" xfId="14" applyFont="1" applyFill="1"/>
    <xf numFmtId="9" fontId="2" fillId="13" borderId="0" xfId="1" applyFont="1" applyFill="1"/>
    <xf numFmtId="165" fontId="22" fillId="12" borderId="12" xfId="15" applyNumberFormat="1" applyFont="1" applyFill="1" applyBorder="1"/>
    <xf numFmtId="0" fontId="0" fillId="11" borderId="9" xfId="0" applyFill="1" applyBorder="1"/>
    <xf numFmtId="167" fontId="22" fillId="12" borderId="14" xfId="11" applyNumberFormat="1" applyFont="1" applyFill="1" applyBorder="1"/>
    <xf numFmtId="0" fontId="23" fillId="3" borderId="16" xfId="15" applyFont="1" applyFill="1" applyBorder="1" applyAlignment="1">
      <alignment horizontal="left"/>
    </xf>
    <xf numFmtId="171" fontId="5" fillId="4" borderId="0" xfId="14" applyNumberFormat="1" applyFont="1" applyFill="1"/>
    <xf numFmtId="172" fontId="22" fillId="12" borderId="7" xfId="11" applyNumberFormat="1" applyFont="1" applyFill="1" applyBorder="1"/>
    <xf numFmtId="172" fontId="22" fillId="12" borderId="15" xfId="11" applyNumberFormat="1" applyFont="1" applyFill="1" applyBorder="1"/>
    <xf numFmtId="0" fontId="27" fillId="0" borderId="0" xfId="2" applyFont="1"/>
    <xf numFmtId="171" fontId="2" fillId="0" borderId="0" xfId="14" applyNumberFormat="1" applyFont="1"/>
    <xf numFmtId="44" fontId="23" fillId="11" borderId="0" xfId="0" applyNumberFormat="1" applyFont="1" applyFill="1" applyAlignment="1">
      <alignment horizontal="left"/>
    </xf>
    <xf numFmtId="0" fontId="28" fillId="0" borderId="0" xfId="2" applyFont="1" applyAlignment="1">
      <alignment horizontal="right"/>
    </xf>
    <xf numFmtId="9" fontId="5" fillId="14" borderId="0" xfId="1" applyFont="1" applyFill="1"/>
    <xf numFmtId="0" fontId="29" fillId="0" borderId="0" xfId="2" applyFont="1"/>
    <xf numFmtId="44" fontId="2" fillId="3" borderId="0" xfId="14" applyFont="1" applyFill="1"/>
    <xf numFmtId="0" fontId="2" fillId="3" borderId="0" xfId="2" applyFill="1"/>
    <xf numFmtId="0" fontId="2" fillId="0" borderId="0" xfId="2" applyAlignment="1">
      <alignment horizontal="right"/>
    </xf>
    <xf numFmtId="173" fontId="2" fillId="0" borderId="0" xfId="2" applyNumberFormat="1"/>
    <xf numFmtId="171" fontId="2" fillId="13" borderId="0" xfId="14" applyNumberFormat="1" applyFont="1" applyFill="1"/>
    <xf numFmtId="171" fontId="28" fillId="0" borderId="0" xfId="2" applyNumberFormat="1" applyFont="1"/>
    <xf numFmtId="0" fontId="2" fillId="13" borderId="0" xfId="2" applyFill="1"/>
    <xf numFmtId="44" fontId="2" fillId="0" borderId="0" xfId="14" applyFont="1"/>
    <xf numFmtId="9" fontId="2" fillId="0" borderId="0" xfId="1" applyFont="1"/>
    <xf numFmtId="171" fontId="2" fillId="0" borderId="0" xfId="2" applyNumberFormat="1"/>
    <xf numFmtId="171" fontId="27" fillId="0" borderId="0" xfId="2" applyNumberFormat="1" applyFont="1"/>
    <xf numFmtId="0" fontId="30" fillId="3" borderId="0" xfId="0" applyFont="1" applyFill="1"/>
    <xf numFmtId="0" fontId="8" fillId="4" borderId="0" xfId="0" applyFont="1" applyFill="1" applyAlignment="1">
      <alignment horizontal="left"/>
    </xf>
    <xf numFmtId="0" fontId="7" fillId="5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44" fontId="2" fillId="13" borderId="0" xfId="2" applyNumberFormat="1" applyFill="1" applyAlignment="1">
      <alignment horizontal="center"/>
    </xf>
    <xf numFmtId="0" fontId="21" fillId="11" borderId="0" xfId="0" applyFont="1" applyFill="1" applyAlignment="1">
      <alignment horizontal="center"/>
    </xf>
    <xf numFmtId="0" fontId="18" fillId="9" borderId="6" xfId="12" applyBorder="1" applyAlignment="1">
      <alignment horizontal="center" vertical="center" textRotation="90"/>
    </xf>
    <xf numFmtId="0" fontId="18" fillId="9" borderId="9" xfId="12" applyBorder="1" applyAlignment="1">
      <alignment horizontal="center" vertical="center" textRotation="90"/>
    </xf>
    <xf numFmtId="0" fontId="18" fillId="9" borderId="10" xfId="12" applyBorder="1" applyAlignment="1">
      <alignment horizontal="center" vertical="center" textRotation="90"/>
    </xf>
    <xf numFmtId="0" fontId="2" fillId="0" borderId="0" xfId="2" applyAlignment="1">
      <alignment horizontal="left" vertical="top" wrapText="1"/>
    </xf>
  </cellXfs>
  <cellStyles count="16">
    <cellStyle name="20% - Accent3" xfId="13" builtinId="38"/>
    <cellStyle name="Accent1" xfId="12" builtinId="29"/>
    <cellStyle name="Euro" xfId="3" xr:uid="{00000000-0005-0000-0000-000002000000}"/>
    <cellStyle name="Goed" xfId="9" builtinId="26"/>
    <cellStyle name="Invoer" xfId="11" builtinId="20"/>
    <cellStyle name="Komma 2" xfId="4" xr:uid="{00000000-0005-0000-0000-000006000000}"/>
    <cellStyle name="Notitie" xfId="15" builtinId="10"/>
    <cellStyle name="Notitie 2" xfId="5" xr:uid="{00000000-0005-0000-0000-000007000000}"/>
    <cellStyle name="Ongeldig" xfId="10" builtinId="27"/>
    <cellStyle name="Procent" xfId="1" builtinId="5"/>
    <cellStyle name="Procent 2" xfId="6" xr:uid="{00000000-0005-0000-0000-00000A000000}"/>
    <cellStyle name="Standaard" xfId="0" builtinId="0"/>
    <cellStyle name="Standaard 2" xfId="7" xr:uid="{00000000-0005-0000-0000-00000C000000}"/>
    <cellStyle name="Standaard 3" xfId="8" xr:uid="{00000000-0005-0000-0000-00000D000000}"/>
    <cellStyle name="Standaard 4" xfId="2" xr:uid="{00000000-0005-0000-0000-00000E000000}"/>
    <cellStyle name="Valuta" xfId="1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Lijnfunctie!$C$5:$C$7</c:f>
              <c:numCache>
                <c:formatCode>_-"€"\ * #,##0_-;_-"€"\ * #,##0\-;_-"€"\ * "-"??_-;_-@_-</c:formatCode>
                <c:ptCount val="3"/>
                <c:pt idx="0">
                  <c:v>210000</c:v>
                </c:pt>
                <c:pt idx="1">
                  <c:v>185000</c:v>
                </c:pt>
                <c:pt idx="2">
                  <c:v>160000</c:v>
                </c:pt>
              </c:numCache>
            </c:numRef>
          </c:xVal>
          <c:yVal>
            <c:numRef>
              <c:f>Lijnfunctie!$D$5:$D$7</c:f>
              <c:numCache>
                <c:formatCode>0.0</c:formatCode>
                <c:ptCount val="3"/>
                <c:pt idx="0">
                  <c:v>0</c:v>
                </c:pt>
                <c:pt idx="1">
                  <c:v>70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7D-4B8F-BAC6-C055D5B254E7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Lijnfunctie!$C$9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Lijnfunctie!$D$9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D-4B8F-BAC6-C055D5B2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916992"/>
        <c:axId val="116918912"/>
      </c:scatterChart>
      <c:valAx>
        <c:axId val="116916992"/>
        <c:scaling>
          <c:orientation val="minMax"/>
          <c:max val="210000"/>
          <c:min val="16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8912"/>
        <c:crossesAt val="0"/>
        <c:crossBetween val="midCat"/>
        <c:majorUnit val="20000"/>
      </c:valAx>
      <c:valAx>
        <c:axId val="116918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16916992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15</xdr:row>
      <xdr:rowOff>26670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5E89F51D-AFE9-48BC-B49F-93CAE1087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="80" zoomScaleNormal="80" workbookViewId="0">
      <selection activeCell="C6" sqref="C6"/>
    </sheetView>
  </sheetViews>
  <sheetFormatPr defaultColWidth="8.88671875" defaultRowHeight="13.8" x14ac:dyDescent="0.25"/>
  <cols>
    <col min="1" max="1" width="8.88671875" style="2" customWidth="1"/>
    <col min="2" max="2" width="27.88671875" style="2" customWidth="1"/>
    <col min="3" max="3" width="8.44140625" style="2" customWidth="1"/>
    <col min="4" max="4" width="9.44140625" style="2" customWidth="1"/>
    <col min="5" max="5" width="8.88671875" style="2"/>
    <col min="6" max="6" width="8.88671875" style="2" customWidth="1"/>
    <col min="7" max="7" width="22.5546875" style="2" bestFit="1" customWidth="1"/>
    <col min="8" max="8" width="16.44140625" style="2" customWidth="1"/>
    <col min="9" max="9" width="5.88671875" style="2" customWidth="1"/>
    <col min="10" max="10" width="22.5546875" style="2" bestFit="1" customWidth="1"/>
    <col min="11" max="11" width="15.6640625" style="2" bestFit="1" customWidth="1"/>
    <col min="12" max="12" width="10.88671875" style="64" customWidth="1"/>
    <col min="13" max="13" width="22.5546875" style="2" bestFit="1" customWidth="1"/>
    <col min="14" max="14" width="16.88671875" style="2" customWidth="1"/>
    <col min="15" max="15" width="15.44140625" style="64" customWidth="1"/>
    <col min="16" max="17" width="8.88671875" style="2" customWidth="1"/>
    <col min="18" max="16384" width="8.88671875" style="2"/>
  </cols>
  <sheetData>
    <row r="1" spans="1:19" ht="17.399999999999999" x14ac:dyDescent="0.3">
      <c r="A1" s="1" t="s">
        <v>68</v>
      </c>
    </row>
    <row r="3" spans="1:19" x14ac:dyDescent="0.25">
      <c r="B3" s="3" t="s">
        <v>0</v>
      </c>
      <c r="C3" s="85">
        <v>0.2</v>
      </c>
      <c r="O3" s="68"/>
      <c r="P3" s="4" t="s">
        <v>1</v>
      </c>
      <c r="Q3" s="5" t="s">
        <v>2</v>
      </c>
    </row>
    <row r="4" spans="1:19" x14ac:dyDescent="0.25">
      <c r="B4" s="3" t="s">
        <v>70</v>
      </c>
      <c r="C4" s="85">
        <v>0.7</v>
      </c>
      <c r="P4" s="3" t="s">
        <v>3</v>
      </c>
      <c r="Q4" s="7">
        <v>100</v>
      </c>
    </row>
    <row r="5" spans="1:19" x14ac:dyDescent="0.25">
      <c r="B5" s="3" t="s">
        <v>72</v>
      </c>
      <c r="C5" s="85">
        <v>0.1</v>
      </c>
      <c r="P5" s="3" t="s">
        <v>4</v>
      </c>
      <c r="Q5" s="7">
        <v>80</v>
      </c>
    </row>
    <row r="6" spans="1:19" x14ac:dyDescent="0.25">
      <c r="G6" s="100" t="s">
        <v>5</v>
      </c>
      <c r="H6" s="100"/>
      <c r="J6" s="100" t="s">
        <v>6</v>
      </c>
      <c r="K6" s="100"/>
      <c r="M6" s="100" t="s">
        <v>7</v>
      </c>
      <c r="N6" s="100"/>
      <c r="P6" s="3" t="s">
        <v>8</v>
      </c>
      <c r="Q6" s="7">
        <v>50</v>
      </c>
    </row>
    <row r="7" spans="1:19" ht="14.4" x14ac:dyDescent="0.3">
      <c r="A7" s="8" t="s">
        <v>9</v>
      </c>
      <c r="E7" s="9" t="s">
        <v>10</v>
      </c>
      <c r="F7" s="9"/>
      <c r="G7" s="9" t="s">
        <v>2</v>
      </c>
      <c r="H7" s="10" t="s">
        <v>11</v>
      </c>
      <c r="J7" s="9" t="s">
        <v>2</v>
      </c>
      <c r="K7" s="10" t="s">
        <v>11</v>
      </c>
      <c r="M7" s="9" t="s">
        <v>2</v>
      </c>
      <c r="N7" s="10" t="s">
        <v>11</v>
      </c>
      <c r="P7" s="3" t="s">
        <v>12</v>
      </c>
      <c r="Q7" s="7">
        <v>20</v>
      </c>
    </row>
    <row r="8" spans="1:19" x14ac:dyDescent="0.25">
      <c r="H8" s="7"/>
      <c r="K8" s="7"/>
      <c r="N8" s="7"/>
      <c r="P8" s="3" t="s">
        <v>13</v>
      </c>
      <c r="Q8" s="7">
        <v>0</v>
      </c>
    </row>
    <row r="9" spans="1:19" x14ac:dyDescent="0.25">
      <c r="A9" s="2" t="s">
        <v>14</v>
      </c>
      <c r="B9" s="101" t="s">
        <v>60</v>
      </c>
      <c r="C9" s="101"/>
      <c r="E9" s="85">
        <v>0.3</v>
      </c>
      <c r="F9" s="70"/>
      <c r="G9" s="11" t="s">
        <v>3</v>
      </c>
      <c r="H9" s="12">
        <f>VLOOKUP(G9,$P$4:$Q$8,2,FALSE)*$E$9</f>
        <v>30</v>
      </c>
      <c r="J9" s="11" t="s">
        <v>3</v>
      </c>
      <c r="K9" s="12">
        <f>VLOOKUP(J9,$P$4:$Q$8,2,FALSE)*$E$9</f>
        <v>30</v>
      </c>
      <c r="M9" s="11" t="s">
        <v>3</v>
      </c>
      <c r="N9" s="12">
        <f>VLOOKUP(M9,$P$4:$Q$8,2,FALSE)*$E$9</f>
        <v>30</v>
      </c>
      <c r="O9" s="69"/>
      <c r="P9" s="3"/>
      <c r="S9" s="13"/>
    </row>
    <row r="10" spans="1:19" x14ac:dyDescent="0.25">
      <c r="B10" s="14"/>
      <c r="C10" s="14"/>
      <c r="F10" s="70"/>
      <c r="H10" s="12"/>
      <c r="K10" s="12"/>
      <c r="N10" s="12"/>
      <c r="P10" s="3"/>
      <c r="S10" s="15"/>
    </row>
    <row r="11" spans="1:19" x14ac:dyDescent="0.25">
      <c r="A11" s="2" t="s">
        <v>16</v>
      </c>
      <c r="B11" s="101" t="s">
        <v>61</v>
      </c>
      <c r="C11" s="101"/>
      <c r="E11" s="85">
        <v>0.2</v>
      </c>
      <c r="F11" s="70"/>
      <c r="G11" s="11" t="s">
        <v>3</v>
      </c>
      <c r="H11" s="12">
        <f>VLOOKUP(G11,$P$4:$Q$8,2,FALSE)*$E$11</f>
        <v>20</v>
      </c>
      <c r="J11" s="11" t="s">
        <v>3</v>
      </c>
      <c r="K11" s="12">
        <f>VLOOKUP(J11,$P$4:$Q$8,2,FALSE)*$E$11</f>
        <v>20</v>
      </c>
      <c r="M11" s="11" t="s">
        <v>3</v>
      </c>
      <c r="N11" s="12">
        <f>VLOOKUP(M11,$P$4:$Q$8,2,FALSE)*$E$11</f>
        <v>20</v>
      </c>
      <c r="O11" s="69"/>
      <c r="P11" s="3"/>
      <c r="S11" s="13"/>
    </row>
    <row r="12" spans="1:19" x14ac:dyDescent="0.25">
      <c r="B12" s="14"/>
      <c r="C12" s="14"/>
      <c r="F12" s="70"/>
      <c r="H12" s="12"/>
      <c r="K12" s="12"/>
      <c r="N12" s="12"/>
      <c r="P12" s="3"/>
      <c r="S12" s="15"/>
    </row>
    <row r="13" spans="1:19" x14ac:dyDescent="0.25">
      <c r="A13" s="2" t="s">
        <v>17</v>
      </c>
      <c r="B13" s="101" t="s">
        <v>62</v>
      </c>
      <c r="C13" s="101"/>
      <c r="E13" s="85">
        <v>0.2</v>
      </c>
      <c r="F13" s="70"/>
      <c r="G13" s="11" t="s">
        <v>3</v>
      </c>
      <c r="H13" s="12">
        <f>VLOOKUP(G13,$P$4:$Q$8,2,FALSE)*$E$13</f>
        <v>20</v>
      </c>
      <c r="J13" s="11" t="s">
        <v>3</v>
      </c>
      <c r="K13" s="12">
        <f>VLOOKUP(J13,$P$4:$Q$8,2,FALSE)*$E$13</f>
        <v>20</v>
      </c>
      <c r="M13" s="11" t="s">
        <v>3</v>
      </c>
      <c r="N13" s="12">
        <f>VLOOKUP(M13,$P$4:$Q$8,2,FALSE)*$E$13</f>
        <v>20</v>
      </c>
      <c r="P13" s="3"/>
      <c r="S13" s="15"/>
    </row>
    <row r="14" spans="1:19" hidden="1" x14ac:dyDescent="0.25">
      <c r="B14" s="14"/>
      <c r="C14" s="14"/>
      <c r="F14" s="70"/>
      <c r="H14" s="12"/>
      <c r="K14" s="12"/>
      <c r="N14" s="12"/>
      <c r="P14" s="3"/>
      <c r="S14" s="15"/>
    </row>
    <row r="15" spans="1:19" ht="14.4" hidden="1" x14ac:dyDescent="0.3">
      <c r="A15" s="2" t="s">
        <v>18</v>
      </c>
      <c r="B15" s="99" t="s">
        <v>15</v>
      </c>
      <c r="C15" s="99"/>
      <c r="E15" s="6">
        <f>1-E9-E11-E13</f>
        <v>0.29999999999999993</v>
      </c>
      <c r="F15" s="70"/>
      <c r="G15" s="11" t="s">
        <v>3</v>
      </c>
      <c r="H15" s="12">
        <f>VLOOKUP(G15,$P$4:$Q$8,2,FALSE)*$E$15*$C$4</f>
        <v>20.999999999999993</v>
      </c>
      <c r="J15" s="11" t="s">
        <v>3</v>
      </c>
      <c r="K15" s="12">
        <f>VLOOKUP(J15,$P$4:$Q$8,2,FALSE)*$E$15*$C$4</f>
        <v>20.999999999999993</v>
      </c>
      <c r="M15" s="11" t="s">
        <v>3</v>
      </c>
      <c r="N15" s="12">
        <f>VLOOKUP(M15,$P$4:$Q$8,2,FALSE)*$E$15*$C$4</f>
        <v>20.999999999999993</v>
      </c>
      <c r="O15" s="69"/>
      <c r="P15" s="3"/>
      <c r="S15" s="13"/>
    </row>
    <row r="16" spans="1:19" x14ac:dyDescent="0.25">
      <c r="H16" s="7"/>
      <c r="K16" s="7"/>
      <c r="N16" s="7"/>
      <c r="P16" s="16"/>
    </row>
    <row r="17" spans="1:16" x14ac:dyDescent="0.25">
      <c r="E17" s="17">
        <f>SUM(E9:E15)</f>
        <v>0.99999999999999989</v>
      </c>
      <c r="G17" s="18" t="s">
        <v>19</v>
      </c>
      <c r="H17" s="19">
        <f>SUM(H9:H15)</f>
        <v>91</v>
      </c>
      <c r="J17" s="18" t="s">
        <v>19</v>
      </c>
      <c r="K17" s="19">
        <f>SUM(K9:K15)</f>
        <v>91</v>
      </c>
      <c r="M17" s="18" t="s">
        <v>19</v>
      </c>
      <c r="N17" s="19">
        <f>SUM(N9:N15)</f>
        <v>91</v>
      </c>
      <c r="P17" s="3"/>
    </row>
    <row r="18" spans="1:16" x14ac:dyDescent="0.25">
      <c r="P18" s="3"/>
    </row>
    <row r="19" spans="1:16" x14ac:dyDescent="0.25">
      <c r="P19" s="3"/>
    </row>
    <row r="20" spans="1:16" x14ac:dyDescent="0.25">
      <c r="G20" s="100" t="s">
        <v>5</v>
      </c>
      <c r="H20" s="100"/>
      <c r="J20" s="100" t="s">
        <v>6</v>
      </c>
      <c r="K20" s="100"/>
      <c r="M20" s="100" t="s">
        <v>7</v>
      </c>
      <c r="N20" s="100"/>
      <c r="P20" s="3"/>
    </row>
    <row r="21" spans="1:16" ht="14.4" x14ac:dyDescent="0.3">
      <c r="A21" s="8" t="s">
        <v>20</v>
      </c>
      <c r="E21" s="9"/>
      <c r="F21" s="9"/>
      <c r="G21" s="9" t="s">
        <v>21</v>
      </c>
      <c r="H21" s="10" t="s">
        <v>2</v>
      </c>
      <c r="J21" s="9" t="s">
        <v>21</v>
      </c>
      <c r="K21" s="10"/>
      <c r="M21" s="9" t="s">
        <v>21</v>
      </c>
      <c r="N21" s="10"/>
      <c r="P21" s="3"/>
    </row>
    <row r="22" spans="1:16" x14ac:dyDescent="0.25">
      <c r="L22" s="65"/>
      <c r="O22" s="65"/>
      <c r="P22" s="3"/>
    </row>
    <row r="23" spans="1:16" ht="14.4" customHeight="1" x14ac:dyDescent="0.25">
      <c r="A23" s="2" t="s">
        <v>22</v>
      </c>
      <c r="F23" s="20"/>
      <c r="G23" s="78" t="s">
        <v>69</v>
      </c>
      <c r="H23" s="12" t="s">
        <v>69</v>
      </c>
      <c r="J23" s="78" t="s">
        <v>69</v>
      </c>
      <c r="K23" s="12" t="s">
        <v>69</v>
      </c>
      <c r="L23" s="66" t="e">
        <f>(K23-$H$23)/$H$23</f>
        <v>#VALUE!</v>
      </c>
      <c r="M23" s="78" t="s">
        <v>69</v>
      </c>
      <c r="N23" s="12" t="s">
        <v>69</v>
      </c>
      <c r="O23" s="66" t="e">
        <f>(N23-$H$23)/$H$23</f>
        <v>#VALUE!</v>
      </c>
    </row>
    <row r="24" spans="1:16" ht="14.4" customHeight="1" x14ac:dyDescent="0.25">
      <c r="G24" s="3"/>
      <c r="J24" s="3"/>
      <c r="L24" s="2"/>
      <c r="M24" s="3"/>
      <c r="O24" s="2"/>
    </row>
    <row r="25" spans="1:16" ht="14.4" customHeight="1" x14ac:dyDescent="0.25">
      <c r="G25" s="18" t="s">
        <v>19</v>
      </c>
      <c r="H25" s="19" t="s">
        <v>69</v>
      </c>
      <c r="J25" s="18" t="s">
        <v>19</v>
      </c>
      <c r="K25" s="19" t="s">
        <v>69</v>
      </c>
      <c r="L25" s="2"/>
      <c r="M25" s="18" t="s">
        <v>19</v>
      </c>
      <c r="N25" s="19" t="e">
        <f>N23*$C$3</f>
        <v>#VALUE!</v>
      </c>
      <c r="O25" s="2"/>
    </row>
    <row r="26" spans="1:16" ht="14.4" customHeight="1" x14ac:dyDescent="0.25">
      <c r="G26" s="3"/>
      <c r="L26" s="2"/>
      <c r="O26" s="2"/>
    </row>
    <row r="28" spans="1:16" ht="16.8" x14ac:dyDescent="0.3">
      <c r="G28" s="21" t="s">
        <v>23</v>
      </c>
      <c r="H28" s="22" t="e">
        <f>H25+H17</f>
        <v>#VALUE!</v>
      </c>
      <c r="I28" s="23"/>
      <c r="J28" s="21" t="s">
        <v>23</v>
      </c>
      <c r="K28" s="22" t="e">
        <f>K25+K17</f>
        <v>#VALUE!</v>
      </c>
      <c r="L28" s="67"/>
      <c r="M28" s="21" t="s">
        <v>23</v>
      </c>
      <c r="N28" s="22" t="e">
        <f>N25+N17</f>
        <v>#VALUE!</v>
      </c>
    </row>
    <row r="31" spans="1:16" x14ac:dyDescent="0.25">
      <c r="A31" s="98" t="s">
        <v>71</v>
      </c>
    </row>
  </sheetData>
  <mergeCells count="10">
    <mergeCell ref="G6:H6"/>
    <mergeCell ref="J6:K6"/>
    <mergeCell ref="M6:N6"/>
    <mergeCell ref="B9:C9"/>
    <mergeCell ref="B11:C11"/>
    <mergeCell ref="B15:C15"/>
    <mergeCell ref="G20:H20"/>
    <mergeCell ref="J20:K20"/>
    <mergeCell ref="M20:N20"/>
    <mergeCell ref="B13:C13"/>
  </mergeCells>
  <dataValidations count="1">
    <dataValidation type="list" allowBlank="1" showInputMessage="1" showErrorMessage="1" sqref="G9 M11 J13 G11 M9 G13 J15 G15 J11 J9 M15 M13" xr:uid="{00000000-0002-0000-0000-000000000000}">
      <formula1>$P$4:$P$8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5"/>
  <sheetViews>
    <sheetView topLeftCell="A35" zoomScale="130" zoomScaleNormal="130" workbookViewId="0">
      <selection activeCell="A48" sqref="A48"/>
    </sheetView>
  </sheetViews>
  <sheetFormatPr defaultColWidth="8.88671875" defaultRowHeight="12" x14ac:dyDescent="0.25"/>
  <cols>
    <col min="1" max="1" width="40.109375" style="24" customWidth="1"/>
    <col min="2" max="2" width="12.109375" style="24" customWidth="1"/>
    <col min="3" max="3" width="10.5546875" style="24" customWidth="1"/>
    <col min="4" max="4" width="4.6640625" style="24" customWidth="1"/>
    <col min="5" max="5" width="11.5546875" style="24" customWidth="1"/>
    <col min="6" max="6" width="10.6640625" style="24" bestFit="1" customWidth="1"/>
    <col min="7" max="7" width="15" style="24" customWidth="1"/>
    <col min="8" max="8" width="9.6640625" style="24" customWidth="1"/>
    <col min="9" max="9" width="10.6640625" style="24" bestFit="1" customWidth="1"/>
    <col min="10" max="14" width="0" style="24" hidden="1" customWidth="1"/>
    <col min="15" max="15" width="11" style="24" bestFit="1" customWidth="1"/>
    <col min="16" max="16384" width="8.88671875" style="24"/>
  </cols>
  <sheetData>
    <row r="1" spans="1:15" x14ac:dyDescent="0.25">
      <c r="A1" s="25" t="s">
        <v>24</v>
      </c>
    </row>
    <row r="3" spans="1:15" hidden="1" x14ac:dyDescent="0.25">
      <c r="A3" s="24" t="s">
        <v>25</v>
      </c>
    </row>
    <row r="4" spans="1:15" hidden="1" x14ac:dyDescent="0.25">
      <c r="A4" s="24" t="s">
        <v>26</v>
      </c>
      <c r="B4" s="87">
        <v>188198.59</v>
      </c>
      <c r="J4" s="72">
        <v>208240.92</v>
      </c>
      <c r="K4" s="71">
        <f>J4/1.21</f>
        <v>172099.93388429753</v>
      </c>
      <c r="L4" s="71">
        <f>J4-K4</f>
        <v>36140.986115702486</v>
      </c>
      <c r="M4" s="71">
        <f>L4/4</f>
        <v>9035.2465289256215</v>
      </c>
      <c r="N4" s="71">
        <f>J4-(3*M4)</f>
        <v>181135.18041322316</v>
      </c>
    </row>
    <row r="5" spans="1:15" hidden="1" x14ac:dyDescent="0.25">
      <c r="A5" s="24" t="s">
        <v>27</v>
      </c>
      <c r="B5" s="88">
        <v>1357</v>
      </c>
    </row>
    <row r="6" spans="1:15" hidden="1" x14ac:dyDescent="0.25">
      <c r="A6" s="24" t="s">
        <v>28</v>
      </c>
      <c r="B6" s="71">
        <f>B4/B5</f>
        <v>138.68724392041267</v>
      </c>
    </row>
    <row r="7" spans="1:15" hidden="1" x14ac:dyDescent="0.25"/>
    <row r="8" spans="1:15" x14ac:dyDescent="0.25">
      <c r="A8" s="25" t="s">
        <v>29</v>
      </c>
    </row>
    <row r="9" spans="1:15" x14ac:dyDescent="0.25">
      <c r="A9" s="86" t="s">
        <v>30</v>
      </c>
    </row>
    <row r="10" spans="1:15" x14ac:dyDescent="0.25">
      <c r="A10" s="86" t="s">
        <v>31</v>
      </c>
    </row>
    <row r="11" spans="1:15" x14ac:dyDescent="0.25">
      <c r="A11" s="86" t="s">
        <v>32</v>
      </c>
      <c r="I11" s="89" t="s">
        <v>33</v>
      </c>
      <c r="O11" s="90">
        <f>4*52060.23</f>
        <v>208240.92</v>
      </c>
    </row>
    <row r="15" spans="1:15" x14ac:dyDescent="0.25">
      <c r="E15" s="97"/>
    </row>
    <row r="16" spans="1:15" ht="14.4" customHeight="1" x14ac:dyDescent="0.25">
      <c r="A16" s="24" t="s">
        <v>34</v>
      </c>
      <c r="B16" s="102">
        <f>E16</f>
        <v>185000</v>
      </c>
      <c r="C16" s="102"/>
      <c r="E16" s="82">
        <v>185000</v>
      </c>
      <c r="F16" s="81" t="s">
        <v>35</v>
      </c>
      <c r="H16" s="82">
        <f>O16*1550</f>
        <v>224750</v>
      </c>
      <c r="O16" s="24">
        <v>145</v>
      </c>
    </row>
    <row r="17" spans="1:17" x14ac:dyDescent="0.25">
      <c r="A17" s="24" t="s">
        <v>36</v>
      </c>
      <c r="B17" s="73">
        <v>0.15</v>
      </c>
      <c r="C17" s="71">
        <f>(B17*$B$16)+$B$16</f>
        <v>212750</v>
      </c>
      <c r="E17" s="82">
        <v>210000</v>
      </c>
      <c r="F17" s="81" t="s">
        <v>37</v>
      </c>
      <c r="H17" s="82">
        <f>O17*1550</f>
        <v>258462.5</v>
      </c>
      <c r="O17" s="96">
        <f>O16*1.15</f>
        <v>166.75</v>
      </c>
    </row>
    <row r="18" spans="1:17" x14ac:dyDescent="0.25">
      <c r="A18" s="24" t="s">
        <v>38</v>
      </c>
      <c r="B18" s="73">
        <v>-0.05</v>
      </c>
      <c r="C18" s="71">
        <f>(B18*$B$16)+$B$16</f>
        <v>175750</v>
      </c>
      <c r="E18" s="82"/>
      <c r="H18" s="82"/>
    </row>
    <row r="19" spans="1:17" x14ac:dyDescent="0.25">
      <c r="A19" s="24" t="s">
        <v>38</v>
      </c>
      <c r="B19" s="73">
        <v>-0.15</v>
      </c>
      <c r="C19" s="71">
        <f>(B19*$B$16)+$B$16</f>
        <v>157250</v>
      </c>
      <c r="E19" s="82">
        <v>160000</v>
      </c>
      <c r="F19" s="81" t="s">
        <v>39</v>
      </c>
      <c r="H19" s="82">
        <v>200000</v>
      </c>
    </row>
    <row r="20" spans="1:17" x14ac:dyDescent="0.25">
      <c r="E20" s="96">
        <f>E17/1550</f>
        <v>135.48387096774192</v>
      </c>
    </row>
    <row r="24" spans="1:17" x14ac:dyDescent="0.25">
      <c r="P24" s="24">
        <v>1595</v>
      </c>
      <c r="Q24" s="24">
        <f>P24*0.6</f>
        <v>957</v>
      </c>
    </row>
    <row r="27" spans="1:17" x14ac:dyDescent="0.25">
      <c r="A27" s="94">
        <v>230000</v>
      </c>
      <c r="B27" s="24" t="s">
        <v>63</v>
      </c>
      <c r="F27" s="94">
        <v>208240.92</v>
      </c>
    </row>
    <row r="28" spans="1:17" x14ac:dyDescent="0.25">
      <c r="A28" s="24">
        <v>1550</v>
      </c>
      <c r="B28" s="24" t="s">
        <v>64</v>
      </c>
      <c r="C28" s="24" t="s">
        <v>65</v>
      </c>
      <c r="F28" s="24">
        <v>1386</v>
      </c>
      <c r="I28" s="95">
        <f>(A28-F28)/F28</f>
        <v>0.11832611832611832</v>
      </c>
    </row>
    <row r="29" spans="1:17" x14ac:dyDescent="0.25">
      <c r="A29" s="71">
        <f>A27/A28</f>
        <v>148.38709677419354</v>
      </c>
      <c r="F29" s="71">
        <f>F27/F28</f>
        <v>150.24597402597402</v>
      </c>
      <c r="G29" s="71">
        <f>F29*A28</f>
        <v>232881.25974025973</v>
      </c>
    </row>
    <row r="32" spans="1:17" x14ac:dyDescent="0.25">
      <c r="A32" s="24" t="s">
        <v>67</v>
      </c>
    </row>
    <row r="33" spans="1:2" x14ac:dyDescent="0.25">
      <c r="A33" s="24" t="s">
        <v>66</v>
      </c>
    </row>
    <row r="36" spans="1:2" x14ac:dyDescent="0.25">
      <c r="B36" s="24">
        <v>1254</v>
      </c>
    </row>
    <row r="37" spans="1:2" x14ac:dyDescent="0.25">
      <c r="B37" s="24">
        <v>341</v>
      </c>
    </row>
    <row r="44" spans="1:2" x14ac:dyDescent="0.25">
      <c r="A44" s="24">
        <f>100-(A47-160000)/25000*30</f>
        <v>88</v>
      </c>
    </row>
    <row r="45" spans="1:2" x14ac:dyDescent="0.25">
      <c r="A45" s="81" t="s">
        <v>40</v>
      </c>
    </row>
    <row r="47" spans="1:2" x14ac:dyDescent="0.25">
      <c r="A47" s="93">
        <v>170000</v>
      </c>
    </row>
    <row r="49" spans="1:9" x14ac:dyDescent="0.25">
      <c r="I49" s="24">
        <f>120*1550</f>
        <v>186000</v>
      </c>
    </row>
    <row r="50" spans="1:9" x14ac:dyDescent="0.25">
      <c r="I50" s="24">
        <f>120*1550</f>
        <v>186000</v>
      </c>
    </row>
    <row r="52" spans="1:9" x14ac:dyDescent="0.25">
      <c r="A52" s="24">
        <f>(210000-A55)/25000*70</f>
        <v>33.6</v>
      </c>
    </row>
    <row r="53" spans="1:9" x14ac:dyDescent="0.25">
      <c r="A53" s="81" t="s">
        <v>41</v>
      </c>
    </row>
    <row r="55" spans="1:9" x14ac:dyDescent="0.25">
      <c r="A55" s="93">
        <v>198000</v>
      </c>
    </row>
  </sheetData>
  <mergeCells count="1">
    <mergeCell ref="B16:C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96D3-EDA4-4D31-AE74-8B6DAF337CC6}">
  <sheetPr>
    <tabColor theme="4" tint="0.79998168889431442"/>
  </sheetPr>
  <dimension ref="A1:Q66"/>
  <sheetViews>
    <sheetView zoomScale="115" zoomScaleNormal="115" workbookViewId="0">
      <selection activeCell="C9" sqref="C9"/>
    </sheetView>
  </sheetViews>
  <sheetFormatPr defaultColWidth="0" defaultRowHeight="14.4" customHeight="1" zeroHeight="1" x14ac:dyDescent="0.3"/>
  <cols>
    <col min="1" max="1" width="2.88671875" style="26" customWidth="1"/>
    <col min="2" max="2" width="29.88671875" style="45" customWidth="1"/>
    <col min="3" max="3" width="16" style="26" customWidth="1"/>
    <col min="4" max="4" width="12.88671875" style="26" customWidth="1"/>
    <col min="5" max="5" width="24.109375" style="26" customWidth="1"/>
    <col min="6" max="7" width="14.33203125" style="26" customWidth="1"/>
    <col min="8" max="8" width="2.44140625" style="26" customWidth="1"/>
    <col min="9" max="9" width="14.33203125" style="26" customWidth="1"/>
    <col min="10" max="10" width="16.33203125" style="26" customWidth="1"/>
    <col min="11" max="11" width="2.44140625" style="26" customWidth="1"/>
    <col min="12" max="13" width="14.33203125" style="29" hidden="1" customWidth="1"/>
    <col min="14" max="17" width="9.109375" style="29" hidden="1" customWidth="1"/>
    <col min="18" max="16384" width="9.109375" hidden="1"/>
  </cols>
  <sheetData>
    <row r="1" spans="1:11" ht="15" customHeight="1" x14ac:dyDescent="0.3">
      <c r="B1" s="27"/>
      <c r="C1" s="28"/>
      <c r="D1" s="28"/>
      <c r="E1" s="28"/>
    </row>
    <row r="2" spans="1:11" ht="15" customHeight="1" x14ac:dyDescent="0.3">
      <c r="B2" s="27"/>
      <c r="C2" s="28"/>
      <c r="D2" s="28"/>
      <c r="E2" s="103" t="s">
        <v>42</v>
      </c>
      <c r="F2" s="103"/>
      <c r="G2" s="103"/>
      <c r="H2" s="103"/>
      <c r="I2" s="103"/>
      <c r="J2" s="103"/>
    </row>
    <row r="3" spans="1:11" ht="15" customHeight="1" x14ac:dyDescent="0.3">
      <c r="B3" s="27"/>
      <c r="C3" s="28"/>
    </row>
    <row r="4" spans="1:11" ht="15" thickBot="1" x14ac:dyDescent="0.35">
      <c r="A4" s="30"/>
      <c r="B4" s="31" t="s">
        <v>43</v>
      </c>
      <c r="C4" s="32" t="s">
        <v>44</v>
      </c>
      <c r="D4" s="33" t="s">
        <v>2</v>
      </c>
      <c r="K4" s="34"/>
    </row>
    <row r="5" spans="1:11" ht="15" customHeight="1" thickBot="1" x14ac:dyDescent="0.35">
      <c r="A5" s="104" t="s">
        <v>45</v>
      </c>
      <c r="B5" s="35" t="s">
        <v>46</v>
      </c>
      <c r="C5" s="79">
        <v>210000</v>
      </c>
      <c r="D5" s="36">
        <v>0</v>
      </c>
      <c r="E5" s="37"/>
      <c r="F5" s="38"/>
      <c r="G5" s="39"/>
      <c r="H5" s="40"/>
      <c r="I5" s="38"/>
      <c r="J5" s="38"/>
      <c r="K5" s="38"/>
    </row>
    <row r="6" spans="1:11" x14ac:dyDescent="0.3">
      <c r="A6" s="105"/>
      <c r="B6" s="77" t="s">
        <v>47</v>
      </c>
      <c r="C6" s="79">
        <v>185000</v>
      </c>
      <c r="D6" s="36">
        <v>70</v>
      </c>
      <c r="E6" s="37"/>
      <c r="F6" s="38"/>
      <c r="G6" s="39"/>
      <c r="H6" s="40"/>
      <c r="I6" s="38"/>
      <c r="J6" s="38"/>
      <c r="K6" s="38"/>
    </row>
    <row r="7" spans="1:11" ht="15" thickBot="1" x14ac:dyDescent="0.35">
      <c r="A7" s="105"/>
      <c r="B7" s="41" t="s">
        <v>48</v>
      </c>
      <c r="C7" s="80">
        <v>160000</v>
      </c>
      <c r="D7" s="76">
        <v>100</v>
      </c>
      <c r="E7" s="37"/>
      <c r="F7" s="38"/>
      <c r="G7" s="39"/>
      <c r="H7" s="40"/>
      <c r="I7" s="38"/>
      <c r="J7" s="38"/>
      <c r="K7" s="38"/>
    </row>
    <row r="8" spans="1:11" ht="15" thickBot="1" x14ac:dyDescent="0.35">
      <c r="A8" s="105"/>
      <c r="B8" s="75"/>
      <c r="D8" s="42"/>
      <c r="E8" s="37"/>
      <c r="F8" s="38"/>
      <c r="G8" s="39"/>
      <c r="H8" s="40"/>
      <c r="I8" s="38"/>
      <c r="J8" s="38"/>
      <c r="K8" s="38"/>
    </row>
    <row r="9" spans="1:11" ht="15" thickBot="1" x14ac:dyDescent="0.35">
      <c r="A9" s="106"/>
      <c r="B9" s="43" t="s">
        <v>49</v>
      </c>
      <c r="C9" s="74"/>
      <c r="D9" s="44" t="str">
        <f>IF(C9&lt;&gt;"",IF(IF(C$7&gt;=C$5,C9&gt;=C$6,C9&lt;=C$6),MIN(D$7,MAX(D$6,D$7-(C9-C$7)/((C$6-C$7)/(D$7-D$6)))),MIN(D$6,MAX(D$5,D$6-(C9-C$6)/((C$5-C$6)/(D$6-D$5))))),"")</f>
        <v/>
      </c>
      <c r="E9" s="37"/>
      <c r="F9" s="38"/>
      <c r="G9" s="38"/>
      <c r="H9" s="38"/>
      <c r="I9" s="38"/>
      <c r="J9" s="38"/>
      <c r="K9" s="38"/>
    </row>
    <row r="10" spans="1:11" x14ac:dyDescent="0.3">
      <c r="E10" s="46"/>
      <c r="F10" s="38"/>
      <c r="G10" s="38"/>
      <c r="H10" s="38"/>
      <c r="I10" s="38"/>
      <c r="J10" s="38"/>
      <c r="K10" s="38"/>
    </row>
    <row r="11" spans="1:11" x14ac:dyDescent="0.3">
      <c r="A11" s="45"/>
      <c r="B11" s="45" t="s">
        <v>50</v>
      </c>
      <c r="E11" s="46"/>
      <c r="F11" s="38"/>
      <c r="G11" s="38"/>
      <c r="H11" s="38"/>
      <c r="I11" s="38"/>
      <c r="J11" s="38"/>
      <c r="K11" s="38"/>
    </row>
    <row r="12" spans="1:11" x14ac:dyDescent="0.3">
      <c r="B12" s="45" t="s">
        <v>51</v>
      </c>
      <c r="E12" s="46"/>
      <c r="F12" s="38"/>
      <c r="G12" s="38"/>
      <c r="H12" s="38"/>
      <c r="I12" s="38"/>
      <c r="J12" s="47"/>
      <c r="K12" s="38"/>
    </row>
    <row r="13" spans="1:11" x14ac:dyDescent="0.3">
      <c r="E13" s="46"/>
      <c r="F13" s="38"/>
      <c r="G13" s="38"/>
      <c r="H13" s="38"/>
      <c r="I13" s="38"/>
      <c r="J13"/>
      <c r="K13" s="38"/>
    </row>
    <row r="14" spans="1:11" x14ac:dyDescent="0.3">
      <c r="A14" s="45"/>
      <c r="B14" s="26" t="s">
        <v>52</v>
      </c>
      <c r="C14" s="28"/>
      <c r="E14" s="37"/>
      <c r="F14" s="48"/>
      <c r="G14" s="45"/>
      <c r="H14" s="48"/>
      <c r="I14" s="48"/>
      <c r="J14" s="48"/>
      <c r="K14" s="48"/>
    </row>
    <row r="15" spans="1:11" ht="15" customHeight="1" x14ac:dyDescent="0.3">
      <c r="E15" s="49"/>
      <c r="F15" s="48"/>
      <c r="G15" s="48"/>
      <c r="H15" s="48"/>
      <c r="I15" s="48"/>
      <c r="J15" s="48"/>
      <c r="K15" s="48"/>
    </row>
    <row r="16" spans="1:11" x14ac:dyDescent="0.3">
      <c r="B16" s="45" t="s">
        <v>53</v>
      </c>
      <c r="E16" s="49"/>
      <c r="F16" s="48"/>
      <c r="G16" s="48"/>
      <c r="H16" s="48"/>
      <c r="I16" s="48"/>
      <c r="J16" s="48"/>
      <c r="K16" s="48"/>
    </row>
    <row r="17" spans="1:11" x14ac:dyDescent="0.3">
      <c r="B17" s="50" t="s">
        <v>54</v>
      </c>
      <c r="C17" s="28"/>
      <c r="D17" s="28"/>
      <c r="E17" s="28"/>
      <c r="J17" s="51"/>
    </row>
    <row r="18" spans="1:11" x14ac:dyDescent="0.3">
      <c r="B18" s="83"/>
      <c r="C18" s="28"/>
      <c r="D18" s="28"/>
      <c r="E18" s="28"/>
      <c r="J18" s="51"/>
    </row>
    <row r="19" spans="1:11" x14ac:dyDescent="0.3">
      <c r="B19" s="55" t="s">
        <v>55</v>
      </c>
      <c r="C19" s="28"/>
      <c r="D19" s="28"/>
      <c r="E19" s="28"/>
      <c r="F19" s="52"/>
      <c r="J19" s="51"/>
    </row>
    <row r="20" spans="1:11" x14ac:dyDescent="0.3">
      <c r="B20" s="54" t="s">
        <v>56</v>
      </c>
      <c r="C20" s="28"/>
      <c r="D20"/>
      <c r="E20" s="53"/>
      <c r="J20" s="51"/>
    </row>
    <row r="21" spans="1:11" x14ac:dyDescent="0.3">
      <c r="B21" s="54"/>
      <c r="C21" s="28"/>
      <c r="D21" s="28"/>
      <c r="E21" s="28"/>
      <c r="J21" s="51"/>
    </row>
    <row r="22" spans="1:11" hidden="1" x14ac:dyDescent="0.3">
      <c r="B22" s="55"/>
      <c r="C22" s="28"/>
      <c r="D22" s="28"/>
      <c r="E22" s="28"/>
      <c r="J22" s="51"/>
    </row>
    <row r="23" spans="1:11" hidden="1" x14ac:dyDescent="0.3">
      <c r="B23" s="54"/>
      <c r="C23" s="28"/>
      <c r="D23"/>
      <c r="E23" s="53"/>
      <c r="J23" s="51"/>
    </row>
    <row r="24" spans="1:11" hidden="1" x14ac:dyDescent="0.3">
      <c r="A24" s="45"/>
      <c r="B24" s="56"/>
      <c r="E24"/>
      <c r="F24" s="29"/>
      <c r="G24" s="29"/>
      <c r="H24" s="29"/>
      <c r="I24" s="29"/>
      <c r="J24" s="29"/>
      <c r="K24" s="57"/>
    </row>
    <row r="25" spans="1:11" ht="15" hidden="1" customHeight="1" x14ac:dyDescent="0.3">
      <c r="A25" s="45"/>
      <c r="B25" s="26"/>
      <c r="E25" s="37"/>
      <c r="F25" s="58"/>
      <c r="G25" s="59"/>
      <c r="H25" s="60"/>
      <c r="I25" s="58"/>
      <c r="J25" s="61"/>
      <c r="K25" s="61"/>
    </row>
    <row r="26" spans="1:11" hidden="1" x14ac:dyDescent="0.3">
      <c r="E26" s="37"/>
      <c r="F26" s="58"/>
      <c r="G26" s="59"/>
      <c r="H26" s="60"/>
      <c r="I26" s="58"/>
      <c r="J26" s="61"/>
      <c r="K26" s="61"/>
    </row>
    <row r="27" spans="1:11" hidden="1" x14ac:dyDescent="0.3">
      <c r="B27" s="28"/>
      <c r="C27" s="28"/>
      <c r="D27" s="28"/>
      <c r="E27" s="37"/>
      <c r="F27" s="38"/>
      <c r="G27" s="39"/>
      <c r="H27" s="40"/>
      <c r="I27" s="38"/>
      <c r="J27" s="46"/>
      <c r="K27" s="46"/>
    </row>
    <row r="28" spans="1:11" hidden="1" x14ac:dyDescent="0.3">
      <c r="B28" s="28"/>
      <c r="C28" s="28"/>
      <c r="D28" s="28"/>
      <c r="E28" s="49"/>
      <c r="F28" s="48"/>
      <c r="G28" s="48"/>
      <c r="H28" s="48"/>
      <c r="I28" s="48"/>
      <c r="J28" s="37"/>
      <c r="K28" s="48"/>
    </row>
    <row r="29" spans="1:11" hidden="1" x14ac:dyDescent="0.3">
      <c r="B29" s="28"/>
      <c r="C29" s="28"/>
      <c r="D29" s="28"/>
      <c r="E29" s="49"/>
      <c r="F29" s="48"/>
      <c r="G29" s="48"/>
      <c r="H29" s="48"/>
      <c r="I29" s="48"/>
      <c r="J29" s="48"/>
      <c r="K29" s="48"/>
    </row>
    <row r="30" spans="1:11" hidden="1" x14ac:dyDescent="0.3">
      <c r="A30" s="62"/>
      <c r="B30" s="28"/>
      <c r="C30" s="28"/>
      <c r="D30" s="28"/>
      <c r="E30" s="49"/>
      <c r="F30" s="48"/>
      <c r="G30" s="48"/>
      <c r="H30" s="48"/>
      <c r="I30" s="48"/>
      <c r="J30" s="48"/>
      <c r="K30" s="48"/>
    </row>
    <row r="31" spans="1:11" hidden="1" x14ac:dyDescent="0.3">
      <c r="A31" s="48"/>
      <c r="B31" s="28"/>
      <c r="C31" s="28"/>
      <c r="D31" s="28"/>
      <c r="F31" s="63"/>
    </row>
    <row r="32" spans="1:11" hidden="1" x14ac:dyDescent="0.3">
      <c r="B32" s="28"/>
      <c r="C32" s="28"/>
      <c r="D32" s="28"/>
    </row>
    <row r="33" spans="2:4" hidden="1" x14ac:dyDescent="0.3">
      <c r="B33" s="28"/>
      <c r="C33" s="28"/>
      <c r="D33" s="28"/>
    </row>
    <row r="34" spans="2:4" hidden="1" x14ac:dyDescent="0.3"/>
    <row r="35" spans="2:4" hidden="1" x14ac:dyDescent="0.3"/>
    <row r="36" spans="2:4" hidden="1" x14ac:dyDescent="0.3"/>
    <row r="37" spans="2:4" hidden="1" x14ac:dyDescent="0.3"/>
    <row r="38" spans="2:4" hidden="1" x14ac:dyDescent="0.3"/>
    <row r="39" spans="2:4" hidden="1" x14ac:dyDescent="0.3"/>
    <row r="40" spans="2:4" hidden="1" x14ac:dyDescent="0.3"/>
    <row r="41" spans="2:4" hidden="1" x14ac:dyDescent="0.3"/>
    <row r="42" spans="2:4" hidden="1" x14ac:dyDescent="0.3"/>
    <row r="43" spans="2:4" hidden="1" x14ac:dyDescent="0.3"/>
    <row r="44" spans="2:4" hidden="1" x14ac:dyDescent="0.3"/>
    <row r="45" spans="2:4" hidden="1" x14ac:dyDescent="0.3"/>
    <row r="46" spans="2:4" hidden="1" x14ac:dyDescent="0.3"/>
    <row r="47" spans="2:4" hidden="1" x14ac:dyDescent="0.3"/>
    <row r="48" spans="2:4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6"/>
  <sheetViews>
    <sheetView workbookViewId="0">
      <selection activeCell="F4" sqref="F4"/>
    </sheetView>
  </sheetViews>
  <sheetFormatPr defaultColWidth="8.88671875" defaultRowHeight="12" x14ac:dyDescent="0.25"/>
  <cols>
    <col min="1" max="1" width="13" style="24" customWidth="1"/>
    <col min="2" max="4" width="8.88671875" style="24"/>
    <col min="5" max="5" width="11.33203125" style="24" customWidth="1"/>
    <col min="6" max="6" width="14.6640625" style="24" customWidth="1"/>
    <col min="7" max="16384" width="8.88671875" style="24"/>
  </cols>
  <sheetData>
    <row r="2" spans="1:7" ht="63" customHeight="1" x14ac:dyDescent="0.25">
      <c r="A2" s="107" t="s">
        <v>57</v>
      </c>
      <c r="B2" s="107"/>
      <c r="C2" s="107"/>
      <c r="D2" s="107"/>
      <c r="E2" s="107"/>
      <c r="F2" s="107"/>
      <c r="G2" s="107"/>
    </row>
    <row r="4" spans="1:7" x14ac:dyDescent="0.25">
      <c r="A4" s="24" t="s">
        <v>58</v>
      </c>
      <c r="F4" s="91"/>
    </row>
    <row r="6" spans="1:7" ht="13.8" x14ac:dyDescent="0.3">
      <c r="E6" s="84" t="s">
        <v>59</v>
      </c>
      <c r="F6" s="92">
        <f>F4</f>
        <v>0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7E3931B4F32B4993A4C50E5FB1658B" ma:contentTypeVersion="4" ma:contentTypeDescription="Een nieuw document maken." ma:contentTypeScope="" ma:versionID="a981040bcea89ff86720dd5f03fe0230">
  <xsd:schema xmlns:xsd="http://www.w3.org/2001/XMLSchema" xmlns:xs="http://www.w3.org/2001/XMLSchema" xmlns:p="http://schemas.microsoft.com/office/2006/metadata/properties" xmlns:ns2="a469c819-960f-43fc-8c9a-a52fab5e5fd1" xmlns:ns3="01c5e28f-bc77-41e2-b40c-d18338c316bc" targetNamespace="http://schemas.microsoft.com/office/2006/metadata/properties" ma:root="true" ma:fieldsID="932b3edf2545d31889d510dbe93c3fd5" ns2:_="" ns3:_="">
    <xsd:import namespace="a469c819-960f-43fc-8c9a-a52fab5e5fd1"/>
    <xsd:import namespace="01c5e28f-bc77-41e2-b40c-d18338c316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9c819-960f-43fc-8c9a-a52fab5e5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5e28f-bc77-41e2-b40c-d18338c316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73413E-A9E7-4EAB-8BDA-A8F5CC190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9c819-960f-43fc-8c9a-a52fab5e5fd1"/>
    <ds:schemaRef ds:uri="01c5e28f-bc77-41e2-b40c-d18338c31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2642B-0BD9-4F7E-AD6A-6F6A90F18E06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469c819-960f-43fc-8c9a-a52fab5e5fd1"/>
    <ds:schemaRef ds:uri="http://purl.org/dc/dcmitype/"/>
    <ds:schemaRef ds:uri="http://purl.org/dc/terms/"/>
    <ds:schemaRef ds:uri="http://schemas.microsoft.com/office/infopath/2007/PartnerControls"/>
    <ds:schemaRef ds:uri="01c5e28f-bc77-41e2-b40c-d18338c316bc"/>
  </ds:schemaRefs>
</ds:datastoreItem>
</file>

<file path=customXml/itemProps3.xml><?xml version="1.0" encoding="utf-8"?>
<ds:datastoreItem xmlns:ds="http://schemas.openxmlformats.org/officeDocument/2006/customXml" ds:itemID="{4432E5CC-700C-402C-BB43-2018F57D1E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Gunningsmodel</vt:lpstr>
      <vt:lpstr>Huidige tarieven</vt:lpstr>
      <vt:lpstr>Lijnfunctie</vt:lpstr>
      <vt:lpstr>Prijsmodel aanbesteding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 (Inkopenvoor)</dc:creator>
  <cp:keywords/>
  <dc:description/>
  <cp:lastModifiedBy>Bergwerff, Jorgen</cp:lastModifiedBy>
  <cp:revision/>
  <dcterms:created xsi:type="dcterms:W3CDTF">2018-03-26T09:39:35Z</dcterms:created>
  <dcterms:modified xsi:type="dcterms:W3CDTF">2022-07-08T12:52:03Z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0x010100CF7E3931B4F32B4993A4C50E5FB1658B</vt:lpwstr>
  </property>
</Properties>
</file>