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pc.belastingdienst.nl\EDF\SSO-CFD\INK_ALG_83-Inkoop-Douane\IUC21-621 Douane Drones\07 - COMM LEVERANCIERS\NvI Selectiefase\"/>
    </mc:Choice>
  </mc:AlternateContent>
  <xr:revisionPtr revIDLastSave="0" documentId="8_{4075A8FE-485B-47F4-868A-EE0E146B0C62}" xr6:coauthVersionLast="47" xr6:coauthVersionMax="47" xr10:uidLastSave="{00000000-0000-0000-0000-000000000000}"/>
  <bookViews>
    <workbookView xWindow="-108" yWindow="-108" windowWidth="23256" windowHeight="12576" tabRatio="723" activeTab="1" xr2:uid="{00000000-000D-0000-FFFF-FFFF00000000}"/>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Kengetallen!#REF!</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5" i="11" l="1"/>
  <c r="E15" i="11"/>
  <c r="B3" i="15"/>
  <c r="D20" i="11" l="1"/>
  <c r="D22" i="11" s="1"/>
  <c r="E20" i="11"/>
  <c r="E22" i="11" s="1"/>
  <c r="F20" i="11"/>
  <c r="F22" i="11"/>
  <c r="D27" i="11"/>
  <c r="D29" i="11" s="1"/>
  <c r="E27" i="11"/>
  <c r="E29" i="11" s="1"/>
  <c r="F27" i="11"/>
  <c r="F29" i="11" s="1"/>
  <c r="D28" i="11"/>
  <c r="E28" i="11"/>
  <c r="F28" i="11"/>
  <c r="D19" i="14" l="1"/>
  <c r="B14" i="15" l="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1" i="11"/>
  <c r="G49" i="11"/>
  <c r="C51" i="11"/>
  <c r="C49" i="11"/>
  <c r="C47" i="11"/>
  <c r="F28" i="14" l="1"/>
  <c r="G28" i="14" s="1"/>
  <c r="H28" i="14" s="1"/>
  <c r="I28" i="14" s="1"/>
  <c r="J28" i="14" s="1"/>
  <c r="K28" i="14" s="1"/>
  <c r="B60" i="15"/>
  <c r="B64" i="15"/>
  <c r="G47" i="11"/>
  <c r="B57" i="11" s="1"/>
  <c r="C20" i="15"/>
  <c r="E25" i="15"/>
  <c r="E16" i="11" l="1"/>
  <c r="F16" i="11" s="1"/>
  <c r="D23" i="11"/>
  <c r="E23" i="11"/>
  <c r="F23" i="11"/>
  <c r="F35" i="11"/>
  <c r="D37" i="11"/>
  <c r="E37" i="11"/>
  <c r="F37" i="11"/>
  <c r="G37" i="11"/>
  <c r="D38" i="11"/>
  <c r="E38" i="11"/>
  <c r="F38" i="11"/>
  <c r="E47" i="11"/>
  <c r="F47" i="11" s="1"/>
  <c r="F48" i="11"/>
  <c r="E49" i="11"/>
  <c r="F49" i="11" s="1"/>
  <c r="F50" i="11"/>
  <c r="D51" i="11"/>
  <c r="E51" i="11"/>
  <c r="F51" i="11" s="1"/>
  <c r="F52" i="11"/>
  <c r="H38" i="11" l="1"/>
  <c r="J38" i="11" s="1"/>
  <c r="H37" i="11"/>
  <c r="D39" i="11"/>
  <c r="F39" i="11"/>
  <c r="E39" i="11"/>
  <c r="J37" i="11"/>
  <c r="G7" i="14" s="1"/>
  <c r="G39" i="11"/>
  <c r="F15" i="11"/>
  <c r="G38" i="11"/>
  <c r="H39" i="11" l="1"/>
  <c r="G8" i="14"/>
  <c r="G9" i="14" s="1"/>
  <c r="J39" i="11"/>
  <c r="J41" i="11" l="1"/>
</calcChain>
</file>

<file path=xl/sharedStrings.xml><?xml version="1.0" encoding="utf-8"?>
<sst xmlns="http://schemas.openxmlformats.org/spreadsheetml/2006/main" count="156" uniqueCount="128">
  <si>
    <t>Naam leverancier:</t>
  </si>
  <si>
    <t xml:space="preserve">   Opmerkingen</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</si>
  <si>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</si>
  <si>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</si>
  <si>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</si>
  <si>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</si>
  <si>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</si>
  <si>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</si>
  <si>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</si>
  <si>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</si>
  <si>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</si>
  <si>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</si>
  <si>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</si>
  <si>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</si>
  <si>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</si>
  <si>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</si>
  <si>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</si>
  <si>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</si>
  <si>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</si>
  <si>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</si>
  <si>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</si>
  <si>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</si>
  <si>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</si>
  <si>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</si>
  <si>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</si>
  <si>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</si>
  <si>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</si>
  <si>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</si>
  <si>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</si>
  <si>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</si>
  <si>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</si>
  <si>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</si>
  <si>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</si>
  <si>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</si>
  <si>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</si>
  <si>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</si>
  <si>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</si>
  <si>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</si>
  <si>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</si>
  <si>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</si>
  <si>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</si>
  <si>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</si>
  <si>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</si>
  <si>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</si>
  <si>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</si>
  <si>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</si>
  <si>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</si>
  <si>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</si>
  <si>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</si>
  <si>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</si>
  <si>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</si>
  <si>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</si>
  <si>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</si>
  <si>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</si>
  <si>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</si>
  <si>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</si>
  <si>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</si>
  <si>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</si>
  <si>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</si>
  <si>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</si>
  <si>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</si>
  <si>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</si>
  <si>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</si>
  <si>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</si>
  <si>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</si>
  <si>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</si>
  <si>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</si>
  <si>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</si>
  <si>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</si>
  <si>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</si>
  <si>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</si>
  <si>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</si>
  <si>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</si>
  <si>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</si>
  <si>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</si>
  <si>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</si>
  <si>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</si>
  <si>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</si>
  <si>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</si>
  <si>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</si>
  <si>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</si>
  <si>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</si>
  <si>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</si>
  <si>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</si>
  <si>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</si>
  <si>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</si>
  <si>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</si>
  <si>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</si>
  <si>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</si>
  <si>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</si>
  <si>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</si>
  <si>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</si>
  <si>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</si>
  <si>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</si>
  <si>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</si>
  <si>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</si>
  <si>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</si>
  <si>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</si>
  <si>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</si>
  <si>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</si>
  <si>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</si>
  <si>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</si>
  <si>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</si>
  <si>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</si>
  <si>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</si>
  <si>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</si>
  <si>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</si>
  <si>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</si>
  <si>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</si>
  <si>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</si>
  <si>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</si>
  <si>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</si>
  <si>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</si>
  <si>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</si>
  <si>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</si>
  <si>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</si>
  <si>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</si>
  <si>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</si>
  <si>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</si>
  <si>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</si>
  <si>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</si>
  <si>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Eigen Vermogen</t>
  </si>
  <si>
    <t>Minimumeis</t>
  </si>
  <si>
    <t>Puntenrange</t>
  </si>
  <si>
    <t xml:space="preserve">           ●  jaar 2020 1/3</t>
  </si>
  <si>
    <t xml:space="preserve">           ●  jaar 2021 1/3</t>
  </si>
  <si>
    <t xml:space="preserve">           ●  jaar 2019 1/3</t>
  </si>
  <si>
    <t xml:space="preserve">Europese aanbesteding voor de levering en onderhoud van Drones ten behoeve van Douane Nederland, Belastingdienst Caribisch Nederland, FIOD, NVWA, ILT en RWS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</si>
</sst>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
      <b/>
      <i/>
      <sz val="10"/>
      <name val="Verdana"/>
      <family val="2"/>
    </font>
  </fonts>
  <fills count="9">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60">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2" xfId="1" applyFont="1" applyBorder="1" applyAlignment="1" applyProtection="1">
      <alignment horizontal="center"/>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1" fillId="7" borderId="6" xfId="1" applyFont="1" applyFill="1" applyBorder="1" applyProtection="1">
      <protection hidden="1"/>
    </xf>
    <xf numFmtId="0" fontId="11" fillId="7" borderId="7" xfId="1" applyFont="1" applyFill="1" applyBorder="1" applyProtection="1">
      <protection hidden="1"/>
    </xf>
    <xf numFmtId="0" fontId="17" fillId="7" borderId="13" xfId="1" applyFont="1" applyFill="1" applyBorder="1" applyAlignment="1" applyProtection="1">
      <alignment horizontal="right"/>
      <protection hidden="1"/>
    </xf>
    <xf numFmtId="0" fontId="18" fillId="7" borderId="9" xfId="1" applyFont="1" applyFill="1" applyBorder="1" applyAlignment="1" applyProtection="1">
      <protection hidden="1"/>
    </xf>
    <xf numFmtId="0" fontId="17" fillId="7" borderId="0" xfId="1" applyFont="1" applyFill="1" applyBorder="1" applyAlignment="1" applyProtection="1">
      <alignment horizontal="center" vertical="center"/>
      <protection hidden="1"/>
    </xf>
    <xf numFmtId="0" fontId="11" fillId="7" borderId="8" xfId="1" applyFont="1" applyFill="1" applyBorder="1" applyProtection="1">
      <protection hidden="1"/>
    </xf>
    <xf numFmtId="0" fontId="18" fillId="7" borderId="9" xfId="1" applyFont="1" applyFill="1" applyBorder="1" applyAlignment="1" applyProtection="1">
      <alignment horizontal="center" wrapText="1"/>
      <protection hidden="1"/>
    </xf>
    <xf numFmtId="0" fontId="18" fillId="7" borderId="0" xfId="1" applyFont="1" applyFill="1" applyBorder="1" applyAlignment="1" applyProtection="1">
      <alignment horizontal="center" wrapText="1"/>
      <protection hidden="1"/>
    </xf>
    <xf numFmtId="0" fontId="11" fillId="7" borderId="0" xfId="1" applyFont="1" applyFill="1" applyBorder="1" applyProtection="1">
      <protection hidden="1"/>
    </xf>
    <xf numFmtId="0" fontId="19" fillId="7" borderId="10" xfId="1" applyFont="1" applyFill="1" applyBorder="1" applyProtection="1">
      <protection hidden="1"/>
    </xf>
    <xf numFmtId="0" fontId="11" fillId="7" borderId="11" xfId="1" applyFont="1" applyFill="1" applyBorder="1" applyProtection="1">
      <protection hidden="1"/>
    </xf>
    <xf numFmtId="0" fontId="17" fillId="7" borderId="11" xfId="1" applyFont="1" applyFill="1" applyBorder="1" applyProtection="1">
      <protection hidden="1"/>
    </xf>
    <xf numFmtId="0" fontId="17" fillId="7" borderId="11" xfId="1" applyFont="1" applyFill="1" applyBorder="1" applyAlignment="1" applyProtection="1">
      <alignment horizontal="center" wrapText="1"/>
      <protection hidden="1"/>
    </xf>
    <xf numFmtId="0" fontId="11" fillId="7" borderId="12" xfId="1" applyFont="1" applyFill="1" applyBorder="1" applyProtection="1">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0" fillId="7" borderId="6" xfId="1" applyFont="1" applyFill="1" applyBorder="1" applyProtection="1">
      <protection hidden="1"/>
    </xf>
    <xf numFmtId="0" fontId="21" fillId="7" borderId="7" xfId="1" applyFont="1" applyFill="1" applyBorder="1" applyProtection="1">
      <protection hidden="1"/>
    </xf>
    <xf numFmtId="0" fontId="22" fillId="7" borderId="7" xfId="1" applyFont="1" applyFill="1" applyBorder="1" applyProtection="1">
      <protection hidden="1"/>
    </xf>
    <xf numFmtId="0" fontId="22" fillId="7" borderId="7" xfId="1" applyFont="1" applyFill="1" applyBorder="1" applyAlignment="1" applyProtection="1">
      <alignment horizontal="center"/>
      <protection hidden="1"/>
    </xf>
    <xf numFmtId="0" fontId="23" fillId="7" borderId="7" xfId="1" applyFont="1" applyFill="1" applyBorder="1" applyProtection="1">
      <protection hidden="1"/>
    </xf>
    <xf numFmtId="0" fontId="22" fillId="7" borderId="7" xfId="1" applyFont="1" applyFill="1" applyBorder="1" applyAlignment="1" applyProtection="1">
      <alignment horizontal="center" wrapText="1"/>
      <protection hidden="1"/>
    </xf>
    <xf numFmtId="0" fontId="23" fillId="7" borderId="13" xfId="1" applyFont="1" applyFill="1" applyBorder="1" applyProtection="1">
      <protection hidden="1"/>
    </xf>
    <xf numFmtId="0" fontId="20" fillId="7" borderId="9" xfId="1" applyFont="1" applyFill="1" applyBorder="1" applyAlignment="1" applyProtection="1">
      <alignment horizontal="left" vertical="top"/>
      <protection hidden="1"/>
    </xf>
    <xf numFmtId="0" fontId="21" fillId="7" borderId="0" xfId="1" applyFont="1" applyFill="1" applyBorder="1" applyAlignment="1" applyProtection="1">
      <alignment horizontal="right" wrapText="1"/>
      <protection hidden="1"/>
    </xf>
    <xf numFmtId="0" fontId="23" fillId="7" borderId="0" xfId="1" applyFont="1" applyFill="1" applyBorder="1" applyProtection="1">
      <protection hidden="1"/>
    </xf>
    <xf numFmtId="0" fontId="22" fillId="7" borderId="0" xfId="1" applyFont="1" applyFill="1" applyBorder="1" applyAlignment="1" applyProtection="1">
      <alignment horizontal="center" wrapText="1"/>
      <protection hidden="1"/>
    </xf>
    <xf numFmtId="0" fontId="23" fillId="7" borderId="8" xfId="1" applyFont="1" applyFill="1" applyBorder="1" applyProtection="1">
      <protection hidden="1"/>
    </xf>
    <xf numFmtId="0" fontId="20" fillId="7" borderId="9" xfId="1" quotePrefix="1" applyFont="1" applyFill="1" applyBorder="1" applyProtection="1">
      <protection hidden="1"/>
    </xf>
    <xf numFmtId="0" fontId="21" fillId="7" borderId="0" xfId="1" applyFont="1" applyFill="1" applyBorder="1" applyProtection="1">
      <protection hidden="1"/>
    </xf>
    <xf numFmtId="0" fontId="22" fillId="7" borderId="0" xfId="1" applyFont="1" applyFill="1" applyBorder="1" applyProtection="1">
      <protection hidden="1"/>
    </xf>
    <xf numFmtId="0" fontId="22" fillId="7" borderId="0" xfId="1" applyFont="1" applyFill="1" applyBorder="1" applyAlignment="1" applyProtection="1">
      <alignment horizontal="center"/>
      <protection hidden="1"/>
    </xf>
    <xf numFmtId="0" fontId="20" fillId="7" borderId="9" xfId="1" applyFont="1" applyFill="1" applyBorder="1" applyProtection="1">
      <protection hidden="1"/>
    </xf>
    <xf numFmtId="0" fontId="21" fillId="7" borderId="0" xfId="1" applyFont="1" applyFill="1" applyBorder="1" applyAlignment="1" applyProtection="1">
      <alignment horizontal="right" vertical="center"/>
      <protection hidden="1"/>
    </xf>
    <xf numFmtId="5" fontId="18" fillId="5" borderId="3" xfId="4" applyNumberFormat="1" applyFont="1" applyFill="1" applyBorder="1" applyAlignment="1" applyProtection="1">
      <alignment horizontal="right"/>
      <protection locked="0"/>
    </xf>
    <xf numFmtId="0" fontId="20" fillId="7" borderId="0" xfId="1" applyFont="1" applyFill="1" applyBorder="1" applyProtection="1">
      <protection hidden="1"/>
    </xf>
    <xf numFmtId="0" fontId="22" fillId="7" borderId="0" xfId="1" applyFont="1" applyFill="1" applyBorder="1" applyAlignment="1" applyProtection="1">
      <alignment horizontal="right"/>
      <protection hidden="1"/>
    </xf>
    <xf numFmtId="0" fontId="24" fillId="5" borderId="3" xfId="1" applyFont="1" applyFill="1" applyBorder="1" applyAlignment="1" applyProtection="1">
      <alignment horizontal="right"/>
      <protection locked="0"/>
    </xf>
    <xf numFmtId="0" fontId="20" fillId="7" borderId="0" xfId="1" applyFont="1" applyFill="1" applyBorder="1" applyAlignment="1" applyProtection="1">
      <alignment horizontal="right"/>
      <protection hidden="1"/>
    </xf>
    <xf numFmtId="0" fontId="20" fillId="7" borderId="10" xfId="1" applyFont="1" applyFill="1" applyBorder="1" applyProtection="1">
      <protection hidden="1"/>
    </xf>
    <xf numFmtId="0" fontId="21" fillId="7" borderId="11" xfId="1" applyFont="1" applyFill="1" applyBorder="1" applyAlignment="1" applyProtection="1">
      <alignment horizontal="right"/>
      <protection hidden="1"/>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41" xfId="1" applyFont="1" applyFill="1" applyBorder="1" applyProtection="1">
      <protection hidden="1"/>
    </xf>
    <xf numFmtId="0" fontId="23" fillId="7" borderId="17" xfId="1" applyFont="1" applyFill="1" applyBorder="1" applyProtection="1">
      <protection hidden="1"/>
    </xf>
    <xf numFmtId="0" fontId="23" fillId="7" borderId="43"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20" fillId="7" borderId="25" xfId="1" applyFont="1" applyFill="1" applyBorder="1" applyAlignment="1" applyProtection="1">
      <alignment horizontal="left" wrapText="1"/>
      <protection hidden="1"/>
    </xf>
    <xf numFmtId="0" fontId="20" fillId="7" borderId="30" xfId="1" applyFont="1" applyFill="1" applyBorder="1" applyAlignment="1" applyProtection="1">
      <alignment horizontal="left" wrapText="1"/>
      <protection hidden="1"/>
    </xf>
    <xf numFmtId="0" fontId="17" fillId="0" borderId="0" xfId="1" applyFont="1" applyFill="1" applyBorder="1" applyAlignment="1" applyProtection="1">
      <alignment horizontal="center" wrapText="1"/>
      <protection hidden="1"/>
    </xf>
    <xf numFmtId="0" fontId="20" fillId="7" borderId="32" xfId="1" applyFont="1" applyFill="1" applyBorder="1" applyAlignment="1" applyProtection="1">
      <alignment horizontal="center"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25" fillId="0" borderId="3" xfId="1" applyFont="1" applyBorder="1" applyAlignment="1" applyProtection="1">
      <alignment horizontal="center"/>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0" fontId="17" fillId="0" borderId="24" xfId="1" applyFont="1" applyBorder="1" applyAlignment="1" applyProtection="1">
      <alignment horizontal="left"/>
      <protection hidden="1"/>
    </xf>
    <xf numFmtId="166" fontId="11" fillId="2" borderId="31" xfId="1" applyNumberFormat="1" applyFont="1" applyFill="1" applyBorder="1" applyAlignment="1" applyProtection="1">
      <alignment horizontal="center"/>
      <protection hidden="1"/>
    </xf>
    <xf numFmtId="166" fontId="11" fillId="2" borderId="38" xfId="1" applyNumberFormat="1" applyFont="1" applyFill="1" applyBorder="1" applyAlignment="1" applyProtection="1">
      <alignment horizontal="center"/>
      <protection hidden="1"/>
    </xf>
    <xf numFmtId="0" fontId="27" fillId="0" borderId="0" xfId="1" applyFont="1" applyProtection="1">
      <protection hidden="1"/>
    </xf>
    <xf numFmtId="0" fontId="17" fillId="0" borderId="0" xfId="1" applyFont="1" applyFill="1" applyBorder="1" applyAlignment="1" applyProtection="1">
      <alignment horizontal="left"/>
      <protection hidden="1"/>
    </xf>
    <xf numFmtId="0" fontId="25" fillId="0" borderId="0" xfId="1" applyFont="1" applyFill="1" applyBorder="1" applyAlignment="1" applyProtection="1">
      <alignment horizontal="center"/>
      <protection hidden="1"/>
    </xf>
    <xf numFmtId="4" fontId="11" fillId="0" borderId="0" xfId="1" applyNumberFormat="1" applyFont="1" applyFill="1" applyBorder="1" applyAlignment="1" applyProtection="1">
      <alignment horizontal="center"/>
      <protection hidden="1"/>
    </xf>
    <xf numFmtId="2" fontId="17" fillId="0" borderId="0" xfId="1" applyNumberFormat="1" applyFont="1" applyFill="1" applyBorder="1" applyAlignment="1" applyProtection="1">
      <alignment horizontal="center"/>
      <protection hidden="1"/>
    </xf>
    <xf numFmtId="4" fontId="17" fillId="0" borderId="0" xfId="1" applyNumberFormat="1" applyFont="1" applyFill="1" applyBorder="1" applyAlignment="1" applyProtection="1">
      <alignment horizontal="center"/>
      <protection hidden="1"/>
    </xf>
    <xf numFmtId="166" fontId="17" fillId="0" borderId="32" xfId="1" applyNumberFormat="1" applyFont="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0" fontId="20" fillId="7" borderId="6" xfId="1" applyFont="1" applyFill="1" applyBorder="1" applyAlignment="1" applyProtection="1">
      <alignment horizontal="left"/>
      <protection hidden="1"/>
    </xf>
    <xf numFmtId="0" fontId="21" fillId="7" borderId="13" xfId="1" applyFont="1" applyFill="1" applyBorder="1" applyProtection="1">
      <protection hidden="1"/>
    </xf>
    <xf numFmtId="0" fontId="11" fillId="0" borderId="6" xfId="1" applyFont="1" applyBorder="1" applyProtection="1">
      <protection hidden="1"/>
    </xf>
    <xf numFmtId="0" fontId="11" fillId="0" borderId="13" xfId="1" applyFont="1" applyBorder="1" applyProtection="1">
      <protection hidden="1"/>
    </xf>
    <xf numFmtId="0" fontId="21" fillId="7" borderId="9" xfId="1" applyFont="1" applyFill="1" applyBorder="1" applyProtection="1">
      <protection hidden="1"/>
    </xf>
    <xf numFmtId="0" fontId="21" fillId="7" borderId="8" xfId="1" applyFont="1" applyFill="1" applyBorder="1" applyProtection="1">
      <protection hidden="1"/>
    </xf>
    <xf numFmtId="0" fontId="11" fillId="0" borderId="9" xfId="1" applyFont="1" applyBorder="1" applyProtection="1">
      <protection hidden="1"/>
    </xf>
    <xf numFmtId="0" fontId="20" fillId="7" borderId="10" xfId="1" applyFont="1" applyFill="1" applyBorder="1" applyAlignment="1" applyProtection="1">
      <alignment horizontal="left" wrapText="1"/>
      <protection hidden="1"/>
    </xf>
    <xf numFmtId="0" fontId="20" fillId="7" borderId="11" xfId="1" applyFont="1" applyFill="1" applyBorder="1" applyAlignment="1" applyProtection="1">
      <alignment horizontal="center" wrapText="1"/>
      <protection hidden="1"/>
    </xf>
    <xf numFmtId="0" fontId="20" fillId="7" borderId="12" xfId="1" applyFont="1" applyFill="1" applyBorder="1" applyAlignment="1" applyProtection="1">
      <alignment horizontal="center" wrapText="1"/>
      <protection hidden="1"/>
    </xf>
    <xf numFmtId="0" fontId="11" fillId="0" borderId="9" xfId="1" applyFont="1" applyFill="1" applyBorder="1" applyProtection="1">
      <protection hidden="1"/>
    </xf>
    <xf numFmtId="49" fontId="11" fillId="0" borderId="0" xfId="1" applyNumberFormat="1" applyFont="1" applyFill="1" applyBorder="1" applyProtection="1">
      <protection hidden="1"/>
    </xf>
    <xf numFmtId="0" fontId="11" fillId="0" borderId="0" xfId="1" applyFont="1" applyFill="1" applyBorder="1" applyProtection="1">
      <protection hidden="1"/>
    </xf>
    <xf numFmtId="169" fontId="11" fillId="0" borderId="0" xfId="2" applyNumberFormat="1" applyFont="1" applyFill="1" applyBorder="1" applyProtection="1">
      <protection hidden="1"/>
    </xf>
    <xf numFmtId="0" fontId="11" fillId="3" borderId="26" xfId="1" applyFont="1" applyFill="1" applyBorder="1" applyAlignment="1" applyProtection="1">
      <alignment horizontal="left"/>
      <protection hidden="1"/>
    </xf>
    <xf numFmtId="9" fontId="17" fillId="2" borderId="1" xfId="3" applyFont="1" applyFill="1" applyBorder="1" applyAlignment="1" applyProtection="1">
      <alignment horizontal="center"/>
      <protection hidden="1"/>
    </xf>
    <xf numFmtId="0" fontId="25" fillId="2" borderId="1" xfId="1" applyFont="1" applyFill="1" applyBorder="1" applyAlignment="1" applyProtection="1">
      <alignment horizontal="center"/>
      <protection hidden="1"/>
    </xf>
    <xf numFmtId="9" fontId="11" fillId="2" borderId="1" xfId="3" applyFont="1" applyFill="1" applyBorder="1" applyAlignment="1" applyProtection="1">
      <alignment horizontal="center"/>
      <protection hidden="1"/>
    </xf>
    <xf numFmtId="0" fontId="11" fillId="2" borderId="1" xfId="1" applyFont="1" applyFill="1" applyBorder="1" applyAlignment="1" applyProtection="1">
      <alignment horizontal="center"/>
      <protection hidden="1"/>
    </xf>
    <xf numFmtId="9" fontId="11" fillId="2" borderId="29" xfId="3" applyFont="1" applyFill="1" applyBorder="1" applyAlignment="1" applyProtection="1">
      <alignment horizontal="center"/>
      <protection hidden="1"/>
    </xf>
    <xf numFmtId="9" fontId="11" fillId="2" borderId="35" xfId="3"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17" fillId="0" borderId="3" xfId="1" applyFont="1" applyBorder="1" applyAlignment="1" applyProtection="1">
      <alignment horizontal="center"/>
      <protection hidden="1"/>
    </xf>
    <xf numFmtId="0" fontId="17" fillId="0" borderId="3" xfId="1" applyNumberFormat="1" applyFont="1" applyBorder="1" applyAlignment="1" applyProtection="1">
      <alignment horizontal="center"/>
      <protection hidden="1"/>
    </xf>
    <xf numFmtId="0" fontId="17" fillId="0" borderId="4" xfId="1" applyFont="1" applyBorder="1" applyAlignment="1" applyProtection="1">
      <alignment horizontal="center"/>
      <protection hidden="1"/>
    </xf>
    <xf numFmtId="0" fontId="17" fillId="0" borderId="27" xfId="1" applyFont="1" applyBorder="1" applyAlignment="1" applyProtection="1">
      <alignment horizontal="center"/>
      <protection hidden="1"/>
    </xf>
    <xf numFmtId="0" fontId="11" fillId="3" borderId="24" xfId="1" applyFont="1" applyFill="1" applyBorder="1" applyAlignment="1" applyProtection="1">
      <alignment horizontal="left"/>
      <protection hidden="1"/>
    </xf>
    <xf numFmtId="9" fontId="17" fillId="2" borderId="3" xfId="1" applyNumberFormat="1" applyFont="1" applyFill="1" applyBorder="1" applyAlignment="1" applyProtection="1">
      <alignment horizontal="center"/>
      <protection hidden="1"/>
    </xf>
    <xf numFmtId="0" fontId="25" fillId="2" borderId="3" xfId="1" applyFont="1" applyFill="1" applyBorder="1" applyAlignment="1" applyProtection="1">
      <alignment horizontal="center"/>
      <protection hidden="1"/>
    </xf>
    <xf numFmtId="9" fontId="11" fillId="2" borderId="3" xfId="1" applyNumberFormat="1" applyFont="1" applyFill="1" applyBorder="1" applyAlignment="1" applyProtection="1">
      <alignment horizontal="center"/>
      <protection hidden="1"/>
    </xf>
    <xf numFmtId="0" fontId="11" fillId="2" borderId="3" xfId="1" applyFont="1" applyFill="1" applyBorder="1" applyAlignment="1" applyProtection="1">
      <alignment horizontal="center"/>
      <protection hidden="1"/>
    </xf>
    <xf numFmtId="0" fontId="11" fillId="2" borderId="27" xfId="1" applyFont="1" applyFill="1" applyBorder="1" applyAlignment="1" applyProtection="1">
      <alignment horizontal="center"/>
      <protection hidden="1"/>
    </xf>
    <xf numFmtId="166" fontId="17" fillId="2" borderId="3" xfId="1" applyNumberFormat="1" applyFont="1" applyFill="1" applyBorder="1" applyAlignment="1" applyProtection="1">
      <alignment horizontal="center"/>
      <protection hidden="1"/>
    </xf>
    <xf numFmtId="166" fontId="11" fillId="2" borderId="3" xfId="1" applyNumberFormat="1" applyFont="1" applyFill="1" applyBorder="1" applyAlignment="1" applyProtection="1">
      <alignment horizontal="center"/>
      <protection hidden="1"/>
    </xf>
    <xf numFmtId="0" fontId="11" fillId="0" borderId="36" xfId="1" applyFont="1" applyBorder="1" applyAlignment="1" applyProtection="1">
      <alignment horizontal="left"/>
      <protection hidden="1"/>
    </xf>
    <xf numFmtId="0" fontId="25" fillId="0" borderId="2" xfId="1" applyFont="1" applyBorder="1" applyAlignment="1" applyProtection="1">
      <alignment horizontal="center"/>
      <protection hidden="1"/>
    </xf>
    <xf numFmtId="0" fontId="17" fillId="0" borderId="2" xfId="1" applyFont="1" applyBorder="1" applyAlignment="1" applyProtection="1">
      <alignment horizontal="center"/>
      <protection hidden="1"/>
    </xf>
    <xf numFmtId="0" fontId="17" fillId="0" borderId="2" xfId="1" applyNumberFormat="1" applyFont="1" applyBorder="1" applyAlignment="1" applyProtection="1">
      <alignment horizontal="center"/>
      <protection hidden="1"/>
    </xf>
    <xf numFmtId="0" fontId="11" fillId="0" borderId="37" xfId="1" applyFont="1" applyBorder="1" applyAlignment="1" applyProtection="1">
      <alignment horizontal="center"/>
      <protection hidden="1"/>
    </xf>
    <xf numFmtId="0" fontId="17" fillId="0" borderId="9" xfId="1" applyFont="1" applyBorder="1" applyProtection="1">
      <protection hidden="1"/>
    </xf>
    <xf numFmtId="0" fontId="17" fillId="0" borderId="0" xfId="1" applyFont="1" applyBorder="1" applyProtection="1">
      <protection hidden="1"/>
    </xf>
    <xf numFmtId="0" fontId="11" fillId="0" borderId="9" xfId="1" quotePrefix="1" applyFont="1" applyBorder="1" applyProtection="1">
      <protection hidden="1"/>
    </xf>
    <xf numFmtId="49" fontId="11" fillId="0" borderId="9" xfId="1" applyNumberFormat="1" applyFont="1" applyBorder="1" applyProtection="1">
      <protection hidden="1"/>
    </xf>
    <xf numFmtId="49" fontId="11" fillId="0" borderId="0" xfId="1" applyNumberFormat="1" applyFont="1" applyBorder="1" applyProtection="1">
      <protection hidden="1"/>
    </xf>
    <xf numFmtId="0" fontId="11" fillId="0" borderId="9" xfId="1" applyNumberFormat="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Fill="1" applyBorder="1" applyAlignment="1" applyProtection="1">
      <alignment horizontal="right"/>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168" fontId="11" fillId="2" borderId="3" xfId="3" applyNumberFormat="1" applyFont="1" applyFill="1" applyBorder="1" applyAlignment="1" applyProtection="1">
      <alignment horizontal="right"/>
      <protection hidden="1"/>
    </xf>
    <xf numFmtId="9" fontId="17" fillId="0" borderId="3" xfId="3" applyFont="1" applyFill="1" applyBorder="1" applyAlignment="1" applyProtection="1">
      <alignment horizontal="right"/>
      <protection hidden="1"/>
    </xf>
    <xf numFmtId="168" fontId="11" fillId="2" borderId="27" xfId="3" applyNumberFormat="1" applyFont="1" applyFill="1" applyBorder="1" applyAlignment="1" applyProtection="1">
      <alignment horizontal="right"/>
      <protection hidden="1"/>
    </xf>
    <xf numFmtId="168" fontId="17" fillId="0" borderId="3" xfId="1" applyNumberFormat="1" applyFont="1" applyFill="1" applyBorder="1" applyAlignment="1" applyProtection="1">
      <alignment horizontal="right"/>
      <protection hidden="1"/>
    </xf>
    <xf numFmtId="166" fontId="11" fillId="2" borderId="3" xfId="3" applyNumberFormat="1" applyFont="1" applyFill="1" applyBorder="1" applyAlignment="1" applyProtection="1">
      <alignment horizontal="right"/>
      <protection hidden="1"/>
    </xf>
    <xf numFmtId="0" fontId="17" fillId="0" borderId="3" xfId="1" applyFont="1" applyFill="1" applyBorder="1" applyAlignment="1" applyProtection="1">
      <alignment horizontal="right"/>
      <protection hidden="1"/>
    </xf>
    <xf numFmtId="166" fontId="11" fillId="2" borderId="27" xfId="3" applyNumberFormat="1" applyFont="1" applyFill="1" applyBorder="1" applyAlignment="1" applyProtection="1">
      <alignment horizontal="right"/>
      <protection hidden="1"/>
    </xf>
    <xf numFmtId="0" fontId="20" fillId="7" borderId="30" xfId="1" applyFont="1" applyFill="1" applyBorder="1" applyAlignment="1" applyProtection="1">
      <alignment horizontal="right" wrapText="1"/>
      <protection hidden="1"/>
    </xf>
    <xf numFmtId="0" fontId="20" fillId="7" borderId="34" xfId="1" applyFont="1" applyFill="1" applyBorder="1" applyAlignment="1" applyProtection="1">
      <alignment horizontal="right" wrapText="1"/>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166" fontId="11" fillId="2" borderId="28" xfId="1" applyNumberFormat="1" applyFont="1" applyFill="1" applyBorder="1" applyAlignment="1" applyProtection="1">
      <alignment horizontal="center"/>
      <protection hidden="1"/>
    </xf>
    <xf numFmtId="0" fontId="11" fillId="0" borderId="0" xfId="7" applyFont="1"/>
    <xf numFmtId="0" fontId="28" fillId="0" borderId="0" xfId="1" applyFont="1" applyProtection="1">
      <protection hidden="1"/>
    </xf>
    <xf numFmtId="0" fontId="21" fillId="7" borderId="39" xfId="1" applyFont="1" applyFill="1" applyBorder="1" applyProtection="1">
      <protection hidden="1"/>
    </xf>
    <xf numFmtId="0" fontId="21" fillId="7" borderId="23" xfId="1" applyFont="1" applyFill="1" applyBorder="1" applyProtection="1">
      <protection hidden="1"/>
    </xf>
    <xf numFmtId="0" fontId="21" fillId="7" borderId="40"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2"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9"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4" xfId="7" applyFont="1" applyFill="1" applyBorder="1" applyAlignment="1">
      <alignment horizontal="right"/>
    </xf>
    <xf numFmtId="0" fontId="11" fillId="8" borderId="45" xfId="7" applyFont="1" applyFill="1" applyBorder="1" applyAlignment="1">
      <alignment horizontal="right"/>
    </xf>
    <xf numFmtId="0" fontId="31" fillId="7" borderId="9" xfId="1" applyFont="1" applyFill="1" applyBorder="1" applyAlignment="1" applyProtection="1">
      <alignment horizontal="left"/>
      <protection hidden="1"/>
    </xf>
    <xf numFmtId="0" fontId="32" fillId="7" borderId="9" xfId="5" applyFont="1" applyFill="1" applyBorder="1" applyProtection="1">
      <protection hidden="1"/>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7" borderId="6" xfId="5" applyFont="1" applyFill="1" applyBorder="1" applyProtection="1">
      <protection hidden="1"/>
    </xf>
    <xf numFmtId="0" fontId="11" fillId="7" borderId="7" xfId="5" applyFont="1" applyFill="1" applyBorder="1" applyProtection="1">
      <protection hidden="1"/>
    </xf>
    <xf numFmtId="0" fontId="17" fillId="7" borderId="13" xfId="5" applyFont="1" applyFill="1" applyBorder="1" applyAlignment="1" applyProtection="1">
      <alignment horizontal="right"/>
      <protection hidden="1"/>
    </xf>
    <xf numFmtId="0" fontId="11" fillId="7" borderId="8" xfId="5" applyFont="1" applyFill="1" applyBorder="1" applyProtection="1">
      <protection hidden="1"/>
    </xf>
    <xf numFmtId="0" fontId="18" fillId="7" borderId="9" xfId="5" applyFont="1" applyFill="1" applyBorder="1" applyAlignment="1" applyProtection="1">
      <alignment horizontal="center" wrapText="1"/>
      <protection hidden="1"/>
    </xf>
    <xf numFmtId="0" fontId="18" fillId="7" borderId="0" xfId="5" applyFont="1" applyFill="1" applyBorder="1" applyAlignment="1" applyProtection="1">
      <alignment horizontal="center" wrapText="1"/>
      <protection hidden="1"/>
    </xf>
    <xf numFmtId="0" fontId="17" fillId="7" borderId="0" xfId="5" applyFont="1" applyFill="1" applyBorder="1" applyAlignment="1" applyProtection="1">
      <alignment horizontal="center" vertical="center"/>
      <protection hidden="1"/>
    </xf>
    <xf numFmtId="0" fontId="19" fillId="7" borderId="10" xfId="5" applyFont="1" applyFill="1" applyBorder="1" applyProtection="1">
      <protection hidden="1"/>
    </xf>
    <xf numFmtId="0" fontId="11" fillId="7" borderId="11" xfId="5" applyFont="1" applyFill="1" applyBorder="1" applyProtection="1">
      <protection hidden="1"/>
    </xf>
    <xf numFmtId="0" fontId="17" fillId="7" borderId="11" xfId="5" applyFont="1" applyFill="1" applyBorder="1" applyProtection="1">
      <protection hidden="1"/>
    </xf>
    <xf numFmtId="0" fontId="17" fillId="7" borderId="11" xfId="5" applyFont="1" applyFill="1" applyBorder="1" applyAlignment="1" applyProtection="1">
      <alignment horizontal="center" wrapText="1"/>
      <protection hidden="1"/>
    </xf>
    <xf numFmtId="0" fontId="11" fillId="7" borderId="12" xfId="5" applyFont="1" applyFill="1" applyBorder="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14" fillId="7" borderId="0" xfId="5" applyFont="1" applyFill="1" applyBorder="1" applyAlignment="1" applyProtection="1">
      <alignment wrapText="1"/>
      <protection hidden="1"/>
    </xf>
    <xf numFmtId="0" fontId="36" fillId="7" borderId="8" xfId="5" applyFont="1" applyFill="1" applyBorder="1" applyProtection="1">
      <protection hidden="1"/>
    </xf>
    <xf numFmtId="0" fontId="36" fillId="0" borderId="0" xfId="0" applyFont="1"/>
    <xf numFmtId="0" fontId="36" fillId="7" borderId="0" xfId="5" applyFont="1" applyFill="1" applyBorder="1" applyProtection="1">
      <protection hidden="1"/>
    </xf>
    <xf numFmtId="0" fontId="37" fillId="7" borderId="0" xfId="5" applyFont="1" applyFill="1" applyBorder="1" applyProtection="1">
      <protection hidden="1"/>
    </xf>
    <xf numFmtId="0" fontId="37" fillId="7" borderId="0" xfId="5" applyFont="1" applyFill="1" applyBorder="1" applyAlignment="1" applyProtection="1">
      <alignment horizontal="center" wrapText="1"/>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0" fontId="38" fillId="7" borderId="9" xfId="1" applyFont="1" applyFill="1" applyBorder="1" applyAlignment="1" applyProtection="1">
      <alignment wrapText="1"/>
      <protection hidden="1"/>
    </xf>
    <xf numFmtId="0" fontId="38" fillId="7" borderId="0" xfId="1" applyFont="1" applyFill="1" applyBorder="1" applyAlignment="1" applyProtection="1">
      <alignment wrapText="1"/>
      <protection hidden="1"/>
    </xf>
    <xf numFmtId="0" fontId="14" fillId="7" borderId="9" xfId="1" applyFont="1" applyFill="1" applyBorder="1" applyAlignment="1" applyProtection="1">
      <alignment wrapText="1"/>
      <protection hidden="1"/>
    </xf>
    <xf numFmtId="0" fontId="14" fillId="7" borderId="0" xfId="1" applyFont="1" applyFill="1" applyBorder="1" applyAlignment="1" applyProtection="1">
      <alignment wrapText="1"/>
      <protection hidden="1"/>
    </xf>
    <xf numFmtId="49" fontId="11" fillId="0" borderId="9" xfId="1" applyNumberFormat="1" applyFont="1" applyBorder="1" applyAlignment="1" applyProtection="1">
      <alignment horizontal="left" wrapText="1" indent="3"/>
      <protection hidden="1"/>
    </xf>
    <xf numFmtId="49" fontId="11" fillId="0" borderId="0" xfId="1" applyNumberFormat="1" applyFont="1" applyBorder="1" applyAlignment="1" applyProtection="1">
      <alignment horizontal="left" wrapText="1" indent="3"/>
      <protection hidden="1"/>
    </xf>
    <xf numFmtId="0" fontId="11" fillId="0" borderId="9" xfId="1" applyNumberFormat="1" applyFont="1" applyBorder="1" applyAlignment="1" applyProtection="1">
      <alignment horizontal="left" wrapText="1" indent="3"/>
      <protection hidden="1"/>
    </xf>
    <xf numFmtId="0" fontId="11" fillId="0" borderId="0" xfId="1" applyNumberFormat="1" applyFont="1" applyBorder="1" applyAlignment="1" applyProtection="1">
      <alignment horizontal="left" wrapText="1" indent="3"/>
      <protection hidden="1"/>
    </xf>
    <xf numFmtId="0" fontId="17" fillId="5" borderId="4" xfId="1" applyFont="1" applyFill="1" applyBorder="1" applyAlignment="1" applyProtection="1">
      <alignment horizontal="center" vertical="center"/>
      <protection locked="0"/>
    </xf>
    <xf numFmtId="0" fontId="17" fillId="5" borderId="5" xfId="1" applyFont="1" applyFill="1" applyBorder="1" applyAlignment="1" applyProtection="1">
      <alignment horizontal="center" vertical="center"/>
      <protection locked="0"/>
    </xf>
    <xf numFmtId="0" fontId="20" fillId="7" borderId="0" xfId="1" applyFont="1" applyFill="1" applyBorder="1" applyAlignment="1" applyProtection="1">
      <alignment horizontal="center" wrapText="1"/>
      <protection hidden="1"/>
    </xf>
    <xf numFmtId="0" fontId="20" fillId="7" borderId="11" xfId="1" applyFont="1" applyFill="1" applyBorder="1" applyAlignment="1" applyProtection="1">
      <alignment horizontal="center" wrapText="1"/>
      <protection hidden="1"/>
    </xf>
    <xf numFmtId="0" fontId="17" fillId="5" borderId="4" xfId="1" applyFont="1" applyFill="1" applyBorder="1" applyAlignment="1" applyProtection="1">
      <alignment horizontal="left" vertical="center"/>
      <protection locked="0"/>
    </xf>
    <xf numFmtId="0" fontId="17" fillId="5" borderId="19"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cellXfs>
  <cellStyles count="40">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ijl 1" xfId="12" xr:uid="{00000000-0005-0000-0000-00001F000000}"/>
    <cellStyle name="Style 1" xfId="38" xr:uid="{00000000-0005-0000-0000-000020000000}"/>
    <cellStyle name="Valuta" xfId="4" builtinId="4"/>
    <cellStyle name="Valuta 2" xfId="13" xr:uid="{00000000-0005-0000-0000-000022000000}"/>
    <cellStyle name="Valuta 2 2" xfId="33" xr:uid="{00000000-0005-0000-0000-000023000000}"/>
    <cellStyle name="Valuta 2 2 2" xfId="34" xr:uid="{00000000-0005-0000-0000-000024000000}"/>
    <cellStyle name="Valuta 2 3" xfId="35" xr:uid="{00000000-0005-0000-0000-000025000000}"/>
    <cellStyle name="Valuta 3" xfId="14" xr:uid="{00000000-0005-0000-0000-000026000000}"/>
    <cellStyle name="Valuta 3 2" xfId="36" xr:uid="{00000000-0005-0000-0000-000027000000}"/>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DD94-4BAB-9B97-4B5F0A63F14B}"/>
            </c:ext>
          </c:extLst>
        </c:ser>
        <c:dLbls>
          <c:showLegendKey val="0"/>
          <c:showVal val="0"/>
          <c:showCatName val="0"/>
          <c:showSerName val="0"/>
          <c:showPercent val="0"/>
          <c:showBubbleSize val="0"/>
        </c:dLbls>
        <c:axId val="493754424"/>
        <c:axId val="493753640"/>
      </c:areaChart>
      <c:catAx>
        <c:axId val="49375442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93753640"/>
        <c:crosses val="autoZero"/>
        <c:auto val="1"/>
        <c:lblAlgn val="ctr"/>
        <c:lblOffset val="100"/>
        <c:tickLblSkip val="1"/>
        <c:tickMarkSkip val="1"/>
        <c:noMultiLvlLbl val="0"/>
      </c:catAx>
      <c:valAx>
        <c:axId val="4937536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375442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BBF-42DE-9B55-B60B8D6E4150}"/>
            </c:ext>
          </c:extLst>
        </c:ser>
        <c:dLbls>
          <c:showLegendKey val="0"/>
          <c:showVal val="0"/>
          <c:showCatName val="0"/>
          <c:showSerName val="0"/>
          <c:showPercent val="0"/>
          <c:showBubbleSize val="0"/>
        </c:dLbls>
        <c:axId val="493755600"/>
        <c:axId val="493752856"/>
      </c:areaChart>
      <c:catAx>
        <c:axId val="49375560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493752856"/>
        <c:crosses val="autoZero"/>
        <c:auto val="1"/>
        <c:lblAlgn val="ctr"/>
        <c:lblOffset val="100"/>
        <c:tickLblSkip val="1"/>
        <c:tickMarkSkip val="1"/>
        <c:noMultiLvlLbl val="0"/>
      </c:catAx>
      <c:valAx>
        <c:axId val="4937528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375560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9858656082"/>
          <c:y val="0.17119393409157188"/>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7C1D-4AB1-A86D-3FC4FAEADCA2}"/>
            </c:ext>
          </c:extLst>
        </c:ser>
        <c:dLbls>
          <c:showLegendKey val="0"/>
          <c:showVal val="0"/>
          <c:showCatName val="0"/>
          <c:showSerName val="0"/>
          <c:showPercent val="0"/>
          <c:showBubbleSize val="0"/>
        </c:dLbls>
        <c:axId val="493753248"/>
        <c:axId val="493754816"/>
      </c:areaChart>
      <c:catAx>
        <c:axId val="49375324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93754816"/>
        <c:crosses val="autoZero"/>
        <c:auto val="1"/>
        <c:lblAlgn val="ctr"/>
        <c:lblOffset val="100"/>
        <c:tickLblSkip val="1"/>
        <c:tickMarkSkip val="1"/>
        <c:noMultiLvlLbl val="0"/>
      </c:catAx>
      <c:valAx>
        <c:axId val="493754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37532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36A9-4A82-82F0-318FFF4FC333}"/>
            </c:ext>
          </c:extLst>
        </c:ser>
        <c:dLbls>
          <c:showLegendKey val="0"/>
          <c:showVal val="0"/>
          <c:showCatName val="0"/>
          <c:showSerName val="0"/>
          <c:showPercent val="0"/>
          <c:showBubbleSize val="0"/>
        </c:dLbls>
        <c:axId val="185408864"/>
        <c:axId val="493752464"/>
      </c:areaChart>
      <c:catAx>
        <c:axId val="18540886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93752464"/>
        <c:crosses val="autoZero"/>
        <c:auto val="1"/>
        <c:lblAlgn val="ctr"/>
        <c:lblOffset val="100"/>
        <c:tickLblSkip val="1"/>
        <c:tickMarkSkip val="1"/>
        <c:noMultiLvlLbl val="0"/>
      </c:catAx>
      <c:valAx>
        <c:axId val="4937524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54088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C684-429E-9520-D7E7FDC2E71D}"/>
            </c:ext>
          </c:extLst>
        </c:ser>
        <c:dLbls>
          <c:showLegendKey val="0"/>
          <c:showVal val="0"/>
          <c:showCatName val="0"/>
          <c:showSerName val="0"/>
          <c:showPercent val="0"/>
          <c:showBubbleSize val="0"/>
        </c:dLbls>
        <c:axId val="491845664"/>
        <c:axId val="491844880"/>
      </c:areaChart>
      <c:catAx>
        <c:axId val="49184566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491844880"/>
        <c:crosses val="autoZero"/>
        <c:auto val="1"/>
        <c:lblAlgn val="ctr"/>
        <c:lblOffset val="100"/>
        <c:tickLblSkip val="1"/>
        <c:tickMarkSkip val="1"/>
        <c:noMultiLvlLbl val="0"/>
      </c:catAx>
      <c:valAx>
        <c:axId val="4918448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18456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377E-4B3C-8207-5BF7E6CAC8FB}"/>
            </c:ext>
          </c:extLst>
        </c:ser>
        <c:dLbls>
          <c:showLegendKey val="0"/>
          <c:showVal val="0"/>
          <c:showCatName val="0"/>
          <c:showSerName val="0"/>
          <c:showPercent val="0"/>
          <c:showBubbleSize val="0"/>
        </c:dLbls>
        <c:axId val="491844096"/>
        <c:axId val="491847232"/>
      </c:areaChart>
      <c:catAx>
        <c:axId val="4918440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91847232"/>
        <c:crosses val="autoZero"/>
        <c:auto val="1"/>
        <c:lblAlgn val="ctr"/>
        <c:lblOffset val="100"/>
        <c:tickLblSkip val="1"/>
        <c:tickMarkSkip val="1"/>
        <c:noMultiLvlLbl val="0"/>
      </c:catAx>
      <c:valAx>
        <c:axId val="4918472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18440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18316</xdr:colOff>
      <xdr:row>1</xdr:row>
      <xdr:rowOff>222006</xdr:rowOff>
    </xdr:from>
    <xdr:to>
      <xdr:col>9</xdr:col>
      <xdr:colOff>662281</xdr:colOff>
      <xdr:row>3</xdr:row>
      <xdr:rowOff>103927</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72016" y="450606"/>
          <a:ext cx="1063065" cy="792511"/>
        </a:xfrm>
        <a:prstGeom prst="rect">
          <a:avLst/>
        </a:prstGeom>
      </xdr:spPr>
    </xdr:pic>
    <xdr:clientData/>
  </xdr:twoCellAnchor>
  <xdr:twoCellAnchor editAs="oneCell">
    <xdr:from>
      <xdr:col>7</xdr:col>
      <xdr:colOff>1217735</xdr:colOff>
      <xdr:row>5</xdr:row>
      <xdr:rowOff>144760</xdr:rowOff>
    </xdr:from>
    <xdr:to>
      <xdr:col>9</xdr:col>
      <xdr:colOff>685800</xdr:colOff>
      <xdr:row>7</xdr:row>
      <xdr:rowOff>180975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0523660" y="1287760"/>
          <a:ext cx="1134940" cy="493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topLeftCell="A52" zoomScaleNormal="100" workbookViewId="0">
      <selection activeCell="I3" sqref="I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222"/>
      <c r="C2" s="223"/>
      <c r="D2" s="223"/>
      <c r="E2" s="223"/>
      <c r="F2" s="223"/>
      <c r="G2" s="223"/>
      <c r="H2" s="223"/>
      <c r="I2" s="223"/>
      <c r="J2" s="223"/>
      <c r="K2" s="223"/>
      <c r="L2" s="223"/>
      <c r="M2" s="223"/>
      <c r="N2" s="223"/>
      <c r="O2" s="223"/>
      <c r="P2" s="223"/>
      <c r="Q2" s="224"/>
    </row>
    <row r="3" spans="2:17" s="239" customFormat="1" ht="66.599999999999994" customHeight="1" x14ac:dyDescent="0.3">
      <c r="B3" s="245" t="str">
        <f>Kengetallen!B3</f>
        <v xml:space="preserve">Europese aanbesteding voor de levering en onderhoud van Drones ten behoeve van Douane Nederland, Belastingdienst Caribisch Nederland, FIOD, NVWA, ILT en RWS </v>
      </c>
      <c r="C3" s="246"/>
      <c r="D3" s="246"/>
      <c r="E3" s="246"/>
      <c r="F3" s="246"/>
      <c r="G3" s="237"/>
      <c r="H3" s="237"/>
      <c r="I3" s="237"/>
      <c r="J3" s="237"/>
      <c r="K3" s="237"/>
      <c r="L3" s="237"/>
      <c r="M3" s="237"/>
      <c r="N3" s="237"/>
      <c r="O3" s="237"/>
      <c r="P3" s="237"/>
      <c r="Q3" s="238"/>
    </row>
    <row r="4" spans="2:17" ht="15" customHeight="1" x14ac:dyDescent="0.25">
      <c r="B4" s="226"/>
      <c r="C4" s="227"/>
      <c r="D4" s="227"/>
      <c r="E4" s="228"/>
      <c r="F4" s="228"/>
      <c r="G4" s="228"/>
      <c r="H4" s="228"/>
      <c r="I4" s="228"/>
      <c r="J4" s="228"/>
      <c r="K4" s="228"/>
      <c r="L4" s="228"/>
      <c r="M4" s="228"/>
      <c r="N4" s="228"/>
      <c r="O4" s="228"/>
      <c r="P4" s="228"/>
      <c r="Q4" s="225"/>
    </row>
    <row r="5" spans="2:17" s="239" customFormat="1" ht="17.399999999999999" x14ac:dyDescent="0.3">
      <c r="B5" s="217" t="s">
        <v>74</v>
      </c>
      <c r="C5" s="240"/>
      <c r="D5" s="240"/>
      <c r="E5" s="241"/>
      <c r="F5" s="240"/>
      <c r="G5" s="240"/>
      <c r="H5" s="240"/>
      <c r="I5" s="240"/>
      <c r="J5" s="240"/>
      <c r="K5" s="240"/>
      <c r="L5" s="240"/>
      <c r="M5" s="240"/>
      <c r="N5" s="240"/>
      <c r="O5" s="240"/>
      <c r="P5" s="242"/>
      <c r="Q5" s="238"/>
    </row>
    <row r="6" spans="2:17" ht="15" customHeight="1" thickBot="1" x14ac:dyDescent="0.3">
      <c r="B6" s="229"/>
      <c r="C6" s="230"/>
      <c r="D6" s="230"/>
      <c r="E6" s="231"/>
      <c r="F6" s="230"/>
      <c r="G6" s="230"/>
      <c r="H6" s="230"/>
      <c r="I6" s="230"/>
      <c r="J6" s="230"/>
      <c r="K6" s="230"/>
      <c r="L6" s="230"/>
      <c r="M6" s="230"/>
      <c r="N6" s="230"/>
      <c r="O6" s="230"/>
      <c r="P6" s="232"/>
      <c r="Q6" s="233"/>
    </row>
    <row r="7" spans="2:17" ht="15" customHeight="1" x14ac:dyDescent="0.25"/>
    <row r="8" spans="2:17" ht="15" customHeight="1" x14ac:dyDescent="0.25">
      <c r="B8" s="1" t="s">
        <v>51</v>
      </c>
      <c r="C8" s="234"/>
      <c r="D8" s="234"/>
      <c r="E8" s="234"/>
      <c r="F8" s="234"/>
      <c r="G8" s="234"/>
      <c r="H8" s="234"/>
      <c r="I8" s="234"/>
      <c r="J8" s="234"/>
      <c r="K8" s="234"/>
      <c r="L8" s="234"/>
      <c r="M8" s="234"/>
      <c r="N8" s="234"/>
      <c r="O8" s="234"/>
      <c r="P8" s="234"/>
      <c r="Q8" s="234"/>
    </row>
    <row r="9" spans="2:17" ht="31.5" customHeight="1" x14ac:dyDescent="0.25">
      <c r="B9" s="243" t="s">
        <v>52</v>
      </c>
      <c r="C9" s="243"/>
      <c r="D9" s="243"/>
      <c r="E9" s="243"/>
      <c r="F9" s="243"/>
      <c r="G9" s="243"/>
      <c r="H9" s="243"/>
      <c r="I9" s="243"/>
      <c r="J9" s="243"/>
      <c r="K9" s="243"/>
      <c r="L9" s="243"/>
      <c r="M9" s="243"/>
      <c r="N9" s="243"/>
      <c r="O9" s="243"/>
      <c r="P9" s="243"/>
      <c r="Q9" s="243"/>
    </row>
    <row r="10" spans="2:17" ht="15" customHeight="1" x14ac:dyDescent="0.25">
      <c r="B10" s="2" t="s">
        <v>69</v>
      </c>
      <c r="C10" s="234"/>
      <c r="D10" s="234"/>
      <c r="E10" s="234"/>
      <c r="F10" s="234"/>
      <c r="G10" s="234"/>
      <c r="H10" s="234"/>
      <c r="I10" s="234"/>
      <c r="J10" s="234"/>
      <c r="K10" s="234"/>
      <c r="L10" s="234"/>
      <c r="M10" s="234"/>
      <c r="N10" s="234"/>
      <c r="O10" s="234"/>
      <c r="P10" s="234"/>
      <c r="Q10" s="234"/>
    </row>
    <row r="11" spans="2:17" ht="15" customHeight="1" x14ac:dyDescent="0.25">
      <c r="B11" s="2" t="s">
        <v>68</v>
      </c>
      <c r="C11" s="234"/>
      <c r="D11" s="234"/>
      <c r="E11" s="234"/>
      <c r="F11" s="234"/>
      <c r="G11" s="234"/>
      <c r="H11" s="234"/>
      <c r="I11" s="234"/>
      <c r="J11" s="234"/>
      <c r="K11" s="234"/>
      <c r="L11" s="234"/>
      <c r="M11" s="234"/>
      <c r="N11" s="234"/>
      <c r="O11" s="234"/>
      <c r="P11" s="234"/>
      <c r="Q11" s="234"/>
    </row>
    <row r="12" spans="2:17" ht="15" customHeight="1" x14ac:dyDescent="0.25">
      <c r="B12" s="3" t="s">
        <v>67</v>
      </c>
      <c r="C12" s="234"/>
      <c r="D12" s="234"/>
      <c r="E12" s="234"/>
      <c r="F12" s="234"/>
      <c r="G12" s="234"/>
      <c r="H12" s="234"/>
      <c r="I12" s="234"/>
      <c r="J12" s="234"/>
      <c r="K12" s="234"/>
      <c r="L12" s="234"/>
      <c r="M12" s="234"/>
      <c r="N12" s="234"/>
      <c r="O12" s="234"/>
      <c r="P12" s="234"/>
      <c r="Q12" s="234"/>
    </row>
    <row r="13" spans="2:17" ht="15" customHeight="1" x14ac:dyDescent="0.25"/>
    <row r="14" spans="2:17" ht="72" customHeight="1" x14ac:dyDescent="0.25">
      <c r="B14" s="244"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"&amp;HULP!D7&amp;" nog niet beschikbaar is, nog niet gepubliceerd en/of gedeponeerd bij Kamer van Koophandel, kan volstaan worden met minimaal het boekjaar "&amp;HULP!D8&amp;" als meest recent. Ondernemingen die in hun jaarrekening een gebroken boekjaar hanteren moeten in deze situatie het boekjaar "&amp;HULP!D8&amp;"/"&amp;HULP!D7&amp;" als het meest recent afgesloten boekjaar beschouwen."</f>
        <v>De kengetallen worden berekend aan de hand van het gemiddelde van de kengetallen over de laatste drie beschikbare boekjaren. De verschillende boekjaren hebben in die berekening de volgende gewichten: X = 1; X - 1 = 1 ; X - 2 = 1 (X = laatst beschikbare boekjaar). Indien het 2022 nog niet beschikbaar is, nog niet gepubliceerd en/of gedeponeerd bij Kamer van Koophandel, kan volstaan worden met minimaal het boekjaar 2021 als meest recent. Ondernemingen die in hun jaarrekening een gebroken boekjaar hanteren moeten in deze situatie het boekjaar 2021/2022 als het meest recent afgesloten boekjaar beschouwen.</v>
      </c>
      <c r="C14" s="244"/>
      <c r="D14" s="244"/>
      <c r="E14" s="244"/>
      <c r="F14" s="244"/>
      <c r="G14" s="244"/>
      <c r="H14" s="244"/>
      <c r="I14" s="244"/>
      <c r="J14" s="244"/>
      <c r="K14" s="244"/>
      <c r="L14" s="244"/>
      <c r="M14" s="244"/>
      <c r="N14" s="244"/>
      <c r="O14" s="244"/>
      <c r="P14" s="244"/>
      <c r="Q14" s="244"/>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101</v>
      </c>
      <c r="C16" s="5"/>
      <c r="D16" s="5"/>
      <c r="E16" s="5"/>
      <c r="F16" s="5"/>
      <c r="G16" s="5"/>
      <c r="H16" s="5"/>
      <c r="I16" s="5"/>
      <c r="J16" s="5"/>
      <c r="K16" s="5"/>
      <c r="L16" s="5"/>
      <c r="M16" s="5"/>
      <c r="N16" s="5"/>
      <c r="O16" s="5"/>
      <c r="P16" s="5"/>
      <c r="Q16" s="5"/>
    </row>
    <row r="17" spans="2:17" ht="15" customHeight="1" x14ac:dyDescent="0.25">
      <c r="B17" s="2" t="s">
        <v>102</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53</v>
      </c>
      <c r="C19" s="235">
        <f>+HULP!D15</f>
        <v>0.2</v>
      </c>
      <c r="D19" s="3" t="s">
        <v>113</v>
      </c>
    </row>
    <row r="20" spans="2:17" ht="15" customHeight="1" x14ac:dyDescent="0.3">
      <c r="B20" s="2" t="s">
        <v>54</v>
      </c>
      <c r="C20" s="235">
        <f>+HULP!E15</f>
        <v>0.5</v>
      </c>
      <c r="D20" s="3" t="s">
        <v>113</v>
      </c>
    </row>
    <row r="21" spans="2:17" ht="15" customHeight="1" x14ac:dyDescent="0.3">
      <c r="B21" s="218" t="s">
        <v>114</v>
      </c>
      <c r="D21" s="2" t="s">
        <v>115</v>
      </c>
    </row>
    <row r="22" spans="2:17" ht="15" customHeight="1" x14ac:dyDescent="0.25">
      <c r="B22" s="2"/>
    </row>
    <row r="23" spans="2:17" ht="15" customHeight="1" x14ac:dyDescent="0.25">
      <c r="B23" s="2" t="s">
        <v>70</v>
      </c>
    </row>
    <row r="24" spans="2:17" ht="15" customHeight="1" x14ac:dyDescent="0.25">
      <c r="B24" s="2" t="s">
        <v>97</v>
      </c>
      <c r="C24" s="235">
        <f>+HULP!D15</f>
        <v>0.2</v>
      </c>
      <c r="D24" s="3" t="s">
        <v>98</v>
      </c>
    </row>
    <row r="25" spans="2:17" ht="15" customHeight="1" x14ac:dyDescent="0.25">
      <c r="B25" s="2" t="str">
        <f>"● Solvabiliteit &gt; = "</f>
        <v xml:space="preserve">● Solvabiliteit &gt; = </v>
      </c>
      <c r="C25" s="235">
        <f>+HULP!D15</f>
        <v>0.2</v>
      </c>
      <c r="D25" s="2" t="str">
        <f>" en &lt; "</f>
        <v xml:space="preserve"> en &lt; </v>
      </c>
      <c r="E25" s="235">
        <f>+HULP!E15</f>
        <v>0.5</v>
      </c>
      <c r="F25" s="2"/>
    </row>
    <row r="26" spans="2:17" ht="15" customHeight="1" x14ac:dyDescent="0.25"/>
    <row r="27" spans="2:17" ht="15" customHeight="1" x14ac:dyDescent="0.25"/>
    <row r="28" spans="2:17" ht="15" customHeight="1" x14ac:dyDescent="0.25"/>
    <row r="29" spans="2:17" ht="15" customHeight="1" x14ac:dyDescent="0.25">
      <c r="B29" s="2" t="s">
        <v>99</v>
      </c>
      <c r="C29" s="23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219" t="s">
        <v>55</v>
      </c>
    </row>
    <row r="51" spans="2:17" ht="15" customHeight="1" x14ac:dyDescent="0.25"/>
    <row r="52" spans="2:17" ht="17.399999999999999" x14ac:dyDescent="0.3">
      <c r="B52" s="6" t="s">
        <v>71</v>
      </c>
      <c r="C52" s="234"/>
      <c r="D52" s="234"/>
      <c r="E52" s="234"/>
      <c r="F52" s="234"/>
      <c r="G52" s="234"/>
      <c r="H52" s="234"/>
      <c r="I52" s="234"/>
      <c r="J52" s="234"/>
    </row>
    <row r="53" spans="2:17" ht="15" customHeight="1" x14ac:dyDescent="0.25">
      <c r="B53" s="2" t="s">
        <v>56</v>
      </c>
      <c r="C53" s="234"/>
      <c r="D53" s="234"/>
      <c r="E53" s="234"/>
      <c r="F53" s="234"/>
      <c r="G53" s="234"/>
      <c r="H53" s="234"/>
      <c r="I53" s="234"/>
      <c r="J53" s="234"/>
    </row>
    <row r="54" spans="2:17" ht="15" customHeight="1" x14ac:dyDescent="0.25">
      <c r="B54" s="2" t="s">
        <v>57</v>
      </c>
      <c r="C54" s="234"/>
      <c r="D54" s="234"/>
      <c r="E54" s="234"/>
      <c r="F54" s="234"/>
      <c r="G54" s="234"/>
      <c r="H54" s="234"/>
      <c r="I54" s="234"/>
      <c r="J54" s="234"/>
    </row>
    <row r="55" spans="2:17" ht="15" customHeight="1" x14ac:dyDescent="0.25">
      <c r="B55" s="2"/>
      <c r="C55" s="234"/>
      <c r="D55" s="234"/>
      <c r="E55" s="234"/>
      <c r="F55" s="234"/>
      <c r="G55" s="234"/>
      <c r="H55" s="234"/>
      <c r="I55" s="234"/>
      <c r="J55" s="234"/>
    </row>
    <row r="56" spans="2:17" ht="15" customHeight="1" x14ac:dyDescent="0.3">
      <c r="B56" s="2" t="s">
        <v>53</v>
      </c>
      <c r="C56" s="220">
        <f>HULP!$D$16</f>
        <v>0</v>
      </c>
      <c r="D56" s="3" t="s">
        <v>116</v>
      </c>
      <c r="E56" s="234"/>
      <c r="F56" s="234"/>
      <c r="G56" s="234"/>
      <c r="H56" s="234"/>
      <c r="I56" s="234"/>
      <c r="J56" s="234"/>
    </row>
    <row r="57" spans="2:17" ht="15" customHeight="1" x14ac:dyDescent="0.3">
      <c r="B57" s="2" t="s">
        <v>58</v>
      </c>
      <c r="C57" s="220">
        <f>+HULP!$E$16</f>
        <v>0.1</v>
      </c>
      <c r="D57" s="3" t="s">
        <v>116</v>
      </c>
      <c r="E57" s="234"/>
      <c r="F57" s="234"/>
      <c r="G57" s="234"/>
      <c r="H57" s="234"/>
      <c r="I57" s="234"/>
      <c r="J57" s="234"/>
    </row>
    <row r="58" spans="2:17" ht="15" customHeight="1" x14ac:dyDescent="0.3">
      <c r="B58" s="2" t="s">
        <v>114</v>
      </c>
      <c r="C58" s="2" t="s">
        <v>117</v>
      </c>
      <c r="D58" s="234"/>
      <c r="E58" s="234"/>
      <c r="F58" s="234"/>
      <c r="G58" s="234"/>
      <c r="H58" s="234"/>
      <c r="I58" s="234"/>
      <c r="J58" s="234"/>
    </row>
    <row r="59" spans="2:17" ht="15" customHeight="1" x14ac:dyDescent="0.25">
      <c r="B59" s="2"/>
      <c r="C59" s="234"/>
      <c r="D59" s="234"/>
      <c r="E59" s="234"/>
      <c r="F59" s="234"/>
      <c r="G59" s="234"/>
      <c r="H59" s="234"/>
      <c r="I59" s="234"/>
      <c r="J59" s="234"/>
    </row>
    <row r="60" spans="2:17" ht="33" customHeight="1" x14ac:dyDescent="0.25">
      <c r="B60" s="243"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3"/>
      <c r="D60" s="243"/>
      <c r="E60" s="243"/>
      <c r="F60" s="243"/>
      <c r="G60" s="243"/>
      <c r="H60" s="243"/>
      <c r="I60" s="243"/>
      <c r="J60" s="243"/>
      <c r="K60" s="243"/>
      <c r="L60" s="243"/>
      <c r="M60" s="243"/>
      <c r="N60" s="243"/>
      <c r="O60" s="243"/>
      <c r="P60" s="243"/>
      <c r="Q60" s="243"/>
    </row>
    <row r="61" spans="2:17" ht="15" customHeight="1" x14ac:dyDescent="0.25">
      <c r="B61" s="2"/>
      <c r="C61" s="234"/>
      <c r="D61" s="234"/>
      <c r="E61" s="234"/>
      <c r="F61" s="234"/>
      <c r="G61" s="234"/>
      <c r="H61" s="234"/>
      <c r="I61" s="234"/>
      <c r="J61" s="234"/>
    </row>
    <row r="62" spans="2:17" ht="15" customHeight="1" x14ac:dyDescent="0.25">
      <c r="B62" s="2" t="s">
        <v>59</v>
      </c>
      <c r="C62" s="234"/>
      <c r="D62" s="234"/>
      <c r="E62" s="234"/>
      <c r="F62" s="234"/>
      <c r="G62" s="234"/>
      <c r="H62" s="234"/>
      <c r="I62" s="234"/>
      <c r="J62" s="234"/>
    </row>
    <row r="63" spans="2:17" ht="15" customHeight="1" x14ac:dyDescent="0.25">
      <c r="B63" s="2" t="str">
        <f>"● RTV &lt; "&amp;HULP!D16*100&amp;"% en solvabiliteit &lt; "&amp;HULP!E16*100&amp;"%: knockout"</f>
        <v>● RTV &lt; 0% en solvabiliteit &lt; 10%: knockout</v>
      </c>
      <c r="C63" s="234"/>
      <c r="D63" s="2"/>
      <c r="E63" s="234"/>
      <c r="F63" s="234"/>
      <c r="G63" s="234"/>
      <c r="H63" s="234"/>
      <c r="I63" s="2"/>
      <c r="J63" s="23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234"/>
      <c r="D64" s="234"/>
      <c r="E64" s="234"/>
      <c r="F64" s="234"/>
      <c r="G64" s="234"/>
      <c r="H64" s="234"/>
      <c r="I64" s="234"/>
      <c r="J64" s="234"/>
    </row>
    <row r="65" spans="2:10" ht="15" customHeight="1" x14ac:dyDescent="0.25">
      <c r="B65" s="2" t="str">
        <f>"● RTV &gt;= "&amp;HULP!D16*100&amp;"% en &lt; "&amp;HULP!E16*100&amp;"%."</f>
        <v>● RTV &gt;= 0% en &lt; 10%.</v>
      </c>
      <c r="C65" s="234"/>
      <c r="D65" s="234"/>
      <c r="E65" s="234"/>
      <c r="F65" s="234"/>
      <c r="G65" s="234"/>
      <c r="H65" s="234"/>
      <c r="I65" s="234"/>
      <c r="J65" s="234"/>
    </row>
    <row r="66" spans="2:10" ht="15" customHeight="1" x14ac:dyDescent="0.25">
      <c r="B66" s="2"/>
      <c r="C66" s="234"/>
      <c r="D66" s="234"/>
      <c r="E66" s="234"/>
      <c r="F66" s="234"/>
      <c r="G66" s="234"/>
      <c r="H66" s="234"/>
      <c r="I66" s="234"/>
      <c r="J66" s="234"/>
    </row>
    <row r="67" spans="2:10" ht="15" customHeight="1" x14ac:dyDescent="0.25">
      <c r="B67" s="2"/>
      <c r="C67" s="234"/>
      <c r="D67" s="234"/>
      <c r="E67" s="234"/>
      <c r="F67" s="234"/>
      <c r="G67" s="234"/>
      <c r="H67" s="234"/>
      <c r="I67" s="234"/>
      <c r="J67" s="234"/>
    </row>
    <row r="68" spans="2:10" ht="15" customHeight="1" x14ac:dyDescent="0.25">
      <c r="B68" s="2"/>
      <c r="C68" s="234"/>
      <c r="D68" s="234"/>
      <c r="E68" s="234"/>
      <c r="F68" s="234"/>
      <c r="G68" s="234"/>
      <c r="H68" s="234"/>
      <c r="I68" s="234"/>
      <c r="J68" s="234"/>
    </row>
    <row r="69" spans="2:10" ht="15" customHeight="1" x14ac:dyDescent="0.25">
      <c r="B69" s="2" t="str">
        <f>"● RTV &gt;= "&amp;HULP!E16*100&amp;"%: aantal punten is 2."</f>
        <v>● RTV &gt;= 10%: aantal punten is 2.</v>
      </c>
      <c r="C69" s="234"/>
      <c r="D69" s="234"/>
      <c r="E69" s="234"/>
      <c r="F69" s="234"/>
      <c r="G69" s="234"/>
      <c r="H69" s="234"/>
      <c r="I69" s="234"/>
      <c r="J69" s="23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107</v>
      </c>
    </row>
    <row r="91" spans="2:4" ht="15" customHeight="1" x14ac:dyDescent="0.25"/>
    <row r="92" spans="2:4" ht="17.399999999999999" x14ac:dyDescent="0.3">
      <c r="B92" s="6" t="s">
        <v>60</v>
      </c>
    </row>
    <row r="93" spans="2:4" ht="15" customHeight="1" x14ac:dyDescent="0.25">
      <c r="B93" s="2" t="s">
        <v>72</v>
      </c>
    </row>
    <row r="94" spans="2:4" ht="15" customHeight="1" x14ac:dyDescent="0.25">
      <c r="B94" s="2" t="s">
        <v>61</v>
      </c>
    </row>
    <row r="95" spans="2:4" ht="15" customHeight="1" x14ac:dyDescent="0.25">
      <c r="B95" s="2"/>
    </row>
    <row r="96" spans="2:4" ht="15" customHeight="1" x14ac:dyDescent="0.3">
      <c r="B96" s="2" t="s">
        <v>103</v>
      </c>
      <c r="C96" s="236">
        <f>+HULP!$D$17</f>
        <v>1</v>
      </c>
      <c r="D96" s="3" t="s">
        <v>118</v>
      </c>
    </row>
    <row r="97" spans="2:4" ht="15" customHeight="1" x14ac:dyDescent="0.3">
      <c r="B97" s="2" t="s">
        <v>58</v>
      </c>
      <c r="C97" s="4">
        <f>+HULP!$E$17</f>
        <v>1.5</v>
      </c>
      <c r="D97" s="3" t="s">
        <v>118</v>
      </c>
    </row>
    <row r="98" spans="2:4" ht="15" customHeight="1" x14ac:dyDescent="0.3">
      <c r="B98" s="2" t="s">
        <v>114</v>
      </c>
      <c r="C98" s="2" t="s">
        <v>119</v>
      </c>
    </row>
    <row r="99" spans="2:4" ht="15" customHeight="1" x14ac:dyDescent="0.25">
      <c r="B99" s="2"/>
    </row>
    <row r="100" spans="2:4" ht="15" customHeight="1" x14ac:dyDescent="0.25">
      <c r="B100" s="2" t="s">
        <v>62</v>
      </c>
    </row>
    <row r="101" spans="2:4" ht="15" customHeight="1" x14ac:dyDescent="0.25">
      <c r="B101" s="2" t="s">
        <v>63</v>
      </c>
    </row>
    <row r="102" spans="2:4" ht="15" customHeight="1" x14ac:dyDescent="0.25">
      <c r="B102" s="2" t="s">
        <v>64</v>
      </c>
    </row>
    <row r="103" spans="2:4" ht="15" customHeight="1" x14ac:dyDescent="0.25">
      <c r="B103" s="234"/>
    </row>
    <row r="104" spans="2:4" ht="15" customHeight="1" x14ac:dyDescent="0.25">
      <c r="B104" s="2"/>
    </row>
    <row r="105" spans="2:4" ht="15" customHeight="1" x14ac:dyDescent="0.25">
      <c r="B105" s="2"/>
    </row>
    <row r="106" spans="2:4" ht="15" customHeight="1" x14ac:dyDescent="0.25">
      <c r="B106" s="2" t="s">
        <v>65</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221" t="s">
        <v>73</v>
      </c>
    </row>
    <row r="128" spans="2:2" ht="15" customHeight="1" x14ac:dyDescent="0.25"/>
    <row r="129" ht="15" customHeight="1" x14ac:dyDescent="0.25"/>
  </sheetData>
  <mergeCells count="4">
    <mergeCell ref="B9:Q9"/>
    <mergeCell ref="B14:Q14"/>
    <mergeCell ref="B60:Q60"/>
    <mergeCell ref="B3:F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M106"/>
  <sheetViews>
    <sheetView showGridLines="0" tabSelected="1" showOutlineSymbols="0" zoomScaleNormal="100" zoomScaleSheetLayoutView="100" workbookViewId="0">
      <pane ySplit="9" topLeftCell="A22" activePane="bottomLeft" state="frozen"/>
      <selection activeCell="B1" sqref="B1"/>
      <selection pane="bottomLeft" activeCell="F31" sqref="F31"/>
    </sheetView>
  </sheetViews>
  <sheetFormatPr defaultColWidth="9.109375" defaultRowHeight="0" customHeight="1" zeroHeight="1" x14ac:dyDescent="0.25"/>
  <cols>
    <col min="1" max="1" width="2.5546875" style="13" customWidth="1"/>
    <col min="2" max="2" width="39.88671875" style="13" customWidth="1"/>
    <col min="3" max="3" width="34.5546875" style="13" customWidth="1"/>
    <col min="4" max="6" width="18.6640625" style="13" customWidth="1"/>
    <col min="7" max="7" width="13.33203125" style="13" customWidth="1"/>
    <col min="8" max="8" width="18.6640625" style="13" customWidth="1"/>
    <col min="9" max="9" width="6.33203125" style="13" customWidth="1"/>
    <col min="10" max="10" width="13.88671875" style="13" customWidth="1"/>
    <col min="11" max="11" width="3.109375" style="13" customWidth="1"/>
    <col min="12" max="12" width="8" style="13" customWidth="1"/>
    <col min="13" max="13" width="6.88671875" style="14" customWidth="1"/>
    <col min="14" max="14" width="9.109375" style="13" customWidth="1"/>
    <col min="15" max="19" width="11.109375" style="13" customWidth="1"/>
    <col min="20" max="21" width="9.109375" style="13" customWidth="1"/>
    <col min="22" max="16384" width="9.109375" style="13"/>
  </cols>
  <sheetData>
    <row r="1" spans="2:13" ht="18" customHeight="1" thickBot="1" x14ac:dyDescent="0.3"/>
    <row r="2" spans="2:13" ht="18" customHeight="1" x14ac:dyDescent="0.25">
      <c r="B2" s="15"/>
      <c r="C2" s="16"/>
      <c r="D2" s="16"/>
      <c r="E2" s="16"/>
      <c r="F2" s="16"/>
      <c r="G2" s="16"/>
      <c r="H2" s="16"/>
      <c r="I2" s="16"/>
      <c r="J2" s="17"/>
    </row>
    <row r="3" spans="2:13" ht="52.8" customHeight="1" x14ac:dyDescent="0.3">
      <c r="B3" s="247" t="s">
        <v>127</v>
      </c>
      <c r="C3" s="248"/>
      <c r="D3" s="248"/>
      <c r="E3" s="248"/>
      <c r="F3" s="19"/>
      <c r="G3" s="19"/>
      <c r="H3" s="19"/>
      <c r="I3" s="19"/>
      <c r="J3" s="20"/>
    </row>
    <row r="4" spans="2:13" ht="18" customHeight="1" x14ac:dyDescent="0.25">
      <c r="B4" s="21"/>
      <c r="C4" s="22"/>
      <c r="D4" s="22"/>
      <c r="E4" s="19"/>
      <c r="F4" s="19"/>
      <c r="G4" s="19"/>
      <c r="H4" s="19"/>
      <c r="I4" s="19"/>
      <c r="J4" s="20"/>
    </row>
    <row r="5" spans="2:13" ht="22.2" x14ac:dyDescent="0.35">
      <c r="B5" s="216" t="s">
        <v>112</v>
      </c>
      <c r="C5" s="22"/>
      <c r="D5" s="22"/>
      <c r="E5" s="19"/>
      <c r="F5" s="19"/>
      <c r="G5" s="19"/>
      <c r="H5" s="19"/>
      <c r="I5" s="19"/>
      <c r="J5" s="20"/>
      <c r="M5" s="13"/>
    </row>
    <row r="6" spans="2:13" ht="18" customHeight="1" x14ac:dyDescent="0.25">
      <c r="B6" s="21"/>
      <c r="C6" s="22"/>
      <c r="D6" s="22"/>
      <c r="E6" s="23"/>
      <c r="F6" s="23"/>
      <c r="G6" s="23"/>
      <c r="H6" s="23"/>
      <c r="I6" s="23"/>
      <c r="J6" s="20"/>
      <c r="M6" s="13"/>
    </row>
    <row r="7" spans="2:13" ht="18" customHeight="1" x14ac:dyDescent="0.25">
      <c r="B7" s="18" t="s">
        <v>0</v>
      </c>
      <c r="C7" s="253"/>
      <c r="D7" s="254"/>
      <c r="E7" s="23"/>
      <c r="F7" s="23"/>
      <c r="G7" s="23"/>
      <c r="H7" s="23"/>
      <c r="I7" s="23"/>
      <c r="J7" s="20"/>
      <c r="M7" s="13"/>
    </row>
    <row r="8" spans="2:13" ht="18" customHeight="1" thickBot="1" x14ac:dyDescent="0.3">
      <c r="B8" s="24"/>
      <c r="C8" s="25"/>
      <c r="D8" s="25"/>
      <c r="E8" s="26"/>
      <c r="F8" s="25"/>
      <c r="G8" s="25"/>
      <c r="H8" s="25"/>
      <c r="I8" s="27"/>
      <c r="J8" s="28"/>
      <c r="M8" s="13"/>
    </row>
    <row r="9" spans="2:13" ht="18" customHeight="1" thickBot="1" x14ac:dyDescent="0.3">
      <c r="B9" s="29"/>
      <c r="E9" s="30"/>
      <c r="I9" s="31"/>
      <c r="M9" s="13"/>
    </row>
    <row r="10" spans="2:13" ht="18" customHeight="1" x14ac:dyDescent="0.25">
      <c r="B10" s="32" t="s">
        <v>75</v>
      </c>
      <c r="C10" s="33"/>
      <c r="D10" s="34"/>
      <c r="E10" s="35"/>
      <c r="F10" s="36"/>
      <c r="G10" s="36"/>
      <c r="H10" s="36"/>
      <c r="I10" s="37"/>
      <c r="J10" s="38"/>
      <c r="M10" s="13"/>
    </row>
    <row r="11" spans="2:13" ht="27.6" x14ac:dyDescent="0.25">
      <c r="B11" s="39" t="s">
        <v>76</v>
      </c>
      <c r="C11" s="40" t="s">
        <v>77</v>
      </c>
      <c r="D11" s="257"/>
      <c r="E11" s="258"/>
      <c r="F11" s="258"/>
      <c r="G11" s="259"/>
      <c r="H11" s="41"/>
      <c r="I11" s="42"/>
      <c r="J11" s="43"/>
      <c r="M11" s="13"/>
    </row>
    <row r="12" spans="2:13" ht="18" customHeight="1" x14ac:dyDescent="0.25">
      <c r="B12" s="44"/>
      <c r="C12" s="45"/>
      <c r="D12" s="46"/>
      <c r="E12" s="47"/>
      <c r="F12" s="41"/>
      <c r="G12" s="41"/>
      <c r="H12" s="41"/>
      <c r="I12" s="42"/>
      <c r="J12" s="43"/>
      <c r="M12" s="13"/>
    </row>
    <row r="13" spans="2:13" ht="18" customHeight="1" x14ac:dyDescent="0.25">
      <c r="B13" s="48"/>
      <c r="C13" s="49" t="s">
        <v>49</v>
      </c>
      <c r="D13" s="50">
        <v>1000</v>
      </c>
      <c r="E13" s="45" t="s">
        <v>38</v>
      </c>
      <c r="F13" s="41"/>
      <c r="G13" s="41"/>
      <c r="H13" s="41"/>
      <c r="I13" s="42"/>
      <c r="J13" s="43"/>
      <c r="M13" s="13"/>
    </row>
    <row r="14" spans="2:13" ht="18" customHeight="1" x14ac:dyDescent="0.25">
      <c r="B14" s="48"/>
      <c r="C14" s="51"/>
      <c r="D14" s="46"/>
      <c r="E14" s="47"/>
      <c r="F14" s="52"/>
      <c r="G14" s="41"/>
      <c r="H14" s="41"/>
      <c r="I14" s="42"/>
      <c r="J14" s="43"/>
      <c r="M14" s="13"/>
    </row>
    <row r="15" spans="2:13" ht="18" customHeight="1" x14ac:dyDescent="0.25">
      <c r="B15" s="48"/>
      <c r="C15" s="51"/>
      <c r="D15" s="53">
        <v>2022</v>
      </c>
      <c r="E15" s="54">
        <f>D15-1</f>
        <v>2021</v>
      </c>
      <c r="F15" s="54">
        <f>E15-1</f>
        <v>2020</v>
      </c>
      <c r="G15" s="51"/>
      <c r="H15" s="41"/>
      <c r="I15" s="41"/>
      <c r="J15" s="43"/>
      <c r="M15" s="13"/>
    </row>
    <row r="16" spans="2:13" ht="18" customHeight="1" thickBot="1" x14ac:dyDescent="0.3">
      <c r="B16" s="55"/>
      <c r="C16" s="56" t="s">
        <v>48</v>
      </c>
      <c r="D16" s="57" t="s">
        <v>26</v>
      </c>
      <c r="E16" s="58" t="str">
        <f>+D16</f>
        <v>EUR</v>
      </c>
      <c r="F16" s="58" t="str">
        <f>+E16</f>
        <v>EUR</v>
      </c>
      <c r="G16" s="59" t="s">
        <v>1</v>
      </c>
      <c r="H16" s="60"/>
      <c r="I16" s="60"/>
      <c r="J16" s="61"/>
      <c r="M16" s="13"/>
    </row>
    <row r="17" spans="2:13" ht="18" customHeight="1" x14ac:dyDescent="0.25">
      <c r="B17" s="62" t="s">
        <v>2</v>
      </c>
      <c r="C17" s="63"/>
      <c r="D17" s="175"/>
      <c r="E17" s="175"/>
      <c r="F17" s="175"/>
      <c r="G17" s="64"/>
      <c r="H17" s="64"/>
      <c r="I17" s="64"/>
      <c r="J17" s="65"/>
      <c r="M17" s="13"/>
    </row>
    <row r="18" spans="2:13" ht="18" customHeight="1" x14ac:dyDescent="0.25">
      <c r="B18" s="66" t="s">
        <v>78</v>
      </c>
      <c r="C18" s="67"/>
      <c r="D18" s="176"/>
      <c r="E18" s="176"/>
      <c r="F18" s="176"/>
      <c r="G18" s="64"/>
      <c r="H18" s="64"/>
      <c r="I18" s="64"/>
      <c r="J18" s="65"/>
      <c r="M18" s="13"/>
    </row>
    <row r="19" spans="2:13" ht="18" customHeight="1" x14ac:dyDescent="0.25">
      <c r="B19" s="68" t="s">
        <v>79</v>
      </c>
      <c r="C19" s="69"/>
      <c r="D19" s="175"/>
      <c r="E19" s="175"/>
      <c r="F19" s="175"/>
      <c r="G19" s="7" t="s">
        <v>108</v>
      </c>
      <c r="H19" s="64"/>
      <c r="I19" s="64"/>
      <c r="J19" s="65"/>
    </row>
    <row r="20" spans="2:13" ht="18" customHeight="1" x14ac:dyDescent="0.25">
      <c r="B20" s="71" t="s">
        <v>32</v>
      </c>
      <c r="C20" s="64"/>
      <c r="D20" s="177">
        <f>+TotaalVermogenN-VasteActivaN-LiquideMiddelenN</f>
        <v>0</v>
      </c>
      <c r="E20" s="177">
        <f>+TotaalVermogenNmin1-VasteActivaNmin1-LiquideMiddelenNmin1</f>
        <v>0</v>
      </c>
      <c r="F20" s="177">
        <f>+TotaalVermogenNmin2-VasteActivaNmin2-LiquideMiddelenNmin2</f>
        <v>0</v>
      </c>
      <c r="G20" s="7"/>
      <c r="H20" s="64"/>
      <c r="I20" s="64"/>
      <c r="J20" s="65"/>
    </row>
    <row r="21" spans="2:13" ht="18" customHeight="1" x14ac:dyDescent="0.25">
      <c r="B21" s="68" t="s">
        <v>3</v>
      </c>
      <c r="C21" s="69"/>
      <c r="D21" s="175"/>
      <c r="E21" s="175"/>
      <c r="F21" s="175"/>
      <c r="G21" s="8"/>
      <c r="H21" s="64"/>
      <c r="I21" s="64"/>
      <c r="J21" s="65"/>
    </row>
    <row r="22" spans="2:13" ht="18" customHeight="1" x14ac:dyDescent="0.25">
      <c r="B22" s="72"/>
      <c r="C22" s="73" t="s">
        <v>34</v>
      </c>
      <c r="D22" s="178">
        <f>+LiquideMiddelenN+D20</f>
        <v>0</v>
      </c>
      <c r="E22" s="178">
        <f>+LiquideMiddelenNmin1+E20</f>
        <v>0</v>
      </c>
      <c r="F22" s="178">
        <f>TotaalVermogenNmin2-VasteActivaNmin2</f>
        <v>0</v>
      </c>
      <c r="G22" s="8"/>
      <c r="H22" s="64"/>
      <c r="I22" s="64"/>
      <c r="J22" s="65"/>
    </row>
    <row r="23" spans="2:13" ht="18" customHeight="1" x14ac:dyDescent="0.25">
      <c r="B23" s="74"/>
      <c r="C23" s="75" t="s">
        <v>4</v>
      </c>
      <c r="D23" s="176">
        <f>+VlottendeActivaN+VasteActivaN</f>
        <v>0</v>
      </c>
      <c r="E23" s="176">
        <f>+VlottendeActivaNmin1+VasteActivaNmin1</f>
        <v>0</v>
      </c>
      <c r="F23" s="176">
        <f>+VlottendeActivaNmin2+VasteActivaNmin2</f>
        <v>0</v>
      </c>
      <c r="G23" s="9"/>
      <c r="H23" s="64"/>
      <c r="I23" s="64"/>
      <c r="J23" s="65"/>
    </row>
    <row r="24" spans="2:13" ht="18" customHeight="1" x14ac:dyDescent="0.25">
      <c r="B24" s="66" t="s">
        <v>5</v>
      </c>
      <c r="C24" s="67"/>
      <c r="D24" s="176"/>
      <c r="E24" s="176"/>
      <c r="F24" s="176"/>
      <c r="G24" s="8"/>
      <c r="H24" s="64"/>
      <c r="I24" s="64"/>
      <c r="J24" s="65"/>
    </row>
    <row r="25" spans="2:13" ht="18" customHeight="1" x14ac:dyDescent="0.25">
      <c r="B25" s="68" t="s">
        <v>121</v>
      </c>
      <c r="C25" s="69"/>
      <c r="D25" s="175"/>
      <c r="E25" s="175"/>
      <c r="F25" s="175"/>
      <c r="G25" s="7" t="s">
        <v>109</v>
      </c>
      <c r="H25" s="64"/>
      <c r="I25" s="64"/>
      <c r="J25" s="65"/>
    </row>
    <row r="26" spans="2:13" ht="18" customHeight="1" x14ac:dyDescent="0.25">
      <c r="B26" s="10" t="s">
        <v>80</v>
      </c>
      <c r="C26" s="69"/>
      <c r="D26" s="175"/>
      <c r="E26" s="175"/>
      <c r="F26" s="175"/>
      <c r="G26" s="7" t="s">
        <v>110</v>
      </c>
      <c r="H26" s="64"/>
      <c r="I26" s="64"/>
      <c r="J26" s="65"/>
    </row>
    <row r="27" spans="2:13" ht="18" customHeight="1" x14ac:dyDescent="0.25">
      <c r="B27" s="71" t="s">
        <v>81</v>
      </c>
      <c r="C27" s="64"/>
      <c r="D27" s="178">
        <f>TotaalVermogenN-EigenVermogenN-VreemdVermogenLangN</f>
        <v>0</v>
      </c>
      <c r="E27" s="178">
        <f>TotaalVermogenNmin1-EigenVermogenNmin1-VreemdVermogenLangNmin1</f>
        <v>0</v>
      </c>
      <c r="F27" s="178">
        <f>TotaalVermogenNmin2-EigenVermogenNmin2-VreemdVermogenLangNmin2</f>
        <v>0</v>
      </c>
      <c r="G27" s="8"/>
      <c r="H27" s="64"/>
      <c r="I27" s="64"/>
      <c r="J27" s="65"/>
    </row>
    <row r="28" spans="2:13" ht="18" customHeight="1" x14ac:dyDescent="0.25">
      <c r="B28" s="76"/>
      <c r="C28" s="77" t="s">
        <v>6</v>
      </c>
      <c r="D28" s="176">
        <f>TotaalVermogenN-EigenVermogenN</f>
        <v>0</v>
      </c>
      <c r="E28" s="176">
        <f>TotaalVermogenNmin1-EigenVermogenNmin1</f>
        <v>0</v>
      </c>
      <c r="F28" s="176">
        <f>TotaalVermogenNmin2-EigenVermogenNmin2</f>
        <v>0</v>
      </c>
      <c r="G28" s="70"/>
      <c r="H28" s="64"/>
      <c r="I28" s="64"/>
      <c r="J28" s="65"/>
    </row>
    <row r="29" spans="2:13" ht="18" customHeight="1" x14ac:dyDescent="0.25">
      <c r="B29" s="74"/>
      <c r="C29" s="75" t="s">
        <v>7</v>
      </c>
      <c r="D29" s="176">
        <f>SUM(D25:D27)</f>
        <v>0</v>
      </c>
      <c r="E29" s="176">
        <f>SUM(E25:E27)</f>
        <v>0</v>
      </c>
      <c r="F29" s="176">
        <f>SUM(F25:F27)</f>
        <v>0</v>
      </c>
      <c r="G29" s="70"/>
      <c r="H29" s="64"/>
      <c r="I29" s="64"/>
      <c r="J29" s="65"/>
    </row>
    <row r="30" spans="2:13" ht="18" customHeight="1" x14ac:dyDescent="0.25">
      <c r="B30" s="78" t="s">
        <v>8</v>
      </c>
      <c r="C30" s="69"/>
      <c r="D30" s="176"/>
      <c r="E30" s="176"/>
      <c r="F30" s="176"/>
      <c r="G30" s="64"/>
      <c r="H30" s="64"/>
      <c r="I30" s="64"/>
      <c r="J30" s="65"/>
    </row>
    <row r="31" spans="2:13" ht="18" customHeight="1" thickBot="1" x14ac:dyDescent="0.3">
      <c r="B31" s="79" t="s">
        <v>36</v>
      </c>
      <c r="C31" s="80"/>
      <c r="D31" s="179"/>
      <c r="E31" s="179"/>
      <c r="F31" s="179"/>
      <c r="G31" s="81"/>
      <c r="H31" s="81"/>
      <c r="I31" s="81"/>
      <c r="J31" s="82"/>
    </row>
    <row r="32" spans="2:13" ht="18" customHeight="1" thickBot="1" x14ac:dyDescent="0.3">
      <c r="B32" s="83"/>
      <c r="C32" s="64"/>
      <c r="D32" s="64"/>
      <c r="E32" s="64"/>
      <c r="F32" s="64"/>
      <c r="G32" s="64"/>
      <c r="H32" s="64"/>
      <c r="I32" s="64"/>
      <c r="J32" s="64"/>
    </row>
    <row r="33" spans="1:13" ht="28.2" thickBot="1" x14ac:dyDescent="0.3">
      <c r="B33" s="84" t="s">
        <v>9</v>
      </c>
      <c r="C33" s="85"/>
      <c r="D33" s="173">
        <v>2021</v>
      </c>
      <c r="E33" s="173">
        <v>2020</v>
      </c>
      <c r="F33" s="173">
        <v>2019</v>
      </c>
      <c r="G33" s="173" t="s">
        <v>33</v>
      </c>
      <c r="H33" s="174" t="s">
        <v>29</v>
      </c>
      <c r="I33" s="86"/>
      <c r="J33" s="87" t="s">
        <v>25</v>
      </c>
    </row>
    <row r="34" spans="1:13" ht="18" customHeight="1" x14ac:dyDescent="0.25">
      <c r="B34" s="88"/>
      <c r="C34" s="89"/>
      <c r="D34" s="90"/>
      <c r="E34" s="90"/>
      <c r="F34" s="90"/>
      <c r="G34" s="91"/>
      <c r="H34" s="92"/>
      <c r="I34" s="86"/>
      <c r="J34" s="14"/>
    </row>
    <row r="35" spans="1:13" ht="18" customHeight="1" x14ac:dyDescent="0.25">
      <c r="B35" s="93"/>
      <c r="C35" s="94" t="s">
        <v>10</v>
      </c>
      <c r="D35" s="159">
        <v>1</v>
      </c>
      <c r="E35" s="159">
        <v>1</v>
      </c>
      <c r="F35" s="159">
        <f>WeegfactorjaarNmin2</f>
        <v>1</v>
      </c>
      <c r="G35" s="160"/>
      <c r="H35" s="161"/>
      <c r="I35" s="86"/>
      <c r="J35" s="14"/>
    </row>
    <row r="36" spans="1:13" s="96" customFormat="1" ht="18" customHeight="1" thickBot="1" x14ac:dyDescent="0.3">
      <c r="A36" s="13"/>
      <c r="B36" s="93"/>
      <c r="C36" s="95"/>
      <c r="D36" s="162"/>
      <c r="E36" s="163"/>
      <c r="F36" s="163"/>
      <c r="G36" s="164"/>
      <c r="H36" s="165"/>
      <c r="I36" s="86"/>
      <c r="J36" s="14"/>
      <c r="M36" s="97"/>
    </row>
    <row r="37" spans="1:13" s="96" customFormat="1" ht="18" customHeight="1" x14ac:dyDescent="0.25">
      <c r="A37" s="13"/>
      <c r="B37" s="98" t="s">
        <v>11</v>
      </c>
      <c r="C37" s="94" t="s">
        <v>12</v>
      </c>
      <c r="D37" s="166">
        <f>IF(TotaalVermogenN=0,0,EigenVermogenN/TotaalVermogenN)</f>
        <v>0</v>
      </c>
      <c r="E37" s="166">
        <f>IF(TotaalVermogenNmin1=0,0,EigenVermogenNmin1/TotaalVermogenNmin1)</f>
        <v>0</v>
      </c>
      <c r="F37" s="166">
        <f>IF(TotaalVermogenNmin2=0,0,EigenVermogenNmin2/TotaalVermogenNmin2)</f>
        <v>0</v>
      </c>
      <c r="G37" s="167">
        <f>C47</f>
        <v>0.2</v>
      </c>
      <c r="H37" s="168">
        <f>(((SolvabiliteitN*D35)+(SolvabiliteitNmin1*E35)+(SolvabiliteitNmin2*F35))/3)</f>
        <v>0</v>
      </c>
      <c r="I37" s="64"/>
      <c r="J37" s="99" t="str">
        <f>IF(TotaalVermogenN=0,"",IF(SolvabiliteitGemiddeld&gt;=G47,G48,IF(AND(E47&lt;SolvabiliteitGemiddeld,SolvabiliteitGemiddeld&lt;G47),ROUND(1+((SolvabiliteitGemiddeld-E47)*((G48-E48)/(G47-E47))),2),IF(SolvabiliteitGemiddeld=E47,1,0))))</f>
        <v/>
      </c>
      <c r="M37" s="97"/>
    </row>
    <row r="38" spans="1:13" s="96" customFormat="1" ht="18" customHeight="1" x14ac:dyDescent="0.25">
      <c r="A38" s="13"/>
      <c r="B38" s="98" t="s">
        <v>13</v>
      </c>
      <c r="C38" s="94" t="s">
        <v>35</v>
      </c>
      <c r="D38" s="166">
        <f>IF(TotaalVermogenN=0,0,NettoResultaatN/TotaalVermogenN)</f>
        <v>0</v>
      </c>
      <c r="E38" s="166">
        <f>IF(TotaalVermogenNmin1=0,0,NettoResultaatNmin1/TotaalVermogenNmin1)</f>
        <v>0</v>
      </c>
      <c r="F38" s="166">
        <f>IF(TotaalVermogenNmin2=0,0,NettoResultaatNmin2/TotaalVermogenNmin2)</f>
        <v>0</v>
      </c>
      <c r="G38" s="169">
        <f>E49</f>
        <v>0</v>
      </c>
      <c r="H38" s="168">
        <f>(((RentabiliteitNmin2*F35)+(RentabiliteitNmin1*E35)+(RentabiliteitN*D35))/3)</f>
        <v>0</v>
      </c>
      <c r="I38" s="64"/>
      <c r="J38" s="180" t="str">
        <f>IF(NettoResultaatN="","",IF(SUM(D17:E31)=0,0,IF(RentabiliteitGemiddeld&gt;=G49,G50,IF(AND(E49&lt;RentabiliteitGemiddeld,RentabiliteitGemiddeld&lt;G49),ROUND(1+(((RentabiliteitGemiddeld-E49)/(G49-E49))*(G50-E50)),2),IF(RentabiliteitGemiddeld=E49,1,0)))))</f>
        <v/>
      </c>
      <c r="M38" s="97"/>
    </row>
    <row r="39" spans="1:13" s="96" customFormat="1" ht="18" customHeight="1" thickBot="1" x14ac:dyDescent="0.3">
      <c r="A39" s="13"/>
      <c r="B39" s="98" t="s">
        <v>14</v>
      </c>
      <c r="C39" s="94" t="s">
        <v>15</v>
      </c>
      <c r="D39" s="170">
        <f>IF(TotaalVermogenN=0,0,IF(VreemdVermogenKortN=0,1.5,VlottendeActivaN/VreemdVermogenKortN))</f>
        <v>0</v>
      </c>
      <c r="E39" s="170">
        <f>IF(TotaalVermogenNmin1=0,0,IF(VreemdVermogenKortNmin1=0,1.5,VlottendeActivaNmin1/VreemdVermogenKortNmin1))</f>
        <v>0</v>
      </c>
      <c r="F39" s="170">
        <f>IF(TotaalVermogenNmin2=0,0,IF(VreemdVermogenKortNmin2=0,1.5,VlottendeActivaNmin2/VreemdVermogenKortNmin2))</f>
        <v>0</v>
      </c>
      <c r="G39" s="171">
        <f>E51</f>
        <v>1</v>
      </c>
      <c r="H39" s="172">
        <f>(((CurrentRatioNmin2*F35)+(CurrentRatioNmin1*E35)+(CurrentRatioN*D35))/3)</f>
        <v>0</v>
      </c>
      <c r="I39" s="64"/>
      <c r="J39" s="100" t="str">
        <f>IF(LiquideMiddelenN="","",IF(CurrentRatioGemiddeld&gt;=G51,G52,IF(AND(E51&lt;CurrentRatioGemiddeld,CurrentRatioGemiddeld&lt;G51),ROUND(1+(((CurrentRatioGemiddeld-E51)/(G51-E51))*(G52-E52)),2),IF(CurrentRatioGemiddeld=E51,1,0))))</f>
        <v/>
      </c>
      <c r="K39" s="101"/>
      <c r="M39" s="97"/>
    </row>
    <row r="40" spans="1:13" s="96" customFormat="1" ht="18" customHeight="1" thickBot="1" x14ac:dyDescent="0.3">
      <c r="A40" s="13"/>
      <c r="B40" s="102"/>
      <c r="C40" s="103"/>
      <c r="D40" s="104"/>
      <c r="E40" s="104"/>
      <c r="F40" s="104"/>
      <c r="G40" s="105"/>
      <c r="H40" s="104"/>
      <c r="I40" s="64"/>
      <c r="J40" s="14"/>
      <c r="K40" s="101"/>
      <c r="M40" s="97"/>
    </row>
    <row r="41" spans="1:13" s="96" customFormat="1" ht="18" customHeight="1" thickBot="1" x14ac:dyDescent="0.3">
      <c r="A41" s="13"/>
      <c r="B41" s="102"/>
      <c r="C41" s="103"/>
      <c r="D41" s="104"/>
      <c r="E41" s="104"/>
      <c r="G41" s="105"/>
      <c r="H41" s="106" t="s">
        <v>24</v>
      </c>
      <c r="I41" s="64"/>
      <c r="J41" s="107">
        <f>SUM(J37:J39)</f>
        <v>0</v>
      </c>
      <c r="M41" s="97"/>
    </row>
    <row r="42" spans="1:13" s="96" customFormat="1" ht="18" customHeight="1" thickBot="1" x14ac:dyDescent="0.3">
      <c r="A42" s="13"/>
      <c r="B42" s="108"/>
      <c r="C42" s="109"/>
      <c r="D42" s="13"/>
      <c r="E42" s="104"/>
      <c r="F42" s="104"/>
      <c r="G42" s="104"/>
      <c r="H42" s="104"/>
      <c r="I42" s="110"/>
      <c r="J42" s="64"/>
      <c r="M42" s="97"/>
    </row>
    <row r="43" spans="1:13" ht="18" customHeight="1" x14ac:dyDescent="0.25">
      <c r="B43" s="111" t="s">
        <v>16</v>
      </c>
      <c r="C43" s="33"/>
      <c r="D43" s="33"/>
      <c r="E43" s="33"/>
      <c r="F43" s="33"/>
      <c r="G43" s="33"/>
      <c r="H43" s="112"/>
      <c r="I43" s="113"/>
      <c r="J43" s="114"/>
    </row>
    <row r="44" spans="1:13" ht="18" customHeight="1" x14ac:dyDescent="0.25">
      <c r="B44" s="115"/>
      <c r="C44" s="45"/>
      <c r="D44" s="45"/>
      <c r="E44" s="45"/>
      <c r="F44" s="255" t="s">
        <v>123</v>
      </c>
      <c r="G44" s="255" t="s">
        <v>66</v>
      </c>
      <c r="H44" s="116"/>
      <c r="I44" s="117"/>
      <c r="J44" s="65"/>
    </row>
    <row r="45" spans="1:13" ht="18" customHeight="1" thickBot="1" x14ac:dyDescent="0.3">
      <c r="B45" s="118" t="s">
        <v>17</v>
      </c>
      <c r="C45" s="119" t="s">
        <v>122</v>
      </c>
      <c r="D45" s="119" t="s">
        <v>17</v>
      </c>
      <c r="E45" s="119" t="s">
        <v>33</v>
      </c>
      <c r="F45" s="256"/>
      <c r="G45" s="256"/>
      <c r="H45" s="120"/>
      <c r="I45" s="121"/>
      <c r="J45" s="65"/>
    </row>
    <row r="46" spans="1:13" ht="18" customHeight="1" thickBot="1" x14ac:dyDescent="0.3">
      <c r="B46" s="117" t="s">
        <v>71</v>
      </c>
      <c r="C46" s="64"/>
      <c r="D46" s="122"/>
      <c r="E46" s="123"/>
      <c r="F46" s="124"/>
      <c r="G46" s="124"/>
      <c r="H46" s="124"/>
      <c r="I46" s="123"/>
      <c r="J46" s="65"/>
    </row>
    <row r="47" spans="1:13" ht="18" customHeight="1" x14ac:dyDescent="0.25">
      <c r="B47" s="125" t="s">
        <v>11</v>
      </c>
      <c r="C47" s="126">
        <f>+HULP!D15</f>
        <v>0.2</v>
      </c>
      <c r="D47" s="127" t="s">
        <v>18</v>
      </c>
      <c r="E47" s="128">
        <f>C47</f>
        <v>0.2</v>
      </c>
      <c r="F47" s="129" t="str">
        <f>E47*100&amp;"% - "&amp;G47*100&amp;"%"</f>
        <v>20% - 50%</v>
      </c>
      <c r="G47" s="130">
        <f>+HULP!E15</f>
        <v>0.5</v>
      </c>
      <c r="H47" s="131"/>
      <c r="I47" s="117"/>
      <c r="J47" s="65"/>
    </row>
    <row r="48" spans="1:13" ht="18" customHeight="1" x14ac:dyDescent="0.25">
      <c r="B48" s="132" t="s">
        <v>12</v>
      </c>
      <c r="C48" s="133"/>
      <c r="D48" s="94" t="s">
        <v>19</v>
      </c>
      <c r="E48" s="133">
        <v>1</v>
      </c>
      <c r="F48" s="134" t="str">
        <f>E48&amp;" tot "&amp;G48</f>
        <v>1 tot 4</v>
      </c>
      <c r="G48" s="135">
        <v>4</v>
      </c>
      <c r="H48" s="136"/>
      <c r="I48" s="117"/>
      <c r="J48" s="65"/>
    </row>
    <row r="49" spans="2:10" ht="18" customHeight="1" x14ac:dyDescent="0.25">
      <c r="B49" s="137" t="s">
        <v>13</v>
      </c>
      <c r="C49" s="138">
        <f>+HULP!D16</f>
        <v>0</v>
      </c>
      <c r="D49" s="139" t="s">
        <v>18</v>
      </c>
      <c r="E49" s="140">
        <f>C49</f>
        <v>0</v>
      </c>
      <c r="F49" s="141" t="str">
        <f>E49*100&amp;"% - "&amp;G49*100&amp;"%"</f>
        <v>0% - 10%</v>
      </c>
      <c r="G49" s="140">
        <f>+HULP!E16</f>
        <v>0.1</v>
      </c>
      <c r="H49" s="142"/>
      <c r="I49" s="117"/>
      <c r="J49" s="65"/>
    </row>
    <row r="50" spans="2:10" ht="18" customHeight="1" x14ac:dyDescent="0.25">
      <c r="B50" s="132" t="s">
        <v>37</v>
      </c>
      <c r="C50" s="133"/>
      <c r="D50" s="94" t="s">
        <v>19</v>
      </c>
      <c r="E50" s="133">
        <v>1</v>
      </c>
      <c r="F50" s="134" t="str">
        <f>E50&amp;" tot "&amp;G50</f>
        <v>1 tot 2</v>
      </c>
      <c r="G50" s="133">
        <v>2</v>
      </c>
      <c r="H50" s="136"/>
      <c r="I50" s="117"/>
      <c r="J50" s="65"/>
    </row>
    <row r="51" spans="2:10" ht="18" customHeight="1" x14ac:dyDescent="0.25">
      <c r="B51" s="137" t="s">
        <v>14</v>
      </c>
      <c r="C51" s="143">
        <f>+HULP!D17</f>
        <v>1</v>
      </c>
      <c r="D51" s="139" t="str">
        <f>D47</f>
        <v>Norm: &gt;=</v>
      </c>
      <c r="E51" s="141">
        <f>C51</f>
        <v>1</v>
      </c>
      <c r="F51" s="141" t="str">
        <f>E51&amp;" - "&amp;G51</f>
        <v>1 - 1,5</v>
      </c>
      <c r="G51" s="144">
        <f>+HULP!E17</f>
        <v>1.5</v>
      </c>
      <c r="H51" s="142"/>
      <c r="I51" s="117"/>
      <c r="J51" s="65"/>
    </row>
    <row r="52" spans="2:10" ht="18" customHeight="1" thickBot="1" x14ac:dyDescent="0.3">
      <c r="B52" s="145" t="s">
        <v>20</v>
      </c>
      <c r="C52" s="11"/>
      <c r="D52" s="146" t="s">
        <v>19</v>
      </c>
      <c r="E52" s="147">
        <v>1</v>
      </c>
      <c r="F52" s="148" t="str">
        <f>E52&amp;" tot "&amp;G52</f>
        <v>1 tot 3</v>
      </c>
      <c r="G52" s="147">
        <v>3</v>
      </c>
      <c r="H52" s="149"/>
      <c r="I52" s="117"/>
      <c r="J52" s="65"/>
    </row>
    <row r="53" spans="2:10" ht="18" customHeight="1" x14ac:dyDescent="0.25">
      <c r="B53" s="117"/>
      <c r="C53" s="64"/>
      <c r="D53" s="122"/>
      <c r="E53" s="123"/>
      <c r="F53" s="124"/>
      <c r="G53" s="124"/>
      <c r="H53" s="124"/>
      <c r="I53" s="123"/>
      <c r="J53" s="65"/>
    </row>
    <row r="54" spans="2:10" ht="18" customHeight="1" x14ac:dyDescent="0.25">
      <c r="B54" s="150" t="s">
        <v>21</v>
      </c>
      <c r="C54" s="151"/>
      <c r="D54" s="64"/>
      <c r="E54" s="64"/>
      <c r="F54" s="64"/>
      <c r="G54" s="64"/>
      <c r="H54" s="64"/>
      <c r="I54" s="64"/>
      <c r="J54" s="65"/>
    </row>
    <row r="55" spans="2:10" ht="18" customHeight="1" x14ac:dyDescent="0.25">
      <c r="B55" s="152" t="str">
        <f>"1) De gegadigde dient gemiddeld een waardering te verkrijgen van minimaal 4 punten, onder de volgende voorwaarden:"</f>
        <v>1) De gegadigde dient gemiddeld een waardering te verkrijgen van minimaal 4 punten, onder de volgende voorwaarden:</v>
      </c>
      <c r="C55" s="64"/>
      <c r="D55" s="64"/>
      <c r="E55" s="64"/>
      <c r="F55" s="64"/>
      <c r="G55" s="64"/>
      <c r="H55" s="64"/>
      <c r="I55" s="64"/>
      <c r="J55" s="65"/>
    </row>
    <row r="56" spans="2:10" ht="22.5" customHeight="1" x14ac:dyDescent="0.25">
      <c r="B56" s="249" t="s">
        <v>111</v>
      </c>
      <c r="C56" s="250"/>
      <c r="D56" s="250"/>
      <c r="E56" s="250"/>
      <c r="F56" s="250"/>
      <c r="G56" s="250"/>
      <c r="H56" s="250"/>
      <c r="I56" s="64"/>
      <c r="J56" s="65"/>
    </row>
    <row r="57" spans="2:10" ht="34.5" customHeight="1" x14ac:dyDescent="0.25">
      <c r="B57" s="251" t="str">
        <f>"● er dient een minimale score van 1 punt op rentabiliteit behaald te worden. Indien dit niet behaald wordt dan dient er ter compensatie
  minimaal een gemiddelde solvabiliteit van "&amp;G47*100-10&amp;"% gehaald te worden."</f>
        <v>● er dient een minimale score van 1 punt op rentabiliteit behaald te worden. Indien dit niet behaald wordt dan dient er ter compensatie
  minimaal een gemiddelde solvabiliteit van 40% gehaald te worden.</v>
      </c>
      <c r="C57" s="252"/>
      <c r="D57" s="252"/>
      <c r="E57" s="252"/>
      <c r="F57" s="252"/>
      <c r="G57" s="252"/>
      <c r="H57" s="252"/>
      <c r="I57" s="64"/>
      <c r="J57" s="65"/>
    </row>
    <row r="58" spans="2:10" ht="18" customHeight="1" x14ac:dyDescent="0.25">
      <c r="B58" s="153"/>
      <c r="D58" s="154"/>
      <c r="E58" s="123"/>
      <c r="F58" s="123"/>
      <c r="G58" s="123"/>
      <c r="H58" s="123"/>
      <c r="I58" s="123"/>
      <c r="J58" s="65"/>
    </row>
    <row r="59" spans="2:10" ht="18" customHeight="1" x14ac:dyDescent="0.25">
      <c r="B59" s="150" t="s">
        <v>22</v>
      </c>
      <c r="D59" s="154"/>
      <c r="E59" s="123"/>
      <c r="F59" s="123"/>
      <c r="G59" s="123"/>
      <c r="H59" s="123"/>
      <c r="I59" s="123"/>
      <c r="J59" s="65"/>
    </row>
    <row r="60" spans="2:10" ht="18" customHeight="1" x14ac:dyDescent="0.25">
      <c r="B60" s="152" t="s">
        <v>23</v>
      </c>
      <c r="C60" s="64"/>
      <c r="D60" s="122"/>
      <c r="E60" s="123"/>
      <c r="F60" s="123"/>
      <c r="G60" s="123"/>
      <c r="H60" s="123"/>
      <c r="I60" s="123"/>
      <c r="J60" s="65"/>
    </row>
    <row r="61" spans="2:10" ht="18" customHeight="1" x14ac:dyDescent="0.25">
      <c r="B61" s="117" t="s">
        <v>31</v>
      </c>
      <c r="C61" s="64"/>
      <c r="D61" s="122"/>
      <c r="E61" s="123"/>
      <c r="F61" s="123"/>
      <c r="G61" s="123"/>
      <c r="H61" s="123"/>
      <c r="I61" s="123"/>
      <c r="J61" s="65"/>
    </row>
    <row r="62" spans="2:10" ht="18" customHeight="1" x14ac:dyDescent="0.25">
      <c r="B62" s="155" t="s">
        <v>126</v>
      </c>
      <c r="C62" s="64"/>
      <c r="D62" s="122"/>
      <c r="E62" s="123"/>
      <c r="F62" s="123"/>
      <c r="G62" s="123"/>
      <c r="H62" s="123"/>
      <c r="I62" s="123"/>
      <c r="J62" s="65"/>
    </row>
    <row r="63" spans="2:10" ht="18" customHeight="1" x14ac:dyDescent="0.25">
      <c r="B63" s="155" t="s">
        <v>124</v>
      </c>
      <c r="C63" s="64"/>
      <c r="D63" s="122"/>
      <c r="E63" s="123"/>
      <c r="F63" s="123"/>
      <c r="G63" s="123"/>
      <c r="H63" s="123"/>
      <c r="I63" s="123"/>
      <c r="J63" s="65"/>
    </row>
    <row r="64" spans="2:10" ht="18" customHeight="1" x14ac:dyDescent="0.25">
      <c r="B64" s="155" t="s">
        <v>125</v>
      </c>
      <c r="C64" s="64"/>
      <c r="D64" s="123"/>
      <c r="E64" s="123"/>
      <c r="F64" s="123"/>
      <c r="G64" s="123"/>
      <c r="H64" s="123"/>
      <c r="I64" s="123"/>
      <c r="J64" s="65"/>
    </row>
    <row r="65" spans="2:10" ht="18" customHeight="1" x14ac:dyDescent="0.25">
      <c r="B65" s="155"/>
      <c r="C65" s="64"/>
      <c r="D65" s="123"/>
      <c r="E65" s="123"/>
      <c r="F65" s="123"/>
      <c r="G65" s="123"/>
      <c r="H65" s="123"/>
      <c r="I65" s="123"/>
      <c r="J65" s="65"/>
    </row>
    <row r="66" spans="2:10" ht="18" customHeight="1" x14ac:dyDescent="0.25">
      <c r="B66" s="153" t="s">
        <v>39</v>
      </c>
      <c r="C66" s="64"/>
      <c r="D66" s="123"/>
      <c r="E66" s="123"/>
      <c r="F66" s="123"/>
      <c r="G66" s="123"/>
      <c r="H66" s="123"/>
      <c r="I66" s="123"/>
      <c r="J66" s="65"/>
    </row>
    <row r="67" spans="2:10" ht="18" customHeight="1" thickBot="1" x14ac:dyDescent="0.3">
      <c r="B67" s="156"/>
      <c r="C67" s="81"/>
      <c r="D67" s="81"/>
      <c r="E67" s="81"/>
      <c r="F67" s="81"/>
      <c r="G67" s="81"/>
      <c r="H67" s="81"/>
      <c r="I67" s="81"/>
      <c r="J67" s="82"/>
    </row>
    <row r="68" spans="2:10" ht="18" customHeight="1" x14ac:dyDescent="0.25"/>
    <row r="69" spans="2:10" ht="18" customHeight="1" x14ac:dyDescent="0.25"/>
    <row r="70" spans="2:10" ht="18" hidden="1"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c r="D74" s="157"/>
      <c r="E74" s="157"/>
      <c r="F74" s="157"/>
    </row>
    <row r="75" spans="2:10" ht="18" hidden="1" customHeight="1" x14ac:dyDescent="0.25">
      <c r="F75" s="158"/>
    </row>
    <row r="76" spans="2:10" ht="18" hidden="1" customHeight="1" x14ac:dyDescent="0.25"/>
    <row r="77" spans="2:10" ht="18" hidden="1" customHeight="1" x14ac:dyDescent="0.25"/>
    <row r="78" spans="2:10" ht="18" hidden="1" customHeight="1" x14ac:dyDescent="0.25">
      <c r="B78" s="12"/>
    </row>
    <row r="79" spans="2:10" ht="18" hidden="1" customHeight="1" x14ac:dyDescent="0.25"/>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c r="B106" s="13" t="s">
        <v>73</v>
      </c>
    </row>
  </sheetData>
  <sheetProtection algorithmName="SHA-512" hashValue="u3zcY0219aPN9ynvAVvZI+0ELqZPzk67fySSVEbbLlYVdPzIrOpFWwzcQ9eOpDkfVrNGLXCstCGl5qjtfrHDwQ==" saltValue="W5Bvrygut2RtrKy2E55iCw==" spinCount="100000" sheet="1" objects="1" scenarios="1" selectLockedCells="1"/>
  <mergeCells count="7">
    <mergeCell ref="B3:E3"/>
    <mergeCell ref="B56:H56"/>
    <mergeCell ref="B57:H57"/>
    <mergeCell ref="C7:D7"/>
    <mergeCell ref="G44:G45"/>
    <mergeCell ref="F44:F45"/>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10" sqref="D10"/>
    </sheetView>
  </sheetViews>
  <sheetFormatPr defaultColWidth="0" defaultRowHeight="13.8" zeroHeight="1" x14ac:dyDescent="0.25"/>
  <cols>
    <col min="1" max="1" width="3.33203125" style="181" customWidth="1"/>
    <col min="2" max="2" width="17.5546875" style="181" customWidth="1"/>
    <col min="3" max="11" width="14.6640625" style="181" customWidth="1"/>
    <col min="12" max="13" width="9.109375" style="181" customWidth="1"/>
    <col min="14" max="22" width="0" style="181" hidden="1" customWidth="1"/>
    <col min="23" max="16384" width="9.109375" style="181" hidden="1"/>
  </cols>
  <sheetData>
    <row r="1" spans="2:22" x14ac:dyDescent="0.25"/>
    <row r="2" spans="2:22" ht="22.2" x14ac:dyDescent="0.35">
      <c r="B2" s="213" t="s">
        <v>104</v>
      </c>
      <c r="C2" s="14"/>
      <c r="D2" s="13"/>
      <c r="E2" s="13"/>
      <c r="F2" s="13"/>
      <c r="G2" s="13"/>
      <c r="H2" s="13"/>
      <c r="I2" s="13"/>
    </row>
    <row r="3" spans="2:22" x14ac:dyDescent="0.25">
      <c r="B3" s="182"/>
      <c r="C3" s="14"/>
      <c r="D3" s="13"/>
      <c r="E3" s="13"/>
      <c r="F3" s="13"/>
      <c r="G3" s="13"/>
      <c r="H3" s="13"/>
      <c r="I3" s="13"/>
    </row>
    <row r="4" spans="2:22" x14ac:dyDescent="0.25">
      <c r="B4" s="182"/>
      <c r="C4" s="14"/>
      <c r="D4" s="13"/>
      <c r="E4" s="13"/>
      <c r="F4" s="13"/>
      <c r="G4" s="13"/>
      <c r="H4" s="13"/>
      <c r="I4" s="13"/>
    </row>
    <row r="5" spans="2:22" ht="12.75" customHeight="1" x14ac:dyDescent="0.25">
      <c r="B5" s="183"/>
      <c r="C5" s="184" t="s">
        <v>45</v>
      </c>
      <c r="D5" s="184"/>
      <c r="E5" s="184"/>
      <c r="F5" s="184"/>
      <c r="G5" s="184"/>
      <c r="H5" s="184"/>
      <c r="I5" s="185"/>
      <c r="N5" s="186"/>
      <c r="O5" s="186"/>
      <c r="P5" s="186"/>
      <c r="Q5" s="186"/>
      <c r="R5" s="186"/>
      <c r="S5" s="186"/>
      <c r="T5" s="186"/>
      <c r="U5" s="186"/>
      <c r="V5" s="186"/>
    </row>
    <row r="6" spans="2:22" x14ac:dyDescent="0.25">
      <c r="B6" s="59" t="s">
        <v>44</v>
      </c>
      <c r="C6" s="187" t="s">
        <v>43</v>
      </c>
      <c r="D6" s="187" t="s">
        <v>44</v>
      </c>
      <c r="E6" s="187" t="s">
        <v>30</v>
      </c>
      <c r="F6" s="187"/>
      <c r="G6" s="187" t="s">
        <v>50</v>
      </c>
      <c r="H6" s="187" t="s">
        <v>46</v>
      </c>
      <c r="I6" s="188" t="s">
        <v>47</v>
      </c>
      <c r="M6" s="186"/>
      <c r="N6" s="186"/>
      <c r="O6" s="186"/>
      <c r="P6" s="186"/>
      <c r="Q6" s="186"/>
      <c r="R6" s="186"/>
      <c r="S6" s="186"/>
      <c r="T6" s="186"/>
      <c r="U6" s="186"/>
      <c r="V6" s="186"/>
    </row>
    <row r="7" spans="2:22" x14ac:dyDescent="0.25">
      <c r="B7" s="189" t="s">
        <v>40</v>
      </c>
      <c r="C7" s="190">
        <v>1</v>
      </c>
      <c r="D7" s="191">
        <v>2022</v>
      </c>
      <c r="E7" s="192" t="s">
        <v>26</v>
      </c>
      <c r="F7" s="193"/>
      <c r="G7" s="194">
        <f>IF(Kengetallen!J37&gt;=1,1,0)</f>
        <v>1</v>
      </c>
      <c r="H7" s="195">
        <v>1</v>
      </c>
      <c r="I7" s="178">
        <v>1000000</v>
      </c>
      <c r="M7" s="186"/>
      <c r="N7" s="186"/>
      <c r="O7" s="186"/>
      <c r="P7" s="186"/>
      <c r="Q7" s="186"/>
      <c r="R7" s="186"/>
      <c r="S7" s="186"/>
      <c r="T7" s="186"/>
      <c r="U7" s="186"/>
      <c r="V7" s="186"/>
    </row>
    <row r="8" spans="2:22" x14ac:dyDescent="0.25">
      <c r="B8" s="189" t="s">
        <v>41</v>
      </c>
      <c r="C8" s="190">
        <v>1</v>
      </c>
      <c r="D8" s="191">
        <v>2021</v>
      </c>
      <c r="E8" s="192" t="s">
        <v>27</v>
      </c>
      <c r="F8" s="193"/>
      <c r="G8" s="194">
        <f>IF(Kengetallen!J38&gt;=1,1,IF(Kengetallen!H37&gt;=(Kengetallen!G47-0.1),1,0))</f>
        <v>1</v>
      </c>
      <c r="H8" s="195">
        <v>1000</v>
      </c>
      <c r="I8" s="178">
        <v>1000</v>
      </c>
      <c r="M8" s="186"/>
      <c r="N8" s="186"/>
      <c r="O8" s="186"/>
      <c r="P8" s="186"/>
      <c r="Q8" s="186"/>
      <c r="R8" s="186"/>
      <c r="S8" s="186"/>
      <c r="T8" s="186"/>
      <c r="U8" s="186"/>
      <c r="V8" s="186"/>
    </row>
    <row r="9" spans="2:22" x14ac:dyDescent="0.25">
      <c r="B9" s="189" t="s">
        <v>42</v>
      </c>
      <c r="C9" s="190">
        <v>1</v>
      </c>
      <c r="D9" s="191">
        <v>2020</v>
      </c>
      <c r="E9" s="192" t="s">
        <v>28</v>
      </c>
      <c r="F9" s="193"/>
      <c r="G9" s="194">
        <f>SUM(G7:G8)</f>
        <v>2</v>
      </c>
      <c r="H9" s="195">
        <v>1000000</v>
      </c>
      <c r="I9" s="178">
        <v>1</v>
      </c>
      <c r="M9" s="186"/>
      <c r="N9" s="186"/>
      <c r="O9" s="186"/>
      <c r="P9" s="186"/>
      <c r="Q9" s="186"/>
      <c r="R9" s="186"/>
      <c r="S9" s="186"/>
      <c r="T9" s="186"/>
      <c r="U9" s="186"/>
      <c r="V9" s="186"/>
    </row>
    <row r="10" spans="2:22" x14ac:dyDescent="0.25">
      <c r="B10" s="13"/>
      <c r="C10" s="14"/>
      <c r="D10" s="196"/>
      <c r="E10" s="14"/>
      <c r="F10" s="14"/>
      <c r="G10" s="14"/>
      <c r="H10" s="13"/>
      <c r="I10" s="197">
        <f>VLOOKUP(Kengetallen!D13,H7:$I$9,2,FALSE)</f>
        <v>1000</v>
      </c>
      <c r="J10" s="181" t="s">
        <v>120</v>
      </c>
      <c r="M10" s="186"/>
      <c r="N10" s="186"/>
      <c r="O10" s="186"/>
      <c r="P10" s="186"/>
      <c r="Q10" s="186"/>
      <c r="R10" s="186"/>
      <c r="S10" s="186"/>
      <c r="T10" s="186"/>
      <c r="U10" s="186"/>
      <c r="V10" s="186"/>
    </row>
    <row r="11" spans="2:22" x14ac:dyDescent="0.25">
      <c r="B11" s="13"/>
      <c r="C11" s="14"/>
      <c r="D11" s="13"/>
      <c r="E11" s="13"/>
      <c r="F11" s="13"/>
      <c r="G11" s="13"/>
      <c r="H11" s="13"/>
      <c r="I11" s="13"/>
    </row>
    <row r="12" spans="2:22" x14ac:dyDescent="0.25">
      <c r="B12" s="13"/>
      <c r="C12" s="14"/>
      <c r="D12" s="13"/>
      <c r="E12" s="13"/>
      <c r="F12" s="13"/>
      <c r="G12" s="13"/>
      <c r="H12" s="13"/>
      <c r="I12" s="13"/>
    </row>
    <row r="13" spans="2:22" x14ac:dyDescent="0.25">
      <c r="B13" s="198" t="s">
        <v>85</v>
      </c>
      <c r="C13" s="184"/>
      <c r="D13" s="199" t="s">
        <v>82</v>
      </c>
      <c r="E13" s="199" t="s">
        <v>84</v>
      </c>
      <c r="F13" s="184"/>
      <c r="G13" s="184"/>
      <c r="H13" s="184"/>
      <c r="I13" s="185"/>
    </row>
    <row r="14" spans="2:22" x14ac:dyDescent="0.25">
      <c r="B14" s="59"/>
      <c r="C14" s="187"/>
      <c r="D14" s="200" t="s">
        <v>83</v>
      </c>
      <c r="E14" s="200" t="s">
        <v>83</v>
      </c>
      <c r="F14" s="187" t="s">
        <v>96</v>
      </c>
      <c r="G14" s="187"/>
      <c r="H14" s="187"/>
      <c r="I14" s="188"/>
    </row>
    <row r="15" spans="2:22" x14ac:dyDescent="0.25">
      <c r="B15" s="201"/>
      <c r="C15" s="202" t="s">
        <v>11</v>
      </c>
      <c r="D15" s="203">
        <v>0.2</v>
      </c>
      <c r="E15" s="204">
        <f>+D15+0.3</f>
        <v>0.5</v>
      </c>
      <c r="F15" s="201" t="s">
        <v>93</v>
      </c>
      <c r="G15" s="69"/>
      <c r="H15" s="69"/>
      <c r="I15" s="205"/>
    </row>
    <row r="16" spans="2:22" x14ac:dyDescent="0.25">
      <c r="B16" s="201"/>
      <c r="C16" s="202" t="s">
        <v>13</v>
      </c>
      <c r="D16" s="206">
        <v>0</v>
      </c>
      <c r="E16" s="206">
        <v>0.1</v>
      </c>
      <c r="F16" s="201" t="s">
        <v>94</v>
      </c>
      <c r="G16" s="69"/>
      <c r="H16" s="69"/>
      <c r="I16" s="205"/>
    </row>
    <row r="17" spans="2:11" x14ac:dyDescent="0.25">
      <c r="B17" s="201"/>
      <c r="C17" s="202" t="s">
        <v>14</v>
      </c>
      <c r="D17" s="207">
        <v>1</v>
      </c>
      <c r="E17" s="207">
        <v>1.5</v>
      </c>
      <c r="F17" s="201" t="s">
        <v>95</v>
      </c>
      <c r="G17" s="69"/>
      <c r="H17" s="69"/>
      <c r="I17" s="205"/>
    </row>
    <row r="18" spans="2:11" x14ac:dyDescent="0.25">
      <c r="B18" s="13"/>
      <c r="C18" s="14"/>
      <c r="D18" s="13"/>
      <c r="E18" s="13"/>
      <c r="F18" s="13"/>
      <c r="G18" s="13"/>
      <c r="H18" s="13"/>
      <c r="I18" s="13"/>
    </row>
    <row r="19" spans="2:11" x14ac:dyDescent="0.25">
      <c r="B19" s="201"/>
      <c r="C19" s="202" t="s">
        <v>86</v>
      </c>
      <c r="D19" s="191">
        <f>D7</f>
        <v>2022</v>
      </c>
      <c r="E19" s="13"/>
      <c r="F19" s="13"/>
      <c r="G19" s="13"/>
      <c r="H19" s="13"/>
      <c r="I19" s="13"/>
    </row>
    <row r="20" spans="2:11" x14ac:dyDescent="0.25">
      <c r="B20" s="13"/>
      <c r="C20" s="14"/>
      <c r="D20" s="13"/>
      <c r="E20" s="13"/>
      <c r="F20" s="13"/>
      <c r="G20" s="13"/>
      <c r="H20" s="13"/>
      <c r="I20" s="13"/>
    </row>
    <row r="21" spans="2:11" x14ac:dyDescent="0.25"/>
    <row r="22" spans="2:11" x14ac:dyDescent="0.25">
      <c r="B22" s="198" t="s">
        <v>92</v>
      </c>
      <c r="C22" s="184"/>
      <c r="D22" s="199"/>
      <c r="E22" s="199"/>
      <c r="F22" s="184"/>
      <c r="G22" s="184"/>
      <c r="H22" s="184"/>
      <c r="I22" s="184"/>
      <c r="J22" s="184"/>
      <c r="K22" s="185"/>
    </row>
    <row r="23" spans="2:11" x14ac:dyDescent="0.25">
      <c r="B23" s="59"/>
      <c r="C23" s="187"/>
      <c r="D23" s="200"/>
      <c r="E23" s="200"/>
      <c r="F23" s="187"/>
      <c r="G23" s="187"/>
      <c r="H23" s="187"/>
      <c r="I23" s="187"/>
      <c r="J23" s="187"/>
      <c r="K23" s="188"/>
    </row>
    <row r="24" spans="2:11" x14ac:dyDescent="0.25"/>
    <row r="25" spans="2:11" x14ac:dyDescent="0.25"/>
    <row r="26" spans="2:11" x14ac:dyDescent="0.25">
      <c r="B26" s="208" t="s">
        <v>91</v>
      </c>
      <c r="C26" s="208"/>
      <c r="E26" s="214" t="s">
        <v>105</v>
      </c>
    </row>
    <row r="27" spans="2:11" x14ac:dyDescent="0.25">
      <c r="E27" s="215" t="s">
        <v>106</v>
      </c>
    </row>
    <row r="28" spans="2:11" x14ac:dyDescent="0.25">
      <c r="B28" s="181" t="s">
        <v>11</v>
      </c>
      <c r="C28" s="209">
        <f>+D15</f>
        <v>0.2</v>
      </c>
      <c r="D28" s="209">
        <f t="shared" ref="D28:K28" si="0">+C28+0.1</f>
        <v>0.30000000000000004</v>
      </c>
      <c r="E28" s="210">
        <f t="shared" si="0"/>
        <v>0.4</v>
      </c>
      <c r="F28" s="209">
        <f t="shared" si="0"/>
        <v>0.5</v>
      </c>
      <c r="G28" s="209">
        <f t="shared" si="0"/>
        <v>0.6</v>
      </c>
      <c r="H28" s="209">
        <f t="shared" si="0"/>
        <v>0.7</v>
      </c>
      <c r="I28" s="209">
        <f t="shared" si="0"/>
        <v>0.79999999999999993</v>
      </c>
      <c r="J28" s="209">
        <f t="shared" si="0"/>
        <v>0.89999999999999991</v>
      </c>
      <c r="K28" s="209">
        <f t="shared" si="0"/>
        <v>0.99999999999999989</v>
      </c>
    </row>
    <row r="29" spans="2:11" x14ac:dyDescent="0.25">
      <c r="B29" s="181" t="s">
        <v>87</v>
      </c>
      <c r="C29" s="181">
        <v>1</v>
      </c>
      <c r="D29" s="181">
        <v>2</v>
      </c>
      <c r="E29" s="181">
        <v>3</v>
      </c>
      <c r="F29" s="181">
        <v>4</v>
      </c>
      <c r="G29" s="181">
        <v>4</v>
      </c>
      <c r="H29" s="181">
        <v>4</v>
      </c>
      <c r="I29" s="181">
        <v>4</v>
      </c>
      <c r="J29" s="181">
        <v>4</v>
      </c>
      <c r="K29" s="181">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08" t="s">
        <v>90</v>
      </c>
      <c r="C59" s="208"/>
    </row>
    <row r="60" spans="2:12" x14ac:dyDescent="0.25"/>
    <row r="61" spans="2:12" x14ac:dyDescent="0.25">
      <c r="B61" s="181" t="s">
        <v>13</v>
      </c>
      <c r="C61" s="209">
        <v>0</v>
      </c>
      <c r="D61" s="209">
        <f t="shared" ref="D61:J61" si="1">+C61+0.1</f>
        <v>0.1</v>
      </c>
      <c r="E61" s="209">
        <f t="shared" si="1"/>
        <v>0.2</v>
      </c>
      <c r="F61" s="209">
        <f t="shared" si="1"/>
        <v>0.30000000000000004</v>
      </c>
      <c r="G61" s="209">
        <f t="shared" si="1"/>
        <v>0.4</v>
      </c>
      <c r="H61" s="209">
        <f t="shared" si="1"/>
        <v>0.5</v>
      </c>
      <c r="I61" s="209">
        <f t="shared" si="1"/>
        <v>0.6</v>
      </c>
      <c r="J61" s="209">
        <f t="shared" si="1"/>
        <v>0.7</v>
      </c>
      <c r="K61" s="209"/>
      <c r="L61" s="209"/>
    </row>
    <row r="62" spans="2:12" x14ac:dyDescent="0.25">
      <c r="B62" s="181" t="s">
        <v>87</v>
      </c>
      <c r="C62" s="181">
        <v>1</v>
      </c>
      <c r="D62" s="181">
        <v>2</v>
      </c>
      <c r="E62" s="181">
        <v>2</v>
      </c>
      <c r="F62" s="181">
        <v>2</v>
      </c>
      <c r="G62" s="181">
        <v>2</v>
      </c>
      <c r="H62" s="181">
        <v>2</v>
      </c>
      <c r="I62" s="181">
        <v>2</v>
      </c>
      <c r="J62" s="181">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08" t="s">
        <v>89</v>
      </c>
      <c r="C92" s="208"/>
    </row>
    <row r="93" spans="2:11" x14ac:dyDescent="0.25"/>
    <row r="94" spans="2:11" x14ac:dyDescent="0.25">
      <c r="B94" s="181" t="s">
        <v>88</v>
      </c>
      <c r="C94" s="211">
        <v>1</v>
      </c>
      <c r="D94" s="211">
        <v>1.1000000000000001</v>
      </c>
      <c r="E94" s="211">
        <v>1.2</v>
      </c>
      <c r="F94" s="211">
        <v>1.3</v>
      </c>
      <c r="G94" s="211">
        <v>1.4</v>
      </c>
      <c r="H94" s="211">
        <v>1.5</v>
      </c>
      <c r="I94" s="211">
        <v>2</v>
      </c>
      <c r="J94" s="211">
        <v>3</v>
      </c>
      <c r="K94" s="211">
        <v>3</v>
      </c>
    </row>
    <row r="95" spans="2:11" x14ac:dyDescent="0.25">
      <c r="B95" s="181" t="s">
        <v>87</v>
      </c>
      <c r="C95" s="181">
        <v>1</v>
      </c>
      <c r="D95" s="212">
        <f>1+((+D94-$C$94)/0.5)*2</f>
        <v>1.4000000000000004</v>
      </c>
      <c r="E95" s="212">
        <f>1+((+E94-$C$94)/0.5)*2</f>
        <v>1.7999999999999998</v>
      </c>
      <c r="F95" s="212">
        <f>1+((+F94-$C$94)/0.5)*2</f>
        <v>2.2000000000000002</v>
      </c>
      <c r="G95" s="212">
        <f>1+((+G94-$C$94)/0.5)*2</f>
        <v>2.5999999999999996</v>
      </c>
      <c r="H95" s="212">
        <f>1+((+H94-$C$94)/0.5)*2</f>
        <v>3</v>
      </c>
      <c r="I95" s="212">
        <v>3</v>
      </c>
      <c r="J95" s="181">
        <v>3</v>
      </c>
      <c r="K95" s="181">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43</vt:i4>
      </vt:variant>
    </vt:vector>
  </HeadingPairs>
  <TitlesOfParts>
    <vt:vector size="46"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PvD</dc:creator>
  <cp:lastModifiedBy>Mary-Ann M. Schenk</cp:lastModifiedBy>
  <cp:lastPrinted>2015-02-24T14:03:25Z</cp:lastPrinted>
  <dcterms:created xsi:type="dcterms:W3CDTF">2005-12-12T14:07:38Z</dcterms:created>
  <dcterms:modified xsi:type="dcterms:W3CDTF">2023-02-06T13:36:22Z</dcterms:modified>
</cp:coreProperties>
</file>